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jan.c\Desktop\"/>
    </mc:Choice>
  </mc:AlternateContent>
  <xr:revisionPtr revIDLastSave="0" documentId="13_ncr:1_{8B87B178-B5D1-404E-9937-612D02C26D35}" xr6:coauthVersionLast="47" xr6:coauthVersionMax="47" xr10:uidLastSave="{00000000-0000-0000-0000-000000000000}"/>
  <bookViews>
    <workbookView xWindow="-110" yWindow="-110" windowWidth="19420" windowHeight="10420" firstSheet="9" activeTab="12" xr2:uid="{D3A296C0-848F-4E68-8E4E-1AC1ADC5454E}"/>
  </bookViews>
  <sheets>
    <sheet name="Data" sheetId="7" state="hidden" r:id="rId1"/>
    <sheet name="Steps in Analyzing a Bond" sheetId="21" r:id="rId2"/>
    <sheet name="Base Data" sheetId="11" r:id="rId3"/>
    <sheet name="Data 2" sheetId="10" state="hidden" r:id="rId4"/>
    <sheet name="Bond Pricing" sheetId="1" state="hidden" r:id="rId5"/>
    <sheet name="Bond Pricing from Base Data" sheetId="8" r:id="rId6"/>
    <sheet name="Duration" sheetId="2" state="hidden" r:id="rId7"/>
    <sheet name="Duration Template" sheetId="15" r:id="rId8"/>
    <sheet name="Convexity Template" sheetId="3" r:id="rId9"/>
    <sheet name="Important Insights" sheetId="5" r:id="rId10"/>
    <sheet name="Cluster Details" sheetId="14" r:id="rId11"/>
    <sheet name="Bond Portfolio Template" sheetId="22" r:id="rId12"/>
    <sheet name="Convertible Bond Analysis" sheetId="23" r:id="rId13"/>
  </sheets>
  <definedNames>
    <definedName name="_xlnm._FilterDatabase" localSheetId="2" hidden="1">'Base Data'!$A$3:$AP$4</definedName>
    <definedName name="_xlnm._FilterDatabase" localSheetId="0" hidden="1">Data!$A$1:$AD$4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23" l="1"/>
  <c r="E23" i="23"/>
  <c r="E24" i="23" s="1"/>
  <c r="D20" i="23"/>
  <c r="E21" i="23" s="1"/>
  <c r="H19" i="23"/>
  <c r="D18" i="23"/>
  <c r="D17" i="23"/>
  <c r="D11" i="23"/>
  <c r="E25" i="23" l="1"/>
  <c r="E22" i="23"/>
  <c r="AC5" i="11" l="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C202" i="11"/>
  <c r="AC203" i="11"/>
  <c r="AC204" i="11"/>
  <c r="AC205" i="11"/>
  <c r="AC206" i="11"/>
  <c r="AC207" i="11"/>
  <c r="AC208" i="11"/>
  <c r="AC209" i="11"/>
  <c r="AC210" i="11"/>
  <c r="AC211" i="11"/>
  <c r="AC212" i="11"/>
  <c r="AC213" i="11"/>
  <c r="AC214" i="11"/>
  <c r="AC215" i="11"/>
  <c r="AC216" i="11"/>
  <c r="AC217" i="11"/>
  <c r="AC218" i="11"/>
  <c r="AC219" i="11"/>
  <c r="AC220" i="11"/>
  <c r="AC221" i="11"/>
  <c r="AC222" i="11"/>
  <c r="AC223" i="11"/>
  <c r="AC224" i="11"/>
  <c r="AC225" i="11"/>
  <c r="AC226" i="11"/>
  <c r="AC227" i="11"/>
  <c r="AC228" i="11"/>
  <c r="AC229" i="11"/>
  <c r="AC230" i="11"/>
  <c r="AC231" i="11"/>
  <c r="AC232" i="11"/>
  <c r="AC233" i="11"/>
  <c r="AC234" i="11"/>
  <c r="AC235" i="11"/>
  <c r="AC236" i="11"/>
  <c r="AC237" i="11"/>
  <c r="AC238" i="11"/>
  <c r="AC239" i="11"/>
  <c r="AC240" i="11"/>
  <c r="AC241" i="11"/>
  <c r="AC242" i="11"/>
  <c r="AC243" i="11"/>
  <c r="AC244" i="11"/>
  <c r="AC245" i="11"/>
  <c r="AC246" i="11"/>
  <c r="AC247" i="11"/>
  <c r="AC248" i="11"/>
  <c r="AC249" i="11"/>
  <c r="AC250" i="11"/>
  <c r="AC251" i="11"/>
  <c r="AC252" i="11"/>
  <c r="AC253" i="11"/>
  <c r="AC254" i="11"/>
  <c r="AC255" i="11"/>
  <c r="AC256" i="11"/>
  <c r="AC257" i="11"/>
  <c r="AC258" i="11"/>
  <c r="AC259" i="11"/>
  <c r="AC260" i="11"/>
  <c r="AC261" i="11"/>
  <c r="AC262" i="11"/>
  <c r="AC263" i="11"/>
  <c r="AC264" i="11"/>
  <c r="AC265" i="11"/>
  <c r="AC266" i="11"/>
  <c r="AC267" i="11"/>
  <c r="AC268" i="11"/>
  <c r="AC269" i="11"/>
  <c r="AC270" i="11"/>
  <c r="AC271" i="11"/>
  <c r="AC272" i="11"/>
  <c r="AC273" i="11"/>
  <c r="AC274" i="11"/>
  <c r="AC275" i="11"/>
  <c r="AC276" i="11"/>
  <c r="AC277" i="11"/>
  <c r="AC278" i="11"/>
  <c r="AC279" i="11"/>
  <c r="AC280" i="11"/>
  <c r="AC281" i="11"/>
  <c r="AC282" i="11"/>
  <c r="AC283" i="11"/>
  <c r="AC284" i="11"/>
  <c r="AC285" i="11"/>
  <c r="AC286" i="11"/>
  <c r="AC287" i="11"/>
  <c r="AC288" i="11"/>
  <c r="AC289" i="11"/>
  <c r="AC290" i="11"/>
  <c r="AC291" i="11"/>
  <c r="AC292" i="11"/>
  <c r="AC293" i="11"/>
  <c r="AC294" i="11"/>
  <c r="AC295" i="11"/>
  <c r="AC296" i="11"/>
  <c r="AC297" i="11"/>
  <c r="AC298" i="11"/>
  <c r="AC299" i="11"/>
  <c r="AC300" i="11"/>
  <c r="AC301" i="11"/>
  <c r="AC302" i="11"/>
  <c r="AC303" i="11"/>
  <c r="AC304" i="11"/>
  <c r="AC305" i="11"/>
  <c r="AC306" i="11"/>
  <c r="AC307" i="11"/>
  <c r="AC308" i="11"/>
  <c r="AC309" i="11"/>
  <c r="AC310" i="11"/>
  <c r="AC311" i="11"/>
  <c r="AC312" i="11"/>
  <c r="AC313" i="11"/>
  <c r="AC314" i="11"/>
  <c r="AC315" i="11"/>
  <c r="AC316" i="11"/>
  <c r="AC317" i="11"/>
  <c r="AC318" i="11"/>
  <c r="AC319" i="11"/>
  <c r="AC320" i="11"/>
  <c r="AC321" i="11"/>
  <c r="AC322" i="11"/>
  <c r="AC323" i="11"/>
  <c r="AC324" i="11"/>
  <c r="AC325" i="11"/>
  <c r="AC326" i="11"/>
  <c r="AC327" i="11"/>
  <c r="AC328" i="11"/>
  <c r="AC329" i="11"/>
  <c r="AC330" i="11"/>
  <c r="AC331" i="11"/>
  <c r="AC332" i="11"/>
  <c r="AC333" i="11"/>
  <c r="AC334" i="11"/>
  <c r="AC335" i="11"/>
  <c r="AC336" i="11"/>
  <c r="AC337" i="11"/>
  <c r="AC338" i="11"/>
  <c r="AC339" i="11"/>
  <c r="AC340" i="11"/>
  <c r="AC341" i="11"/>
  <c r="AC342" i="11"/>
  <c r="AC343" i="11"/>
  <c r="AC344" i="11"/>
  <c r="AC345" i="11"/>
  <c r="AC346" i="11"/>
  <c r="AC347" i="11"/>
  <c r="AC348" i="11"/>
  <c r="AC349" i="11"/>
  <c r="AC350" i="11"/>
  <c r="AC351" i="11"/>
  <c r="AC352" i="11"/>
  <c r="AC353" i="11"/>
  <c r="AC354" i="11"/>
  <c r="AC355" i="11"/>
  <c r="AC356" i="11"/>
  <c r="AC357" i="11"/>
  <c r="AC358" i="11"/>
  <c r="AC359" i="11"/>
  <c r="AC360" i="11"/>
  <c r="AC361" i="11"/>
  <c r="AC362" i="11"/>
  <c r="AC363" i="11"/>
  <c r="AC364" i="11"/>
  <c r="AC365" i="11"/>
  <c r="AC366" i="11"/>
  <c r="AC367" i="11"/>
  <c r="AC368" i="11"/>
  <c r="AC369" i="11"/>
  <c r="AC370" i="11"/>
  <c r="AC371" i="11"/>
  <c r="AC372" i="11"/>
  <c r="AC373" i="11"/>
  <c r="AC374" i="11"/>
  <c r="AC375" i="11"/>
  <c r="AC376" i="11"/>
  <c r="AC377" i="11"/>
  <c r="AC378" i="11"/>
  <c r="AC379" i="11"/>
  <c r="AC380" i="11"/>
  <c r="AC381" i="11"/>
  <c r="AC382" i="11"/>
  <c r="AC383" i="11"/>
  <c r="AC384" i="11"/>
  <c r="AC385" i="11"/>
  <c r="AC386" i="11"/>
  <c r="AC387" i="11"/>
  <c r="AC388" i="11"/>
  <c r="AC389" i="11"/>
  <c r="AC390" i="11"/>
  <c r="AC391" i="11"/>
  <c r="AC392" i="11"/>
  <c r="AC393" i="11"/>
  <c r="AC394" i="11"/>
  <c r="AC395" i="11"/>
  <c r="AC396" i="11"/>
  <c r="AC397" i="11"/>
  <c r="AC398" i="11"/>
  <c r="AC399" i="11"/>
  <c r="AC400" i="11"/>
  <c r="AC401" i="11"/>
  <c r="AC402" i="11"/>
  <c r="AC403" i="11"/>
  <c r="AC404" i="11"/>
  <c r="AC405" i="11"/>
  <c r="AC406" i="11"/>
  <c r="AC407" i="11"/>
  <c r="AC408" i="11"/>
  <c r="AC409" i="11"/>
  <c r="AC410" i="11"/>
  <c r="AC411" i="11"/>
  <c r="AC412" i="11"/>
  <c r="AC413" i="11"/>
  <c r="AC414" i="11"/>
  <c r="AC415" i="11"/>
  <c r="AC416" i="11"/>
  <c r="AC417" i="11"/>
  <c r="AC418" i="11"/>
  <c r="AC419" i="11"/>
  <c r="AC420" i="11"/>
  <c r="AC421" i="11"/>
  <c r="AC422" i="11"/>
  <c r="AC423" i="11"/>
  <c r="AC424" i="11"/>
  <c r="AC425" i="11"/>
  <c r="AC426" i="11"/>
  <c r="AC427" i="11"/>
  <c r="AC428" i="11"/>
  <c r="AC429" i="11"/>
  <c r="AC430" i="11"/>
  <c r="AC431" i="11"/>
  <c r="AC432" i="11"/>
  <c r="AC433" i="11"/>
  <c r="AC434" i="11"/>
  <c r="AC435" i="11"/>
  <c r="AC436" i="11"/>
  <c r="AC437" i="11"/>
  <c r="AC438" i="11"/>
  <c r="AC439" i="11"/>
  <c r="AC440" i="11"/>
  <c r="AC441" i="11"/>
  <c r="AC442" i="11"/>
  <c r="AC443" i="11"/>
  <c r="AC444" i="11"/>
  <c r="AC445" i="11"/>
  <c r="AC446" i="11"/>
  <c r="AC447" i="11"/>
  <c r="AC448" i="11"/>
  <c r="AC449" i="11"/>
  <c r="AC450" i="11"/>
  <c r="AC451" i="11"/>
  <c r="AC452" i="11"/>
  <c r="AC453" i="11"/>
  <c r="AC454" i="11"/>
  <c r="AC455" i="11"/>
  <c r="AC456" i="11"/>
  <c r="AC457" i="11"/>
  <c r="AC458" i="11"/>
  <c r="AC459" i="11"/>
  <c r="AC460" i="11"/>
  <c r="AC461" i="11"/>
  <c r="AC462" i="11"/>
  <c r="AC463" i="11"/>
  <c r="AC464" i="11"/>
  <c r="AC465" i="11"/>
  <c r="AC466" i="11"/>
  <c r="AC467" i="11"/>
  <c r="AC468" i="11"/>
  <c r="AC469" i="11"/>
  <c r="AC470" i="11"/>
  <c r="AC471" i="11"/>
  <c r="AC472" i="11"/>
  <c r="AC473" i="11"/>
  <c r="AC474" i="11"/>
  <c r="AC475" i="11"/>
  <c r="AC476" i="11"/>
  <c r="AC477" i="11"/>
  <c r="AC478" i="11"/>
  <c r="AC479" i="11"/>
  <c r="AC480" i="11"/>
  <c r="AC481" i="11"/>
  <c r="AC482" i="11"/>
  <c r="AC483" i="11"/>
  <c r="AC484" i="11"/>
  <c r="AC485" i="11"/>
  <c r="AC486" i="11"/>
  <c r="AC487" i="11"/>
  <c r="AC488" i="11"/>
  <c r="AC489" i="11"/>
  <c r="AC490" i="11"/>
  <c r="AC491" i="11"/>
  <c r="AC492" i="11"/>
  <c r="AC493" i="11"/>
  <c r="AC494" i="11"/>
  <c r="AC495" i="11"/>
  <c r="AC496" i="11"/>
  <c r="AC497" i="11"/>
  <c r="AC498" i="11"/>
  <c r="AC499" i="11"/>
  <c r="AC500" i="11"/>
  <c r="AC501" i="11"/>
  <c r="AC502" i="11"/>
  <c r="AC503" i="11"/>
  <c r="AC504" i="11"/>
  <c r="AC505" i="11"/>
  <c r="AC506" i="11"/>
  <c r="AC507" i="11"/>
  <c r="AC508" i="11"/>
  <c r="AC509" i="11"/>
  <c r="AC510" i="11"/>
  <c r="AC511" i="11"/>
  <c r="AC512" i="11"/>
  <c r="AC513" i="11"/>
  <c r="AC514" i="11"/>
  <c r="AC515" i="11"/>
  <c r="AC516" i="11"/>
  <c r="AC517" i="11"/>
  <c r="AC518" i="11"/>
  <c r="AC519" i="11"/>
  <c r="AC520" i="11"/>
  <c r="AC521" i="11"/>
  <c r="AC522" i="11"/>
  <c r="AC523" i="11"/>
  <c r="AC524" i="11"/>
  <c r="AC525" i="11"/>
  <c r="AC526" i="11"/>
  <c r="AC527" i="11"/>
  <c r="AC528" i="11"/>
  <c r="AC529" i="11"/>
  <c r="AC530" i="11"/>
  <c r="AC531" i="11"/>
  <c r="AC532" i="11"/>
  <c r="AC533" i="11"/>
  <c r="AC534" i="11"/>
  <c r="AC535" i="11"/>
  <c r="AC536" i="11"/>
  <c r="AC537" i="11"/>
  <c r="AC538" i="11"/>
  <c r="AC539" i="11"/>
  <c r="AC540" i="11"/>
  <c r="AC541" i="11"/>
  <c r="AC542" i="11"/>
  <c r="AC543" i="11"/>
  <c r="AC544" i="11"/>
  <c r="AC545" i="11"/>
  <c r="AC546" i="11"/>
  <c r="AC547" i="11"/>
  <c r="AC548" i="11"/>
  <c r="AC549" i="11"/>
  <c r="AC550" i="11"/>
  <c r="AC551" i="11"/>
  <c r="AC552" i="11"/>
  <c r="AC553" i="11"/>
  <c r="AC554" i="11"/>
  <c r="AC555" i="11"/>
  <c r="AC556" i="11"/>
  <c r="AC557" i="11"/>
  <c r="AC558" i="11"/>
  <c r="AC559" i="11"/>
  <c r="AC560" i="11"/>
  <c r="AC561" i="11"/>
  <c r="AC562" i="11"/>
  <c r="AC563" i="11"/>
  <c r="AC564" i="11"/>
  <c r="AC565" i="11"/>
  <c r="AC566" i="11"/>
  <c r="AC567" i="11"/>
  <c r="AC568" i="11"/>
  <c r="AC569" i="11"/>
  <c r="AC570" i="11"/>
  <c r="AC571" i="11"/>
  <c r="AC572" i="11"/>
  <c r="AC573" i="11"/>
  <c r="AC574" i="11"/>
  <c r="AC575" i="11"/>
  <c r="AC576" i="11"/>
  <c r="AC577" i="11"/>
  <c r="AC578" i="11"/>
  <c r="AC579" i="11"/>
  <c r="AC580" i="11"/>
  <c r="AC581" i="11"/>
  <c r="AC582" i="11"/>
  <c r="AC583" i="11"/>
  <c r="AC584" i="11"/>
  <c r="AC585" i="11"/>
  <c r="AC586" i="11"/>
  <c r="AC587" i="11"/>
  <c r="AC588" i="11"/>
  <c r="AC589" i="11"/>
  <c r="AC590" i="11"/>
  <c r="AC591" i="11"/>
  <c r="AC592" i="11"/>
  <c r="AC593" i="11"/>
  <c r="AC594" i="11"/>
  <c r="AC595" i="11"/>
  <c r="AC596" i="11"/>
  <c r="AC597" i="11"/>
  <c r="AC598" i="11"/>
  <c r="AC599" i="11"/>
  <c r="AC600" i="11"/>
  <c r="AC601" i="11"/>
  <c r="AC602" i="11"/>
  <c r="AC603" i="11"/>
  <c r="AC604" i="11"/>
  <c r="AC605" i="11"/>
  <c r="AC606" i="11"/>
  <c r="AC607" i="11"/>
  <c r="AC608" i="11"/>
  <c r="AC609" i="11"/>
  <c r="AC610" i="11"/>
  <c r="AC611" i="11"/>
  <c r="AC612" i="11"/>
  <c r="AC613" i="11"/>
  <c r="AC614" i="11"/>
  <c r="AC615" i="11"/>
  <c r="AC616" i="11"/>
  <c r="AC617" i="11"/>
  <c r="AC618" i="11"/>
  <c r="AC619" i="11"/>
  <c r="AC620" i="11"/>
  <c r="AC621" i="11"/>
  <c r="AC622" i="11"/>
  <c r="AC623" i="11"/>
  <c r="AC624" i="11"/>
  <c r="AC625" i="11"/>
  <c r="AC626" i="11"/>
  <c r="AC627" i="11"/>
  <c r="AC628" i="11"/>
  <c r="AC629" i="11"/>
  <c r="AC630" i="11"/>
  <c r="AC631" i="11"/>
  <c r="AC632" i="11"/>
  <c r="AC633" i="11"/>
  <c r="AC634" i="11"/>
  <c r="AC635" i="11"/>
  <c r="AC636" i="11"/>
  <c r="AC637" i="11"/>
  <c r="AC638" i="11"/>
  <c r="AC639" i="11"/>
  <c r="AC640" i="11"/>
  <c r="AC641" i="11"/>
  <c r="AC642" i="11"/>
  <c r="AC643" i="11"/>
  <c r="AC644" i="11"/>
  <c r="AC645" i="11"/>
  <c r="AC646" i="11"/>
  <c r="AC647" i="11"/>
  <c r="AC648" i="11"/>
  <c r="AC649" i="11"/>
  <c r="AC650" i="11"/>
  <c r="AC651" i="11"/>
  <c r="AC652" i="11"/>
  <c r="AC653" i="11"/>
  <c r="AC654" i="11"/>
  <c r="AC655" i="11"/>
  <c r="AC656" i="11"/>
  <c r="AC657" i="11"/>
  <c r="AC658" i="11"/>
  <c r="AC659" i="11"/>
  <c r="AC660" i="11"/>
  <c r="AC661" i="11"/>
  <c r="AC662" i="11"/>
  <c r="AC663" i="11"/>
  <c r="AC664" i="11"/>
  <c r="AC665" i="11"/>
  <c r="AC666" i="11"/>
  <c r="AC667" i="11"/>
  <c r="AC668" i="11"/>
  <c r="AC669" i="11"/>
  <c r="AC670" i="11"/>
  <c r="AC671" i="11"/>
  <c r="AC672" i="11"/>
  <c r="AC673" i="11"/>
  <c r="AC674" i="11"/>
  <c r="AC675" i="11"/>
  <c r="AC676" i="11"/>
  <c r="AC677" i="11"/>
  <c r="AC678" i="11"/>
  <c r="AC679" i="11"/>
  <c r="AC680" i="11"/>
  <c r="AC681" i="11"/>
  <c r="AC682" i="11"/>
  <c r="AC683" i="11"/>
  <c r="AC684" i="11"/>
  <c r="AC685" i="11"/>
  <c r="AC686" i="11"/>
  <c r="AC687" i="11"/>
  <c r="AC688" i="11"/>
  <c r="AC689" i="11"/>
  <c r="AC690" i="11"/>
  <c r="AC691" i="11"/>
  <c r="AC692" i="11"/>
  <c r="AC693" i="11"/>
  <c r="AC694" i="11"/>
  <c r="AC695" i="11"/>
  <c r="AC696" i="11"/>
  <c r="AC697" i="11"/>
  <c r="AC698" i="11"/>
  <c r="AC699" i="11"/>
  <c r="AC700" i="11"/>
  <c r="AC701" i="11"/>
  <c r="AC702" i="11"/>
  <c r="AC703" i="11"/>
  <c r="AC704" i="11"/>
  <c r="AC705" i="11"/>
  <c r="AC706" i="11"/>
  <c r="AC707" i="11"/>
  <c r="AC708" i="11"/>
  <c r="AC709" i="11"/>
  <c r="AC710" i="11"/>
  <c r="AC711" i="11"/>
  <c r="AC712" i="11"/>
  <c r="AC713" i="11"/>
  <c r="AC714" i="11"/>
  <c r="AC715" i="11"/>
  <c r="AC716" i="11"/>
  <c r="AC717" i="11"/>
  <c r="AC718" i="11"/>
  <c r="AC719" i="11"/>
  <c r="AC720" i="11"/>
  <c r="AC721" i="11"/>
  <c r="AC722" i="11"/>
  <c r="AC723" i="11"/>
  <c r="AC724" i="11"/>
  <c r="AC725" i="11"/>
  <c r="AC726" i="11"/>
  <c r="AC727" i="11"/>
  <c r="AC728" i="11"/>
  <c r="AC729" i="11"/>
  <c r="AC730" i="11"/>
  <c r="AC731" i="11"/>
  <c r="AC732" i="11"/>
  <c r="AC733" i="11"/>
  <c r="AC734" i="11"/>
  <c r="AC735" i="11"/>
  <c r="AC736" i="11"/>
  <c r="AC737" i="11"/>
  <c r="AC738" i="11"/>
  <c r="AC739" i="11"/>
  <c r="AC740" i="11"/>
  <c r="AC741" i="11"/>
  <c r="AC742" i="11"/>
  <c r="AC743" i="11"/>
  <c r="AC744" i="11"/>
  <c r="AC745" i="11"/>
  <c r="AC746" i="11"/>
  <c r="AC747" i="11"/>
  <c r="AC748" i="11"/>
  <c r="AC749" i="11"/>
  <c r="AC750" i="11"/>
  <c r="AC751" i="11"/>
  <c r="AC752" i="11"/>
  <c r="AC753" i="11"/>
  <c r="AC754" i="11"/>
  <c r="AC755" i="11"/>
  <c r="AC756" i="11"/>
  <c r="AC757" i="11"/>
  <c r="AC758" i="11"/>
  <c r="AC759" i="11"/>
  <c r="AC760" i="11"/>
  <c r="AC761" i="11"/>
  <c r="AC762" i="11"/>
  <c r="AC763" i="11"/>
  <c r="AC764" i="11"/>
  <c r="AC765" i="11"/>
  <c r="AC766" i="11"/>
  <c r="AC767" i="11"/>
  <c r="AC768" i="11"/>
  <c r="AC769" i="11"/>
  <c r="AC770" i="11"/>
  <c r="AC771" i="11"/>
  <c r="AC772" i="11"/>
  <c r="AC773" i="11"/>
  <c r="AC774" i="11"/>
  <c r="AC775" i="11"/>
  <c r="AC776" i="11"/>
  <c r="AC777" i="11"/>
  <c r="AC778" i="11"/>
  <c r="AC779" i="11"/>
  <c r="AC780" i="11"/>
  <c r="AC781" i="11"/>
  <c r="AC782" i="11"/>
  <c r="AC783" i="11"/>
  <c r="AC784" i="11"/>
  <c r="AC785" i="11"/>
  <c r="AC786" i="11"/>
  <c r="AC787" i="11"/>
  <c r="AC788" i="11"/>
  <c r="AC789" i="11"/>
  <c r="AC790" i="11"/>
  <c r="AC791" i="11"/>
  <c r="AC792" i="11"/>
  <c r="AC793" i="11"/>
  <c r="AC794" i="11"/>
  <c r="AC795" i="11"/>
  <c r="AC796" i="11"/>
  <c r="AC797" i="11"/>
  <c r="AC798" i="11"/>
  <c r="AC799" i="11"/>
  <c r="AC800" i="11"/>
  <c r="AC801" i="11"/>
  <c r="AC802" i="11"/>
  <c r="AC803" i="11"/>
  <c r="AC804" i="11"/>
  <c r="AC805" i="11"/>
  <c r="AC806" i="11"/>
  <c r="AC807" i="11"/>
  <c r="AC808" i="11"/>
  <c r="AC809" i="11"/>
  <c r="AC810" i="11"/>
  <c r="AC811" i="11"/>
  <c r="AC812" i="11"/>
  <c r="AC813" i="11"/>
  <c r="AC814" i="11"/>
  <c r="AC815" i="11"/>
  <c r="AC816" i="11"/>
  <c r="AC817" i="11"/>
  <c r="AC818" i="11"/>
  <c r="AC819" i="11"/>
  <c r="AC820" i="11"/>
  <c r="AC821" i="11"/>
  <c r="AC822" i="11"/>
  <c r="AC823" i="11"/>
  <c r="AC824" i="11"/>
  <c r="AC825" i="11"/>
  <c r="AC826" i="11"/>
  <c r="AC827" i="11"/>
  <c r="AC828" i="11"/>
  <c r="AC829" i="11"/>
  <c r="AC830" i="11"/>
  <c r="AC831" i="11"/>
  <c r="AC832" i="11"/>
  <c r="AC833" i="11"/>
  <c r="AC834" i="11"/>
  <c r="AC835" i="11"/>
  <c r="AC836" i="11"/>
  <c r="AC837" i="11"/>
  <c r="AC838" i="11"/>
  <c r="AC839" i="11"/>
  <c r="AC840" i="11"/>
  <c r="AC841" i="11"/>
  <c r="AC842" i="11"/>
  <c r="AC843" i="11"/>
  <c r="AC844" i="11"/>
  <c r="AC845" i="11"/>
  <c r="AC846" i="11"/>
  <c r="AC847" i="11"/>
  <c r="AC848" i="11"/>
  <c r="AC849" i="11"/>
  <c r="AC850" i="11"/>
  <c r="AC851" i="11"/>
  <c r="AC852" i="11"/>
  <c r="AC853" i="11"/>
  <c r="AC854" i="11"/>
  <c r="AC855" i="11"/>
  <c r="AC856" i="11"/>
  <c r="AC857" i="11"/>
  <c r="AC858" i="11"/>
  <c r="AC859" i="11"/>
  <c r="AC860" i="11"/>
  <c r="AC861" i="11"/>
  <c r="AC862" i="11"/>
  <c r="AC863" i="11"/>
  <c r="AC864" i="11"/>
  <c r="AC865" i="11"/>
  <c r="AC866" i="11"/>
  <c r="AC867" i="11"/>
  <c r="AC868" i="11"/>
  <c r="AC869" i="11"/>
  <c r="AC870" i="11"/>
  <c r="AC871" i="11"/>
  <c r="AC872" i="11"/>
  <c r="AC873" i="11"/>
  <c r="AC874" i="11"/>
  <c r="AC875" i="11"/>
  <c r="AC876" i="11"/>
  <c r="AC877" i="11"/>
  <c r="AC878" i="11"/>
  <c r="AC879" i="11"/>
  <c r="AC880" i="11"/>
  <c r="AC881" i="11"/>
  <c r="AC882" i="11"/>
  <c r="AC883" i="11"/>
  <c r="AC884" i="11"/>
  <c r="AC885" i="11"/>
  <c r="AC886" i="11"/>
  <c r="AC887" i="11"/>
  <c r="AC888" i="11"/>
  <c r="AC889" i="11"/>
  <c r="AC890" i="11"/>
  <c r="AC891" i="11"/>
  <c r="AC892" i="11"/>
  <c r="AC893" i="11"/>
  <c r="AC894" i="11"/>
  <c r="AC895" i="11"/>
  <c r="AC896" i="11"/>
  <c r="AC897" i="11"/>
  <c r="AC898" i="11"/>
  <c r="AC899" i="11"/>
  <c r="AC900" i="11"/>
  <c r="AC901" i="11"/>
  <c r="AC902" i="11"/>
  <c r="AC903" i="11"/>
  <c r="AC904" i="11"/>
  <c r="AC905" i="11"/>
  <c r="AC906" i="11"/>
  <c r="AC907" i="11"/>
  <c r="AC908" i="11"/>
  <c r="AC909" i="11"/>
  <c r="AC910" i="11"/>
  <c r="AC911" i="11"/>
  <c r="AC912" i="11"/>
  <c r="AC913" i="11"/>
  <c r="AC914" i="11"/>
  <c r="AC915" i="11"/>
  <c r="AC916" i="11"/>
  <c r="AC917" i="11"/>
  <c r="AC918" i="11"/>
  <c r="AC919" i="11"/>
  <c r="AC920" i="11"/>
  <c r="AC921" i="11"/>
  <c r="AC922" i="11"/>
  <c r="AC923" i="11"/>
  <c r="AC924" i="11"/>
  <c r="AC925" i="11"/>
  <c r="AC926" i="11"/>
  <c r="AC927" i="11"/>
  <c r="AC928" i="11"/>
  <c r="AC929" i="11"/>
  <c r="AC930" i="11"/>
  <c r="AC931" i="11"/>
  <c r="AC932" i="11"/>
  <c r="AC933" i="11"/>
  <c r="AC934" i="11"/>
  <c r="AC935" i="11"/>
  <c r="AC936" i="11"/>
  <c r="AC937" i="11"/>
  <c r="AC938" i="11"/>
  <c r="AC939" i="11"/>
  <c r="AC940" i="11"/>
  <c r="AC941" i="11"/>
  <c r="AC942" i="11"/>
  <c r="AC943" i="11"/>
  <c r="AC944" i="11"/>
  <c r="AC945" i="11"/>
  <c r="AC946" i="11"/>
  <c r="AC947" i="11"/>
  <c r="AC948" i="11"/>
  <c r="AC949" i="11"/>
  <c r="AC950" i="11"/>
  <c r="AC951" i="11"/>
  <c r="AC952" i="11"/>
  <c r="AC953" i="11"/>
  <c r="AC954" i="11"/>
  <c r="AC955" i="11"/>
  <c r="AC956" i="11"/>
  <c r="AC957" i="11"/>
  <c r="AC958" i="11"/>
  <c r="AC959" i="11"/>
  <c r="AC960" i="11"/>
  <c r="AC961" i="11"/>
  <c r="AC962" i="11"/>
  <c r="AC963" i="11"/>
  <c r="AC964" i="11"/>
  <c r="AC965" i="11"/>
  <c r="AC966" i="11"/>
  <c r="AC967" i="11"/>
  <c r="AC968" i="11"/>
  <c r="AC969" i="11"/>
  <c r="AC970" i="11"/>
  <c r="AC971" i="11"/>
  <c r="AC972" i="11"/>
  <c r="AC973" i="11"/>
  <c r="AC974" i="11"/>
  <c r="AC975" i="11"/>
  <c r="AC976" i="11"/>
  <c r="AC977" i="11"/>
  <c r="AC978" i="11"/>
  <c r="AC979" i="11"/>
  <c r="AC980" i="11"/>
  <c r="AC981" i="11"/>
  <c r="AC982" i="11"/>
  <c r="AC983" i="11"/>
  <c r="AC984" i="11"/>
  <c r="AC985" i="11"/>
  <c r="AC986" i="11"/>
  <c r="AC987" i="11"/>
  <c r="AC988" i="11"/>
  <c r="AC989" i="11"/>
  <c r="AC990" i="11"/>
  <c r="AC991" i="11"/>
  <c r="AC992" i="11"/>
  <c r="AC993" i="11"/>
  <c r="AC994" i="11"/>
  <c r="AC995" i="11"/>
  <c r="AC996" i="11"/>
  <c r="AC997" i="11"/>
  <c r="AC998" i="11"/>
  <c r="AC999" i="11"/>
  <c r="AC1000" i="11"/>
  <c r="AC1001" i="11"/>
  <c r="AC1002" i="11"/>
  <c r="AC1003" i="11"/>
  <c r="AC1004" i="11"/>
  <c r="AC1005" i="11"/>
  <c r="AC1006" i="11"/>
  <c r="AC1007" i="11"/>
  <c r="AC1008" i="11"/>
  <c r="AC1009" i="11"/>
  <c r="AC1010" i="11"/>
  <c r="AC1011" i="11"/>
  <c r="AC1012" i="11"/>
  <c r="AC1013" i="11"/>
  <c r="AC1014" i="11"/>
  <c r="AC1015" i="11"/>
  <c r="AC1016" i="11"/>
  <c r="AC1017" i="11"/>
  <c r="AC1018" i="11"/>
  <c r="AC1019" i="11"/>
  <c r="AC1020" i="11"/>
  <c r="AC1021" i="11"/>
  <c r="AC1022" i="11"/>
  <c r="AC1023" i="11"/>
  <c r="AC1024" i="11"/>
  <c r="AC1025" i="11"/>
  <c r="AC1026" i="11"/>
  <c r="AC1027" i="11"/>
  <c r="AC1028" i="11"/>
  <c r="AC1029" i="11"/>
  <c r="AC1030" i="11"/>
  <c r="AC1031" i="11"/>
  <c r="AC1032" i="11"/>
  <c r="AC1033" i="11"/>
  <c r="AC1034" i="11"/>
  <c r="AC1035" i="11"/>
  <c r="AC1036" i="11"/>
  <c r="AC1037" i="11"/>
  <c r="AC1038" i="11"/>
  <c r="AC1039" i="11"/>
  <c r="AC1040" i="11"/>
  <c r="AC1041" i="11"/>
  <c r="AC1042" i="11"/>
  <c r="AC1043" i="11"/>
  <c r="AC1044" i="11"/>
  <c r="AC1045" i="11"/>
  <c r="AC1046" i="11"/>
  <c r="AC1047" i="11"/>
  <c r="AC1048" i="11"/>
  <c r="AC1049" i="11"/>
  <c r="AC1050" i="11"/>
  <c r="AC1051" i="11"/>
  <c r="AC1052" i="11"/>
  <c r="AC1053" i="11"/>
  <c r="AC1054" i="11"/>
  <c r="AC1055" i="11"/>
  <c r="AC1056" i="11"/>
  <c r="AC1057" i="11"/>
  <c r="AC1058" i="11"/>
  <c r="AC1059" i="11"/>
  <c r="AC1060" i="11"/>
  <c r="AC1061" i="11"/>
  <c r="AC1062" i="11"/>
  <c r="AC1063" i="11"/>
  <c r="AC1064" i="11"/>
  <c r="AC1065" i="11"/>
  <c r="AC1066" i="11"/>
  <c r="AC1067" i="11"/>
  <c r="AC1068" i="11"/>
  <c r="AC1069" i="11"/>
  <c r="AC1070" i="11"/>
  <c r="AC1071" i="11"/>
  <c r="AC1072" i="11"/>
  <c r="AC1073" i="11"/>
  <c r="AC1074" i="11"/>
  <c r="AC1075" i="11"/>
  <c r="AC1076" i="11"/>
  <c r="AC1077" i="11"/>
  <c r="AC1078" i="11"/>
  <c r="AC1079" i="11"/>
  <c r="AC1080" i="11"/>
  <c r="AC1081" i="11"/>
  <c r="AC1082" i="11"/>
  <c r="AC1083" i="11"/>
  <c r="AC1084" i="11"/>
  <c r="AC1085" i="11"/>
  <c r="AC1086" i="11"/>
  <c r="AC1087" i="11"/>
  <c r="AC1088" i="11"/>
  <c r="AC1089" i="11"/>
  <c r="AC1090" i="11"/>
  <c r="AC1091" i="11"/>
  <c r="AC1092" i="11"/>
  <c r="AC1093" i="11"/>
  <c r="AC1094" i="11"/>
  <c r="AC1095" i="11"/>
  <c r="AC1096" i="11"/>
  <c r="AC1097" i="11"/>
  <c r="AC1098" i="11"/>
  <c r="AC1099" i="11"/>
  <c r="AC1100" i="11"/>
  <c r="AC1101" i="11"/>
  <c r="AC1102" i="11"/>
  <c r="AC1103" i="11"/>
  <c r="AC1104" i="11"/>
  <c r="AC1105" i="11"/>
  <c r="AC1106" i="11"/>
  <c r="AC1107" i="11"/>
  <c r="AC1108" i="11"/>
  <c r="AC1109" i="11"/>
  <c r="AC1110" i="11"/>
  <c r="AC1111" i="11"/>
  <c r="AC1112" i="11"/>
  <c r="AC1113" i="11"/>
  <c r="AC1114" i="11"/>
  <c r="AC1115" i="11"/>
  <c r="AC1116" i="11"/>
  <c r="AC1117" i="11"/>
  <c r="AC1118" i="11"/>
  <c r="AC1119" i="11"/>
  <c r="AC1120" i="11"/>
  <c r="AC1121" i="11"/>
  <c r="AC1122" i="11"/>
  <c r="AC1123" i="11"/>
  <c r="AC1124" i="11"/>
  <c r="AC1125" i="11"/>
  <c r="AC1126" i="11"/>
  <c r="AC1127" i="11"/>
  <c r="AC1128" i="11"/>
  <c r="AC1129" i="11"/>
  <c r="AC1130" i="11"/>
  <c r="AC1131" i="11"/>
  <c r="AC1132" i="11"/>
  <c r="AC1133" i="11"/>
  <c r="AC1134" i="11"/>
  <c r="AC1135" i="11"/>
  <c r="AC1136" i="11"/>
  <c r="AC1137" i="11"/>
  <c r="AC1138" i="11"/>
  <c r="AC1139" i="11"/>
  <c r="AC1140" i="11"/>
  <c r="AC1141" i="11"/>
  <c r="AC1142" i="11"/>
  <c r="AC1143" i="11"/>
  <c r="AC1144" i="11"/>
  <c r="AC1145" i="11"/>
  <c r="AC1146" i="11"/>
  <c r="AC1147" i="11"/>
  <c r="AC1148" i="11"/>
  <c r="AC1149" i="11"/>
  <c r="AC1150" i="11"/>
  <c r="AC1151" i="11"/>
  <c r="AC1152" i="11"/>
  <c r="AC1153" i="11"/>
  <c r="AC1154" i="11"/>
  <c r="AC1155" i="11"/>
  <c r="AC1156" i="11"/>
  <c r="AC1157" i="11"/>
  <c r="AC1158" i="11"/>
  <c r="AC1159" i="11"/>
  <c r="AC1160" i="11"/>
  <c r="AC1161" i="11"/>
  <c r="AC1162" i="11"/>
  <c r="AC1163" i="11"/>
  <c r="AC1164" i="11"/>
  <c r="AC1165" i="11"/>
  <c r="AC1166" i="11"/>
  <c r="AC1167" i="11"/>
  <c r="AC1168" i="11"/>
  <c r="AC1169" i="11"/>
  <c r="AC1170" i="11"/>
  <c r="AC1171" i="11"/>
  <c r="AC1172" i="11"/>
  <c r="AC1173" i="11"/>
  <c r="AC1174" i="11"/>
  <c r="AC1175" i="11"/>
  <c r="AC1176" i="11"/>
  <c r="AC1177" i="11"/>
  <c r="AC1178" i="11"/>
  <c r="AC1179" i="11"/>
  <c r="AC1180" i="11"/>
  <c r="AC1181" i="11"/>
  <c r="AC1182" i="11"/>
  <c r="AC1183" i="11"/>
  <c r="AC1184" i="11"/>
  <c r="AC1185" i="11"/>
  <c r="AC1186" i="11"/>
  <c r="AC1187" i="11"/>
  <c r="AC1188" i="11"/>
  <c r="AC1189" i="11"/>
  <c r="AC1190" i="11"/>
  <c r="AC1191" i="11"/>
  <c r="AC1192" i="11"/>
  <c r="AC1193" i="11"/>
  <c r="AC1194" i="11"/>
  <c r="AC1195" i="11"/>
  <c r="AC1196" i="11"/>
  <c r="AC1197" i="11"/>
  <c r="AC1198" i="11"/>
  <c r="AC1199" i="11"/>
  <c r="AC1200" i="11"/>
  <c r="AC1201" i="11"/>
  <c r="AC1202" i="11"/>
  <c r="AC1203" i="11"/>
  <c r="AC1204" i="11"/>
  <c r="AC1205" i="11"/>
  <c r="AC1206" i="11"/>
  <c r="AC1207" i="11"/>
  <c r="AC1208" i="11"/>
  <c r="AC1209" i="11"/>
  <c r="AC1210" i="11"/>
  <c r="AC1211" i="11"/>
  <c r="AC1212" i="11"/>
  <c r="AC1213" i="11"/>
  <c r="AC1214" i="11"/>
  <c r="AC1215" i="11"/>
  <c r="AC1216" i="11"/>
  <c r="AC1217" i="11"/>
  <c r="AC1218" i="11"/>
  <c r="AC1219" i="11"/>
  <c r="AC1220" i="11"/>
  <c r="AC1221" i="11"/>
  <c r="AC1222" i="11"/>
  <c r="AC1223" i="11"/>
  <c r="AC1224" i="11"/>
  <c r="AC1225" i="11"/>
  <c r="AC1226" i="11"/>
  <c r="AC1227" i="11"/>
  <c r="AC1228" i="11"/>
  <c r="AC1229" i="11"/>
  <c r="AC1230" i="11"/>
  <c r="AC1231" i="11"/>
  <c r="AC1232" i="11"/>
  <c r="AC1233" i="11"/>
  <c r="AC1234" i="11"/>
  <c r="AC1235" i="11"/>
  <c r="AC1236" i="11"/>
  <c r="AC1237" i="11"/>
  <c r="AC1238" i="11"/>
  <c r="AC1239" i="11"/>
  <c r="AC1240" i="11"/>
  <c r="AC1241" i="11"/>
  <c r="AC1242" i="11"/>
  <c r="AC1243" i="11"/>
  <c r="AC1244" i="11"/>
  <c r="AC1245" i="11"/>
  <c r="AC1246" i="11"/>
  <c r="AC1247" i="11"/>
  <c r="AC1248" i="11"/>
  <c r="AC1249" i="11"/>
  <c r="AC1250" i="11"/>
  <c r="AC1251" i="11"/>
  <c r="AC1252" i="11"/>
  <c r="AC1253" i="11"/>
  <c r="AC1254" i="11"/>
  <c r="AC1255" i="11"/>
  <c r="AC1256" i="11"/>
  <c r="AC1257" i="11"/>
  <c r="AC1258" i="11"/>
  <c r="AC1259" i="11"/>
  <c r="AC1260" i="11"/>
  <c r="AC1261" i="11"/>
  <c r="AC1262" i="11"/>
  <c r="AC1263" i="11"/>
  <c r="AC1264" i="11"/>
  <c r="AC1265" i="11"/>
  <c r="AC1266" i="11"/>
  <c r="AC1267" i="11"/>
  <c r="AC1268" i="11"/>
  <c r="AC1269" i="11"/>
  <c r="AC1270" i="11"/>
  <c r="AC1271" i="11"/>
  <c r="AC1272" i="11"/>
  <c r="AC1273" i="11"/>
  <c r="AC1274" i="11"/>
  <c r="AC1275" i="11"/>
  <c r="AC1276" i="11"/>
  <c r="AC1277" i="11"/>
  <c r="AC1278" i="11"/>
  <c r="AC1279" i="11"/>
  <c r="AC1280" i="11"/>
  <c r="AC1281" i="11"/>
  <c r="AC1282" i="11"/>
  <c r="AC1283" i="11"/>
  <c r="AC1284" i="11"/>
  <c r="AC1285" i="11"/>
  <c r="AC1286" i="11"/>
  <c r="AC1287" i="11"/>
  <c r="AC1288" i="11"/>
  <c r="AC1289" i="11"/>
  <c r="AC1290" i="11"/>
  <c r="AC1291" i="11"/>
  <c r="AC1292" i="11"/>
  <c r="AC1293" i="11"/>
  <c r="AC1294" i="11"/>
  <c r="AC1295" i="11"/>
  <c r="AC1296" i="11"/>
  <c r="AC1297" i="11"/>
  <c r="AC1298" i="11"/>
  <c r="AC1299" i="11"/>
  <c r="AC1300" i="11"/>
  <c r="AC1301" i="11"/>
  <c r="AC1302" i="11"/>
  <c r="AC1303" i="11"/>
  <c r="AC1304" i="11"/>
  <c r="AC1305" i="11"/>
  <c r="AC1306" i="11"/>
  <c r="AC1307" i="11"/>
  <c r="AC1308" i="11"/>
  <c r="AC1309" i="11"/>
  <c r="AC1310" i="11"/>
  <c r="AC1311" i="11"/>
  <c r="AC1312" i="11"/>
  <c r="AC1313" i="11"/>
  <c r="AC1314" i="11"/>
  <c r="AC1315" i="11"/>
  <c r="AC1316" i="11"/>
  <c r="AC1317" i="11"/>
  <c r="AC1318" i="11"/>
  <c r="AC1319" i="11"/>
  <c r="AC1320" i="11"/>
  <c r="AC1321" i="11"/>
  <c r="AC1322" i="11"/>
  <c r="AC1323" i="11"/>
  <c r="AC1324" i="11"/>
  <c r="AC1325" i="11"/>
  <c r="AC1326" i="11"/>
  <c r="AC1327" i="11"/>
  <c r="AC1328" i="11"/>
  <c r="AC1329" i="11"/>
  <c r="AC1330" i="11"/>
  <c r="AC1331" i="11"/>
  <c r="AC1332" i="11"/>
  <c r="AC1333" i="11"/>
  <c r="AC1334" i="11"/>
  <c r="AC1335" i="11"/>
  <c r="AC1336" i="11"/>
  <c r="AC1337" i="11"/>
  <c r="AC1338" i="11"/>
  <c r="AC1339" i="11"/>
  <c r="AC1340" i="11"/>
  <c r="AC1341" i="11"/>
  <c r="AC1342" i="11"/>
  <c r="AC1343" i="11"/>
  <c r="AC1344" i="11"/>
  <c r="AC1345" i="11"/>
  <c r="AC1346" i="11"/>
  <c r="AC1347" i="11"/>
  <c r="AC1348" i="11"/>
  <c r="AC1349" i="11"/>
  <c r="AC1350" i="11"/>
  <c r="AC1351" i="11"/>
  <c r="AC1352" i="11"/>
  <c r="AC1353" i="11"/>
  <c r="AC1354" i="11"/>
  <c r="AC1355" i="11"/>
  <c r="AC1356" i="11"/>
  <c r="AC1357" i="11"/>
  <c r="AC1358" i="11"/>
  <c r="AC1359" i="11"/>
  <c r="AC1360" i="11"/>
  <c r="AC1361" i="11"/>
  <c r="AC1362" i="11"/>
  <c r="AC1363" i="11"/>
  <c r="AC1364" i="11"/>
  <c r="AC1365" i="11"/>
  <c r="AC1366" i="11"/>
  <c r="AC1367" i="11"/>
  <c r="AC1368" i="11"/>
  <c r="AC1369" i="11"/>
  <c r="AC1370" i="11"/>
  <c r="AC1371" i="11"/>
  <c r="AC1372" i="11"/>
  <c r="AC1373" i="11"/>
  <c r="AC1374" i="11"/>
  <c r="AC1375" i="11"/>
  <c r="AC1376" i="11"/>
  <c r="AC1377" i="11"/>
  <c r="AC1378" i="11"/>
  <c r="AC1379" i="11"/>
  <c r="AC1380" i="11"/>
  <c r="AC1381" i="11"/>
  <c r="AC1382" i="11"/>
  <c r="AC1383" i="11"/>
  <c r="AC1384" i="11"/>
  <c r="AC1385" i="11"/>
  <c r="AC1386" i="11"/>
  <c r="AC1387" i="11"/>
  <c r="AC1388" i="11"/>
  <c r="AC1389" i="11"/>
  <c r="AC1390" i="11"/>
  <c r="AC1391" i="11"/>
  <c r="AC1392" i="11"/>
  <c r="AC1393" i="11"/>
  <c r="AC1394" i="11"/>
  <c r="AC1395" i="11"/>
  <c r="AC1396" i="11"/>
  <c r="AC1397" i="11"/>
  <c r="AC1398" i="11"/>
  <c r="AC1399" i="11"/>
  <c r="AC1400" i="11"/>
  <c r="AC1401" i="11"/>
  <c r="AC1402" i="11"/>
  <c r="AC1403" i="11"/>
  <c r="AC1404" i="11"/>
  <c r="AC1405" i="11"/>
  <c r="AC1406" i="11"/>
  <c r="AC1407" i="11"/>
  <c r="AC1408" i="11"/>
  <c r="AC1409" i="11"/>
  <c r="AC1410" i="11"/>
  <c r="AC1411" i="11"/>
  <c r="AC1412" i="11"/>
  <c r="AC1413" i="11"/>
  <c r="AC1414" i="11"/>
  <c r="AC1415" i="11"/>
  <c r="AC1416" i="11"/>
  <c r="AC1417" i="11"/>
  <c r="AC1418" i="11"/>
  <c r="AC1419" i="11"/>
  <c r="AC1420" i="11"/>
  <c r="AC1421" i="11"/>
  <c r="AC1422" i="11"/>
  <c r="AC1423" i="11"/>
  <c r="AC1424" i="11"/>
  <c r="AC1425" i="11"/>
  <c r="AC1426" i="11"/>
  <c r="AC1427" i="11"/>
  <c r="AC1428" i="11"/>
  <c r="AC1429" i="11"/>
  <c r="AC1430" i="11"/>
  <c r="AC1431" i="11"/>
  <c r="AC1432" i="11"/>
  <c r="AC1433" i="11"/>
  <c r="AC1434" i="11"/>
  <c r="AC1435" i="11"/>
  <c r="AC1436" i="11"/>
  <c r="AC1437" i="11"/>
  <c r="AC1438" i="11"/>
  <c r="AC1439" i="11"/>
  <c r="AC1440" i="11"/>
  <c r="AC1441" i="11"/>
  <c r="AC1442" i="11"/>
  <c r="AC1443" i="11"/>
  <c r="AC1444" i="11"/>
  <c r="AC1445" i="11"/>
  <c r="AC1446" i="11"/>
  <c r="AC1447" i="11"/>
  <c r="AC1448" i="11"/>
  <c r="AC1449" i="11"/>
  <c r="AC1450" i="11"/>
  <c r="AC1451" i="11"/>
  <c r="AC1452" i="11"/>
  <c r="AC1453" i="11"/>
  <c r="AC1454" i="11"/>
  <c r="AC1455" i="11"/>
  <c r="AC1456" i="11"/>
  <c r="AC1457" i="11"/>
  <c r="AC1458" i="11"/>
  <c r="AC1459" i="11"/>
  <c r="AC1460" i="11"/>
  <c r="AC1461" i="11"/>
  <c r="AC1462" i="11"/>
  <c r="AC1463" i="11"/>
  <c r="AC1464" i="11"/>
  <c r="AC1465" i="11"/>
  <c r="AC1466" i="11"/>
  <c r="AC1467" i="11"/>
  <c r="AC1468" i="11"/>
  <c r="AC1469" i="11"/>
  <c r="AC1470" i="11"/>
  <c r="AC1471" i="11"/>
  <c r="AC1472" i="11"/>
  <c r="AC1473" i="11"/>
  <c r="AC1474" i="11"/>
  <c r="AC1475" i="11"/>
  <c r="AC1476" i="11"/>
  <c r="AC1477" i="11"/>
  <c r="AC1478" i="11"/>
  <c r="AC1479" i="11"/>
  <c r="AC1480" i="11"/>
  <c r="AC1481" i="11"/>
  <c r="AC1482" i="11"/>
  <c r="AC1483" i="11"/>
  <c r="AC1484" i="11"/>
  <c r="AC1485" i="11"/>
  <c r="AC1486" i="11"/>
  <c r="AC1487" i="11"/>
  <c r="AC1488" i="11"/>
  <c r="AC1489" i="11"/>
  <c r="AC1490" i="11"/>
  <c r="AC1491" i="11"/>
  <c r="AC1492" i="11"/>
  <c r="AC1493" i="11"/>
  <c r="AC1494" i="11"/>
  <c r="AC1495" i="11"/>
  <c r="AC1496" i="11"/>
  <c r="AC1497" i="11"/>
  <c r="AC1498" i="11"/>
  <c r="AC1499" i="11"/>
  <c r="AC1500" i="11"/>
  <c r="AC1501" i="11"/>
  <c r="AC1502" i="11"/>
  <c r="AC1503" i="11"/>
  <c r="AC1504" i="11"/>
  <c r="AC1505" i="11"/>
  <c r="AC1506" i="11"/>
  <c r="AC1507" i="11"/>
  <c r="AC1508" i="11"/>
  <c r="AC1509" i="11"/>
  <c r="AC1510" i="11"/>
  <c r="AC1511" i="11"/>
  <c r="AC1512" i="11"/>
  <c r="AC1513" i="11"/>
  <c r="AC1514" i="11"/>
  <c r="AC1515" i="11"/>
  <c r="AC1516" i="11"/>
  <c r="AC1517" i="11"/>
  <c r="AC1518" i="11"/>
  <c r="AC1519" i="11"/>
  <c r="AC1520" i="11"/>
  <c r="AC1521" i="11"/>
  <c r="AF2" i="11"/>
  <c r="AF637" i="11" s="1"/>
  <c r="AE1437" i="11" l="1"/>
  <c r="AE1225" i="11"/>
  <c r="AE1223" i="11"/>
  <c r="AE1436" i="11"/>
  <c r="AE1473" i="11"/>
  <c r="AE1472" i="11"/>
  <c r="AE885" i="11"/>
  <c r="AE884" i="11"/>
  <c r="AG884" i="11" s="1"/>
  <c r="AE381" i="11"/>
  <c r="AE378" i="11"/>
  <c r="AE245" i="11"/>
  <c r="AE243" i="11"/>
  <c r="AE1177" i="11"/>
  <c r="AE1175" i="11"/>
  <c r="AE937" i="11"/>
  <c r="AE935" i="11"/>
  <c r="AE1400" i="11"/>
  <c r="AE1127" i="11"/>
  <c r="AE815" i="11"/>
  <c r="AE73" i="11"/>
  <c r="AE1362" i="11"/>
  <c r="AE1081" i="11"/>
  <c r="AE737" i="11"/>
  <c r="AF1407" i="11"/>
  <c r="AE1361" i="11"/>
  <c r="AE1079" i="11"/>
  <c r="AE735" i="11"/>
  <c r="AF1403" i="11"/>
  <c r="AE1321" i="11"/>
  <c r="AE1033" i="11"/>
  <c r="AE628" i="11"/>
  <c r="AF1024" i="11"/>
  <c r="AE1319" i="11"/>
  <c r="AE1031" i="11"/>
  <c r="AE625" i="11"/>
  <c r="AF1018" i="11"/>
  <c r="AE1509" i="11"/>
  <c r="AE1273" i="11"/>
  <c r="AE985" i="11"/>
  <c r="AE510" i="11"/>
  <c r="AE1508" i="11"/>
  <c r="AE1271" i="11"/>
  <c r="AE983" i="11"/>
  <c r="AE508" i="11"/>
  <c r="AE1401" i="11"/>
  <c r="AE1129" i="11"/>
  <c r="AG1129" i="11" s="1"/>
  <c r="AE817" i="11"/>
  <c r="AE78" i="11"/>
  <c r="AE1511" i="11"/>
  <c r="AE1475" i="11"/>
  <c r="AE1439" i="11"/>
  <c r="AE1403" i="11"/>
  <c r="AG1403" i="11" s="1"/>
  <c r="AE1364" i="11"/>
  <c r="AE1323" i="11"/>
  <c r="AE1275" i="11"/>
  <c r="AE1227" i="11"/>
  <c r="AE1179" i="11"/>
  <c r="AE1131" i="11"/>
  <c r="AE1083" i="11"/>
  <c r="AE1035" i="11"/>
  <c r="AE987" i="11"/>
  <c r="AE939" i="11"/>
  <c r="AE889" i="11"/>
  <c r="AE819" i="11"/>
  <c r="AE745" i="11"/>
  <c r="AE637" i="11"/>
  <c r="AG637" i="11" s="1"/>
  <c r="AE520" i="11"/>
  <c r="AE391" i="11"/>
  <c r="AE257" i="11"/>
  <c r="AE93" i="11"/>
  <c r="AF1426" i="11"/>
  <c r="AF1075" i="11"/>
  <c r="AE1510" i="11"/>
  <c r="AE1474" i="11"/>
  <c r="AE1438" i="11"/>
  <c r="AE1402" i="11"/>
  <c r="AE1363" i="11"/>
  <c r="AE1322" i="11"/>
  <c r="AE1274" i="11"/>
  <c r="AE1226" i="11"/>
  <c r="AE1178" i="11"/>
  <c r="AE1130" i="11"/>
  <c r="AE1082" i="11"/>
  <c r="AE1034" i="11"/>
  <c r="AE986" i="11"/>
  <c r="AE938" i="11"/>
  <c r="AE887" i="11"/>
  <c r="AE818" i="11"/>
  <c r="AE741" i="11"/>
  <c r="AE636" i="11"/>
  <c r="AE519" i="11"/>
  <c r="AE390" i="11"/>
  <c r="AE256" i="11"/>
  <c r="AE91" i="11"/>
  <c r="AF1422" i="11"/>
  <c r="AF1063" i="11"/>
  <c r="AE1463" i="11"/>
  <c r="AE1351" i="11"/>
  <c r="AE1211" i="11"/>
  <c r="AE1067" i="11"/>
  <c r="AE598" i="11"/>
  <c r="AE209" i="11"/>
  <c r="AF1334" i="11"/>
  <c r="AE1498" i="11"/>
  <c r="AE1426" i="11"/>
  <c r="AE1389" i="11"/>
  <c r="AE1305" i="11"/>
  <c r="AE1257" i="11"/>
  <c r="AE1209" i="11"/>
  <c r="AE1161" i="11"/>
  <c r="AE1113" i="11"/>
  <c r="AE1065" i="11"/>
  <c r="AE1017" i="11"/>
  <c r="AE969" i="11"/>
  <c r="AE866" i="11"/>
  <c r="AE794" i="11"/>
  <c r="AE709" i="11"/>
  <c r="AE597" i="11"/>
  <c r="AE477" i="11"/>
  <c r="AE347" i="11"/>
  <c r="AE208" i="11"/>
  <c r="AE30" i="11"/>
  <c r="AF1326" i="11"/>
  <c r="AF863" i="11"/>
  <c r="AE1499" i="11"/>
  <c r="AE1390" i="11"/>
  <c r="AE1259" i="11"/>
  <c r="AE1115" i="11"/>
  <c r="AE710" i="11"/>
  <c r="AE348" i="11"/>
  <c r="AF886" i="11"/>
  <c r="AE1462" i="11"/>
  <c r="AE1350" i="11"/>
  <c r="AE921" i="11"/>
  <c r="AE1497" i="11"/>
  <c r="AE1461" i="11"/>
  <c r="AE1425" i="11"/>
  <c r="AE1388" i="11"/>
  <c r="AE1349" i="11"/>
  <c r="AE1304" i="11"/>
  <c r="AE1256" i="11"/>
  <c r="AE1208" i="11"/>
  <c r="AE1160" i="11"/>
  <c r="AE1112" i="11"/>
  <c r="AE1064" i="11"/>
  <c r="AE1016" i="11"/>
  <c r="AE968" i="11"/>
  <c r="AE920" i="11"/>
  <c r="AE865" i="11"/>
  <c r="AE793" i="11"/>
  <c r="AE701" i="11"/>
  <c r="AE588" i="11"/>
  <c r="AE467" i="11"/>
  <c r="AE337" i="11"/>
  <c r="AE197" i="11"/>
  <c r="AE17" i="11"/>
  <c r="AF1302" i="11"/>
  <c r="AF783" i="11"/>
  <c r="AE1427" i="11"/>
  <c r="AE1307" i="11"/>
  <c r="AE1163" i="11"/>
  <c r="AE1019" i="11"/>
  <c r="AE478" i="11"/>
  <c r="AE31" i="11"/>
  <c r="AE1496" i="11"/>
  <c r="AE1460" i="11"/>
  <c r="AE1424" i="11"/>
  <c r="AE1387" i="11"/>
  <c r="AE1348" i="11"/>
  <c r="AE1303" i="11"/>
  <c r="AE1255" i="11"/>
  <c r="AE1207" i="11"/>
  <c r="AE1159" i="11"/>
  <c r="AE1111" i="11"/>
  <c r="AE1063" i="11"/>
  <c r="AE1015" i="11"/>
  <c r="AE967" i="11"/>
  <c r="AE919" i="11"/>
  <c r="AE863" i="11"/>
  <c r="AE791" i="11"/>
  <c r="AE699" i="11"/>
  <c r="AE586" i="11"/>
  <c r="AE465" i="11"/>
  <c r="AE335" i="11"/>
  <c r="AE195" i="11"/>
  <c r="AE11" i="11"/>
  <c r="AF1298" i="11"/>
  <c r="AF779" i="11"/>
  <c r="AE795" i="11"/>
  <c r="AE1487" i="11"/>
  <c r="AG1487" i="11" s="1"/>
  <c r="AE1451" i="11"/>
  <c r="AE1415" i="11"/>
  <c r="AE1377" i="11"/>
  <c r="AE1337" i="11"/>
  <c r="AE1291" i="11"/>
  <c r="AE1243" i="11"/>
  <c r="AE1195" i="11"/>
  <c r="AE1147" i="11"/>
  <c r="AE1099" i="11"/>
  <c r="AE1051" i="11"/>
  <c r="AE1003" i="11"/>
  <c r="AE955" i="11"/>
  <c r="AE907" i="11"/>
  <c r="AE843" i="11"/>
  <c r="AE771" i="11"/>
  <c r="AE674" i="11"/>
  <c r="AE559" i="11"/>
  <c r="AE435" i="11"/>
  <c r="AE305" i="11"/>
  <c r="AE154" i="11"/>
  <c r="AF1487" i="11"/>
  <c r="AF1213" i="11"/>
  <c r="AF457" i="11"/>
  <c r="AE867" i="11"/>
  <c r="AE1486" i="11"/>
  <c r="AE1450" i="11"/>
  <c r="AE1414" i="11"/>
  <c r="AE1376" i="11"/>
  <c r="AE1336" i="11"/>
  <c r="AE1290" i="11"/>
  <c r="AE1242" i="11"/>
  <c r="AE1194" i="11"/>
  <c r="AE1146" i="11"/>
  <c r="AE1098" i="11"/>
  <c r="AE1050" i="11"/>
  <c r="AE1002" i="11"/>
  <c r="AE954" i="11"/>
  <c r="AE906" i="11"/>
  <c r="AE842" i="11"/>
  <c r="AE770" i="11"/>
  <c r="AE673" i="11"/>
  <c r="AE558" i="11"/>
  <c r="AE433" i="11"/>
  <c r="AE304" i="11"/>
  <c r="AE153" i="11"/>
  <c r="AF1486" i="11"/>
  <c r="AF1203" i="11"/>
  <c r="AF413" i="11"/>
  <c r="AE971" i="11"/>
  <c r="AE1521" i="11"/>
  <c r="AE1485" i="11"/>
  <c r="AE1449" i="11"/>
  <c r="AE1413" i="11"/>
  <c r="AE1375" i="11"/>
  <c r="AE1335" i="11"/>
  <c r="AE1289" i="11"/>
  <c r="AE1241" i="11"/>
  <c r="AE1193" i="11"/>
  <c r="AE1145" i="11"/>
  <c r="AE1097" i="11"/>
  <c r="AE1049" i="11"/>
  <c r="AE1001" i="11"/>
  <c r="AE953" i="11"/>
  <c r="AE905" i="11"/>
  <c r="AE841" i="11"/>
  <c r="AE769" i="11"/>
  <c r="AE665" i="11"/>
  <c r="AE549" i="11"/>
  <c r="AE424" i="11"/>
  <c r="AE293" i="11"/>
  <c r="AE139" i="11"/>
  <c r="AF1470" i="11"/>
  <c r="AF1175" i="11"/>
  <c r="AF284" i="11"/>
  <c r="AE923" i="11"/>
  <c r="AE1520" i="11"/>
  <c r="AE1484" i="11"/>
  <c r="AE1448" i="11"/>
  <c r="AE1412" i="11"/>
  <c r="AE1374" i="11"/>
  <c r="AE1334" i="11"/>
  <c r="AE1287" i="11"/>
  <c r="AE1239" i="11"/>
  <c r="AE1191" i="11"/>
  <c r="AE1143" i="11"/>
  <c r="AE1095" i="11"/>
  <c r="AE1047" i="11"/>
  <c r="AE999" i="11"/>
  <c r="AE951" i="11"/>
  <c r="AE903" i="11"/>
  <c r="AE839" i="11"/>
  <c r="AE765" i="11"/>
  <c r="AE663" i="11"/>
  <c r="AE547" i="11"/>
  <c r="AE421" i="11"/>
  <c r="AE291" i="11"/>
  <c r="AE137" i="11"/>
  <c r="AF1467" i="11"/>
  <c r="AF1172" i="11"/>
  <c r="AF278" i="11"/>
  <c r="AE1443" i="11"/>
  <c r="AE1454" i="11"/>
  <c r="AE1513" i="11"/>
  <c r="AE1501" i="11"/>
  <c r="AE1489" i="11"/>
  <c r="AE1477" i="11"/>
  <c r="AE1465" i="11"/>
  <c r="AE1453" i="11"/>
  <c r="AE1441" i="11"/>
  <c r="AE1429" i="11"/>
  <c r="AE1417" i="11"/>
  <c r="AE1405" i="11"/>
  <c r="AE1393" i="11"/>
  <c r="AE1379" i="11"/>
  <c r="AE1366" i="11"/>
  <c r="AE1353" i="11"/>
  <c r="AE1339" i="11"/>
  <c r="AE1325" i="11"/>
  <c r="AE1310" i="11"/>
  <c r="AE1293" i="11"/>
  <c r="AE1278" i="11"/>
  <c r="AE1262" i="11"/>
  <c r="AE1245" i="11"/>
  <c r="AE1230" i="11"/>
  <c r="AE1214" i="11"/>
  <c r="AE1197" i="11"/>
  <c r="AE1182" i="11"/>
  <c r="AE1166" i="11"/>
  <c r="AE1149" i="11"/>
  <c r="AE1134" i="11"/>
  <c r="AE1118" i="11"/>
  <c r="AE1101" i="11"/>
  <c r="AE1086" i="11"/>
  <c r="AE1070" i="11"/>
  <c r="AE1053" i="11"/>
  <c r="AE1038" i="11"/>
  <c r="AE1022" i="11"/>
  <c r="AE1005" i="11"/>
  <c r="AE990" i="11"/>
  <c r="AE974" i="11"/>
  <c r="AE957" i="11"/>
  <c r="AE942" i="11"/>
  <c r="AE926" i="11"/>
  <c r="AE909" i="11"/>
  <c r="AE891" i="11"/>
  <c r="AE872" i="11"/>
  <c r="AE849" i="11"/>
  <c r="AE825" i="11"/>
  <c r="AE801" i="11"/>
  <c r="AE777" i="11"/>
  <c r="AE747" i="11"/>
  <c r="AE713" i="11"/>
  <c r="AE677" i="11"/>
  <c r="AE641" i="11"/>
  <c r="AE601" i="11"/>
  <c r="AE562" i="11"/>
  <c r="AE523" i="11"/>
  <c r="AE481" i="11"/>
  <c r="AE438" i="11"/>
  <c r="AE395" i="11"/>
  <c r="AE352" i="11"/>
  <c r="AE309" i="11"/>
  <c r="AE261" i="11"/>
  <c r="AE213" i="11"/>
  <c r="AE161" i="11"/>
  <c r="AE97" i="11"/>
  <c r="AE35" i="11"/>
  <c r="AF1491" i="11"/>
  <c r="AF1430" i="11"/>
  <c r="AF1338" i="11"/>
  <c r="AF1219" i="11"/>
  <c r="AF1079" i="11"/>
  <c r="AF896" i="11"/>
  <c r="AF478" i="11"/>
  <c r="AE1455" i="11"/>
  <c r="AE1512" i="11"/>
  <c r="AE1500" i="11"/>
  <c r="AE1488" i="11"/>
  <c r="AE1476" i="11"/>
  <c r="AE1464" i="11"/>
  <c r="AE1452" i="11"/>
  <c r="AE1440" i="11"/>
  <c r="AE1428" i="11"/>
  <c r="AE1416" i="11"/>
  <c r="AE1404" i="11"/>
  <c r="AE1391" i="11"/>
  <c r="AE1378" i="11"/>
  <c r="AE1365" i="11"/>
  <c r="AE1352" i="11"/>
  <c r="AE1338" i="11"/>
  <c r="AE1324" i="11"/>
  <c r="AE1309" i="11"/>
  <c r="AE1292" i="11"/>
  <c r="AE1277" i="11"/>
  <c r="AE1261" i="11"/>
  <c r="AE1244" i="11"/>
  <c r="AE1229" i="11"/>
  <c r="AE1213" i="11"/>
  <c r="AE1196" i="11"/>
  <c r="AE1181" i="11"/>
  <c r="AE1165" i="11"/>
  <c r="AE1148" i="11"/>
  <c r="AE1133" i="11"/>
  <c r="AE1117" i="11"/>
  <c r="AE1100" i="11"/>
  <c r="AE1085" i="11"/>
  <c r="AE1069" i="11"/>
  <c r="AE1052" i="11"/>
  <c r="AE1037" i="11"/>
  <c r="AE1021" i="11"/>
  <c r="AE1004" i="11"/>
  <c r="AE989" i="11"/>
  <c r="AE973" i="11"/>
  <c r="AE956" i="11"/>
  <c r="AE941" i="11"/>
  <c r="AE925" i="11"/>
  <c r="AE908" i="11"/>
  <c r="AE890" i="11"/>
  <c r="AE869" i="11"/>
  <c r="AE845" i="11"/>
  <c r="AE821" i="11"/>
  <c r="AE797" i="11"/>
  <c r="AE773" i="11"/>
  <c r="AE746" i="11"/>
  <c r="AE711" i="11"/>
  <c r="AE675" i="11"/>
  <c r="AE639" i="11"/>
  <c r="AE599" i="11"/>
  <c r="AE560" i="11"/>
  <c r="AE521" i="11"/>
  <c r="AE479" i="11"/>
  <c r="AE436" i="11"/>
  <c r="AE393" i="11"/>
  <c r="AE349" i="11"/>
  <c r="AE306" i="11"/>
  <c r="AE258" i="11"/>
  <c r="AE210" i="11"/>
  <c r="AE155" i="11"/>
  <c r="AE94" i="11"/>
  <c r="AE33" i="11"/>
  <c r="AF1488" i="11"/>
  <c r="AF1427" i="11"/>
  <c r="AF1335" i="11"/>
  <c r="AG1335" i="11" s="1"/>
  <c r="AF1214" i="11"/>
  <c r="AF1076" i="11"/>
  <c r="AF887" i="11"/>
  <c r="AG887" i="11" s="1"/>
  <c r="AF472" i="11"/>
  <c r="AE1507" i="11"/>
  <c r="AE1471" i="11"/>
  <c r="AE1435" i="11"/>
  <c r="AE1399" i="11"/>
  <c r="AE1360" i="11"/>
  <c r="AE1333" i="11"/>
  <c r="AE1286" i="11"/>
  <c r="AE1269" i="11"/>
  <c r="AE1254" i="11"/>
  <c r="AE1238" i="11"/>
  <c r="AE1221" i="11"/>
  <c r="AE1206" i="11"/>
  <c r="AE1190" i="11"/>
  <c r="AE1173" i="11"/>
  <c r="AE1158" i="11"/>
  <c r="AE1142" i="11"/>
  <c r="AE1125" i="11"/>
  <c r="AE1110" i="11"/>
  <c r="AE1062" i="11"/>
  <c r="AE1046" i="11"/>
  <c r="AE1029" i="11"/>
  <c r="AE1014" i="11"/>
  <c r="AE998" i="11"/>
  <c r="AE981" i="11"/>
  <c r="AE966" i="11"/>
  <c r="AE950" i="11"/>
  <c r="AE933" i="11"/>
  <c r="AE918" i="11"/>
  <c r="AE902" i="11"/>
  <c r="AE881" i="11"/>
  <c r="AE861" i="11"/>
  <c r="AE837" i="11"/>
  <c r="AE813" i="11"/>
  <c r="AE789" i="11"/>
  <c r="AE761" i="11"/>
  <c r="AE734" i="11"/>
  <c r="AE698" i="11"/>
  <c r="AE662" i="11"/>
  <c r="AE624" i="11"/>
  <c r="AE585" i="11"/>
  <c r="AE546" i="11"/>
  <c r="AE507" i="11"/>
  <c r="AE463" i="11"/>
  <c r="AE420" i="11"/>
  <c r="AE377" i="11"/>
  <c r="AE334" i="11"/>
  <c r="AE289" i="11"/>
  <c r="AE241" i="11"/>
  <c r="AE193" i="11"/>
  <c r="AE133" i="11"/>
  <c r="AE71" i="11"/>
  <c r="AE10" i="11"/>
  <c r="AF1466" i="11"/>
  <c r="AF1402" i="11"/>
  <c r="AF1297" i="11"/>
  <c r="AF1171" i="11"/>
  <c r="AF1017" i="11"/>
  <c r="AG1017" i="11" s="1"/>
  <c r="AF769" i="11"/>
  <c r="AG769" i="11" s="1"/>
  <c r="AF262" i="11"/>
  <c r="AE1519" i="11"/>
  <c r="AE1483" i="11"/>
  <c r="AE1447" i="11"/>
  <c r="AE1411" i="11"/>
  <c r="AE1373" i="11"/>
  <c r="AE1302" i="11"/>
  <c r="AE1077" i="11"/>
  <c r="AE1518" i="11"/>
  <c r="AE1506" i="11"/>
  <c r="AE1494" i="11"/>
  <c r="AE1482" i="11"/>
  <c r="AE1470" i="11"/>
  <c r="AE1458" i="11"/>
  <c r="AE1446" i="11"/>
  <c r="AE1434" i="11"/>
  <c r="AE1422" i="11"/>
  <c r="AE1410" i="11"/>
  <c r="AE1398" i="11"/>
  <c r="AE1385" i="11"/>
  <c r="AE1372" i="11"/>
  <c r="AE1359" i="11"/>
  <c r="AE1346" i="11"/>
  <c r="AE1331" i="11"/>
  <c r="AE1316" i="11"/>
  <c r="AE1301" i="11"/>
  <c r="AE1285" i="11"/>
  <c r="AE1268" i="11"/>
  <c r="AE1253" i="11"/>
  <c r="AE1237" i="11"/>
  <c r="AE1220" i="11"/>
  <c r="AE1205" i="11"/>
  <c r="AE1189" i="11"/>
  <c r="AE1172" i="11"/>
  <c r="AE1157" i="11"/>
  <c r="AE1141" i="11"/>
  <c r="AE1124" i="11"/>
  <c r="AE1109" i="11"/>
  <c r="AE1093" i="11"/>
  <c r="AE1076" i="11"/>
  <c r="AE1061" i="11"/>
  <c r="AE1045" i="11"/>
  <c r="AE1028" i="11"/>
  <c r="AE1013" i="11"/>
  <c r="AE997" i="11"/>
  <c r="AE980" i="11"/>
  <c r="AE965" i="11"/>
  <c r="AE949" i="11"/>
  <c r="AE932" i="11"/>
  <c r="AE917" i="11"/>
  <c r="AE901" i="11"/>
  <c r="AE879" i="11"/>
  <c r="AE857" i="11"/>
  <c r="AE833" i="11"/>
  <c r="AE809" i="11"/>
  <c r="AE785" i="11"/>
  <c r="AE759" i="11"/>
  <c r="AE733" i="11"/>
  <c r="AE697" i="11"/>
  <c r="AE661" i="11"/>
  <c r="AE623" i="11"/>
  <c r="AE584" i="11"/>
  <c r="AE545" i="11"/>
  <c r="AE505" i="11"/>
  <c r="AE462" i="11"/>
  <c r="AE419" i="11"/>
  <c r="AE376" i="11"/>
  <c r="AE333" i="11"/>
  <c r="AE287" i="11"/>
  <c r="AE239" i="11"/>
  <c r="AE191" i="11"/>
  <c r="AE131" i="11"/>
  <c r="AE70" i="11"/>
  <c r="AE9" i="11"/>
  <c r="AF1464" i="11"/>
  <c r="AF1398" i="11"/>
  <c r="AF1288" i="11"/>
  <c r="AF1161" i="11"/>
  <c r="AF1004" i="11"/>
  <c r="AF740" i="11"/>
  <c r="AF217" i="11"/>
  <c r="AE1495" i="11"/>
  <c r="AE1459" i="11"/>
  <c r="AE1423" i="11"/>
  <c r="AE1386" i="11"/>
  <c r="AE1347" i="11"/>
  <c r="AE1317" i="11"/>
  <c r="AE1094" i="11"/>
  <c r="AE1517" i="11"/>
  <c r="AE1505" i="11"/>
  <c r="AE1493" i="11"/>
  <c r="AE1481" i="11"/>
  <c r="AE1469" i="11"/>
  <c r="AE1457" i="11"/>
  <c r="AE1445" i="11"/>
  <c r="AE1433" i="11"/>
  <c r="AE1421" i="11"/>
  <c r="AE1409" i="11"/>
  <c r="AE1397" i="11"/>
  <c r="AE1384" i="11"/>
  <c r="AE1371" i="11"/>
  <c r="AE1358" i="11"/>
  <c r="AE1345" i="11"/>
  <c r="AE1329" i="11"/>
  <c r="AE1315" i="11"/>
  <c r="AE1299" i="11"/>
  <c r="AE1283" i="11"/>
  <c r="AE1267" i="11"/>
  <c r="AE1251" i="11"/>
  <c r="AE1235" i="11"/>
  <c r="AE1219" i="11"/>
  <c r="AE1203" i="11"/>
  <c r="AE1187" i="11"/>
  <c r="AE1171" i="11"/>
  <c r="AE1155" i="11"/>
  <c r="AE1139" i="11"/>
  <c r="AE1123" i="11"/>
  <c r="AE1107" i="11"/>
  <c r="AE1091" i="11"/>
  <c r="AE1075" i="11"/>
  <c r="AE1059" i="11"/>
  <c r="AE1043" i="11"/>
  <c r="AE1027" i="11"/>
  <c r="AE1011" i="11"/>
  <c r="AE995" i="11"/>
  <c r="AE979" i="11"/>
  <c r="AE963" i="11"/>
  <c r="AE947" i="11"/>
  <c r="AE931" i="11"/>
  <c r="AE915" i="11"/>
  <c r="AE899" i="11"/>
  <c r="AE878" i="11"/>
  <c r="AE855" i="11"/>
  <c r="AE831" i="11"/>
  <c r="AE807" i="11"/>
  <c r="AE783" i="11"/>
  <c r="AE758" i="11"/>
  <c r="AE725" i="11"/>
  <c r="AE689" i="11"/>
  <c r="AE653" i="11"/>
  <c r="AE615" i="11"/>
  <c r="AE575" i="11"/>
  <c r="AE536" i="11"/>
  <c r="AE496" i="11"/>
  <c r="AE453" i="11"/>
  <c r="AE409" i="11"/>
  <c r="AE366" i="11"/>
  <c r="AE323" i="11"/>
  <c r="AE277" i="11"/>
  <c r="AE229" i="11"/>
  <c r="AE179" i="11"/>
  <c r="AE118" i="11"/>
  <c r="AE57" i="11"/>
  <c r="AF1512" i="11"/>
  <c r="AF1451" i="11"/>
  <c r="AG1451" i="11" s="1"/>
  <c r="AF1374" i="11"/>
  <c r="AG1374" i="11" s="1"/>
  <c r="AF1261" i="11"/>
  <c r="AF1129" i="11"/>
  <c r="AF963" i="11"/>
  <c r="AF640" i="11"/>
  <c r="AG1334" i="11"/>
  <c r="AE1516" i="11"/>
  <c r="AE1504" i="11"/>
  <c r="AE1492" i="11"/>
  <c r="AE1480" i="11"/>
  <c r="AE1468" i="11"/>
  <c r="AE1456" i="11"/>
  <c r="AE1444" i="11"/>
  <c r="AE1432" i="11"/>
  <c r="AE1420" i="11"/>
  <c r="AE1408" i="11"/>
  <c r="AE1396" i="11"/>
  <c r="AE1383" i="11"/>
  <c r="AE1370" i="11"/>
  <c r="AE1357" i="11"/>
  <c r="AE1343" i="11"/>
  <c r="AE1328" i="11"/>
  <c r="AE1314" i="11"/>
  <c r="AE1298" i="11"/>
  <c r="AE1281" i="11"/>
  <c r="AE1266" i="11"/>
  <c r="AE1250" i="11"/>
  <c r="AE1233" i="11"/>
  <c r="AE1218" i="11"/>
  <c r="AE1202" i="11"/>
  <c r="AE1185" i="11"/>
  <c r="AE1170" i="11"/>
  <c r="AE1154" i="11"/>
  <c r="AE1137" i="11"/>
  <c r="AE1122" i="11"/>
  <c r="AE1106" i="11"/>
  <c r="AE1089" i="11"/>
  <c r="AE1074" i="11"/>
  <c r="AE1058" i="11"/>
  <c r="AE1041" i="11"/>
  <c r="AE1026" i="11"/>
  <c r="AE1010" i="11"/>
  <c r="AE993" i="11"/>
  <c r="AE978" i="11"/>
  <c r="AE962" i="11"/>
  <c r="AE945" i="11"/>
  <c r="AE930" i="11"/>
  <c r="AE914" i="11"/>
  <c r="AE897" i="11"/>
  <c r="AE877" i="11"/>
  <c r="AE854" i="11"/>
  <c r="AE830" i="11"/>
  <c r="AE806" i="11"/>
  <c r="AE782" i="11"/>
  <c r="AE757" i="11"/>
  <c r="AE723" i="11"/>
  <c r="AE687" i="11"/>
  <c r="AE651" i="11"/>
  <c r="AE612" i="11"/>
  <c r="AE573" i="11"/>
  <c r="AE534" i="11"/>
  <c r="AE493" i="11"/>
  <c r="AE450" i="11"/>
  <c r="AE407" i="11"/>
  <c r="AE364" i="11"/>
  <c r="AE321" i="11"/>
  <c r="AE274" i="11"/>
  <c r="AE226" i="11"/>
  <c r="AE177" i="11"/>
  <c r="AE115" i="11"/>
  <c r="AE54" i="11"/>
  <c r="AF1510" i="11"/>
  <c r="AF1446" i="11"/>
  <c r="AF1371" i="11"/>
  <c r="AF1258" i="11"/>
  <c r="AF1125" i="11"/>
  <c r="AF957" i="11"/>
  <c r="AF11" i="11"/>
  <c r="AG11" i="11" s="1"/>
  <c r="AF23" i="11"/>
  <c r="AF35" i="11"/>
  <c r="AF9" i="11"/>
  <c r="AF22" i="11"/>
  <c r="AF36" i="11"/>
  <c r="AF48" i="11"/>
  <c r="AF60" i="11"/>
  <c r="AF72" i="11"/>
  <c r="AF84" i="11"/>
  <c r="AF96" i="11"/>
  <c r="AF108" i="11"/>
  <c r="AF120" i="11"/>
  <c r="AF132" i="11"/>
  <c r="AF144" i="11"/>
  <c r="AF156" i="11"/>
  <c r="AF168" i="11"/>
  <c r="AF180" i="11"/>
  <c r="AF192" i="11"/>
  <c r="AF204" i="11"/>
  <c r="AF216" i="11"/>
  <c r="AF228" i="11"/>
  <c r="AF240" i="11"/>
  <c r="AF252" i="11"/>
  <c r="AF264" i="11"/>
  <c r="AF276" i="11"/>
  <c r="AF288" i="11"/>
  <c r="AF300" i="11"/>
  <c r="AF312" i="11"/>
  <c r="AF324" i="11"/>
  <c r="AF336" i="11"/>
  <c r="AF348" i="11"/>
  <c r="AF360" i="11"/>
  <c r="AF372" i="11"/>
  <c r="AF384" i="11"/>
  <c r="AF396" i="11"/>
  <c r="AF408" i="11"/>
  <c r="AF420" i="11"/>
  <c r="AF432" i="11"/>
  <c r="AF444" i="11"/>
  <c r="AF456" i="11"/>
  <c r="AF468" i="11"/>
  <c r="AF480" i="11"/>
  <c r="AF492" i="11"/>
  <c r="AF504" i="11"/>
  <c r="AF516" i="11"/>
  <c r="AF528" i="11"/>
  <c r="AF540" i="11"/>
  <c r="AF552" i="11"/>
  <c r="AF564" i="11"/>
  <c r="AF576" i="11"/>
  <c r="AF588" i="11"/>
  <c r="AF600" i="11"/>
  <c r="AF612" i="11"/>
  <c r="AF624" i="11"/>
  <c r="AF636" i="11"/>
  <c r="AG636" i="11" s="1"/>
  <c r="AF648" i="11"/>
  <c r="AF660" i="11"/>
  <c r="AF672" i="11"/>
  <c r="AF684" i="11"/>
  <c r="AF696" i="11"/>
  <c r="AF708" i="11"/>
  <c r="AF720" i="11"/>
  <c r="AF732" i="11"/>
  <c r="AF744" i="11"/>
  <c r="AF756" i="11"/>
  <c r="AF768" i="11"/>
  <c r="AF780" i="11"/>
  <c r="AF792" i="11"/>
  <c r="AF804" i="11"/>
  <c r="AF816" i="11"/>
  <c r="AF828" i="11"/>
  <c r="AF840" i="11"/>
  <c r="AF10" i="11"/>
  <c r="AF24" i="11"/>
  <c r="AF37" i="11"/>
  <c r="AF49" i="11"/>
  <c r="AF61" i="11"/>
  <c r="AF73" i="11"/>
  <c r="AF85" i="11"/>
  <c r="AF97" i="11"/>
  <c r="AF109" i="11"/>
  <c r="AF121" i="11"/>
  <c r="AF12" i="11"/>
  <c r="AF25" i="11"/>
  <c r="AF38" i="11"/>
  <c r="AF50" i="11"/>
  <c r="AF62" i="11"/>
  <c r="AF74" i="11"/>
  <c r="AF86" i="11"/>
  <c r="AF98" i="11"/>
  <c r="AF110" i="11"/>
  <c r="AF122" i="11"/>
  <c r="AF13" i="11"/>
  <c r="AF26" i="11"/>
  <c r="AF39" i="11"/>
  <c r="AF51" i="11"/>
  <c r="AF63" i="11"/>
  <c r="AF75" i="11"/>
  <c r="AF87" i="11"/>
  <c r="AF99" i="11"/>
  <c r="AF111" i="11"/>
  <c r="AF15" i="11"/>
  <c r="AF28" i="11"/>
  <c r="AF41" i="11"/>
  <c r="AF53" i="11"/>
  <c r="AF65" i="11"/>
  <c r="AF77" i="11"/>
  <c r="AF89" i="11"/>
  <c r="AF101" i="11"/>
  <c r="AF16" i="11"/>
  <c r="AF29" i="11"/>
  <c r="AF42" i="11"/>
  <c r="AF54" i="11"/>
  <c r="AF66" i="11"/>
  <c r="AF78" i="11"/>
  <c r="AF90" i="11"/>
  <c r="AF102" i="11"/>
  <c r="AF114" i="11"/>
  <c r="AF126" i="11"/>
  <c r="AF138" i="11"/>
  <c r="AF150" i="11"/>
  <c r="AF162" i="11"/>
  <c r="AF174" i="11"/>
  <c r="AF186" i="11"/>
  <c r="AF198" i="11"/>
  <c r="AF210" i="11"/>
  <c r="AF222" i="11"/>
  <c r="AF234" i="11"/>
  <c r="AF246" i="11"/>
  <c r="AF258" i="11"/>
  <c r="AF270" i="11"/>
  <c r="AF282" i="11"/>
  <c r="AF294" i="11"/>
  <c r="AF306" i="11"/>
  <c r="AF318" i="11"/>
  <c r="AF330" i="11"/>
  <c r="AF342" i="11"/>
  <c r="AF354" i="11"/>
  <c r="AF366" i="11"/>
  <c r="AF378" i="11"/>
  <c r="AF390" i="11"/>
  <c r="AF402" i="11"/>
  <c r="AF414" i="11"/>
  <c r="AF426" i="11"/>
  <c r="AF438" i="11"/>
  <c r="AF450" i="11"/>
  <c r="AF462" i="11"/>
  <c r="AF474" i="11"/>
  <c r="AF486" i="11"/>
  <c r="AF498" i="11"/>
  <c r="AF510" i="11"/>
  <c r="AF522" i="11"/>
  <c r="AF534" i="11"/>
  <c r="AF546" i="11"/>
  <c r="AF558" i="11"/>
  <c r="AG558" i="11" s="1"/>
  <c r="AF570" i="11"/>
  <c r="AF582" i="11"/>
  <c r="AF594" i="11"/>
  <c r="AF606" i="11"/>
  <c r="AF618" i="11"/>
  <c r="AF630" i="11"/>
  <c r="AF642" i="11"/>
  <c r="AF654" i="11"/>
  <c r="AF666" i="11"/>
  <c r="AF678" i="11"/>
  <c r="AF690" i="11"/>
  <c r="AF702" i="11"/>
  <c r="AF714" i="11"/>
  <c r="AF726" i="11"/>
  <c r="AF738" i="11"/>
  <c r="AF5" i="11"/>
  <c r="AF31" i="11"/>
  <c r="AF56" i="11"/>
  <c r="AF80" i="11"/>
  <c r="AF104" i="11"/>
  <c r="AF124" i="11"/>
  <c r="AF139" i="11"/>
  <c r="AF153" i="11"/>
  <c r="AF167" i="11"/>
  <c r="AF182" i="11"/>
  <c r="AF196" i="11"/>
  <c r="AF211" i="11"/>
  <c r="AF225" i="11"/>
  <c r="AF239" i="11"/>
  <c r="AF254" i="11"/>
  <c r="AF268" i="11"/>
  <c r="AF283" i="11"/>
  <c r="AF297" i="11"/>
  <c r="AF311" i="11"/>
  <c r="AF326" i="11"/>
  <c r="AF340" i="11"/>
  <c r="AF355" i="11"/>
  <c r="AF369" i="11"/>
  <c r="AF383" i="11"/>
  <c r="AF398" i="11"/>
  <c r="AF412" i="11"/>
  <c r="AF427" i="11"/>
  <c r="AF441" i="11"/>
  <c r="AF455" i="11"/>
  <c r="AF470" i="11"/>
  <c r="AF484" i="11"/>
  <c r="AF499" i="11"/>
  <c r="AF513" i="11"/>
  <c r="AF527" i="11"/>
  <c r="AF542" i="11"/>
  <c r="AF6" i="11"/>
  <c r="AF32" i="11"/>
  <c r="AF57" i="11"/>
  <c r="AF81" i="11"/>
  <c r="AF105" i="11"/>
  <c r="AF125" i="11"/>
  <c r="AF140" i="11"/>
  <c r="AF154" i="11"/>
  <c r="AG154" i="11" s="1"/>
  <c r="AF169" i="11"/>
  <c r="AF183" i="11"/>
  <c r="AF197" i="11"/>
  <c r="AF212" i="11"/>
  <c r="AF7" i="11"/>
  <c r="AF33" i="11"/>
  <c r="AF58" i="11"/>
  <c r="AF82" i="11"/>
  <c r="AF106" i="11"/>
  <c r="AF127" i="11"/>
  <c r="AF141" i="11"/>
  <c r="AF155" i="11"/>
  <c r="AF170" i="11"/>
  <c r="AF184" i="11"/>
  <c r="AF199" i="11"/>
  <c r="AF8" i="11"/>
  <c r="AF34" i="11"/>
  <c r="AF59" i="11"/>
  <c r="AF83" i="11"/>
  <c r="AF107" i="11"/>
  <c r="AF128" i="11"/>
  <c r="AF142" i="11"/>
  <c r="AF157" i="11"/>
  <c r="AF171" i="11"/>
  <c r="AF185" i="11"/>
  <c r="AF200" i="11"/>
  <c r="AF214" i="11"/>
  <c r="AF229" i="11"/>
  <c r="AF243" i="11"/>
  <c r="AG243" i="11" s="1"/>
  <c r="AF257" i="11"/>
  <c r="AF272" i="11"/>
  <c r="AF286" i="11"/>
  <c r="AF301" i="11"/>
  <c r="AF315" i="11"/>
  <c r="AF329" i="11"/>
  <c r="AF344" i="11"/>
  <c r="AF358" i="11"/>
  <c r="AF373" i="11"/>
  <c r="AF387" i="11"/>
  <c r="AF401" i="11"/>
  <c r="AF416" i="11"/>
  <c r="AF430" i="11"/>
  <c r="AF445" i="11"/>
  <c r="AF459" i="11"/>
  <c r="AF473" i="11"/>
  <c r="AF488" i="11"/>
  <c r="AF502" i="11"/>
  <c r="AF517" i="11"/>
  <c r="AF531" i="11"/>
  <c r="AF545" i="11"/>
  <c r="AF560" i="11"/>
  <c r="AF574" i="11"/>
  <c r="AF589" i="11"/>
  <c r="AF603" i="11"/>
  <c r="AF617" i="11"/>
  <c r="AF632" i="11"/>
  <c r="AF646" i="11"/>
  <c r="AF661" i="11"/>
  <c r="AF675" i="11"/>
  <c r="AF689" i="11"/>
  <c r="AF704" i="11"/>
  <c r="AF718" i="11"/>
  <c r="AF733" i="11"/>
  <c r="AF747" i="11"/>
  <c r="AF760" i="11"/>
  <c r="AF773" i="11"/>
  <c r="AF786" i="11"/>
  <c r="AF799" i="11"/>
  <c r="AF812" i="11"/>
  <c r="AF14" i="11"/>
  <c r="AF40" i="11"/>
  <c r="AF64" i="11"/>
  <c r="AF88" i="11"/>
  <c r="AF112" i="11"/>
  <c r="AF129" i="11"/>
  <c r="AF143" i="11"/>
  <c r="AF158" i="11"/>
  <c r="AF172" i="11"/>
  <c r="AF187" i="11"/>
  <c r="AF201" i="11"/>
  <c r="AF215" i="11"/>
  <c r="AF230" i="11"/>
  <c r="AF17" i="11"/>
  <c r="AF43" i="11"/>
  <c r="AF67" i="11"/>
  <c r="AF18" i="11"/>
  <c r="AF44" i="11"/>
  <c r="AF68" i="11"/>
  <c r="AF92" i="11"/>
  <c r="AF115" i="11"/>
  <c r="AF131" i="11"/>
  <c r="AF146" i="11"/>
  <c r="AF160" i="11"/>
  <c r="AF175" i="11"/>
  <c r="AF189" i="11"/>
  <c r="AF203" i="11"/>
  <c r="AF218" i="11"/>
  <c r="AF232" i="11"/>
  <c r="AF247" i="11"/>
  <c r="AF261" i="11"/>
  <c r="AF275" i="11"/>
  <c r="AF290" i="11"/>
  <c r="AF304" i="11"/>
  <c r="AG304" i="11" s="1"/>
  <c r="AF319" i="11"/>
  <c r="AF333" i="11"/>
  <c r="AF347" i="11"/>
  <c r="AF362" i="11"/>
  <c r="AF376" i="11"/>
  <c r="AF391" i="11"/>
  <c r="AF405" i="11"/>
  <c r="AF419" i="11"/>
  <c r="AF434" i="11"/>
  <c r="AF448" i="11"/>
  <c r="AF463" i="11"/>
  <c r="AF477" i="11"/>
  <c r="AF491" i="11"/>
  <c r="AF506" i="11"/>
  <c r="AF520" i="11"/>
  <c r="AF535" i="11"/>
  <c r="AF549" i="11"/>
  <c r="AG549" i="11" s="1"/>
  <c r="AF563" i="11"/>
  <c r="AF578" i="11"/>
  <c r="AF592" i="11"/>
  <c r="AF607" i="11"/>
  <c r="AF621" i="11"/>
  <c r="AF635" i="11"/>
  <c r="AF650" i="11"/>
  <c r="AF664" i="11"/>
  <c r="AF679" i="11"/>
  <c r="AF693" i="11"/>
  <c r="AF27" i="11"/>
  <c r="AF52" i="11"/>
  <c r="AF76" i="11"/>
  <c r="AF100" i="11"/>
  <c r="AF119" i="11"/>
  <c r="AF136" i="11"/>
  <c r="AF151" i="11"/>
  <c r="AF165" i="11"/>
  <c r="AF179" i="11"/>
  <c r="AF194" i="11"/>
  <c r="AF208" i="11"/>
  <c r="AF223" i="11"/>
  <c r="AF237" i="11"/>
  <c r="AF251" i="11"/>
  <c r="AF266" i="11"/>
  <c r="AF280" i="11"/>
  <c r="AF295" i="11"/>
  <c r="AF309" i="11"/>
  <c r="AF323" i="11"/>
  <c r="AF338" i="11"/>
  <c r="AF352" i="11"/>
  <c r="AF367" i="11"/>
  <c r="AF381" i="11"/>
  <c r="AF395" i="11"/>
  <c r="AF410" i="11"/>
  <c r="AF424" i="11"/>
  <c r="AF439" i="11"/>
  <c r="AF453" i="11"/>
  <c r="AF467" i="11"/>
  <c r="AF69" i="11"/>
  <c r="AF118" i="11"/>
  <c r="AF159" i="11"/>
  <c r="AF191" i="11"/>
  <c r="AF221" i="11"/>
  <c r="AF245" i="11"/>
  <c r="AF267" i="11"/>
  <c r="AF289" i="11"/>
  <c r="AF310" i="11"/>
  <c r="AF332" i="11"/>
  <c r="AF353" i="11"/>
  <c r="AF375" i="11"/>
  <c r="AF397" i="11"/>
  <c r="AF418" i="11"/>
  <c r="AF440" i="11"/>
  <c r="AF461" i="11"/>
  <c r="AF482" i="11"/>
  <c r="AF501" i="11"/>
  <c r="AF521" i="11"/>
  <c r="AF539" i="11"/>
  <c r="AF557" i="11"/>
  <c r="AF575" i="11"/>
  <c r="AF593" i="11"/>
  <c r="AF610" i="11"/>
  <c r="AF627" i="11"/>
  <c r="AF644" i="11"/>
  <c r="AF662" i="11"/>
  <c r="AF680" i="11"/>
  <c r="AF697" i="11"/>
  <c r="AF712" i="11"/>
  <c r="AF728" i="11"/>
  <c r="AF743" i="11"/>
  <c r="AF758" i="11"/>
  <c r="AF772" i="11"/>
  <c r="AF787" i="11"/>
  <c r="AF801" i="11"/>
  <c r="AF815" i="11"/>
  <c r="AF829" i="11"/>
  <c r="AF842" i="11"/>
  <c r="AF854" i="11"/>
  <c r="AF866" i="11"/>
  <c r="AF878" i="11"/>
  <c r="AF890" i="11"/>
  <c r="AF902" i="11"/>
  <c r="AF914" i="11"/>
  <c r="AF926" i="11"/>
  <c r="AF938" i="11"/>
  <c r="AF950" i="11"/>
  <c r="AF962" i="11"/>
  <c r="AF974" i="11"/>
  <c r="AF986" i="11"/>
  <c r="AF998" i="11"/>
  <c r="AF1010" i="11"/>
  <c r="AF1022" i="11"/>
  <c r="AF1034" i="11"/>
  <c r="AF70" i="11"/>
  <c r="AF123" i="11"/>
  <c r="AF161" i="11"/>
  <c r="AF193" i="11"/>
  <c r="AF224" i="11"/>
  <c r="AF248" i="11"/>
  <c r="AF269" i="11"/>
  <c r="AF291" i="11"/>
  <c r="AF313" i="11"/>
  <c r="AF334" i="11"/>
  <c r="AF356" i="11"/>
  <c r="AF377" i="11"/>
  <c r="AF399" i="11"/>
  <c r="AF421" i="11"/>
  <c r="AF442" i="11"/>
  <c r="AF464" i="11"/>
  <c r="AF483" i="11"/>
  <c r="AF503" i="11"/>
  <c r="AF523" i="11"/>
  <c r="AF541" i="11"/>
  <c r="AF559" i="11"/>
  <c r="AF577" i="11"/>
  <c r="AF595" i="11"/>
  <c r="AF611" i="11"/>
  <c r="AF628" i="11"/>
  <c r="AF645" i="11"/>
  <c r="AF663" i="11"/>
  <c r="AF681" i="11"/>
  <c r="AF698" i="11"/>
  <c r="AF713" i="11"/>
  <c r="AF729" i="11"/>
  <c r="AF745" i="11"/>
  <c r="AG745" i="11" s="1"/>
  <c r="AF759" i="11"/>
  <c r="AF774" i="11"/>
  <c r="AF788" i="11"/>
  <c r="AF802" i="11"/>
  <c r="AF817" i="11"/>
  <c r="AF830" i="11"/>
  <c r="AF843" i="11"/>
  <c r="AF855" i="11"/>
  <c r="AF867" i="11"/>
  <c r="AF71" i="11"/>
  <c r="AF130" i="11"/>
  <c r="AF163" i="11"/>
  <c r="AF195" i="11"/>
  <c r="AG195" i="11" s="1"/>
  <c r="AF226" i="11"/>
  <c r="AF249" i="11"/>
  <c r="AF271" i="11"/>
  <c r="AF292" i="11"/>
  <c r="AF314" i="11"/>
  <c r="AF335" i="11"/>
  <c r="AG335" i="11" s="1"/>
  <c r="AF357" i="11"/>
  <c r="AF379" i="11"/>
  <c r="AF400" i="11"/>
  <c r="AF422" i="11"/>
  <c r="AF443" i="11"/>
  <c r="AF465" i="11"/>
  <c r="AG465" i="11" s="1"/>
  <c r="AF485" i="11"/>
  <c r="AF505" i="11"/>
  <c r="AF524" i="11"/>
  <c r="AF543" i="11"/>
  <c r="AF561" i="11"/>
  <c r="AF579" i="11"/>
  <c r="AF596" i="11"/>
  <c r="AF613" i="11"/>
  <c r="AF629" i="11"/>
  <c r="AF647" i="11"/>
  <c r="AF665" i="11"/>
  <c r="AG665" i="11" s="1"/>
  <c r="AF682" i="11"/>
  <c r="AF699" i="11"/>
  <c r="AF715" i="11"/>
  <c r="AF730" i="11"/>
  <c r="AF746" i="11"/>
  <c r="AF761" i="11"/>
  <c r="AF775" i="11"/>
  <c r="AF789" i="11"/>
  <c r="AF803" i="11"/>
  <c r="AF818" i="11"/>
  <c r="AG818" i="11" s="1"/>
  <c r="AF831" i="11"/>
  <c r="AF844" i="11"/>
  <c r="AF856" i="11"/>
  <c r="AF868" i="11"/>
  <c r="AF880" i="11"/>
  <c r="AF79" i="11"/>
  <c r="AF133" i="11"/>
  <c r="AF164" i="11"/>
  <c r="AF202" i="11"/>
  <c r="AF227" i="11"/>
  <c r="AF250" i="11"/>
  <c r="AF273" i="11"/>
  <c r="AF293" i="11"/>
  <c r="AF316" i="11"/>
  <c r="AF337" i="11"/>
  <c r="AF359" i="11"/>
  <c r="AF380" i="11"/>
  <c r="AF403" i="11"/>
  <c r="AF423" i="11"/>
  <c r="AF446" i="11"/>
  <c r="AF466" i="11"/>
  <c r="AF487" i="11"/>
  <c r="AF507" i="11"/>
  <c r="AF525" i="11"/>
  <c r="AF544" i="11"/>
  <c r="AF562" i="11"/>
  <c r="AF580" i="11"/>
  <c r="AF597" i="11"/>
  <c r="AF614" i="11"/>
  <c r="AF631" i="11"/>
  <c r="AF649" i="11"/>
  <c r="AF667" i="11"/>
  <c r="AF683" i="11"/>
  <c r="AF700" i="11"/>
  <c r="AF716" i="11"/>
  <c r="AF731" i="11"/>
  <c r="AF748" i="11"/>
  <c r="AF762" i="11"/>
  <c r="AF776" i="11"/>
  <c r="AF790" i="11"/>
  <c r="AF805" i="11"/>
  <c r="AF819" i="11"/>
  <c r="AF832" i="11"/>
  <c r="AF845" i="11"/>
  <c r="AF857" i="11"/>
  <c r="AF869" i="11"/>
  <c r="AF881" i="11"/>
  <c r="AF893" i="11"/>
  <c r="AF905" i="11"/>
  <c r="AF917" i="11"/>
  <c r="AF929" i="11"/>
  <c r="AF941" i="11"/>
  <c r="AF953" i="11"/>
  <c r="AF965" i="11"/>
  <c r="AF977" i="11"/>
  <c r="AF989" i="11"/>
  <c r="AF1001" i="11"/>
  <c r="AF1013" i="11"/>
  <c r="AF1025" i="11"/>
  <c r="AF1037" i="11"/>
  <c r="AF1049" i="11"/>
  <c r="AG1049" i="11" s="1"/>
  <c r="AF1061" i="11"/>
  <c r="AF1073" i="11"/>
  <c r="AF1085" i="11"/>
  <c r="AF1097" i="11"/>
  <c r="AF1109" i="11"/>
  <c r="AF1121" i="11"/>
  <c r="AF1133" i="11"/>
  <c r="AF1145" i="11"/>
  <c r="AF1157" i="11"/>
  <c r="AF1169" i="11"/>
  <c r="AF1181" i="11"/>
  <c r="AF1193" i="11"/>
  <c r="AF1205" i="11"/>
  <c r="AF1217" i="11"/>
  <c r="AF1229" i="11"/>
  <c r="AF1241" i="11"/>
  <c r="AF1253" i="11"/>
  <c r="AF1265" i="11"/>
  <c r="AF1277" i="11"/>
  <c r="AF1289" i="11"/>
  <c r="AG1289" i="11" s="1"/>
  <c r="AF1301" i="11"/>
  <c r="AF19" i="11"/>
  <c r="AF91" i="11"/>
  <c r="AF134" i="11"/>
  <c r="AF166" i="11"/>
  <c r="AF205" i="11"/>
  <c r="AF231" i="11"/>
  <c r="AF253" i="11"/>
  <c r="AF274" i="11"/>
  <c r="AF296" i="11"/>
  <c r="AF317" i="11"/>
  <c r="AF339" i="11"/>
  <c r="AF361" i="11"/>
  <c r="AF382" i="11"/>
  <c r="AF404" i="11"/>
  <c r="AF425" i="11"/>
  <c r="AF447" i="11"/>
  <c r="AF469" i="11"/>
  <c r="AF489" i="11"/>
  <c r="AF508" i="11"/>
  <c r="AF526" i="11"/>
  <c r="AF547" i="11"/>
  <c r="AF565" i="11"/>
  <c r="AF581" i="11"/>
  <c r="AF598" i="11"/>
  <c r="AG598" i="11" s="1"/>
  <c r="AF615" i="11"/>
  <c r="AF633" i="11"/>
  <c r="AF651" i="11"/>
  <c r="AF668" i="11"/>
  <c r="AF685" i="11"/>
  <c r="AF701" i="11"/>
  <c r="AF717" i="11"/>
  <c r="AF734" i="11"/>
  <c r="AF749" i="11"/>
  <c r="AF763" i="11"/>
  <c r="AF777" i="11"/>
  <c r="AF791" i="11"/>
  <c r="AF806" i="11"/>
  <c r="AF820" i="11"/>
  <c r="AF833" i="11"/>
  <c r="AF846" i="11"/>
  <c r="AF858" i="11"/>
  <c r="AF870" i="11"/>
  <c r="AF882" i="11"/>
  <c r="AF894" i="11"/>
  <c r="AF906" i="11"/>
  <c r="AF918" i="11"/>
  <c r="AF930" i="11"/>
  <c r="AF942" i="11"/>
  <c r="AF954" i="11"/>
  <c r="AF966" i="11"/>
  <c r="AF978" i="11"/>
  <c r="AF990" i="11"/>
  <c r="AF1002" i="11"/>
  <c r="AF1014" i="11"/>
  <c r="AF1026" i="11"/>
  <c r="AF1038" i="11"/>
  <c r="AF1050" i="11"/>
  <c r="AF1062" i="11"/>
  <c r="AF1074" i="11"/>
  <c r="AF1086" i="11"/>
  <c r="AF1098" i="11"/>
  <c r="AG1098" i="11" s="1"/>
  <c r="AF1110" i="11"/>
  <c r="AF1122" i="11"/>
  <c r="AF1134" i="11"/>
  <c r="AF1146" i="11"/>
  <c r="AF1158" i="11"/>
  <c r="AF1170" i="11"/>
  <c r="AF1182" i="11"/>
  <c r="AF1194" i="11"/>
  <c r="AG1194" i="11" s="1"/>
  <c r="AF1206" i="11"/>
  <c r="AF1218" i="11"/>
  <c r="AF1230" i="11"/>
  <c r="AF1242" i="11"/>
  <c r="AF1254" i="11"/>
  <c r="AF1266" i="11"/>
  <c r="AF20" i="11"/>
  <c r="AF93" i="11"/>
  <c r="AF135" i="11"/>
  <c r="AF173" i="11"/>
  <c r="AF206" i="11"/>
  <c r="AF233" i="11"/>
  <c r="AF255" i="11"/>
  <c r="AF277" i="11"/>
  <c r="AF298" i="11"/>
  <c r="AF320" i="11"/>
  <c r="AF341" i="11"/>
  <c r="AF363" i="11"/>
  <c r="AF385" i="11"/>
  <c r="AF406" i="11"/>
  <c r="AF428" i="11"/>
  <c r="AF449" i="11"/>
  <c r="AF471" i="11"/>
  <c r="AF490" i="11"/>
  <c r="AF509" i="11"/>
  <c r="AF529" i="11"/>
  <c r="AF548" i="11"/>
  <c r="AF566" i="11"/>
  <c r="AF583" i="11"/>
  <c r="AF599" i="11"/>
  <c r="AF616" i="11"/>
  <c r="AF634" i="11"/>
  <c r="AF652" i="11"/>
  <c r="AF669" i="11"/>
  <c r="AF686" i="11"/>
  <c r="AF703" i="11"/>
  <c r="AF719" i="11"/>
  <c r="AF735" i="11"/>
  <c r="AG735" i="11" s="1"/>
  <c r="AF750" i="11"/>
  <c r="AF764" i="11"/>
  <c r="AF778" i="11"/>
  <c r="AF793" i="11"/>
  <c r="AG793" i="11" s="1"/>
  <c r="AF807" i="11"/>
  <c r="AF821" i="11"/>
  <c r="AF834" i="11"/>
  <c r="AF847" i="11"/>
  <c r="AF859" i="11"/>
  <c r="AF871" i="11"/>
  <c r="AF883" i="11"/>
  <c r="AF895" i="11"/>
  <c r="AF907" i="11"/>
  <c r="AF919" i="11"/>
  <c r="AF931" i="11"/>
  <c r="AF47" i="11"/>
  <c r="AF116" i="11"/>
  <c r="AF149" i="11"/>
  <c r="AF188" i="11"/>
  <c r="AF219" i="11"/>
  <c r="AF242" i="11"/>
  <c r="AF263" i="11"/>
  <c r="AF285" i="11"/>
  <c r="AF307" i="11"/>
  <c r="AF328" i="11"/>
  <c r="AF350" i="11"/>
  <c r="AF371" i="11"/>
  <c r="AF393" i="11"/>
  <c r="AF415" i="11"/>
  <c r="AF436" i="11"/>
  <c r="AF458" i="11"/>
  <c r="AF479" i="11"/>
  <c r="AF497" i="11"/>
  <c r="AF518" i="11"/>
  <c r="AF537" i="11"/>
  <c r="AF555" i="11"/>
  <c r="AF572" i="11"/>
  <c r="AF590" i="11"/>
  <c r="AF608" i="11"/>
  <c r="AF625" i="11"/>
  <c r="AG625" i="11" s="1"/>
  <c r="AF641" i="11"/>
  <c r="AF658" i="11"/>
  <c r="AF676" i="11"/>
  <c r="AF694" i="11"/>
  <c r="AF710" i="11"/>
  <c r="AF725" i="11"/>
  <c r="AF741" i="11"/>
  <c r="AG741" i="11" s="1"/>
  <c r="AF755" i="11"/>
  <c r="AF770" i="11"/>
  <c r="AF784" i="11"/>
  <c r="AF798" i="11"/>
  <c r="AF813" i="11"/>
  <c r="AF826" i="11"/>
  <c r="AF839" i="11"/>
  <c r="AG839" i="11" s="1"/>
  <c r="AF852" i="11"/>
  <c r="AF864" i="11"/>
  <c r="AF876" i="11"/>
  <c r="AF888" i="11"/>
  <c r="AF900" i="11"/>
  <c r="AF912" i="11"/>
  <c r="AF924" i="11"/>
  <c r="AF936" i="11"/>
  <c r="AF948" i="11"/>
  <c r="AF960" i="11"/>
  <c r="AF972" i="11"/>
  <c r="AF984" i="11"/>
  <c r="AF996" i="11"/>
  <c r="AF1008" i="11"/>
  <c r="AF1020" i="11"/>
  <c r="AF1032" i="11"/>
  <c r="AF1044" i="11"/>
  <c r="AF1056" i="11"/>
  <c r="AF1068" i="11"/>
  <c r="AF1080" i="11"/>
  <c r="AF1092" i="11"/>
  <c r="AF1104" i="11"/>
  <c r="AF1116" i="11"/>
  <c r="AF1128" i="11"/>
  <c r="AF1140" i="11"/>
  <c r="AF1152" i="11"/>
  <c r="AF55" i="11"/>
  <c r="AF117" i="11"/>
  <c r="AF152" i="11"/>
  <c r="AF190" i="11"/>
  <c r="AF220" i="11"/>
  <c r="AF244" i="11"/>
  <c r="AF265" i="11"/>
  <c r="AF287" i="11"/>
  <c r="AF308" i="11"/>
  <c r="AF331" i="11"/>
  <c r="AF351" i="11"/>
  <c r="AF374" i="11"/>
  <c r="AF394" i="11"/>
  <c r="AF417" i="11"/>
  <c r="AF437" i="11"/>
  <c r="AF460" i="11"/>
  <c r="AF481" i="11"/>
  <c r="AF500" i="11"/>
  <c r="AF519" i="11"/>
  <c r="AF538" i="11"/>
  <c r="AF556" i="11"/>
  <c r="AF573" i="11"/>
  <c r="AF591" i="11"/>
  <c r="AF609" i="11"/>
  <c r="AF626" i="11"/>
  <c r="AF643" i="11"/>
  <c r="AF659" i="11"/>
  <c r="AF677" i="11"/>
  <c r="AF695" i="11"/>
  <c r="AF711" i="11"/>
  <c r="AF727" i="11"/>
  <c r="AF742" i="11"/>
  <c r="AF757" i="11"/>
  <c r="AF771" i="11"/>
  <c r="AF785" i="11"/>
  <c r="AF800" i="11"/>
  <c r="AF814" i="11"/>
  <c r="AF827" i="11"/>
  <c r="AF841" i="11"/>
  <c r="AG841" i="11" s="1"/>
  <c r="AF853" i="11"/>
  <c r="AF865" i="11"/>
  <c r="AG865" i="11" s="1"/>
  <c r="AF877" i="11"/>
  <c r="AF889" i="11"/>
  <c r="AG889" i="11" s="1"/>
  <c r="AF901" i="11"/>
  <c r="AF913" i="11"/>
  <c r="AF925" i="11"/>
  <c r="AF937" i="11"/>
  <c r="AG937" i="11" s="1"/>
  <c r="AF949" i="11"/>
  <c r="AF961" i="11"/>
  <c r="AF973" i="11"/>
  <c r="AF985" i="11"/>
  <c r="AG985" i="11" s="1"/>
  <c r="AF997" i="11"/>
  <c r="AF1009" i="11"/>
  <c r="AF1021" i="11"/>
  <c r="AF1033" i="11"/>
  <c r="AG1033" i="11" s="1"/>
  <c r="AF1045" i="11"/>
  <c r="AF1057" i="11"/>
  <c r="AF1069" i="11"/>
  <c r="AF1081" i="11"/>
  <c r="AF137" i="11"/>
  <c r="AF235" i="11"/>
  <c r="AF299" i="11"/>
  <c r="AF364" i="11"/>
  <c r="AF429" i="11"/>
  <c r="AF493" i="11"/>
  <c r="AF550" i="11"/>
  <c r="AF601" i="11"/>
  <c r="AF653" i="11"/>
  <c r="AF705" i="11"/>
  <c r="AF751" i="11"/>
  <c r="AF794" i="11"/>
  <c r="AF835" i="11"/>
  <c r="AF872" i="11"/>
  <c r="AF897" i="11"/>
  <c r="AF921" i="11"/>
  <c r="AF944" i="11"/>
  <c r="AF964" i="11"/>
  <c r="AF983" i="11"/>
  <c r="AG983" i="11" s="1"/>
  <c r="AF1005" i="11"/>
  <c r="AF1027" i="11"/>
  <c r="AF1046" i="11"/>
  <c r="AF1064" i="11"/>
  <c r="AF1082" i="11"/>
  <c r="AF1099" i="11"/>
  <c r="AF1114" i="11"/>
  <c r="AF1130" i="11"/>
  <c r="AF1147" i="11"/>
  <c r="AF1162" i="11"/>
  <c r="AF1176" i="11"/>
  <c r="AF1190" i="11"/>
  <c r="AF1204" i="11"/>
  <c r="AF1220" i="11"/>
  <c r="AF1234" i="11"/>
  <c r="AF1248" i="11"/>
  <c r="AF1262" i="11"/>
  <c r="AF1276" i="11"/>
  <c r="AF1290" i="11"/>
  <c r="AF1303" i="11"/>
  <c r="AF1315" i="11"/>
  <c r="AF1327" i="11"/>
  <c r="AF1339" i="11"/>
  <c r="AF1351" i="11"/>
  <c r="AF1363" i="11"/>
  <c r="AG1363" i="11" s="1"/>
  <c r="AF1375" i="11"/>
  <c r="AF1387" i="11"/>
  <c r="AF1399" i="11"/>
  <c r="AF1411" i="11"/>
  <c r="AF1423" i="11"/>
  <c r="AF1435" i="11"/>
  <c r="AF1447" i="11"/>
  <c r="AF1459" i="11"/>
  <c r="AF1471" i="11"/>
  <c r="AF1483" i="11"/>
  <c r="AF1495" i="11"/>
  <c r="AF1507" i="11"/>
  <c r="AF1519" i="11"/>
  <c r="AE14" i="11"/>
  <c r="AE26" i="11"/>
  <c r="AE38" i="11"/>
  <c r="AE50" i="11"/>
  <c r="AE62" i="11"/>
  <c r="AE74" i="11"/>
  <c r="AE86" i="11"/>
  <c r="AG86" i="11" s="1"/>
  <c r="AE98" i="11"/>
  <c r="AG98" i="11" s="1"/>
  <c r="AE110" i="11"/>
  <c r="AE122" i="11"/>
  <c r="AG122" i="11" s="1"/>
  <c r="AE134" i="11"/>
  <c r="AE146" i="11"/>
  <c r="AG146" i="11" s="1"/>
  <c r="AE158" i="11"/>
  <c r="AE170" i="11"/>
  <c r="AE182" i="11"/>
  <c r="AE194" i="11"/>
  <c r="AE206" i="11"/>
  <c r="AG206" i="11" s="1"/>
  <c r="AE218" i="11"/>
  <c r="AE230" i="11"/>
  <c r="AG230" i="11" s="1"/>
  <c r="AE242" i="11"/>
  <c r="AG242" i="11" s="1"/>
  <c r="AE254" i="11"/>
  <c r="AG254" i="11" s="1"/>
  <c r="AE266" i="11"/>
  <c r="AE278" i="11"/>
  <c r="AE290" i="11"/>
  <c r="AE302" i="11"/>
  <c r="AE314" i="11"/>
  <c r="AE326" i="11"/>
  <c r="AE338" i="11"/>
  <c r="AE350" i="11"/>
  <c r="AE362" i="11"/>
  <c r="AG362" i="11" s="1"/>
  <c r="AE374" i="11"/>
  <c r="AG374" i="11" s="1"/>
  <c r="AE386" i="11"/>
  <c r="AE398" i="11"/>
  <c r="AE410" i="11"/>
  <c r="AG410" i="11" s="1"/>
  <c r="AE422" i="11"/>
  <c r="AE434" i="11"/>
  <c r="AE446" i="11"/>
  <c r="AE458" i="11"/>
  <c r="AE470" i="11"/>
  <c r="AE482" i="11"/>
  <c r="AE494" i="11"/>
  <c r="AE506" i="11"/>
  <c r="AG506" i="11" s="1"/>
  <c r="AE518" i="11"/>
  <c r="AE530" i="11"/>
  <c r="AE542" i="11"/>
  <c r="AE554" i="11"/>
  <c r="AE566" i="11"/>
  <c r="AE578" i="11"/>
  <c r="AE590" i="11"/>
  <c r="AE602" i="11"/>
  <c r="AE614" i="11"/>
  <c r="AG614" i="11" s="1"/>
  <c r="AE626" i="11"/>
  <c r="AE638" i="11"/>
  <c r="AF145" i="11"/>
  <c r="AF236" i="11"/>
  <c r="AF302" i="11"/>
  <c r="AF365" i="11"/>
  <c r="AF431" i="11"/>
  <c r="AF494" i="11"/>
  <c r="AF551" i="11"/>
  <c r="AF602" i="11"/>
  <c r="AF655" i="11"/>
  <c r="AF706" i="11"/>
  <c r="AF752" i="11"/>
  <c r="AF795" i="11"/>
  <c r="AF836" i="11"/>
  <c r="AF873" i="11"/>
  <c r="AF898" i="11"/>
  <c r="AF922" i="11"/>
  <c r="AF945" i="11"/>
  <c r="AF967" i="11"/>
  <c r="AF987" i="11"/>
  <c r="AF1006" i="11"/>
  <c r="AF1028" i="11"/>
  <c r="AF1047" i="11"/>
  <c r="AF1065" i="11"/>
  <c r="AF1083" i="11"/>
  <c r="AF1100" i="11"/>
  <c r="AF1115" i="11"/>
  <c r="AF1131" i="11"/>
  <c r="AF1148" i="11"/>
  <c r="AF1163" i="11"/>
  <c r="AG1163" i="11" s="1"/>
  <c r="AF1177" i="11"/>
  <c r="AF1191" i="11"/>
  <c r="AF1207" i="11"/>
  <c r="AF1221" i="11"/>
  <c r="AF1235" i="11"/>
  <c r="AF1249" i="11"/>
  <c r="AF1263" i="11"/>
  <c r="AF1278" i="11"/>
  <c r="AF1291" i="11"/>
  <c r="AG1291" i="11" s="1"/>
  <c r="AF1304" i="11"/>
  <c r="AF1316" i="11"/>
  <c r="AF1328" i="11"/>
  <c r="AF1340" i="11"/>
  <c r="AF1352" i="11"/>
  <c r="AF1364" i="11"/>
  <c r="AG1364" i="11" s="1"/>
  <c r="AF1376" i="11"/>
  <c r="AF1388" i="11"/>
  <c r="AG1388" i="11" s="1"/>
  <c r="AF1400" i="11"/>
  <c r="AG1400" i="11" s="1"/>
  <c r="AF1412" i="11"/>
  <c r="AF1424" i="11"/>
  <c r="AF1436" i="11"/>
  <c r="AG1436" i="11" s="1"/>
  <c r="AF1448" i="11"/>
  <c r="AG1448" i="11" s="1"/>
  <c r="AF1460" i="11"/>
  <c r="AF1472" i="11"/>
  <c r="AG1472" i="11" s="1"/>
  <c r="AF1484" i="11"/>
  <c r="AG1484" i="11" s="1"/>
  <c r="AF1496" i="11"/>
  <c r="AF1508" i="11"/>
  <c r="AG1508" i="11" s="1"/>
  <c r="AF1520" i="11"/>
  <c r="AE15" i="11"/>
  <c r="AG15" i="11" s="1"/>
  <c r="AE27" i="11"/>
  <c r="AE39" i="11"/>
  <c r="AE51" i="11"/>
  <c r="AE63" i="11"/>
  <c r="AE75" i="11"/>
  <c r="AE87" i="11"/>
  <c r="AE99" i="11"/>
  <c r="AE111" i="11"/>
  <c r="AG111" i="11" s="1"/>
  <c r="AE123" i="11"/>
  <c r="AE135" i="11"/>
  <c r="AG135" i="11" s="1"/>
  <c r="AE147" i="11"/>
  <c r="AE159" i="11"/>
  <c r="AE171" i="11"/>
  <c r="AE183" i="11"/>
  <c r="AF147" i="11"/>
  <c r="AF238" i="11"/>
  <c r="AF303" i="11"/>
  <c r="AF368" i="11"/>
  <c r="AF433" i="11"/>
  <c r="AG433" i="11" s="1"/>
  <c r="AF495" i="11"/>
  <c r="AF553" i="11"/>
  <c r="AF604" i="11"/>
  <c r="AF656" i="11"/>
  <c r="AF707" i="11"/>
  <c r="AF753" i="11"/>
  <c r="AF796" i="11"/>
  <c r="AF837" i="11"/>
  <c r="AF874" i="11"/>
  <c r="AF899" i="11"/>
  <c r="AF923" i="11"/>
  <c r="AF946" i="11"/>
  <c r="AF968" i="11"/>
  <c r="AG968" i="11" s="1"/>
  <c r="AF988" i="11"/>
  <c r="AF1007" i="11"/>
  <c r="AF1029" i="11"/>
  <c r="AF1048" i="11"/>
  <c r="AF1066" i="11"/>
  <c r="AF1084" i="11"/>
  <c r="AF1101" i="11"/>
  <c r="AF1117" i="11"/>
  <c r="AF1132" i="11"/>
  <c r="AF1149" i="11"/>
  <c r="AF1164" i="11"/>
  <c r="AF1178" i="11"/>
  <c r="AF1192" i="11"/>
  <c r="AF1208" i="11"/>
  <c r="AF1222" i="11"/>
  <c r="AF1236" i="11"/>
  <c r="AF1250" i="11"/>
  <c r="AF1264" i="11"/>
  <c r="AF1279" i="11"/>
  <c r="AF1292" i="11"/>
  <c r="AF1305" i="11"/>
  <c r="AF1317" i="11"/>
  <c r="AF1329" i="11"/>
  <c r="AF1341" i="11"/>
  <c r="AF1353" i="11"/>
  <c r="AF1365" i="11"/>
  <c r="AF1377" i="11"/>
  <c r="AF1389" i="11"/>
  <c r="AF1401" i="11"/>
  <c r="AF1413" i="11"/>
  <c r="AG1413" i="11" s="1"/>
  <c r="AF1425" i="11"/>
  <c r="AG1425" i="11" s="1"/>
  <c r="AF1437" i="11"/>
  <c r="AG1437" i="11" s="1"/>
  <c r="AF1449" i="11"/>
  <c r="AF1461" i="11"/>
  <c r="AG1461" i="11" s="1"/>
  <c r="AF1473" i="11"/>
  <c r="AG1473" i="11" s="1"/>
  <c r="AF1485" i="11"/>
  <c r="AF1497" i="11"/>
  <c r="AG1497" i="11" s="1"/>
  <c r="AF1509" i="11"/>
  <c r="AF1521" i="11"/>
  <c r="AE16" i="11"/>
  <c r="AE28" i="11"/>
  <c r="AE40" i="11"/>
  <c r="AE52" i="11"/>
  <c r="AE64" i="11"/>
  <c r="AG64" i="11" s="1"/>
  <c r="AE76" i="11"/>
  <c r="AG76" i="11" s="1"/>
  <c r="AE88" i="11"/>
  <c r="AE100" i="11"/>
  <c r="AE112" i="11"/>
  <c r="AE124" i="11"/>
  <c r="AE136" i="11"/>
  <c r="AE148" i="11"/>
  <c r="AE160" i="11"/>
  <c r="AG160" i="11" s="1"/>
  <c r="AE172" i="11"/>
  <c r="AF148" i="11"/>
  <c r="AF241" i="11"/>
  <c r="AF305" i="11"/>
  <c r="AG305" i="11" s="1"/>
  <c r="AF370" i="11"/>
  <c r="AF435" i="11"/>
  <c r="AG435" i="11" s="1"/>
  <c r="AF496" i="11"/>
  <c r="AF554" i="11"/>
  <c r="AF605" i="11"/>
  <c r="AF657" i="11"/>
  <c r="AF709" i="11"/>
  <c r="AF754" i="11"/>
  <c r="AF797" i="11"/>
  <c r="AF838" i="11"/>
  <c r="AF875" i="11"/>
  <c r="AF903" i="11"/>
  <c r="AF927" i="11"/>
  <c r="AF947" i="11"/>
  <c r="AF969" i="11"/>
  <c r="AG969" i="11" s="1"/>
  <c r="AF991" i="11"/>
  <c r="AF1011" i="11"/>
  <c r="AF1030" i="11"/>
  <c r="AF1051" i="11"/>
  <c r="AF1067" i="11"/>
  <c r="AF1087" i="11"/>
  <c r="AF1102" i="11"/>
  <c r="AF1118" i="11"/>
  <c r="AF1135" i="11"/>
  <c r="AF1150" i="11"/>
  <c r="AF1165" i="11"/>
  <c r="AF1179" i="11"/>
  <c r="AF1195" i="11"/>
  <c r="AG1195" i="11" s="1"/>
  <c r="AF1209" i="11"/>
  <c r="AF1223" i="11"/>
  <c r="AG1223" i="11" s="1"/>
  <c r="AF1237" i="11"/>
  <c r="AF1251" i="11"/>
  <c r="AF1267" i="11"/>
  <c r="AF1280" i="11"/>
  <c r="AF1293" i="11"/>
  <c r="AF1306" i="11"/>
  <c r="AF1318" i="11"/>
  <c r="AF1330" i="11"/>
  <c r="AF1342" i="11"/>
  <c r="AF1354" i="11"/>
  <c r="AF1366" i="11"/>
  <c r="AF1378" i="11"/>
  <c r="AF1390" i="11"/>
  <c r="AG1390" i="11" s="1"/>
  <c r="AF21" i="11"/>
  <c r="AF176" i="11"/>
  <c r="AF256" i="11"/>
  <c r="AF321" i="11"/>
  <c r="AF386" i="11"/>
  <c r="AF451" i="11"/>
  <c r="AF511" i="11"/>
  <c r="AF567" i="11"/>
  <c r="AF619" i="11"/>
  <c r="AF670" i="11"/>
  <c r="AF721" i="11"/>
  <c r="AF765" i="11"/>
  <c r="AG765" i="11" s="1"/>
  <c r="AF808" i="11"/>
  <c r="AF848" i="11"/>
  <c r="AF879" i="11"/>
  <c r="AF904" i="11"/>
  <c r="AF928" i="11"/>
  <c r="AF951" i="11"/>
  <c r="AG951" i="11" s="1"/>
  <c r="AF970" i="11"/>
  <c r="AF992" i="11"/>
  <c r="AF1012" i="11"/>
  <c r="AF1031" i="11"/>
  <c r="AF1052" i="11"/>
  <c r="AF1070" i="11"/>
  <c r="AF1088" i="11"/>
  <c r="AF1103" i="11"/>
  <c r="AF1119" i="11"/>
  <c r="AF1136" i="11"/>
  <c r="AF1151" i="11"/>
  <c r="AF1166" i="11"/>
  <c r="AF1180" i="11"/>
  <c r="AF1196" i="11"/>
  <c r="AF1210" i="11"/>
  <c r="AF1224" i="11"/>
  <c r="AF1238" i="11"/>
  <c r="AF1252" i="11"/>
  <c r="AF1268" i="11"/>
  <c r="AF1281" i="11"/>
  <c r="AF1294" i="11"/>
  <c r="AF1307" i="11"/>
  <c r="AF1319" i="11"/>
  <c r="AF1331" i="11"/>
  <c r="AF1343" i="11"/>
  <c r="AF1355" i="11"/>
  <c r="AF1367" i="11"/>
  <c r="AF1379" i="11"/>
  <c r="AF1391" i="11"/>
  <c r="AF30" i="11"/>
  <c r="AF177" i="11"/>
  <c r="AF259" i="11"/>
  <c r="AF322" i="11"/>
  <c r="AF388" i="11"/>
  <c r="AF452" i="11"/>
  <c r="AF512" i="11"/>
  <c r="AF568" i="11"/>
  <c r="AF620" i="11"/>
  <c r="AF671" i="11"/>
  <c r="AF722" i="11"/>
  <c r="AF766" i="11"/>
  <c r="AF809" i="11"/>
  <c r="AF849" i="11"/>
  <c r="AF884" i="11"/>
  <c r="AF908" i="11"/>
  <c r="AF932" i="11"/>
  <c r="AF952" i="11"/>
  <c r="AF971" i="11"/>
  <c r="AF993" i="11"/>
  <c r="AF1015" i="11"/>
  <c r="AG1015" i="11" s="1"/>
  <c r="AF1035" i="11"/>
  <c r="AF1053" i="11"/>
  <c r="AF1071" i="11"/>
  <c r="AF1089" i="11"/>
  <c r="AF1105" i="11"/>
  <c r="AF1120" i="11"/>
  <c r="AF1137" i="11"/>
  <c r="AF1153" i="11"/>
  <c r="AF1167" i="11"/>
  <c r="AF1183" i="11"/>
  <c r="AF1197" i="11"/>
  <c r="AF1211" i="11"/>
  <c r="AG1211" i="11" s="1"/>
  <c r="AF1225" i="11"/>
  <c r="AG1225" i="11" s="1"/>
  <c r="AF1239" i="11"/>
  <c r="AF1255" i="11"/>
  <c r="AG1255" i="11" s="1"/>
  <c r="AF1269" i="11"/>
  <c r="AF1282" i="11"/>
  <c r="AF1295" i="11"/>
  <c r="AF1308" i="11"/>
  <c r="AF1320" i="11"/>
  <c r="AF1332" i="11"/>
  <c r="AF1344" i="11"/>
  <c r="AF1356" i="11"/>
  <c r="AF1368" i="11"/>
  <c r="AF1380" i="11"/>
  <c r="AF1392" i="11"/>
  <c r="AF1404" i="11"/>
  <c r="AF1416" i="11"/>
  <c r="AF45" i="11"/>
  <c r="AF178" i="11"/>
  <c r="AF260" i="11"/>
  <c r="AF325" i="11"/>
  <c r="AF389" i="11"/>
  <c r="AF454" i="11"/>
  <c r="AF514" i="11"/>
  <c r="AF569" i="11"/>
  <c r="AF622" i="11"/>
  <c r="AF673" i="11"/>
  <c r="AG673" i="11" s="1"/>
  <c r="AF723" i="11"/>
  <c r="AF767" i="11"/>
  <c r="AF810" i="11"/>
  <c r="AF850" i="11"/>
  <c r="AF885" i="11"/>
  <c r="AF909" i="11"/>
  <c r="AF933" i="11"/>
  <c r="AF955" i="11"/>
  <c r="AF975" i="11"/>
  <c r="AF994" i="11"/>
  <c r="AF1016" i="11"/>
  <c r="AF1036" i="11"/>
  <c r="AF1054" i="11"/>
  <c r="AF1072" i="11"/>
  <c r="AF1090" i="11"/>
  <c r="AF1106" i="11"/>
  <c r="AF1123" i="11"/>
  <c r="AF1138" i="11"/>
  <c r="AF1154" i="11"/>
  <c r="AF1168" i="11"/>
  <c r="AF1184" i="11"/>
  <c r="AF1198" i="11"/>
  <c r="AF1212" i="11"/>
  <c r="AF1226" i="11"/>
  <c r="AF1240" i="11"/>
  <c r="AF1256" i="11"/>
  <c r="AF1270" i="11"/>
  <c r="AF1283" i="11"/>
  <c r="AF1296" i="11"/>
  <c r="AF1309" i="11"/>
  <c r="AF1321" i="11"/>
  <c r="AG1321" i="11" s="1"/>
  <c r="AF1333" i="11"/>
  <c r="AF1345" i="11"/>
  <c r="AF1357" i="11"/>
  <c r="AF1369" i="11"/>
  <c r="AF1381" i="11"/>
  <c r="AF1393" i="11"/>
  <c r="AF1405" i="11"/>
  <c r="AF1417" i="11"/>
  <c r="AF1429" i="11"/>
  <c r="AF1441" i="11"/>
  <c r="AF1453" i="11"/>
  <c r="AF1465" i="11"/>
  <c r="AF1477" i="11"/>
  <c r="AF1489" i="11"/>
  <c r="AF1501" i="11"/>
  <c r="AF1513" i="11"/>
  <c r="AE8" i="11"/>
  <c r="AE20" i="11"/>
  <c r="AG20" i="11" s="1"/>
  <c r="AE32" i="11"/>
  <c r="AG32" i="11" s="1"/>
  <c r="AE44" i="11"/>
  <c r="AE56" i="11"/>
  <c r="AG56" i="11" s="1"/>
  <c r="AE68" i="11"/>
  <c r="AE80" i="11"/>
  <c r="AG80" i="11" s="1"/>
  <c r="AE92" i="11"/>
  <c r="AE104" i="11"/>
  <c r="AG104" i="11" s="1"/>
  <c r="AE116" i="11"/>
  <c r="AE128" i="11"/>
  <c r="AG128" i="11" s="1"/>
  <c r="AE140" i="11"/>
  <c r="AE152" i="11"/>
  <c r="AE164" i="11"/>
  <c r="AE176" i="11"/>
  <c r="AE188" i="11"/>
  <c r="AG188" i="11" s="1"/>
  <c r="AE200" i="11"/>
  <c r="AE212" i="11"/>
  <c r="AE224" i="11"/>
  <c r="AE236" i="11"/>
  <c r="AG236" i="11" s="1"/>
  <c r="AE248" i="11"/>
  <c r="AE260" i="11"/>
  <c r="AE272" i="11"/>
  <c r="AE284" i="11"/>
  <c r="AE296" i="11"/>
  <c r="AE308" i="11"/>
  <c r="AG308" i="11" s="1"/>
  <c r="AE320" i="11"/>
  <c r="AE332" i="11"/>
  <c r="AE344" i="11"/>
  <c r="AE356" i="11"/>
  <c r="AG356" i="11" s="1"/>
  <c r="AE368" i="11"/>
  <c r="AE380" i="11"/>
  <c r="AG380" i="11" s="1"/>
  <c r="AE392" i="11"/>
  <c r="AE404" i="11"/>
  <c r="AE416" i="11"/>
  <c r="AE428" i="11"/>
  <c r="AG428" i="11" s="1"/>
  <c r="AE440" i="11"/>
  <c r="AE452" i="11"/>
  <c r="AE464" i="11"/>
  <c r="AE476" i="11"/>
  <c r="AE488" i="11"/>
  <c r="AE500" i="11"/>
  <c r="AF103" i="11"/>
  <c r="AF213" i="11"/>
  <c r="AF281" i="11"/>
  <c r="AF346" i="11"/>
  <c r="AF411" i="11"/>
  <c r="AF476" i="11"/>
  <c r="AF533" i="11"/>
  <c r="AF586" i="11"/>
  <c r="AF639" i="11"/>
  <c r="AF691" i="11"/>
  <c r="AF739" i="11"/>
  <c r="AF782" i="11"/>
  <c r="AF824" i="11"/>
  <c r="AF862" i="11"/>
  <c r="AF892" i="11"/>
  <c r="AF916" i="11"/>
  <c r="AF940" i="11"/>
  <c r="AF959" i="11"/>
  <c r="AF981" i="11"/>
  <c r="AF1003" i="11"/>
  <c r="AF1023" i="11"/>
  <c r="AF1042" i="11"/>
  <c r="AF1060" i="11"/>
  <c r="AF1078" i="11"/>
  <c r="AF1095" i="11"/>
  <c r="AF1112" i="11"/>
  <c r="AF1127" i="11"/>
  <c r="AG1127" i="11" s="1"/>
  <c r="AF1143" i="11"/>
  <c r="AF1160" i="11"/>
  <c r="AF1174" i="11"/>
  <c r="AF1188" i="11"/>
  <c r="AF1202" i="11"/>
  <c r="AF1216" i="11"/>
  <c r="AF1232" i="11"/>
  <c r="AF1246" i="11"/>
  <c r="AF1260" i="11"/>
  <c r="AF1274" i="11"/>
  <c r="AF1287" i="11"/>
  <c r="AF1300" i="11"/>
  <c r="AF1313" i="11"/>
  <c r="AF1325" i="11"/>
  <c r="AF1337" i="11"/>
  <c r="AF1349" i="11"/>
  <c r="AF1361" i="11"/>
  <c r="AF1373" i="11"/>
  <c r="AF1385" i="11"/>
  <c r="AF1397" i="11"/>
  <c r="AF1409" i="11"/>
  <c r="AF1421" i="11"/>
  <c r="AF1433" i="11"/>
  <c r="AF1445" i="11"/>
  <c r="AF1457" i="11"/>
  <c r="AF1469" i="11"/>
  <c r="AF1481" i="11"/>
  <c r="AF1493" i="11"/>
  <c r="AF1505" i="11"/>
  <c r="AF1517" i="11"/>
  <c r="AE12" i="11"/>
  <c r="AE24" i="11"/>
  <c r="AE36" i="11"/>
  <c r="AG36" i="11" s="1"/>
  <c r="AE48" i="11"/>
  <c r="AG48" i="11" s="1"/>
  <c r="AE60" i="11"/>
  <c r="AG60" i="11" s="1"/>
  <c r="AE72" i="11"/>
  <c r="AG72" i="11" s="1"/>
  <c r="AE84" i="11"/>
  <c r="AE96" i="11"/>
  <c r="AE108" i="11"/>
  <c r="AE120" i="11"/>
  <c r="AE132" i="11"/>
  <c r="AE144" i="11"/>
  <c r="AE156" i="11"/>
  <c r="AE168" i="11"/>
  <c r="AE180" i="11"/>
  <c r="AG180" i="11" s="1"/>
  <c r="AE192" i="11"/>
  <c r="AG192" i="11" s="1"/>
  <c r="AE204" i="11"/>
  <c r="AG204" i="11" s="1"/>
  <c r="AE216" i="11"/>
  <c r="AG216" i="11" s="1"/>
  <c r="AE228" i="11"/>
  <c r="AE240" i="11"/>
  <c r="AE252" i="11"/>
  <c r="AE264" i="11"/>
  <c r="AE276" i="11"/>
  <c r="AE288" i="11"/>
  <c r="AE300" i="11"/>
  <c r="AF46" i="11"/>
  <c r="AF327" i="11"/>
  <c r="AF515" i="11"/>
  <c r="AF674" i="11"/>
  <c r="AF811" i="11"/>
  <c r="AF910" i="11"/>
  <c r="AF976" i="11"/>
  <c r="AF1039" i="11"/>
  <c r="AF1091" i="11"/>
  <c r="AF1139" i="11"/>
  <c r="AF1185" i="11"/>
  <c r="AF1227" i="11"/>
  <c r="AF1271" i="11"/>
  <c r="AG1271" i="11" s="1"/>
  <c r="AF1310" i="11"/>
  <c r="AF1346" i="11"/>
  <c r="AF1382" i="11"/>
  <c r="AF1408" i="11"/>
  <c r="AF1431" i="11"/>
  <c r="AF1452" i="11"/>
  <c r="AF1474" i="11"/>
  <c r="AF1492" i="11"/>
  <c r="AF1514" i="11"/>
  <c r="AE18" i="11"/>
  <c r="AE37" i="11"/>
  <c r="AE58" i="11"/>
  <c r="AE79" i="11"/>
  <c r="AG79" i="11" s="1"/>
  <c r="AE101" i="11"/>
  <c r="AE119" i="11"/>
  <c r="AE141" i="11"/>
  <c r="AG141" i="11" s="1"/>
  <c r="AE162" i="11"/>
  <c r="AE181" i="11"/>
  <c r="AE198" i="11"/>
  <c r="AG198" i="11" s="1"/>
  <c r="AE214" i="11"/>
  <c r="AE231" i="11"/>
  <c r="AE246" i="11"/>
  <c r="AE262" i="11"/>
  <c r="AG262" i="11" s="1"/>
  <c r="AE279" i="11"/>
  <c r="AE294" i="11"/>
  <c r="AE310" i="11"/>
  <c r="AE324" i="11"/>
  <c r="AG324" i="11" s="1"/>
  <c r="AE339" i="11"/>
  <c r="AG339" i="11" s="1"/>
  <c r="AE353" i="11"/>
  <c r="AG353" i="11" s="1"/>
  <c r="AE367" i="11"/>
  <c r="AE382" i="11"/>
  <c r="AE396" i="11"/>
  <c r="AE411" i="11"/>
  <c r="AE425" i="11"/>
  <c r="AE439" i="11"/>
  <c r="AE454" i="11"/>
  <c r="AE468" i="11"/>
  <c r="AG468" i="11" s="1"/>
  <c r="AE483" i="11"/>
  <c r="AE497" i="11"/>
  <c r="AG497" i="11" s="1"/>
  <c r="AE511" i="11"/>
  <c r="AE524" i="11"/>
  <c r="AE537" i="11"/>
  <c r="AE550" i="11"/>
  <c r="AE563" i="11"/>
  <c r="AE576" i="11"/>
  <c r="AE589" i="11"/>
  <c r="AE603" i="11"/>
  <c r="AE616" i="11"/>
  <c r="AE629" i="11"/>
  <c r="AE642" i="11"/>
  <c r="AG642" i="11" s="1"/>
  <c r="AE654" i="11"/>
  <c r="AG654" i="11" s="1"/>
  <c r="AE666" i="11"/>
  <c r="AG666" i="11" s="1"/>
  <c r="AE678" i="11"/>
  <c r="AE690" i="11"/>
  <c r="AE702" i="11"/>
  <c r="AE714" i="11"/>
  <c r="AE726" i="11"/>
  <c r="AE738" i="11"/>
  <c r="AE750" i="11"/>
  <c r="AE762" i="11"/>
  <c r="AE774" i="11"/>
  <c r="AE786" i="11"/>
  <c r="AE798" i="11"/>
  <c r="AE810" i="11"/>
  <c r="AG810" i="11" s="1"/>
  <c r="AE822" i="11"/>
  <c r="AE834" i="11"/>
  <c r="AE846" i="11"/>
  <c r="AE858" i="11"/>
  <c r="AE870" i="11"/>
  <c r="AE882" i="11"/>
  <c r="AG882" i="11" s="1"/>
  <c r="AE894" i="11"/>
  <c r="AF94" i="11"/>
  <c r="AF343" i="11"/>
  <c r="AF530" i="11"/>
  <c r="AF687" i="11"/>
  <c r="AF822" i="11"/>
  <c r="AF911" i="11"/>
  <c r="AF979" i="11"/>
  <c r="AF1040" i="11"/>
  <c r="AF1093" i="11"/>
  <c r="AF1141" i="11"/>
  <c r="AF1186" i="11"/>
  <c r="AF1228" i="11"/>
  <c r="AF1272" i="11"/>
  <c r="AF1311" i="11"/>
  <c r="AF1347" i="11"/>
  <c r="AF1383" i="11"/>
  <c r="AF1410" i="11"/>
  <c r="AF1432" i="11"/>
  <c r="AF1454" i="11"/>
  <c r="AF1475" i="11"/>
  <c r="AF1494" i="11"/>
  <c r="AF1515" i="11"/>
  <c r="AE19" i="11"/>
  <c r="AE41" i="11"/>
  <c r="AE59" i="11"/>
  <c r="AE81" i="11"/>
  <c r="AG81" i="11" s="1"/>
  <c r="AE102" i="11"/>
  <c r="AE121" i="11"/>
  <c r="AE142" i="11"/>
  <c r="AG142" i="11" s="1"/>
  <c r="AE163" i="11"/>
  <c r="AE184" i="11"/>
  <c r="AE199" i="11"/>
  <c r="AE215" i="11"/>
  <c r="AG215" i="11" s="1"/>
  <c r="AE232" i="11"/>
  <c r="AE247" i="11"/>
  <c r="AE263" i="11"/>
  <c r="AE280" i="11"/>
  <c r="AE295" i="11"/>
  <c r="AE311" i="11"/>
  <c r="AE325" i="11"/>
  <c r="AE340" i="11"/>
  <c r="AE354" i="11"/>
  <c r="AG354" i="11" s="1"/>
  <c r="AE369" i="11"/>
  <c r="AE383" i="11"/>
  <c r="AE397" i="11"/>
  <c r="AE412" i="11"/>
  <c r="AE426" i="11"/>
  <c r="AE441" i="11"/>
  <c r="AG441" i="11" s="1"/>
  <c r="AE455" i="11"/>
  <c r="AE469" i="11"/>
  <c r="AE484" i="11"/>
  <c r="AE498" i="11"/>
  <c r="AG498" i="11" s="1"/>
  <c r="AE512" i="11"/>
  <c r="AG512" i="11" s="1"/>
  <c r="AE525" i="11"/>
  <c r="AE538" i="11"/>
  <c r="AE551" i="11"/>
  <c r="AE564" i="11"/>
  <c r="AE577" i="11"/>
  <c r="AG577" i="11" s="1"/>
  <c r="AE591" i="11"/>
  <c r="AE604" i="11"/>
  <c r="AE617" i="11"/>
  <c r="AE630" i="11"/>
  <c r="AG630" i="11" s="1"/>
  <c r="AE643" i="11"/>
  <c r="AG643" i="11" s="1"/>
  <c r="AE655" i="11"/>
  <c r="AE667" i="11"/>
  <c r="AG667" i="11" s="1"/>
  <c r="AE679" i="11"/>
  <c r="AG679" i="11" s="1"/>
  <c r="AE691" i="11"/>
  <c r="AE703" i="11"/>
  <c r="AE715" i="11"/>
  <c r="AG715" i="11" s="1"/>
  <c r="AE727" i="11"/>
  <c r="AE739" i="11"/>
  <c r="AG739" i="11" s="1"/>
  <c r="AE751" i="11"/>
  <c r="AE763" i="11"/>
  <c r="AE775" i="11"/>
  <c r="AE787" i="11"/>
  <c r="AE799" i="11"/>
  <c r="AG799" i="11" s="1"/>
  <c r="AE811" i="11"/>
  <c r="AG811" i="11" s="1"/>
  <c r="AE823" i="11"/>
  <c r="AE835" i="11"/>
  <c r="AG835" i="11" s="1"/>
  <c r="AE847" i="11"/>
  <c r="AG847" i="11" s="1"/>
  <c r="AE859" i="11"/>
  <c r="AE871" i="11"/>
  <c r="AE883" i="11"/>
  <c r="AE895" i="11"/>
  <c r="AF95" i="11"/>
  <c r="AF345" i="11"/>
  <c r="AF532" i="11"/>
  <c r="AF688" i="11"/>
  <c r="AF823" i="11"/>
  <c r="AF915" i="11"/>
  <c r="AF980" i="11"/>
  <c r="AF1041" i="11"/>
  <c r="AF1094" i="11"/>
  <c r="AF1142" i="11"/>
  <c r="AF1187" i="11"/>
  <c r="AF1231" i="11"/>
  <c r="AF1273" i="11"/>
  <c r="AF1312" i="11"/>
  <c r="AF1348" i="11"/>
  <c r="AF1384" i="11"/>
  <c r="AF1414" i="11"/>
  <c r="AF1434" i="11"/>
  <c r="AF1455" i="11"/>
  <c r="AF1476" i="11"/>
  <c r="AF1498" i="11"/>
  <c r="AF1516" i="11"/>
  <c r="AE21" i="11"/>
  <c r="AE42" i="11"/>
  <c r="AE61" i="11"/>
  <c r="AG61" i="11" s="1"/>
  <c r="AE82" i="11"/>
  <c r="AG82" i="11" s="1"/>
  <c r="AE103" i="11"/>
  <c r="AG103" i="11" s="1"/>
  <c r="AE125" i="11"/>
  <c r="AG125" i="11" s="1"/>
  <c r="AE143" i="11"/>
  <c r="AE165" i="11"/>
  <c r="AE185" i="11"/>
  <c r="AE201" i="11"/>
  <c r="AG201" i="11" s="1"/>
  <c r="AE217" i="11"/>
  <c r="AE233" i="11"/>
  <c r="AE249" i="11"/>
  <c r="AG249" i="11" s="1"/>
  <c r="AE265" i="11"/>
  <c r="AE281" i="11"/>
  <c r="AE297" i="11"/>
  <c r="AE312" i="11"/>
  <c r="AE327" i="11"/>
  <c r="AG327" i="11" s="1"/>
  <c r="AE341" i="11"/>
  <c r="AE355" i="11"/>
  <c r="AE370" i="11"/>
  <c r="AE384" i="11"/>
  <c r="AE399" i="11"/>
  <c r="AE413" i="11"/>
  <c r="AE427" i="11"/>
  <c r="AG427" i="11" s="1"/>
  <c r="AE442" i="11"/>
  <c r="AE456" i="11"/>
  <c r="AE471" i="11"/>
  <c r="AG471" i="11" s="1"/>
  <c r="AE485" i="11"/>
  <c r="AE499" i="11"/>
  <c r="AE513" i="11"/>
  <c r="AE526" i="11"/>
  <c r="AE539" i="11"/>
  <c r="AG539" i="11" s="1"/>
  <c r="AE552" i="11"/>
  <c r="AE565" i="11"/>
  <c r="AE579" i="11"/>
  <c r="AE592" i="11"/>
  <c r="AE605" i="11"/>
  <c r="AE618" i="11"/>
  <c r="AE631" i="11"/>
  <c r="AG631" i="11" s="1"/>
  <c r="AE644" i="11"/>
  <c r="AE656" i="11"/>
  <c r="AE668" i="11"/>
  <c r="AE680" i="11"/>
  <c r="AE692" i="11"/>
  <c r="AG692" i="11" s="1"/>
  <c r="AE704" i="11"/>
  <c r="AE716" i="11"/>
  <c r="AE728" i="11"/>
  <c r="AE740" i="11"/>
  <c r="AG740" i="11" s="1"/>
  <c r="AE752" i="11"/>
  <c r="AG752" i="11" s="1"/>
  <c r="AE764" i="11"/>
  <c r="AE776" i="11"/>
  <c r="AE788" i="11"/>
  <c r="AG788" i="11" s="1"/>
  <c r="AE800" i="11"/>
  <c r="AG800" i="11" s="1"/>
  <c r="AE812" i="11"/>
  <c r="AG812" i="11" s="1"/>
  <c r="AE824" i="11"/>
  <c r="AE836" i="11"/>
  <c r="AG836" i="11" s="1"/>
  <c r="AE848" i="11"/>
  <c r="AG848" i="11" s="1"/>
  <c r="AE860" i="11"/>
  <c r="AF113" i="11"/>
  <c r="AF349" i="11"/>
  <c r="AF536" i="11"/>
  <c r="AF692" i="11"/>
  <c r="AF825" i="11"/>
  <c r="AF920" i="11"/>
  <c r="AG920" i="11" s="1"/>
  <c r="AF982" i="11"/>
  <c r="AF1043" i="11"/>
  <c r="AF1096" i="11"/>
  <c r="AF1144" i="11"/>
  <c r="AF1189" i="11"/>
  <c r="AF1233" i="11"/>
  <c r="AF1275" i="11"/>
  <c r="AF1314" i="11"/>
  <c r="AF1350" i="11"/>
  <c r="AF1386" i="11"/>
  <c r="AF1415" i="11"/>
  <c r="AF1438" i="11"/>
  <c r="AF1456" i="11"/>
  <c r="AF1478" i="11"/>
  <c r="AF1499" i="11"/>
  <c r="AG1499" i="11" s="1"/>
  <c r="AF1518" i="11"/>
  <c r="AE22" i="11"/>
  <c r="AE43" i="11"/>
  <c r="AE65" i="11"/>
  <c r="AE83" i="11"/>
  <c r="AG83" i="11" s="1"/>
  <c r="AE105" i="11"/>
  <c r="AG105" i="11" s="1"/>
  <c r="AE126" i="11"/>
  <c r="AE145" i="11"/>
  <c r="AE166" i="11"/>
  <c r="AE186" i="11"/>
  <c r="AE202" i="11"/>
  <c r="AG202" i="11" s="1"/>
  <c r="AE219" i="11"/>
  <c r="AG219" i="11" s="1"/>
  <c r="AE234" i="11"/>
  <c r="AG234" i="11" s="1"/>
  <c r="AE250" i="11"/>
  <c r="AE267" i="11"/>
  <c r="AE282" i="11"/>
  <c r="AE298" i="11"/>
  <c r="AE313" i="11"/>
  <c r="AE328" i="11"/>
  <c r="AE342" i="11"/>
  <c r="AG342" i="11" s="1"/>
  <c r="AE357" i="11"/>
  <c r="AE371" i="11"/>
  <c r="AE385" i="11"/>
  <c r="AE400" i="11"/>
  <c r="AE414" i="11"/>
  <c r="AE429" i="11"/>
  <c r="AE443" i="11"/>
  <c r="AE457" i="11"/>
  <c r="AE472" i="11"/>
  <c r="AE486" i="11"/>
  <c r="AG486" i="11" s="1"/>
  <c r="AE501" i="11"/>
  <c r="AG501" i="11" s="1"/>
  <c r="AE514" i="11"/>
  <c r="AE527" i="11"/>
  <c r="AE540" i="11"/>
  <c r="AE553" i="11"/>
  <c r="AE567" i="11"/>
  <c r="AE580" i="11"/>
  <c r="AE593" i="11"/>
  <c r="AE606" i="11"/>
  <c r="AE619" i="11"/>
  <c r="AE632" i="11"/>
  <c r="AG632" i="11" s="1"/>
  <c r="AE645" i="11"/>
  <c r="AE657" i="11"/>
  <c r="AE669" i="11"/>
  <c r="AG669" i="11" s="1"/>
  <c r="AE681" i="11"/>
  <c r="AE693" i="11"/>
  <c r="AG693" i="11" s="1"/>
  <c r="AE705" i="11"/>
  <c r="AE717" i="11"/>
  <c r="AG717" i="11" s="1"/>
  <c r="AE729" i="11"/>
  <c r="AF181" i="11"/>
  <c r="AF392" i="11"/>
  <c r="AF571" i="11"/>
  <c r="AF724" i="11"/>
  <c r="AF851" i="11"/>
  <c r="AF934" i="11"/>
  <c r="AF995" i="11"/>
  <c r="AF1055" i="11"/>
  <c r="AF1107" i="11"/>
  <c r="AF1155" i="11"/>
  <c r="AF1199" i="11"/>
  <c r="AF1243" i="11"/>
  <c r="AG1243" i="11" s="1"/>
  <c r="AF1284" i="11"/>
  <c r="AF1322" i="11"/>
  <c r="AG1322" i="11" s="1"/>
  <c r="AF1358" i="11"/>
  <c r="AF1394" i="11"/>
  <c r="AF1418" i="11"/>
  <c r="AF1439" i="11"/>
  <c r="AG1439" i="11" s="1"/>
  <c r="AF1458" i="11"/>
  <c r="AF1479" i="11"/>
  <c r="AF1500" i="11"/>
  <c r="AE5" i="11"/>
  <c r="AE23" i="11"/>
  <c r="AE45" i="11"/>
  <c r="AE66" i="11"/>
  <c r="AG66" i="11" s="1"/>
  <c r="AE85" i="11"/>
  <c r="AE106" i="11"/>
  <c r="AG106" i="11" s="1"/>
  <c r="AE127" i="11"/>
  <c r="AE149" i="11"/>
  <c r="AE167" i="11"/>
  <c r="AE187" i="11"/>
  <c r="AE203" i="11"/>
  <c r="AE220" i="11"/>
  <c r="AE235" i="11"/>
  <c r="AG235" i="11" s="1"/>
  <c r="AE251" i="11"/>
  <c r="AE268" i="11"/>
  <c r="AG268" i="11" s="1"/>
  <c r="AE283" i="11"/>
  <c r="AE299" i="11"/>
  <c r="AE315" i="11"/>
  <c r="AE329" i="11"/>
  <c r="AE343" i="11"/>
  <c r="AE358" i="11"/>
  <c r="AE372" i="11"/>
  <c r="AE387" i="11"/>
  <c r="AE401" i="11"/>
  <c r="AE415" i="11"/>
  <c r="AE430" i="11"/>
  <c r="AE444" i="11"/>
  <c r="AE459" i="11"/>
  <c r="AG459" i="11" s="1"/>
  <c r="AE473" i="11"/>
  <c r="AG473" i="11" s="1"/>
  <c r="AE487" i="11"/>
  <c r="AE502" i="11"/>
  <c r="AE515" i="11"/>
  <c r="AE528" i="11"/>
  <c r="AE541" i="11"/>
  <c r="AE555" i="11"/>
  <c r="AE568" i="11"/>
  <c r="AE581" i="11"/>
  <c r="AG581" i="11" s="1"/>
  <c r="AE594" i="11"/>
  <c r="AE607" i="11"/>
  <c r="AE620" i="11"/>
  <c r="AE633" i="11"/>
  <c r="AE646" i="11"/>
  <c r="AG646" i="11" s="1"/>
  <c r="AE658" i="11"/>
  <c r="AG658" i="11" s="1"/>
  <c r="AE670" i="11"/>
  <c r="AE682" i="11"/>
  <c r="AE694" i="11"/>
  <c r="AG694" i="11" s="1"/>
  <c r="AE706" i="11"/>
  <c r="AE718" i="11"/>
  <c r="AE730" i="11"/>
  <c r="AG730" i="11" s="1"/>
  <c r="AE742" i="11"/>
  <c r="AE754" i="11"/>
  <c r="AE766" i="11"/>
  <c r="AE778" i="11"/>
  <c r="AE790" i="11"/>
  <c r="AG790" i="11" s="1"/>
  <c r="AE802" i="11"/>
  <c r="AE814" i="11"/>
  <c r="AE826" i="11"/>
  <c r="AE838" i="11"/>
  <c r="AG838" i="11" s="1"/>
  <c r="AE850" i="11"/>
  <c r="AG850" i="11" s="1"/>
  <c r="AE862" i="11"/>
  <c r="AG862" i="11" s="1"/>
  <c r="AE874" i="11"/>
  <c r="AG874" i="11" s="1"/>
  <c r="AE886" i="11"/>
  <c r="AE898" i="11"/>
  <c r="AE910" i="11"/>
  <c r="AE922" i="11"/>
  <c r="AE934" i="11"/>
  <c r="AE946" i="11"/>
  <c r="AE958" i="11"/>
  <c r="AE970" i="11"/>
  <c r="AE982" i="11"/>
  <c r="AE994" i="11"/>
  <c r="AE1006" i="11"/>
  <c r="AE1018" i="11"/>
  <c r="AE1030" i="11"/>
  <c r="AE1042" i="11"/>
  <c r="AE1054" i="11"/>
  <c r="AE1066" i="11"/>
  <c r="AG1066" i="11" s="1"/>
  <c r="AE1078" i="11"/>
  <c r="AE1090" i="11"/>
  <c r="AE1102" i="11"/>
  <c r="AE1114" i="11"/>
  <c r="AE1126" i="11"/>
  <c r="AE1138" i="11"/>
  <c r="AG1138" i="11" s="1"/>
  <c r="AE1150" i="11"/>
  <c r="AE1162" i="11"/>
  <c r="AG1162" i="11" s="1"/>
  <c r="AE1174" i="11"/>
  <c r="AE1186" i="11"/>
  <c r="AE1198" i="11"/>
  <c r="AE1210" i="11"/>
  <c r="AE1222" i="11"/>
  <c r="AE1234" i="11"/>
  <c r="AG1234" i="11" s="1"/>
  <c r="AE1246" i="11"/>
  <c r="AG1246" i="11" s="1"/>
  <c r="AE1258" i="11"/>
  <c r="AE1270" i="11"/>
  <c r="AE1282" i="11"/>
  <c r="AE1294" i="11"/>
  <c r="AG1294" i="11" s="1"/>
  <c r="AE1306" i="11"/>
  <c r="AG1306" i="11" s="1"/>
  <c r="AE1318" i="11"/>
  <c r="AE1330" i="11"/>
  <c r="AE1342" i="11"/>
  <c r="AF207" i="11"/>
  <c r="AF407" i="11"/>
  <c r="AF584" i="11"/>
  <c r="AF736" i="11"/>
  <c r="AF860" i="11"/>
  <c r="AF935" i="11"/>
  <c r="AG935" i="11" s="1"/>
  <c r="AF999" i="11"/>
  <c r="AF1058" i="11"/>
  <c r="AF1108" i="11"/>
  <c r="AF1156" i="11"/>
  <c r="AF1200" i="11"/>
  <c r="AF1244" i="11"/>
  <c r="AF1285" i="11"/>
  <c r="AF1323" i="11"/>
  <c r="AG1323" i="11" s="1"/>
  <c r="AF1359" i="11"/>
  <c r="AF1395" i="11"/>
  <c r="AF1419" i="11"/>
  <c r="AF1440" i="11"/>
  <c r="AF1462" i="11"/>
  <c r="AF1480" i="11"/>
  <c r="AF1502" i="11"/>
  <c r="AE6" i="11"/>
  <c r="AE25" i="11"/>
  <c r="AG25" i="11" s="1"/>
  <c r="AE46" i="11"/>
  <c r="AG46" i="11" s="1"/>
  <c r="AE67" i="11"/>
  <c r="AE89" i="11"/>
  <c r="AE107" i="11"/>
  <c r="AG107" i="11" s="1"/>
  <c r="AE129" i="11"/>
  <c r="AE150" i="11"/>
  <c r="AE169" i="11"/>
  <c r="AE189" i="11"/>
  <c r="AG189" i="11" s="1"/>
  <c r="AE205" i="11"/>
  <c r="AE221" i="11"/>
  <c r="AG221" i="11" s="1"/>
  <c r="AE237" i="11"/>
  <c r="AE253" i="11"/>
  <c r="AG253" i="11" s="1"/>
  <c r="AE269" i="11"/>
  <c r="AE285" i="11"/>
  <c r="AE301" i="11"/>
  <c r="AG301" i="11" s="1"/>
  <c r="AE316" i="11"/>
  <c r="AG316" i="11" s="1"/>
  <c r="AE330" i="11"/>
  <c r="AE345" i="11"/>
  <c r="AE359" i="11"/>
  <c r="AE373" i="11"/>
  <c r="AE388" i="11"/>
  <c r="AE402" i="11"/>
  <c r="AG402" i="11" s="1"/>
  <c r="AE417" i="11"/>
  <c r="AE431" i="11"/>
  <c r="AG431" i="11" s="1"/>
  <c r="AE445" i="11"/>
  <c r="AE460" i="11"/>
  <c r="AE474" i="11"/>
  <c r="AE489" i="11"/>
  <c r="AE503" i="11"/>
  <c r="AE516" i="11"/>
  <c r="AE529" i="11"/>
  <c r="AE543" i="11"/>
  <c r="AG543" i="11" s="1"/>
  <c r="AE556" i="11"/>
  <c r="AE569" i="11"/>
  <c r="AE582" i="11"/>
  <c r="AE595" i="11"/>
  <c r="AG595" i="11" s="1"/>
  <c r="AE608" i="11"/>
  <c r="AG608" i="11" s="1"/>
  <c r="AE621" i="11"/>
  <c r="AG621" i="11" s="1"/>
  <c r="AE634" i="11"/>
  <c r="AE647" i="11"/>
  <c r="AG647" i="11" s="1"/>
  <c r="AE659" i="11"/>
  <c r="AE671" i="11"/>
  <c r="AE683" i="11"/>
  <c r="AE695" i="11"/>
  <c r="AE707" i="11"/>
  <c r="AE719" i="11"/>
  <c r="AG719" i="11" s="1"/>
  <c r="AE731" i="11"/>
  <c r="AE743" i="11"/>
  <c r="AG743" i="11" s="1"/>
  <c r="AE755" i="11"/>
  <c r="AE767" i="11"/>
  <c r="AF209" i="11"/>
  <c r="AG209" i="11" s="1"/>
  <c r="AF409" i="11"/>
  <c r="AF585" i="11"/>
  <c r="AF737" i="11"/>
  <c r="AF861" i="11"/>
  <c r="AF939" i="11"/>
  <c r="AF1000" i="11"/>
  <c r="AF1059" i="11"/>
  <c r="AF1111" i="11"/>
  <c r="AG1111" i="11" s="1"/>
  <c r="AF1159" i="11"/>
  <c r="AG1159" i="11" s="1"/>
  <c r="AF1201" i="11"/>
  <c r="AF1245" i="11"/>
  <c r="AF1286" i="11"/>
  <c r="AF1324" i="11"/>
  <c r="AF1360" i="11"/>
  <c r="AF1396" i="11"/>
  <c r="AF1420" i="11"/>
  <c r="AF1442" i="11"/>
  <c r="AF1463" i="11"/>
  <c r="AF1482" i="11"/>
  <c r="AF1503" i="11"/>
  <c r="AE7" i="11"/>
  <c r="AE29" i="11"/>
  <c r="AE47" i="11"/>
  <c r="AG47" i="11" s="1"/>
  <c r="AE69" i="11"/>
  <c r="AE90" i="11"/>
  <c r="AE109" i="11"/>
  <c r="AE130" i="11"/>
  <c r="AE151" i="11"/>
  <c r="AE173" i="11"/>
  <c r="AG173" i="11" s="1"/>
  <c r="AE190" i="11"/>
  <c r="AE207" i="11"/>
  <c r="AE222" i="11"/>
  <c r="AE238" i="11"/>
  <c r="AE255" i="11"/>
  <c r="AE270" i="11"/>
  <c r="AE286" i="11"/>
  <c r="AG286" i="11" s="1"/>
  <c r="AE303" i="11"/>
  <c r="AE317" i="11"/>
  <c r="AE331" i="11"/>
  <c r="AE346" i="11"/>
  <c r="AE360" i="11"/>
  <c r="AG360" i="11" s="1"/>
  <c r="AE375" i="11"/>
  <c r="AE389" i="11"/>
  <c r="AG389" i="11" s="1"/>
  <c r="AE403" i="11"/>
  <c r="AE418" i="11"/>
  <c r="AE432" i="11"/>
  <c r="AE447" i="11"/>
  <c r="AE461" i="11"/>
  <c r="AE475" i="11"/>
  <c r="AE490" i="11"/>
  <c r="AE504" i="11"/>
  <c r="AE517" i="11"/>
  <c r="AE531" i="11"/>
  <c r="AE544" i="11"/>
  <c r="AE557" i="11"/>
  <c r="AG557" i="11" s="1"/>
  <c r="AE570" i="11"/>
  <c r="AE583" i="11"/>
  <c r="AE596" i="11"/>
  <c r="AE609" i="11"/>
  <c r="AG609" i="11" s="1"/>
  <c r="AE622" i="11"/>
  <c r="AE635" i="11"/>
  <c r="AG635" i="11" s="1"/>
  <c r="AE648" i="11"/>
  <c r="AE660" i="11"/>
  <c r="AE672" i="11"/>
  <c r="AE684" i="11"/>
  <c r="AE696" i="11"/>
  <c r="AE708" i="11"/>
  <c r="AE720" i="11"/>
  <c r="AE732" i="11"/>
  <c r="AE744" i="11"/>
  <c r="AE756" i="11"/>
  <c r="AG756" i="11" s="1"/>
  <c r="AE768" i="11"/>
  <c r="AG768" i="11" s="1"/>
  <c r="AE780" i="11"/>
  <c r="AE792" i="11"/>
  <c r="AE804" i="11"/>
  <c r="AE816" i="11"/>
  <c r="AE828" i="11"/>
  <c r="AE840" i="11"/>
  <c r="AE852" i="11"/>
  <c r="AG852" i="11" s="1"/>
  <c r="AE864" i="11"/>
  <c r="AG864" i="11" s="1"/>
  <c r="AE876" i="11"/>
  <c r="AG876" i="11" s="1"/>
  <c r="AE888" i="11"/>
  <c r="AE900" i="11"/>
  <c r="AE912" i="11"/>
  <c r="AE924" i="11"/>
  <c r="AE936" i="11"/>
  <c r="AE948" i="11"/>
  <c r="AE960" i="11"/>
  <c r="AE972" i="11"/>
  <c r="AE984" i="11"/>
  <c r="AE996" i="11"/>
  <c r="AG996" i="11" s="1"/>
  <c r="AE1008" i="11"/>
  <c r="AG1008" i="11" s="1"/>
  <c r="AE1020" i="11"/>
  <c r="AG1020" i="11" s="1"/>
  <c r="AE1032" i="11"/>
  <c r="AE1044" i="11"/>
  <c r="AE1056" i="11"/>
  <c r="AE1068" i="11"/>
  <c r="AE1080" i="11"/>
  <c r="AE1092" i="11"/>
  <c r="AE1104" i="11"/>
  <c r="AE1116" i="11"/>
  <c r="AE1128" i="11"/>
  <c r="AE1140" i="11"/>
  <c r="AG1140" i="11" s="1"/>
  <c r="AE1152" i="11"/>
  <c r="AG1152" i="11" s="1"/>
  <c r="AE1164" i="11"/>
  <c r="AG1164" i="11" s="1"/>
  <c r="AE1176" i="11"/>
  <c r="AE1188" i="11"/>
  <c r="AG1188" i="11" s="1"/>
  <c r="AE1200" i="11"/>
  <c r="AE1212" i="11"/>
  <c r="AE1224" i="11"/>
  <c r="AE1236" i="11"/>
  <c r="AE1248" i="11"/>
  <c r="AE1260" i="11"/>
  <c r="AG1260" i="11" s="1"/>
  <c r="AE1272" i="11"/>
  <c r="AG1272" i="11" s="1"/>
  <c r="AE1284" i="11"/>
  <c r="AE1296" i="11"/>
  <c r="AE1308" i="11"/>
  <c r="AG1308" i="11" s="1"/>
  <c r="AE1320" i="11"/>
  <c r="AE1332" i="11"/>
  <c r="AE1344" i="11"/>
  <c r="AE1356" i="11"/>
  <c r="AE1368" i="11"/>
  <c r="AE1380" i="11"/>
  <c r="AE1392" i="11"/>
  <c r="AF279" i="11"/>
  <c r="AF475" i="11"/>
  <c r="AF638" i="11"/>
  <c r="AF781" i="11"/>
  <c r="AF891" i="11"/>
  <c r="AF958" i="11"/>
  <c r="AF1019" i="11"/>
  <c r="AG1019" i="11" s="1"/>
  <c r="AF1077" i="11"/>
  <c r="AF1126" i="11"/>
  <c r="AF1173" i="11"/>
  <c r="AF1215" i="11"/>
  <c r="AF1259" i="11"/>
  <c r="AF1299" i="11"/>
  <c r="AF1336" i="11"/>
  <c r="AF1372" i="11"/>
  <c r="AF1406" i="11"/>
  <c r="AF1428" i="11"/>
  <c r="AF1450" i="11"/>
  <c r="AF1468" i="11"/>
  <c r="AF1490" i="11"/>
  <c r="AF1511" i="11"/>
  <c r="AE13" i="11"/>
  <c r="AE34" i="11"/>
  <c r="AE55" i="11"/>
  <c r="AG55" i="11" s="1"/>
  <c r="AE77" i="11"/>
  <c r="AE95" i="11"/>
  <c r="AG95" i="11" s="1"/>
  <c r="AE117" i="11"/>
  <c r="AE138" i="11"/>
  <c r="AE157" i="11"/>
  <c r="AG157" i="11" s="1"/>
  <c r="AE178" i="11"/>
  <c r="AG178" i="11" s="1"/>
  <c r="AE196" i="11"/>
  <c r="AE211" i="11"/>
  <c r="AE227" i="11"/>
  <c r="AE244" i="11"/>
  <c r="AE259" i="11"/>
  <c r="AG259" i="11" s="1"/>
  <c r="AE275" i="11"/>
  <c r="AE292" i="11"/>
  <c r="AG292" i="11" s="1"/>
  <c r="AE307" i="11"/>
  <c r="AE322" i="11"/>
  <c r="AG322" i="11" s="1"/>
  <c r="AE336" i="11"/>
  <c r="AG336" i="11" s="1"/>
  <c r="AE351" i="11"/>
  <c r="AE365" i="11"/>
  <c r="AE379" i="11"/>
  <c r="AE394" i="11"/>
  <c r="AE408" i="11"/>
  <c r="AE423" i="11"/>
  <c r="AE437" i="11"/>
  <c r="AE451" i="11"/>
  <c r="AE466" i="11"/>
  <c r="AE480" i="11"/>
  <c r="AG480" i="11" s="1"/>
  <c r="AE495" i="11"/>
  <c r="AE509" i="11"/>
  <c r="AE522" i="11"/>
  <c r="AG522" i="11" s="1"/>
  <c r="AE535" i="11"/>
  <c r="AE548" i="11"/>
  <c r="AE561" i="11"/>
  <c r="AE574" i="11"/>
  <c r="AE587" i="11"/>
  <c r="AE600" i="11"/>
  <c r="AE613" i="11"/>
  <c r="AE627" i="11"/>
  <c r="AE640" i="11"/>
  <c r="AE652" i="11"/>
  <c r="AG652" i="11" s="1"/>
  <c r="AE664" i="11"/>
  <c r="AG664" i="11" s="1"/>
  <c r="AE676" i="11"/>
  <c r="AE688" i="11"/>
  <c r="AE700" i="11"/>
  <c r="AE712" i="11"/>
  <c r="AG712" i="11" s="1"/>
  <c r="AE724" i="11"/>
  <c r="AG724" i="11" s="1"/>
  <c r="AE736" i="11"/>
  <c r="AG736" i="11" s="1"/>
  <c r="AE748" i="11"/>
  <c r="AE760" i="11"/>
  <c r="AE772" i="11"/>
  <c r="AE784" i="11"/>
  <c r="AE796" i="11"/>
  <c r="AG796" i="11" s="1"/>
  <c r="AE808" i="11"/>
  <c r="AG808" i="11" s="1"/>
  <c r="AE820" i="11"/>
  <c r="AE832" i="11"/>
  <c r="AE844" i="11"/>
  <c r="AE856" i="11"/>
  <c r="AE868" i="11"/>
  <c r="AE880" i="11"/>
  <c r="AG880" i="11" s="1"/>
  <c r="AE892" i="11"/>
  <c r="AE904" i="11"/>
  <c r="AE916" i="11"/>
  <c r="AE928" i="11"/>
  <c r="AG928" i="11" s="1"/>
  <c r="AE940" i="11"/>
  <c r="AE952" i="11"/>
  <c r="AE964" i="11"/>
  <c r="AE976" i="11"/>
  <c r="AE988" i="11"/>
  <c r="AG988" i="11" s="1"/>
  <c r="AE1000" i="11"/>
  <c r="AE1012" i="11"/>
  <c r="AE1024" i="11"/>
  <c r="AE1036" i="11"/>
  <c r="AE1048" i="11"/>
  <c r="AE1060" i="11"/>
  <c r="AG1060" i="11" s="1"/>
  <c r="AE1072" i="11"/>
  <c r="AE1084" i="11"/>
  <c r="AG1084" i="11" s="1"/>
  <c r="AE1096" i="11"/>
  <c r="AG1096" i="11" s="1"/>
  <c r="AE1108" i="11"/>
  <c r="AE1120" i="11"/>
  <c r="AG1120" i="11" s="1"/>
  <c r="AE1132" i="11"/>
  <c r="AE1144" i="11"/>
  <c r="AE1156" i="11"/>
  <c r="AE1168" i="11"/>
  <c r="AE1180" i="11"/>
  <c r="AE1192" i="11"/>
  <c r="AE1204" i="11"/>
  <c r="AE1216" i="11"/>
  <c r="AE1228" i="11"/>
  <c r="AG1228" i="11" s="1"/>
  <c r="AE1240" i="11"/>
  <c r="AE1252" i="11"/>
  <c r="AE1264" i="11"/>
  <c r="AE1276" i="11"/>
  <c r="AG1276" i="11" s="1"/>
  <c r="AE1288" i="11"/>
  <c r="AE1300" i="11"/>
  <c r="AE1312" i="11"/>
  <c r="AE1515" i="11"/>
  <c r="AE1503" i="11"/>
  <c r="AE1491" i="11"/>
  <c r="AE1479" i="11"/>
  <c r="AE1467" i="11"/>
  <c r="AE1419" i="11"/>
  <c r="AE1407" i="11"/>
  <c r="AE1395" i="11"/>
  <c r="AE1382" i="11"/>
  <c r="AE1369" i="11"/>
  <c r="AE1355" i="11"/>
  <c r="AE1341" i="11"/>
  <c r="AE1327" i="11"/>
  <c r="AE1313" i="11"/>
  <c r="AE1297" i="11"/>
  <c r="AE1280" i="11"/>
  <c r="AG1280" i="11" s="1"/>
  <c r="AE1265" i="11"/>
  <c r="AG1265" i="11" s="1"/>
  <c r="AE1249" i="11"/>
  <c r="AG1249" i="11" s="1"/>
  <c r="AE1232" i="11"/>
  <c r="AE1217" i="11"/>
  <c r="AE1201" i="11"/>
  <c r="AE1184" i="11"/>
  <c r="AE1169" i="11"/>
  <c r="AE1153" i="11"/>
  <c r="AE1136" i="11"/>
  <c r="AE1121" i="11"/>
  <c r="AE1105" i="11"/>
  <c r="AE1088" i="11"/>
  <c r="AE1073" i="11"/>
  <c r="AE1057" i="11"/>
  <c r="AE1040" i="11"/>
  <c r="AE1025" i="11"/>
  <c r="AE1009" i="11"/>
  <c r="AE992" i="11"/>
  <c r="AE977" i="11"/>
  <c r="AE961" i="11"/>
  <c r="AE944" i="11"/>
  <c r="AE929" i="11"/>
  <c r="AE913" i="11"/>
  <c r="AE896" i="11"/>
  <c r="AE875" i="11"/>
  <c r="AE853" i="11"/>
  <c r="AE829" i="11"/>
  <c r="AE805" i="11"/>
  <c r="AG805" i="11" s="1"/>
  <c r="AE781" i="11"/>
  <c r="AE753" i="11"/>
  <c r="AG753" i="11" s="1"/>
  <c r="AE722" i="11"/>
  <c r="AG722" i="11" s="1"/>
  <c r="AE686" i="11"/>
  <c r="AE650" i="11"/>
  <c r="AE611" i="11"/>
  <c r="AG611" i="11" s="1"/>
  <c r="AE572" i="11"/>
  <c r="AE533" i="11"/>
  <c r="AE492" i="11"/>
  <c r="AG492" i="11" s="1"/>
  <c r="AE449" i="11"/>
  <c r="AG449" i="11" s="1"/>
  <c r="AE406" i="11"/>
  <c r="AE363" i="11"/>
  <c r="AE319" i="11"/>
  <c r="AG319" i="11" s="1"/>
  <c r="AE273" i="11"/>
  <c r="AE225" i="11"/>
  <c r="AG225" i="11" s="1"/>
  <c r="AE175" i="11"/>
  <c r="AE114" i="11"/>
  <c r="AE53" i="11"/>
  <c r="AF1506" i="11"/>
  <c r="AF1444" i="11"/>
  <c r="AF1370" i="11"/>
  <c r="AF1257" i="11"/>
  <c r="AF1124" i="11"/>
  <c r="AF956" i="11"/>
  <c r="AF623" i="11"/>
  <c r="AG510" i="11"/>
  <c r="AG78" i="11"/>
  <c r="AG1412" i="11"/>
  <c r="AE1431" i="11"/>
  <c r="AE1514" i="11"/>
  <c r="AE1502" i="11"/>
  <c r="AE1490" i="11"/>
  <c r="AE1478" i="11"/>
  <c r="AE1466" i="11"/>
  <c r="AE1442" i="11"/>
  <c r="AG1442" i="11" s="1"/>
  <c r="AE1430" i="11"/>
  <c r="AE1418" i="11"/>
  <c r="AE1406" i="11"/>
  <c r="AE1394" i="11"/>
  <c r="AE1381" i="11"/>
  <c r="AE1367" i="11"/>
  <c r="AE1354" i="11"/>
  <c r="AE1340" i="11"/>
  <c r="AE1326" i="11"/>
  <c r="AG1326" i="11" s="1"/>
  <c r="AE1311" i="11"/>
  <c r="AG1311" i="11" s="1"/>
  <c r="AE1295" i="11"/>
  <c r="AG1295" i="11" s="1"/>
  <c r="AE1279" i="11"/>
  <c r="AG1279" i="11" s="1"/>
  <c r="AE1263" i="11"/>
  <c r="AG1263" i="11" s="1"/>
  <c r="AE1247" i="11"/>
  <c r="AE1231" i="11"/>
  <c r="AE1215" i="11"/>
  <c r="AE1199" i="11"/>
  <c r="AE1183" i="11"/>
  <c r="AE1167" i="11"/>
  <c r="AE1151" i="11"/>
  <c r="AE1135" i="11"/>
  <c r="AE1119" i="11"/>
  <c r="AG1119" i="11" s="1"/>
  <c r="AE1103" i="11"/>
  <c r="AG1103" i="11" s="1"/>
  <c r="AE1087" i="11"/>
  <c r="AG1087" i="11" s="1"/>
  <c r="AE1071" i="11"/>
  <c r="AE1055" i="11"/>
  <c r="AE1039" i="11"/>
  <c r="AE1023" i="11"/>
  <c r="AE1007" i="11"/>
  <c r="AE991" i="11"/>
  <c r="AE975" i="11"/>
  <c r="AE959" i="11"/>
  <c r="AE943" i="11"/>
  <c r="AE927" i="11"/>
  <c r="AE911" i="11"/>
  <c r="AE893" i="11"/>
  <c r="AE873" i="11"/>
  <c r="AG873" i="11" s="1"/>
  <c r="AE851" i="11"/>
  <c r="AE827" i="11"/>
  <c r="AE803" i="11"/>
  <c r="AE779" i="11"/>
  <c r="AE749" i="11"/>
  <c r="AE721" i="11"/>
  <c r="AE685" i="11"/>
  <c r="AE649" i="11"/>
  <c r="AE610" i="11"/>
  <c r="AE571" i="11"/>
  <c r="AG571" i="11" s="1"/>
  <c r="AE532" i="11"/>
  <c r="AG532" i="11" s="1"/>
  <c r="AE491" i="11"/>
  <c r="AG491" i="11" s="1"/>
  <c r="AE448" i="11"/>
  <c r="AE405" i="11"/>
  <c r="AE361" i="11"/>
  <c r="AE318" i="11"/>
  <c r="AE271" i="11"/>
  <c r="AE223" i="11"/>
  <c r="AE174" i="11"/>
  <c r="AE113" i="11"/>
  <c r="AE49" i="11"/>
  <c r="AF1504" i="11"/>
  <c r="AF1443" i="11"/>
  <c r="AF1362" i="11"/>
  <c r="AG1362" i="11" s="1"/>
  <c r="AF1247" i="11"/>
  <c r="AF1113" i="11"/>
  <c r="AG1113" i="11" s="1"/>
  <c r="AF943" i="11"/>
  <c r="AF587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V1001" i="11"/>
  <c r="V1002" i="11"/>
  <c r="V1003" i="11"/>
  <c r="V1004" i="11"/>
  <c r="V1005" i="11"/>
  <c r="V1006" i="11"/>
  <c r="V1007" i="11"/>
  <c r="V1008" i="11"/>
  <c r="V1009" i="11"/>
  <c r="V1010" i="11"/>
  <c r="V1011" i="11"/>
  <c r="V1012" i="11"/>
  <c r="V1013" i="11"/>
  <c r="V1014" i="11"/>
  <c r="V1015" i="11"/>
  <c r="V1016" i="11"/>
  <c r="V1017" i="11"/>
  <c r="V1018" i="11"/>
  <c r="V1019" i="11"/>
  <c r="V1020" i="11"/>
  <c r="V1021" i="11"/>
  <c r="V1022" i="11"/>
  <c r="V1023" i="11"/>
  <c r="V1024" i="11"/>
  <c r="V1025" i="11"/>
  <c r="V1026" i="11"/>
  <c r="V1027" i="11"/>
  <c r="V1028" i="11"/>
  <c r="V1029" i="11"/>
  <c r="V1030" i="11"/>
  <c r="V1031" i="11"/>
  <c r="V1032" i="11"/>
  <c r="V1033" i="11"/>
  <c r="V1034" i="11"/>
  <c r="V1035" i="11"/>
  <c r="V1036" i="11"/>
  <c r="V1037" i="11"/>
  <c r="V1038" i="11"/>
  <c r="V1039" i="11"/>
  <c r="V1040" i="11"/>
  <c r="V1041" i="11"/>
  <c r="V1042" i="11"/>
  <c r="V1043" i="11"/>
  <c r="V1044" i="11"/>
  <c r="V1045" i="11"/>
  <c r="V1046" i="11"/>
  <c r="V1047" i="11"/>
  <c r="V1048" i="11"/>
  <c r="V1049" i="11"/>
  <c r="V1050" i="11"/>
  <c r="V1051" i="11"/>
  <c r="V1052" i="11"/>
  <c r="V1053" i="11"/>
  <c r="V1054" i="11"/>
  <c r="V1055" i="11"/>
  <c r="V1056" i="11"/>
  <c r="V1057" i="11"/>
  <c r="V1058" i="11"/>
  <c r="V1059" i="11"/>
  <c r="V1060" i="11"/>
  <c r="V1061" i="11"/>
  <c r="V1062" i="11"/>
  <c r="V1063" i="11"/>
  <c r="V1064" i="11"/>
  <c r="V1065" i="11"/>
  <c r="V1066" i="11"/>
  <c r="V1067" i="11"/>
  <c r="V1068" i="11"/>
  <c r="V1069" i="11"/>
  <c r="V1070" i="11"/>
  <c r="V1071" i="11"/>
  <c r="V1072" i="11"/>
  <c r="V1073" i="11"/>
  <c r="V1074" i="11"/>
  <c r="V1075" i="11"/>
  <c r="V1076" i="11"/>
  <c r="V1077" i="11"/>
  <c r="V1078" i="11"/>
  <c r="V1079" i="11"/>
  <c r="V1080" i="11"/>
  <c r="V1081" i="11"/>
  <c r="V1082" i="11"/>
  <c r="V1083" i="11"/>
  <c r="V1084" i="11"/>
  <c r="V1085" i="11"/>
  <c r="V1086" i="11"/>
  <c r="V1087" i="11"/>
  <c r="V1088" i="11"/>
  <c r="V1089" i="11"/>
  <c r="V1090" i="11"/>
  <c r="V1091" i="11"/>
  <c r="V1092" i="11"/>
  <c r="V1093" i="11"/>
  <c r="V1094" i="11"/>
  <c r="V1095" i="11"/>
  <c r="V1096" i="11"/>
  <c r="V1097" i="11"/>
  <c r="V1098" i="11"/>
  <c r="V1099" i="11"/>
  <c r="V1100" i="11"/>
  <c r="V1101" i="11"/>
  <c r="V1102" i="11"/>
  <c r="V1103" i="11"/>
  <c r="V1104" i="11"/>
  <c r="V1105" i="11"/>
  <c r="V1106" i="11"/>
  <c r="V1107" i="11"/>
  <c r="V1108" i="11"/>
  <c r="V1109" i="11"/>
  <c r="V1110" i="11"/>
  <c r="V1111" i="11"/>
  <c r="V1112" i="11"/>
  <c r="V1113" i="11"/>
  <c r="V1114" i="11"/>
  <c r="V1115" i="11"/>
  <c r="V1116" i="11"/>
  <c r="V1117" i="11"/>
  <c r="V1118" i="11"/>
  <c r="V1119" i="11"/>
  <c r="V1120" i="11"/>
  <c r="V1121" i="11"/>
  <c r="V1122" i="11"/>
  <c r="V1123" i="11"/>
  <c r="V1124" i="11"/>
  <c r="V1125" i="11"/>
  <c r="V1126" i="11"/>
  <c r="V1127" i="11"/>
  <c r="V1128" i="11"/>
  <c r="V1129" i="11"/>
  <c r="V1130" i="11"/>
  <c r="V1131" i="11"/>
  <c r="V1132" i="11"/>
  <c r="V1133" i="11"/>
  <c r="V1134" i="11"/>
  <c r="V1135" i="11"/>
  <c r="V1136" i="11"/>
  <c r="V1137" i="11"/>
  <c r="V1138" i="11"/>
  <c r="V1139" i="11"/>
  <c r="V1140" i="11"/>
  <c r="V1141" i="11"/>
  <c r="V1142" i="11"/>
  <c r="V1143" i="11"/>
  <c r="V1144" i="11"/>
  <c r="V1145" i="11"/>
  <c r="V1146" i="11"/>
  <c r="V1147" i="11"/>
  <c r="V1148" i="11"/>
  <c r="V1149" i="11"/>
  <c r="V1150" i="11"/>
  <c r="V1151" i="11"/>
  <c r="V1152" i="11"/>
  <c r="V1153" i="11"/>
  <c r="V1154" i="11"/>
  <c r="V1155" i="11"/>
  <c r="V1156" i="11"/>
  <c r="V1157" i="11"/>
  <c r="V1158" i="11"/>
  <c r="V1159" i="11"/>
  <c r="V1160" i="11"/>
  <c r="V1161" i="11"/>
  <c r="V1162" i="11"/>
  <c r="V1163" i="11"/>
  <c r="V1164" i="11"/>
  <c r="V1165" i="11"/>
  <c r="V1166" i="11"/>
  <c r="V1167" i="11"/>
  <c r="V1168" i="11"/>
  <c r="V1169" i="11"/>
  <c r="V1170" i="11"/>
  <c r="V1171" i="11"/>
  <c r="V1172" i="11"/>
  <c r="V1173" i="11"/>
  <c r="V1174" i="11"/>
  <c r="V1175" i="11"/>
  <c r="V1176" i="11"/>
  <c r="V1177" i="11"/>
  <c r="V1178" i="11"/>
  <c r="V1179" i="11"/>
  <c r="V1180" i="11"/>
  <c r="V1181" i="11"/>
  <c r="V1182" i="11"/>
  <c r="V1183" i="11"/>
  <c r="V1184" i="11"/>
  <c r="V1185" i="11"/>
  <c r="V1186" i="11"/>
  <c r="V1187" i="11"/>
  <c r="V1188" i="11"/>
  <c r="V1189" i="11"/>
  <c r="V1190" i="11"/>
  <c r="V1191" i="11"/>
  <c r="V1192" i="11"/>
  <c r="V1193" i="11"/>
  <c r="V1194" i="11"/>
  <c r="V1195" i="11"/>
  <c r="V1196" i="11"/>
  <c r="V1197" i="11"/>
  <c r="V1198" i="11"/>
  <c r="V1199" i="11"/>
  <c r="V1200" i="11"/>
  <c r="V1201" i="11"/>
  <c r="V1202" i="11"/>
  <c r="V1203" i="11"/>
  <c r="V1204" i="11"/>
  <c r="V1205" i="11"/>
  <c r="V1206" i="11"/>
  <c r="V1207" i="11"/>
  <c r="V1208" i="11"/>
  <c r="V1209" i="11"/>
  <c r="V1210" i="11"/>
  <c r="V1211" i="11"/>
  <c r="V1212" i="11"/>
  <c r="V1213" i="11"/>
  <c r="V1214" i="11"/>
  <c r="V1215" i="11"/>
  <c r="V1216" i="11"/>
  <c r="V1217" i="11"/>
  <c r="V1218" i="11"/>
  <c r="V1219" i="11"/>
  <c r="V1220" i="11"/>
  <c r="V1221" i="11"/>
  <c r="V1222" i="11"/>
  <c r="V1223" i="11"/>
  <c r="V1224" i="11"/>
  <c r="V1225" i="11"/>
  <c r="V1226" i="11"/>
  <c r="V1227" i="11"/>
  <c r="V1228" i="11"/>
  <c r="V1229" i="11"/>
  <c r="V1230" i="11"/>
  <c r="V1231" i="11"/>
  <c r="V1232" i="11"/>
  <c r="V1233" i="11"/>
  <c r="V1234" i="11"/>
  <c r="V1235" i="11"/>
  <c r="V1236" i="11"/>
  <c r="V1237" i="11"/>
  <c r="V1238" i="11"/>
  <c r="V1239" i="11"/>
  <c r="V1240" i="11"/>
  <c r="V1241" i="11"/>
  <c r="V1242" i="11"/>
  <c r="V1243" i="11"/>
  <c r="V1244" i="11"/>
  <c r="V1245" i="11"/>
  <c r="V1246" i="11"/>
  <c r="V1247" i="11"/>
  <c r="V1248" i="11"/>
  <c r="V1249" i="11"/>
  <c r="V1250" i="11"/>
  <c r="V1251" i="11"/>
  <c r="V1252" i="11"/>
  <c r="V1253" i="11"/>
  <c r="V1254" i="11"/>
  <c r="V1255" i="11"/>
  <c r="V1256" i="11"/>
  <c r="V1257" i="11"/>
  <c r="V1258" i="11"/>
  <c r="V1259" i="11"/>
  <c r="V1260" i="11"/>
  <c r="V1261" i="11"/>
  <c r="V1262" i="11"/>
  <c r="V1263" i="11"/>
  <c r="V1264" i="11"/>
  <c r="V1265" i="11"/>
  <c r="V1266" i="11"/>
  <c r="V1267" i="11"/>
  <c r="V1268" i="11"/>
  <c r="V1269" i="11"/>
  <c r="V1270" i="11"/>
  <c r="V1271" i="11"/>
  <c r="V1272" i="11"/>
  <c r="V1273" i="11"/>
  <c r="V1274" i="11"/>
  <c r="V1275" i="11"/>
  <c r="V1276" i="11"/>
  <c r="V1277" i="11"/>
  <c r="V1278" i="11"/>
  <c r="V1279" i="11"/>
  <c r="V1280" i="11"/>
  <c r="V1281" i="11"/>
  <c r="V1282" i="11"/>
  <c r="V1283" i="11"/>
  <c r="V1284" i="11"/>
  <c r="V1285" i="11"/>
  <c r="V1286" i="11"/>
  <c r="V1287" i="11"/>
  <c r="V1288" i="11"/>
  <c r="V1289" i="11"/>
  <c r="V1290" i="11"/>
  <c r="V1291" i="11"/>
  <c r="V1292" i="11"/>
  <c r="V1293" i="11"/>
  <c r="V1294" i="11"/>
  <c r="V1295" i="11"/>
  <c r="V1296" i="11"/>
  <c r="V1297" i="11"/>
  <c r="V1298" i="11"/>
  <c r="V1299" i="11"/>
  <c r="V1300" i="11"/>
  <c r="V1301" i="11"/>
  <c r="V1302" i="11"/>
  <c r="V1303" i="11"/>
  <c r="V1304" i="11"/>
  <c r="V1305" i="11"/>
  <c r="V1306" i="11"/>
  <c r="V1307" i="11"/>
  <c r="V1308" i="11"/>
  <c r="V1309" i="11"/>
  <c r="V1310" i="11"/>
  <c r="V1311" i="11"/>
  <c r="V1312" i="11"/>
  <c r="V1313" i="11"/>
  <c r="V1314" i="11"/>
  <c r="V1315" i="11"/>
  <c r="V1316" i="11"/>
  <c r="V1317" i="11"/>
  <c r="V1318" i="11"/>
  <c r="V1319" i="11"/>
  <c r="V1320" i="11"/>
  <c r="V1321" i="11"/>
  <c r="V1322" i="11"/>
  <c r="V1323" i="11"/>
  <c r="V1324" i="11"/>
  <c r="V1325" i="11"/>
  <c r="V1326" i="11"/>
  <c r="V1327" i="11"/>
  <c r="V1328" i="11"/>
  <c r="V1329" i="11"/>
  <c r="V1330" i="11"/>
  <c r="V1331" i="11"/>
  <c r="V1332" i="11"/>
  <c r="V1333" i="11"/>
  <c r="V1334" i="11"/>
  <c r="V1335" i="11"/>
  <c r="V1336" i="11"/>
  <c r="V1337" i="11"/>
  <c r="V1338" i="11"/>
  <c r="V1339" i="11"/>
  <c r="V1340" i="11"/>
  <c r="V1341" i="11"/>
  <c r="V1342" i="11"/>
  <c r="V1343" i="11"/>
  <c r="V1344" i="11"/>
  <c r="V1345" i="11"/>
  <c r="V1346" i="11"/>
  <c r="V1347" i="11"/>
  <c r="V1348" i="11"/>
  <c r="V1349" i="11"/>
  <c r="V1350" i="11"/>
  <c r="V1351" i="11"/>
  <c r="V1352" i="11"/>
  <c r="V1353" i="11"/>
  <c r="V1354" i="11"/>
  <c r="V1355" i="11"/>
  <c r="V1356" i="11"/>
  <c r="V1357" i="11"/>
  <c r="V1358" i="11"/>
  <c r="V1359" i="11"/>
  <c r="V1360" i="11"/>
  <c r="V1361" i="11"/>
  <c r="V1362" i="11"/>
  <c r="V1363" i="11"/>
  <c r="V1364" i="11"/>
  <c r="V1365" i="11"/>
  <c r="V1366" i="11"/>
  <c r="V1367" i="11"/>
  <c r="V1368" i="11"/>
  <c r="V1369" i="11"/>
  <c r="V1370" i="11"/>
  <c r="V1371" i="11"/>
  <c r="V1372" i="11"/>
  <c r="V1373" i="11"/>
  <c r="V1374" i="11"/>
  <c r="V1375" i="11"/>
  <c r="V1376" i="11"/>
  <c r="V1377" i="11"/>
  <c r="V1378" i="11"/>
  <c r="V1379" i="11"/>
  <c r="V1380" i="11"/>
  <c r="V1381" i="11"/>
  <c r="V1382" i="11"/>
  <c r="V1383" i="11"/>
  <c r="V1384" i="11"/>
  <c r="V1385" i="11"/>
  <c r="V1386" i="11"/>
  <c r="V1387" i="11"/>
  <c r="V1388" i="11"/>
  <c r="V1389" i="11"/>
  <c r="V1390" i="11"/>
  <c r="V1391" i="11"/>
  <c r="V1392" i="11"/>
  <c r="V1393" i="11"/>
  <c r="V1394" i="11"/>
  <c r="V1395" i="11"/>
  <c r="V1396" i="11"/>
  <c r="V1397" i="11"/>
  <c r="V1398" i="11"/>
  <c r="V1399" i="11"/>
  <c r="V1400" i="11"/>
  <c r="V1401" i="11"/>
  <c r="V1402" i="11"/>
  <c r="V1403" i="11"/>
  <c r="V1404" i="11"/>
  <c r="V1405" i="11"/>
  <c r="V1406" i="11"/>
  <c r="V1407" i="11"/>
  <c r="V1408" i="11"/>
  <c r="V1409" i="11"/>
  <c r="V1410" i="11"/>
  <c r="V1411" i="11"/>
  <c r="V1412" i="11"/>
  <c r="V1413" i="11"/>
  <c r="V1414" i="11"/>
  <c r="V1415" i="11"/>
  <c r="V1416" i="11"/>
  <c r="V1417" i="11"/>
  <c r="V1418" i="11"/>
  <c r="V1419" i="11"/>
  <c r="V1420" i="11"/>
  <c r="V1421" i="11"/>
  <c r="V1422" i="11"/>
  <c r="V1423" i="11"/>
  <c r="V1424" i="11"/>
  <c r="V1425" i="11"/>
  <c r="V1426" i="11"/>
  <c r="V1427" i="11"/>
  <c r="V1428" i="11"/>
  <c r="V1429" i="11"/>
  <c r="V1430" i="11"/>
  <c r="V1431" i="11"/>
  <c r="V1432" i="11"/>
  <c r="V1433" i="11"/>
  <c r="V1434" i="11"/>
  <c r="V1435" i="11"/>
  <c r="V1436" i="11"/>
  <c r="V1437" i="11"/>
  <c r="V1438" i="11"/>
  <c r="V1439" i="11"/>
  <c r="V1440" i="11"/>
  <c r="V1441" i="11"/>
  <c r="V1442" i="11"/>
  <c r="V1443" i="11"/>
  <c r="V1444" i="11"/>
  <c r="V1445" i="11"/>
  <c r="V1446" i="11"/>
  <c r="V1447" i="11"/>
  <c r="V1448" i="11"/>
  <c r="V1449" i="11"/>
  <c r="V1450" i="11"/>
  <c r="V1451" i="11"/>
  <c r="V1452" i="11"/>
  <c r="V1453" i="11"/>
  <c r="V1454" i="11"/>
  <c r="V1455" i="11"/>
  <c r="V1456" i="11"/>
  <c r="V1457" i="11"/>
  <c r="V1458" i="11"/>
  <c r="V1459" i="11"/>
  <c r="V1460" i="11"/>
  <c r="V1461" i="11"/>
  <c r="V1462" i="11"/>
  <c r="V1463" i="11"/>
  <c r="V1464" i="11"/>
  <c r="V1465" i="11"/>
  <c r="V1466" i="11"/>
  <c r="V1467" i="11"/>
  <c r="V1468" i="11"/>
  <c r="V1469" i="11"/>
  <c r="V1470" i="11"/>
  <c r="V1471" i="11"/>
  <c r="V1472" i="11"/>
  <c r="V1473" i="11"/>
  <c r="V1474" i="11"/>
  <c r="V1475" i="11"/>
  <c r="V1476" i="11"/>
  <c r="V1477" i="11"/>
  <c r="V1478" i="11"/>
  <c r="V1479" i="11"/>
  <c r="V1480" i="11"/>
  <c r="V1481" i="11"/>
  <c r="V1482" i="11"/>
  <c r="V1483" i="11"/>
  <c r="V1484" i="11"/>
  <c r="V1485" i="11"/>
  <c r="V1486" i="11"/>
  <c r="V1487" i="11"/>
  <c r="V1488" i="11"/>
  <c r="V1489" i="11"/>
  <c r="V1490" i="11"/>
  <c r="V1491" i="11"/>
  <c r="V1492" i="11"/>
  <c r="V1493" i="11"/>
  <c r="V1494" i="11"/>
  <c r="V1495" i="11"/>
  <c r="V1496" i="11"/>
  <c r="V1497" i="11"/>
  <c r="V1498" i="11"/>
  <c r="V1499" i="11"/>
  <c r="V1500" i="11"/>
  <c r="V1501" i="11"/>
  <c r="V1502" i="11"/>
  <c r="V1503" i="11"/>
  <c r="V1504" i="11"/>
  <c r="V1505" i="11"/>
  <c r="V1506" i="11"/>
  <c r="V1507" i="11"/>
  <c r="V1508" i="11"/>
  <c r="V1509" i="11"/>
  <c r="V1510" i="11"/>
  <c r="V1511" i="11"/>
  <c r="V1512" i="11"/>
  <c r="V1513" i="11"/>
  <c r="V1514" i="11"/>
  <c r="V1515" i="11"/>
  <c r="V1516" i="11"/>
  <c r="V1517" i="11"/>
  <c r="V1518" i="11"/>
  <c r="V1519" i="11"/>
  <c r="V1520" i="11"/>
  <c r="V1521" i="11"/>
  <c r="T4" i="11" a="1"/>
  <c r="T4" i="11" s="1"/>
  <c r="T5" i="11" a="1"/>
  <c r="T5" i="11" s="1"/>
  <c r="T6" i="11" a="1"/>
  <c r="T6" i="11" s="1"/>
  <c r="T7" i="11" a="1"/>
  <c r="T7" i="11" s="1"/>
  <c r="T8" i="11" a="1"/>
  <c r="T8" i="11" s="1"/>
  <c r="T9" i="11" a="1"/>
  <c r="T9" i="11" s="1"/>
  <c r="T10" i="11" a="1"/>
  <c r="T10" i="11" s="1"/>
  <c r="T11" i="11" a="1"/>
  <c r="T11" i="11" s="1"/>
  <c r="T12" i="11" a="1"/>
  <c r="T12" i="11" s="1"/>
  <c r="T13" i="11" a="1"/>
  <c r="T13" i="11" s="1"/>
  <c r="T14" i="11" a="1"/>
  <c r="T14" i="11" s="1"/>
  <c r="T15" i="11" a="1"/>
  <c r="T15" i="11" s="1"/>
  <c r="T16" i="11" a="1"/>
  <c r="T16" i="11" s="1"/>
  <c r="T17" i="11" a="1"/>
  <c r="T17" i="11" s="1"/>
  <c r="T18" i="11" a="1"/>
  <c r="T18" i="11" s="1"/>
  <c r="T19" i="11" a="1"/>
  <c r="T19" i="11" s="1"/>
  <c r="T20" i="11" a="1"/>
  <c r="T20" i="11" s="1"/>
  <c r="T21" i="11" a="1"/>
  <c r="T21" i="11" s="1"/>
  <c r="T22" i="11" a="1"/>
  <c r="T22" i="11" s="1"/>
  <c r="T23" i="11" a="1"/>
  <c r="T23" i="11" s="1"/>
  <c r="T24" i="11" a="1"/>
  <c r="T24" i="11" s="1"/>
  <c r="T25" i="11" a="1"/>
  <c r="T25" i="11" s="1"/>
  <c r="T26" i="11" a="1"/>
  <c r="T26" i="11" s="1"/>
  <c r="T27" i="11" a="1"/>
  <c r="T27" i="11" s="1"/>
  <c r="T28" i="11" a="1"/>
  <c r="T28" i="11" s="1"/>
  <c r="T29" i="11" a="1"/>
  <c r="T29" i="11" s="1"/>
  <c r="T30" i="11" a="1"/>
  <c r="T30" i="11" s="1"/>
  <c r="T31" i="11" a="1"/>
  <c r="T31" i="11" s="1"/>
  <c r="T32" i="11" a="1"/>
  <c r="T32" i="11" s="1"/>
  <c r="T33" i="11" a="1"/>
  <c r="T33" i="11" s="1"/>
  <c r="T34" i="11" a="1"/>
  <c r="T34" i="11" s="1"/>
  <c r="T35" i="11" a="1"/>
  <c r="T35" i="11" s="1"/>
  <c r="T36" i="11" a="1"/>
  <c r="T36" i="11" s="1"/>
  <c r="T37" i="11" a="1"/>
  <c r="T37" i="11" s="1"/>
  <c r="T38" i="11" a="1"/>
  <c r="T38" i="11" s="1"/>
  <c r="T39" i="11" a="1"/>
  <c r="T39" i="11" s="1"/>
  <c r="T40" i="11" a="1"/>
  <c r="T40" i="11" s="1"/>
  <c r="T41" i="11" a="1"/>
  <c r="T41" i="11" s="1"/>
  <c r="T42" i="11" a="1"/>
  <c r="T42" i="11" s="1"/>
  <c r="T43" i="11" a="1"/>
  <c r="T43" i="11" s="1"/>
  <c r="T44" i="11" a="1"/>
  <c r="T44" i="11" s="1"/>
  <c r="T45" i="11" a="1"/>
  <c r="T45" i="11" s="1"/>
  <c r="T46" i="11" a="1"/>
  <c r="T46" i="11" s="1"/>
  <c r="T47" i="11" a="1"/>
  <c r="T47" i="11" s="1"/>
  <c r="T48" i="11" a="1"/>
  <c r="T48" i="11" s="1"/>
  <c r="T49" i="11" a="1"/>
  <c r="T49" i="11" s="1"/>
  <c r="T50" i="11" a="1"/>
  <c r="T50" i="11" s="1"/>
  <c r="T51" i="11" a="1"/>
  <c r="T51" i="11" s="1"/>
  <c r="T52" i="11" a="1"/>
  <c r="T52" i="11" s="1"/>
  <c r="T53" i="11" a="1"/>
  <c r="T53" i="11" s="1"/>
  <c r="T54" i="11" a="1"/>
  <c r="T54" i="11" s="1"/>
  <c r="T55" i="11" a="1"/>
  <c r="T55" i="11" s="1"/>
  <c r="T56" i="11" a="1"/>
  <c r="T56" i="11" s="1"/>
  <c r="T57" i="11" a="1"/>
  <c r="T57" i="11" s="1"/>
  <c r="T58" i="11" a="1"/>
  <c r="T58" i="11" s="1"/>
  <c r="T59" i="11" a="1"/>
  <c r="T59" i="11" s="1"/>
  <c r="T60" i="11" a="1"/>
  <c r="T60" i="11" s="1"/>
  <c r="T61" i="11" a="1"/>
  <c r="T61" i="11" s="1"/>
  <c r="T62" i="11" a="1"/>
  <c r="T62" i="11" s="1"/>
  <c r="T63" i="11" a="1"/>
  <c r="T63" i="11" s="1"/>
  <c r="T64" i="11" a="1"/>
  <c r="T64" i="11" s="1"/>
  <c r="T65" i="11" a="1"/>
  <c r="T65" i="11" s="1"/>
  <c r="T66" i="11" a="1"/>
  <c r="T66" i="11" s="1"/>
  <c r="T67" i="11" a="1"/>
  <c r="T67" i="11" s="1"/>
  <c r="T68" i="11" a="1"/>
  <c r="T68" i="11" s="1"/>
  <c r="T69" i="11" a="1"/>
  <c r="T69" i="11" s="1"/>
  <c r="T70" i="11" a="1"/>
  <c r="T70" i="11" s="1"/>
  <c r="T71" i="11" a="1"/>
  <c r="T71" i="11" s="1"/>
  <c r="T72" i="11" a="1"/>
  <c r="T72" i="11" s="1"/>
  <c r="T73" i="11" a="1"/>
  <c r="T73" i="11" s="1"/>
  <c r="T74" i="11" a="1"/>
  <c r="T74" i="11" s="1"/>
  <c r="T75" i="11" a="1"/>
  <c r="T75" i="11" s="1"/>
  <c r="T76" i="11" a="1"/>
  <c r="T76" i="11" s="1"/>
  <c r="T77" i="11" a="1"/>
  <c r="T77" i="11" s="1"/>
  <c r="T78" i="11" a="1"/>
  <c r="T78" i="11" s="1"/>
  <c r="T79" i="11" a="1"/>
  <c r="T79" i="11" s="1"/>
  <c r="T80" i="11" a="1"/>
  <c r="T80" i="11" s="1"/>
  <c r="T81" i="11" a="1"/>
  <c r="T81" i="11" s="1"/>
  <c r="T82" i="11" a="1"/>
  <c r="T82" i="11" s="1"/>
  <c r="T83" i="11" a="1"/>
  <c r="T83" i="11" s="1"/>
  <c r="T84" i="11" a="1"/>
  <c r="T84" i="11" s="1"/>
  <c r="T85" i="11" a="1"/>
  <c r="T85" i="11" s="1"/>
  <c r="T86" i="11" a="1"/>
  <c r="T86" i="11" s="1"/>
  <c r="T87" i="11" a="1"/>
  <c r="T87" i="11" s="1"/>
  <c r="T88" i="11" a="1"/>
  <c r="T88" i="11" s="1"/>
  <c r="T89" i="11" a="1"/>
  <c r="T89" i="11" s="1"/>
  <c r="T90" i="11" a="1"/>
  <c r="T90" i="11" s="1"/>
  <c r="T91" i="11" a="1"/>
  <c r="T91" i="11" s="1"/>
  <c r="T92" i="11" a="1"/>
  <c r="T92" i="11" s="1"/>
  <c r="T93" i="11" a="1"/>
  <c r="T93" i="11" s="1"/>
  <c r="T94" i="11" a="1"/>
  <c r="T94" i="11" s="1"/>
  <c r="T95" i="11" a="1"/>
  <c r="T95" i="11" s="1"/>
  <c r="T96" i="11" a="1"/>
  <c r="T96" i="11" s="1"/>
  <c r="T97" i="11" a="1"/>
  <c r="T97" i="11" s="1"/>
  <c r="T98" i="11" a="1"/>
  <c r="T98" i="11" s="1"/>
  <c r="T99" i="11" a="1"/>
  <c r="T99" i="11" s="1"/>
  <c r="T100" i="11" a="1"/>
  <c r="T100" i="11" s="1"/>
  <c r="T101" i="11" a="1"/>
  <c r="T101" i="11" s="1"/>
  <c r="T102" i="11" a="1"/>
  <c r="T102" i="11" s="1"/>
  <c r="T103" i="11" a="1"/>
  <c r="T103" i="11" s="1"/>
  <c r="T104" i="11" a="1"/>
  <c r="T104" i="11" s="1"/>
  <c r="T105" i="11" a="1"/>
  <c r="T105" i="11" s="1"/>
  <c r="T106" i="11" a="1"/>
  <c r="T106" i="11" s="1"/>
  <c r="T107" i="11" a="1"/>
  <c r="T107" i="11" s="1"/>
  <c r="T108" i="11" a="1"/>
  <c r="T108" i="11" s="1"/>
  <c r="T109" i="11" a="1"/>
  <c r="T109" i="11" s="1"/>
  <c r="T110" i="11" a="1"/>
  <c r="T110" i="11" s="1"/>
  <c r="T111" i="11" a="1"/>
  <c r="T111" i="11" s="1"/>
  <c r="T112" i="11" a="1"/>
  <c r="T112" i="11" s="1"/>
  <c r="T113" i="11" a="1"/>
  <c r="T113" i="11" s="1"/>
  <c r="T114" i="11" a="1"/>
  <c r="T114" i="11" s="1"/>
  <c r="T115" i="11" a="1"/>
  <c r="T115" i="11" s="1"/>
  <c r="T116" i="11" a="1"/>
  <c r="T116" i="11" s="1"/>
  <c r="T117" i="11" a="1"/>
  <c r="T117" i="11" s="1"/>
  <c r="T118" i="11" a="1"/>
  <c r="T118" i="11" s="1"/>
  <c r="T119" i="11" a="1"/>
  <c r="T119" i="11" s="1"/>
  <c r="T120" i="11" a="1"/>
  <c r="T120" i="11" s="1"/>
  <c r="T121" i="11" a="1"/>
  <c r="T121" i="11" s="1"/>
  <c r="T122" i="11" a="1"/>
  <c r="T122" i="11" s="1"/>
  <c r="T123" i="11" a="1"/>
  <c r="T123" i="11" s="1"/>
  <c r="T124" i="11" a="1"/>
  <c r="T124" i="11" s="1"/>
  <c r="T125" i="11" a="1"/>
  <c r="T125" i="11" s="1"/>
  <c r="T126" i="11" a="1"/>
  <c r="T126" i="11" s="1"/>
  <c r="T127" i="11" a="1"/>
  <c r="T127" i="11" s="1"/>
  <c r="T128" i="11" a="1"/>
  <c r="T128" i="11" s="1"/>
  <c r="T129" i="11" a="1"/>
  <c r="T129" i="11" s="1"/>
  <c r="T130" i="11" a="1"/>
  <c r="T130" i="11" s="1"/>
  <c r="T131" i="11" a="1"/>
  <c r="T131" i="11" s="1"/>
  <c r="T132" i="11" a="1"/>
  <c r="T132" i="11" s="1"/>
  <c r="T133" i="11" a="1"/>
  <c r="T133" i="11" s="1"/>
  <c r="T134" i="11" a="1"/>
  <c r="T134" i="11" s="1"/>
  <c r="T135" i="11" a="1"/>
  <c r="T135" i="11" s="1"/>
  <c r="T136" i="11" a="1"/>
  <c r="T136" i="11" s="1"/>
  <c r="T137" i="11" a="1"/>
  <c r="T137" i="11" s="1"/>
  <c r="T138" i="11" a="1"/>
  <c r="T138" i="11" s="1"/>
  <c r="T139" i="11" a="1"/>
  <c r="T139" i="11" s="1"/>
  <c r="T140" i="11" a="1"/>
  <c r="T140" i="11" s="1"/>
  <c r="T141" i="11" a="1"/>
  <c r="T141" i="11" s="1"/>
  <c r="T142" i="11" a="1"/>
  <c r="T142" i="11" s="1"/>
  <c r="T143" i="11" a="1"/>
  <c r="T143" i="11" s="1"/>
  <c r="T144" i="11" a="1"/>
  <c r="T144" i="11" s="1"/>
  <c r="T145" i="11" a="1"/>
  <c r="T145" i="11" s="1"/>
  <c r="T146" i="11" a="1"/>
  <c r="T146" i="11" s="1"/>
  <c r="T147" i="11" a="1"/>
  <c r="T147" i="11" s="1"/>
  <c r="T148" i="11" a="1"/>
  <c r="T148" i="11" s="1"/>
  <c r="T149" i="11" a="1"/>
  <c r="T149" i="11" s="1"/>
  <c r="T150" i="11" a="1"/>
  <c r="T150" i="11" s="1"/>
  <c r="T151" i="11" a="1"/>
  <c r="T151" i="11" s="1"/>
  <c r="T152" i="11" a="1"/>
  <c r="T152" i="11" s="1"/>
  <c r="T153" i="11" a="1"/>
  <c r="T153" i="11" s="1"/>
  <c r="T154" i="11" a="1"/>
  <c r="T154" i="11" s="1"/>
  <c r="T155" i="11" a="1"/>
  <c r="T155" i="11" s="1"/>
  <c r="T156" i="11" a="1"/>
  <c r="T156" i="11" s="1"/>
  <c r="T157" i="11" a="1"/>
  <c r="T157" i="11" s="1"/>
  <c r="T158" i="11" a="1"/>
  <c r="T158" i="11" s="1"/>
  <c r="T159" i="11" a="1"/>
  <c r="T159" i="11" s="1"/>
  <c r="T160" i="11" a="1"/>
  <c r="T160" i="11" s="1"/>
  <c r="T161" i="11" a="1"/>
  <c r="T161" i="11" s="1"/>
  <c r="T162" i="11" a="1"/>
  <c r="T162" i="11" s="1"/>
  <c r="T163" i="11" a="1"/>
  <c r="T163" i="11" s="1"/>
  <c r="T164" i="11" a="1"/>
  <c r="T164" i="11" s="1"/>
  <c r="T165" i="11" a="1"/>
  <c r="T165" i="11" s="1"/>
  <c r="T166" i="11" a="1"/>
  <c r="T166" i="11" s="1"/>
  <c r="T167" i="11" a="1"/>
  <c r="T167" i="11" s="1"/>
  <c r="T168" i="11" a="1"/>
  <c r="T168" i="11" s="1"/>
  <c r="T169" i="11" a="1"/>
  <c r="T169" i="11" s="1"/>
  <c r="T170" i="11" a="1"/>
  <c r="T170" i="11" s="1"/>
  <c r="T171" i="11" a="1"/>
  <c r="T171" i="11" s="1"/>
  <c r="T172" i="11" a="1"/>
  <c r="T172" i="11" s="1"/>
  <c r="T173" i="11" a="1"/>
  <c r="T173" i="11" s="1"/>
  <c r="T174" i="11" a="1"/>
  <c r="T174" i="11" s="1"/>
  <c r="T175" i="11" a="1"/>
  <c r="T175" i="11" s="1"/>
  <c r="T176" i="11" a="1"/>
  <c r="T176" i="11" s="1"/>
  <c r="T177" i="11" a="1"/>
  <c r="T177" i="11" s="1"/>
  <c r="T178" i="11" a="1"/>
  <c r="T178" i="11" s="1"/>
  <c r="T179" i="11" a="1"/>
  <c r="T179" i="11" s="1"/>
  <c r="T180" i="11" a="1"/>
  <c r="T180" i="11" s="1"/>
  <c r="T181" i="11" a="1"/>
  <c r="T181" i="11" s="1"/>
  <c r="T182" i="11" a="1"/>
  <c r="T182" i="11" s="1"/>
  <c r="T183" i="11" a="1"/>
  <c r="T183" i="11" s="1"/>
  <c r="T184" i="11" a="1"/>
  <c r="T184" i="11" s="1"/>
  <c r="T185" i="11" a="1"/>
  <c r="T185" i="11" s="1"/>
  <c r="T186" i="11" a="1"/>
  <c r="T186" i="11" s="1"/>
  <c r="T187" i="11" a="1"/>
  <c r="T187" i="11" s="1"/>
  <c r="T188" i="11" a="1"/>
  <c r="T188" i="11" s="1"/>
  <c r="T189" i="11" a="1"/>
  <c r="T189" i="11" s="1"/>
  <c r="T190" i="11" a="1"/>
  <c r="T190" i="11" s="1"/>
  <c r="T191" i="11" a="1"/>
  <c r="T191" i="11" s="1"/>
  <c r="T192" i="11" a="1"/>
  <c r="T192" i="11" s="1"/>
  <c r="T193" i="11" a="1"/>
  <c r="T193" i="11" s="1"/>
  <c r="T194" i="11" a="1"/>
  <c r="T194" i="11" s="1"/>
  <c r="T195" i="11" a="1"/>
  <c r="T195" i="11" s="1"/>
  <c r="T196" i="11" a="1"/>
  <c r="T196" i="11" s="1"/>
  <c r="T197" i="11" a="1"/>
  <c r="T197" i="11" s="1"/>
  <c r="T198" i="11" a="1"/>
  <c r="T198" i="11" s="1"/>
  <c r="T199" i="11" a="1"/>
  <c r="T199" i="11" s="1"/>
  <c r="T200" i="11" a="1"/>
  <c r="T200" i="11" s="1"/>
  <c r="T201" i="11" a="1"/>
  <c r="T201" i="11" s="1"/>
  <c r="T202" i="11" a="1"/>
  <c r="T202" i="11" s="1"/>
  <c r="T203" i="11" a="1"/>
  <c r="T203" i="11" s="1"/>
  <c r="T204" i="11" a="1"/>
  <c r="T204" i="11" s="1"/>
  <c r="T205" i="11" a="1"/>
  <c r="T205" i="11" s="1"/>
  <c r="T206" i="11" a="1"/>
  <c r="T206" i="11" s="1"/>
  <c r="T207" i="11" a="1"/>
  <c r="T207" i="11" s="1"/>
  <c r="T208" i="11" a="1"/>
  <c r="T208" i="11" s="1"/>
  <c r="T209" i="11" a="1"/>
  <c r="T209" i="11" s="1"/>
  <c r="T210" i="11" a="1"/>
  <c r="T210" i="11" s="1"/>
  <c r="T211" i="11" a="1"/>
  <c r="T211" i="11" s="1"/>
  <c r="T212" i="11" a="1"/>
  <c r="T212" i="11" s="1"/>
  <c r="T213" i="11" a="1"/>
  <c r="T213" i="11" s="1"/>
  <c r="T214" i="11" a="1"/>
  <c r="T214" i="11" s="1"/>
  <c r="T215" i="11" a="1"/>
  <c r="T215" i="11" s="1"/>
  <c r="T216" i="11" a="1"/>
  <c r="T216" i="11" s="1"/>
  <c r="T217" i="11" a="1"/>
  <c r="T217" i="11" s="1"/>
  <c r="T218" i="11" a="1"/>
  <c r="T218" i="11" s="1"/>
  <c r="T219" i="11" a="1"/>
  <c r="T219" i="11" s="1"/>
  <c r="T220" i="11" a="1"/>
  <c r="T220" i="11" s="1"/>
  <c r="T221" i="11" a="1"/>
  <c r="T221" i="11" s="1"/>
  <c r="T222" i="11" a="1"/>
  <c r="T222" i="11" s="1"/>
  <c r="T223" i="11" a="1"/>
  <c r="T223" i="11" s="1"/>
  <c r="T224" i="11" a="1"/>
  <c r="T224" i="11" s="1"/>
  <c r="T225" i="11" a="1"/>
  <c r="T225" i="11" s="1"/>
  <c r="T226" i="11" a="1"/>
  <c r="T226" i="11" s="1"/>
  <c r="T227" i="11" a="1"/>
  <c r="T227" i="11" s="1"/>
  <c r="T228" i="11" a="1"/>
  <c r="T228" i="11" s="1"/>
  <c r="T229" i="11" a="1"/>
  <c r="T229" i="11" s="1"/>
  <c r="T230" i="11" a="1"/>
  <c r="T230" i="11" s="1"/>
  <c r="T231" i="11" a="1"/>
  <c r="T231" i="11" s="1"/>
  <c r="T232" i="11" a="1"/>
  <c r="T232" i="11" s="1"/>
  <c r="T233" i="11" a="1"/>
  <c r="T233" i="11" s="1"/>
  <c r="T234" i="11" a="1"/>
  <c r="T234" i="11" s="1"/>
  <c r="T235" i="11" a="1"/>
  <c r="T235" i="11" s="1"/>
  <c r="T236" i="11" a="1"/>
  <c r="T236" i="11" s="1"/>
  <c r="T237" i="11" a="1"/>
  <c r="T237" i="11" s="1"/>
  <c r="T238" i="11" a="1"/>
  <c r="T238" i="11" s="1"/>
  <c r="T239" i="11" a="1"/>
  <c r="T239" i="11" s="1"/>
  <c r="T240" i="11" a="1"/>
  <c r="T240" i="11" s="1"/>
  <c r="T241" i="11" a="1"/>
  <c r="T241" i="11" s="1"/>
  <c r="T242" i="11" a="1"/>
  <c r="T242" i="11" s="1"/>
  <c r="T243" i="11" a="1"/>
  <c r="T243" i="11" s="1"/>
  <c r="T244" i="11" a="1"/>
  <c r="T244" i="11" s="1"/>
  <c r="T245" i="11" a="1"/>
  <c r="T245" i="11" s="1"/>
  <c r="T246" i="11" a="1"/>
  <c r="T246" i="11" s="1"/>
  <c r="T247" i="11" a="1"/>
  <c r="T247" i="11" s="1"/>
  <c r="T248" i="11" a="1"/>
  <c r="T248" i="11" s="1"/>
  <c r="T249" i="11" a="1"/>
  <c r="T249" i="11" s="1"/>
  <c r="T250" i="11" a="1"/>
  <c r="T250" i="11" s="1"/>
  <c r="T251" i="11" a="1"/>
  <c r="T251" i="11" s="1"/>
  <c r="T252" i="11" a="1"/>
  <c r="T252" i="11" s="1"/>
  <c r="T253" i="11" a="1"/>
  <c r="T253" i="11" s="1"/>
  <c r="T254" i="11" a="1"/>
  <c r="T254" i="11" s="1"/>
  <c r="T255" i="11" a="1"/>
  <c r="T255" i="11" s="1"/>
  <c r="T256" i="11" a="1"/>
  <c r="T256" i="11" s="1"/>
  <c r="T257" i="11" a="1"/>
  <c r="T257" i="11" s="1"/>
  <c r="T258" i="11" a="1"/>
  <c r="T258" i="11" s="1"/>
  <c r="T259" i="11" a="1"/>
  <c r="T259" i="11" s="1"/>
  <c r="T260" i="11" a="1"/>
  <c r="T260" i="11" s="1"/>
  <c r="T261" i="11" a="1"/>
  <c r="T261" i="11" s="1"/>
  <c r="T262" i="11" a="1"/>
  <c r="T262" i="11" s="1"/>
  <c r="T263" i="11" a="1"/>
  <c r="T263" i="11" s="1"/>
  <c r="T264" i="11" a="1"/>
  <c r="T264" i="11" s="1"/>
  <c r="T265" i="11" a="1"/>
  <c r="T265" i="11" s="1"/>
  <c r="T266" i="11" a="1"/>
  <c r="T266" i="11" s="1"/>
  <c r="T267" i="11" a="1"/>
  <c r="T267" i="11" s="1"/>
  <c r="T268" i="11" a="1"/>
  <c r="T268" i="11" s="1"/>
  <c r="T269" i="11" a="1"/>
  <c r="T269" i="11" s="1"/>
  <c r="T270" i="11" a="1"/>
  <c r="T270" i="11" s="1"/>
  <c r="T271" i="11" a="1"/>
  <c r="T271" i="11" s="1"/>
  <c r="T272" i="11" a="1"/>
  <c r="T272" i="11" s="1"/>
  <c r="T273" i="11" a="1"/>
  <c r="T273" i="11" s="1"/>
  <c r="T274" i="11" a="1"/>
  <c r="T274" i="11" s="1"/>
  <c r="T275" i="11" a="1"/>
  <c r="T275" i="11" s="1"/>
  <c r="T276" i="11" a="1"/>
  <c r="T276" i="11" s="1"/>
  <c r="T277" i="11" a="1"/>
  <c r="T277" i="11" s="1"/>
  <c r="T278" i="11" a="1"/>
  <c r="T278" i="11" s="1"/>
  <c r="T279" i="11" a="1"/>
  <c r="T279" i="11" s="1"/>
  <c r="T280" i="11" a="1"/>
  <c r="T280" i="11" s="1"/>
  <c r="T281" i="11" a="1"/>
  <c r="T281" i="11" s="1"/>
  <c r="T282" i="11" a="1"/>
  <c r="T282" i="11" s="1"/>
  <c r="T283" i="11" a="1"/>
  <c r="T283" i="11" s="1"/>
  <c r="T284" i="11" a="1"/>
  <c r="T284" i="11" s="1"/>
  <c r="T285" i="11" a="1"/>
  <c r="T285" i="11" s="1"/>
  <c r="T286" i="11" a="1"/>
  <c r="T286" i="11" s="1"/>
  <c r="T287" i="11" a="1"/>
  <c r="T287" i="11" s="1"/>
  <c r="T288" i="11" a="1"/>
  <c r="T288" i="11" s="1"/>
  <c r="T289" i="11" a="1"/>
  <c r="T289" i="11" s="1"/>
  <c r="T290" i="11" a="1"/>
  <c r="T290" i="11" s="1"/>
  <c r="T291" i="11" a="1"/>
  <c r="T291" i="11" s="1"/>
  <c r="T292" i="11" a="1"/>
  <c r="T292" i="11" s="1"/>
  <c r="T293" i="11" a="1"/>
  <c r="T293" i="11" s="1"/>
  <c r="T294" i="11" a="1"/>
  <c r="T294" i="11" s="1"/>
  <c r="T295" i="11" a="1"/>
  <c r="T295" i="11" s="1"/>
  <c r="T296" i="11" a="1"/>
  <c r="T296" i="11" s="1"/>
  <c r="T297" i="11" a="1"/>
  <c r="T297" i="11" s="1"/>
  <c r="T298" i="11" a="1"/>
  <c r="T298" i="11" s="1"/>
  <c r="T299" i="11" a="1"/>
  <c r="T299" i="11" s="1"/>
  <c r="T300" i="11" a="1"/>
  <c r="T300" i="11" s="1"/>
  <c r="T301" i="11" a="1"/>
  <c r="T301" i="11" s="1"/>
  <c r="T302" i="11" a="1"/>
  <c r="T302" i="11" s="1"/>
  <c r="T303" i="11" a="1"/>
  <c r="T303" i="11" s="1"/>
  <c r="T304" i="11" a="1"/>
  <c r="T304" i="11" s="1"/>
  <c r="T305" i="11" a="1"/>
  <c r="T305" i="11" s="1"/>
  <c r="T306" i="11" a="1"/>
  <c r="T306" i="11" s="1"/>
  <c r="T307" i="11" a="1"/>
  <c r="T307" i="11" s="1"/>
  <c r="T308" i="11" a="1"/>
  <c r="T308" i="11" s="1"/>
  <c r="T309" i="11" a="1"/>
  <c r="T309" i="11" s="1"/>
  <c r="T310" i="11" a="1"/>
  <c r="T310" i="11" s="1"/>
  <c r="T311" i="11" a="1"/>
  <c r="T311" i="11" s="1"/>
  <c r="T312" i="11" a="1"/>
  <c r="T312" i="11" s="1"/>
  <c r="T313" i="11" a="1"/>
  <c r="T313" i="11" s="1"/>
  <c r="T314" i="11" a="1"/>
  <c r="T314" i="11" s="1"/>
  <c r="T315" i="11" a="1"/>
  <c r="T315" i="11" s="1"/>
  <c r="T316" i="11" a="1"/>
  <c r="T316" i="11" s="1"/>
  <c r="T317" i="11" a="1"/>
  <c r="T317" i="11" s="1"/>
  <c r="T318" i="11" a="1"/>
  <c r="T318" i="11" s="1"/>
  <c r="T319" i="11" a="1"/>
  <c r="T319" i="11" s="1"/>
  <c r="T320" i="11" a="1"/>
  <c r="T320" i="11" s="1"/>
  <c r="T321" i="11" a="1"/>
  <c r="T321" i="11" s="1"/>
  <c r="T322" i="11" a="1"/>
  <c r="T322" i="11" s="1"/>
  <c r="T323" i="11" a="1"/>
  <c r="T323" i="11" s="1"/>
  <c r="T324" i="11" a="1"/>
  <c r="T324" i="11" s="1"/>
  <c r="T325" i="11" a="1"/>
  <c r="T325" i="11" s="1"/>
  <c r="T326" i="11" a="1"/>
  <c r="T326" i="11" s="1"/>
  <c r="T327" i="11" a="1"/>
  <c r="T327" i="11" s="1"/>
  <c r="T328" i="11" a="1"/>
  <c r="T328" i="11" s="1"/>
  <c r="T329" i="11" a="1"/>
  <c r="T329" i="11" s="1"/>
  <c r="T330" i="11" a="1"/>
  <c r="T330" i="11" s="1"/>
  <c r="T331" i="11" a="1"/>
  <c r="T331" i="11" s="1"/>
  <c r="T332" i="11" a="1"/>
  <c r="T332" i="11" s="1"/>
  <c r="T333" i="11" a="1"/>
  <c r="T333" i="11" s="1"/>
  <c r="T334" i="11" a="1"/>
  <c r="T334" i="11" s="1"/>
  <c r="T335" i="11" a="1"/>
  <c r="T335" i="11" s="1"/>
  <c r="T336" i="11" a="1"/>
  <c r="T336" i="11" s="1"/>
  <c r="T337" i="11" a="1"/>
  <c r="T337" i="11" s="1"/>
  <c r="T338" i="11" a="1"/>
  <c r="T338" i="11" s="1"/>
  <c r="T339" i="11" a="1"/>
  <c r="T339" i="11" s="1"/>
  <c r="T340" i="11" a="1"/>
  <c r="T340" i="11" s="1"/>
  <c r="T341" i="11" a="1"/>
  <c r="T341" i="11" s="1"/>
  <c r="T342" i="11" a="1"/>
  <c r="T342" i="11" s="1"/>
  <c r="T343" i="11" a="1"/>
  <c r="T343" i="11" s="1"/>
  <c r="T344" i="11" a="1"/>
  <c r="T344" i="11" s="1"/>
  <c r="T345" i="11" a="1"/>
  <c r="T345" i="11" s="1"/>
  <c r="T346" i="11" a="1"/>
  <c r="T346" i="11" s="1"/>
  <c r="T347" i="11" a="1"/>
  <c r="T347" i="11" s="1"/>
  <c r="T348" i="11" a="1"/>
  <c r="T348" i="11" s="1"/>
  <c r="T349" i="11" a="1"/>
  <c r="T349" i="11" s="1"/>
  <c r="T350" i="11" a="1"/>
  <c r="T350" i="11" s="1"/>
  <c r="T351" i="11" a="1"/>
  <c r="T351" i="11" s="1"/>
  <c r="T352" i="11" a="1"/>
  <c r="T352" i="11" s="1"/>
  <c r="T353" i="11" a="1"/>
  <c r="T353" i="11" s="1"/>
  <c r="T354" i="11" a="1"/>
  <c r="T354" i="11" s="1"/>
  <c r="T355" i="11" a="1"/>
  <c r="T355" i="11" s="1"/>
  <c r="T356" i="11" a="1"/>
  <c r="T356" i="11" s="1"/>
  <c r="T357" i="11" a="1"/>
  <c r="T357" i="11" s="1"/>
  <c r="T358" i="11" a="1"/>
  <c r="T358" i="11" s="1"/>
  <c r="T359" i="11" a="1"/>
  <c r="T359" i="11" s="1"/>
  <c r="T360" i="11" a="1"/>
  <c r="T360" i="11" s="1"/>
  <c r="T361" i="11" a="1"/>
  <c r="T361" i="11" s="1"/>
  <c r="T362" i="11" a="1"/>
  <c r="T362" i="11" s="1"/>
  <c r="T363" i="11" a="1"/>
  <c r="T363" i="11" s="1"/>
  <c r="T364" i="11" a="1"/>
  <c r="T364" i="11" s="1"/>
  <c r="T365" i="11" a="1"/>
  <c r="T365" i="11" s="1"/>
  <c r="T366" i="11" a="1"/>
  <c r="T366" i="11" s="1"/>
  <c r="T367" i="11" a="1"/>
  <c r="T367" i="11" s="1"/>
  <c r="T368" i="11" a="1"/>
  <c r="T368" i="11" s="1"/>
  <c r="T369" i="11" a="1"/>
  <c r="T369" i="11" s="1"/>
  <c r="T370" i="11" a="1"/>
  <c r="T370" i="11" s="1"/>
  <c r="T371" i="11" a="1"/>
  <c r="T371" i="11" s="1"/>
  <c r="T372" i="11" a="1"/>
  <c r="T372" i="11" s="1"/>
  <c r="T373" i="11" a="1"/>
  <c r="T373" i="11" s="1"/>
  <c r="T374" i="11" a="1"/>
  <c r="T374" i="11" s="1"/>
  <c r="T375" i="11" a="1"/>
  <c r="T375" i="11" s="1"/>
  <c r="T376" i="11" a="1"/>
  <c r="T376" i="11" s="1"/>
  <c r="T377" i="11" a="1"/>
  <c r="T377" i="11" s="1"/>
  <c r="T378" i="11" a="1"/>
  <c r="T378" i="11" s="1"/>
  <c r="T379" i="11" a="1"/>
  <c r="T379" i="11" s="1"/>
  <c r="T380" i="11" a="1"/>
  <c r="T380" i="11" s="1"/>
  <c r="T381" i="11" a="1"/>
  <c r="T381" i="11" s="1"/>
  <c r="T382" i="11" a="1"/>
  <c r="T382" i="11" s="1"/>
  <c r="T383" i="11" a="1"/>
  <c r="T383" i="11" s="1"/>
  <c r="T384" i="11" a="1"/>
  <c r="T384" i="11" s="1"/>
  <c r="T385" i="11" a="1"/>
  <c r="T385" i="11" s="1"/>
  <c r="T386" i="11" a="1"/>
  <c r="T386" i="11" s="1"/>
  <c r="T387" i="11" a="1"/>
  <c r="T387" i="11" s="1"/>
  <c r="T388" i="11" a="1"/>
  <c r="T388" i="11" s="1"/>
  <c r="T389" i="11" a="1"/>
  <c r="T389" i="11" s="1"/>
  <c r="T390" i="11" a="1"/>
  <c r="T390" i="11" s="1"/>
  <c r="T391" i="11" a="1"/>
  <c r="T391" i="11" s="1"/>
  <c r="T392" i="11" a="1"/>
  <c r="T392" i="11" s="1"/>
  <c r="T393" i="11" a="1"/>
  <c r="T393" i="11" s="1"/>
  <c r="T394" i="11" a="1"/>
  <c r="T394" i="11" s="1"/>
  <c r="T395" i="11" a="1"/>
  <c r="T395" i="11" s="1"/>
  <c r="T396" i="11" a="1"/>
  <c r="T396" i="11" s="1"/>
  <c r="T397" i="11" a="1"/>
  <c r="T397" i="11" s="1"/>
  <c r="T398" i="11" a="1"/>
  <c r="T398" i="11" s="1"/>
  <c r="T399" i="11" a="1"/>
  <c r="T399" i="11" s="1"/>
  <c r="T400" i="11" a="1"/>
  <c r="T400" i="11" s="1"/>
  <c r="T401" i="11" a="1"/>
  <c r="T401" i="11" s="1"/>
  <c r="T402" i="11" a="1"/>
  <c r="T402" i="11" s="1"/>
  <c r="T403" i="11" a="1"/>
  <c r="T403" i="11" s="1"/>
  <c r="T404" i="11" a="1"/>
  <c r="T404" i="11" s="1"/>
  <c r="T405" i="11" a="1"/>
  <c r="T405" i="11" s="1"/>
  <c r="T406" i="11" a="1"/>
  <c r="T406" i="11" s="1"/>
  <c r="T407" i="11" a="1"/>
  <c r="T407" i="11" s="1"/>
  <c r="T408" i="11" a="1"/>
  <c r="T408" i="11" s="1"/>
  <c r="T409" i="11" a="1"/>
  <c r="T409" i="11" s="1"/>
  <c r="T410" i="11" a="1"/>
  <c r="T410" i="11" s="1"/>
  <c r="T411" i="11" a="1"/>
  <c r="T411" i="11" s="1"/>
  <c r="T412" i="11" a="1"/>
  <c r="T412" i="11" s="1"/>
  <c r="T413" i="11" a="1"/>
  <c r="T413" i="11" s="1"/>
  <c r="T414" i="11" a="1"/>
  <c r="T414" i="11" s="1"/>
  <c r="T415" i="11" a="1"/>
  <c r="T415" i="11" s="1"/>
  <c r="T416" i="11" a="1"/>
  <c r="T416" i="11" s="1"/>
  <c r="T417" i="11" a="1"/>
  <c r="T417" i="11" s="1"/>
  <c r="T418" i="11" a="1"/>
  <c r="T418" i="11" s="1"/>
  <c r="T419" i="11" a="1"/>
  <c r="T419" i="11" s="1"/>
  <c r="T420" i="11" a="1"/>
  <c r="T420" i="11" s="1"/>
  <c r="T421" i="11" a="1"/>
  <c r="T421" i="11" s="1"/>
  <c r="T422" i="11" a="1"/>
  <c r="T422" i="11" s="1"/>
  <c r="T423" i="11" a="1"/>
  <c r="T423" i="11" s="1"/>
  <c r="T424" i="11" a="1"/>
  <c r="T424" i="11" s="1"/>
  <c r="T425" i="11" a="1"/>
  <c r="T425" i="11" s="1"/>
  <c r="T426" i="11" a="1"/>
  <c r="T426" i="11" s="1"/>
  <c r="T427" i="11" a="1"/>
  <c r="T427" i="11" s="1"/>
  <c r="T428" i="11" a="1"/>
  <c r="T428" i="11" s="1"/>
  <c r="T429" i="11" a="1"/>
  <c r="T429" i="11" s="1"/>
  <c r="T430" i="11" a="1"/>
  <c r="T430" i="11" s="1"/>
  <c r="T431" i="11" a="1"/>
  <c r="T431" i="11" s="1"/>
  <c r="T432" i="11" a="1"/>
  <c r="T432" i="11" s="1"/>
  <c r="T433" i="11" a="1"/>
  <c r="T433" i="11" s="1"/>
  <c r="T434" i="11" a="1"/>
  <c r="T434" i="11" s="1"/>
  <c r="T435" i="11" a="1"/>
  <c r="T435" i="11" s="1"/>
  <c r="T436" i="11" a="1"/>
  <c r="T436" i="11" s="1"/>
  <c r="T437" i="11" a="1"/>
  <c r="T437" i="11" s="1"/>
  <c r="T438" i="11" a="1"/>
  <c r="T438" i="11" s="1"/>
  <c r="T439" i="11" a="1"/>
  <c r="T439" i="11" s="1"/>
  <c r="T440" i="11" a="1"/>
  <c r="T440" i="11" s="1"/>
  <c r="T441" i="11" a="1"/>
  <c r="T441" i="11" s="1"/>
  <c r="T442" i="11" a="1"/>
  <c r="T442" i="11" s="1"/>
  <c r="T443" i="11" a="1"/>
  <c r="T443" i="11" s="1"/>
  <c r="T444" i="11" a="1"/>
  <c r="T444" i="11" s="1"/>
  <c r="T445" i="11" a="1"/>
  <c r="T445" i="11" s="1"/>
  <c r="T446" i="11" a="1"/>
  <c r="T446" i="11" s="1"/>
  <c r="T447" i="11" a="1"/>
  <c r="T447" i="11" s="1"/>
  <c r="T448" i="11" a="1"/>
  <c r="T448" i="11" s="1"/>
  <c r="T449" i="11" a="1"/>
  <c r="T449" i="11" s="1"/>
  <c r="T450" i="11" a="1"/>
  <c r="T450" i="11" s="1"/>
  <c r="T451" i="11" a="1"/>
  <c r="T451" i="11" s="1"/>
  <c r="T452" i="11" a="1"/>
  <c r="T452" i="11" s="1"/>
  <c r="T453" i="11" a="1"/>
  <c r="T453" i="11" s="1"/>
  <c r="T454" i="11" a="1"/>
  <c r="T454" i="11" s="1"/>
  <c r="T455" i="11" a="1"/>
  <c r="T455" i="11" s="1"/>
  <c r="T456" i="11" a="1"/>
  <c r="T456" i="11" s="1"/>
  <c r="T457" i="11" a="1"/>
  <c r="T457" i="11" s="1"/>
  <c r="T458" i="11" a="1"/>
  <c r="T458" i="11" s="1"/>
  <c r="T459" i="11" a="1"/>
  <c r="T459" i="11" s="1"/>
  <c r="T460" i="11" a="1"/>
  <c r="T460" i="11" s="1"/>
  <c r="T461" i="11" a="1"/>
  <c r="T461" i="11" s="1"/>
  <c r="T462" i="11" a="1"/>
  <c r="T462" i="11" s="1"/>
  <c r="T463" i="11" a="1"/>
  <c r="T463" i="11" s="1"/>
  <c r="T464" i="11" a="1"/>
  <c r="T464" i="11" s="1"/>
  <c r="T465" i="11" a="1"/>
  <c r="T465" i="11" s="1"/>
  <c r="T466" i="11" a="1"/>
  <c r="T466" i="11" s="1"/>
  <c r="T467" i="11" a="1"/>
  <c r="T467" i="11" s="1"/>
  <c r="T468" i="11" a="1"/>
  <c r="T468" i="11" s="1"/>
  <c r="T469" i="11" a="1"/>
  <c r="T469" i="11" s="1"/>
  <c r="T470" i="11" a="1"/>
  <c r="T470" i="11" s="1"/>
  <c r="T471" i="11" a="1"/>
  <c r="T471" i="11" s="1"/>
  <c r="T472" i="11" a="1"/>
  <c r="T472" i="11" s="1"/>
  <c r="T473" i="11" a="1"/>
  <c r="T473" i="11" s="1"/>
  <c r="T474" i="11" a="1"/>
  <c r="T474" i="11" s="1"/>
  <c r="T475" i="11" a="1"/>
  <c r="T475" i="11" s="1"/>
  <c r="T476" i="11" a="1"/>
  <c r="T476" i="11" s="1"/>
  <c r="T477" i="11" a="1"/>
  <c r="T477" i="11" s="1"/>
  <c r="T478" i="11" a="1"/>
  <c r="T478" i="11" s="1"/>
  <c r="T479" i="11" a="1"/>
  <c r="T479" i="11" s="1"/>
  <c r="T480" i="11" a="1"/>
  <c r="T480" i="11" s="1"/>
  <c r="T481" i="11" a="1"/>
  <c r="T481" i="11" s="1"/>
  <c r="T482" i="11" a="1"/>
  <c r="T482" i="11" s="1"/>
  <c r="T483" i="11" a="1"/>
  <c r="T483" i="11" s="1"/>
  <c r="T484" i="11" a="1"/>
  <c r="T484" i="11" s="1"/>
  <c r="T485" i="11" a="1"/>
  <c r="T485" i="11" s="1"/>
  <c r="T486" i="11" a="1"/>
  <c r="T486" i="11" s="1"/>
  <c r="T487" i="11" a="1"/>
  <c r="T487" i="11" s="1"/>
  <c r="T488" i="11" a="1"/>
  <c r="T488" i="11" s="1"/>
  <c r="T489" i="11" a="1"/>
  <c r="T489" i="11" s="1"/>
  <c r="T490" i="11" a="1"/>
  <c r="T490" i="11" s="1"/>
  <c r="T491" i="11" a="1"/>
  <c r="T491" i="11" s="1"/>
  <c r="T492" i="11" a="1"/>
  <c r="T492" i="11" s="1"/>
  <c r="T493" i="11" a="1"/>
  <c r="T493" i="11" s="1"/>
  <c r="T494" i="11" a="1"/>
  <c r="T494" i="11" s="1"/>
  <c r="T495" i="11" a="1"/>
  <c r="T495" i="11" s="1"/>
  <c r="T496" i="11" a="1"/>
  <c r="T496" i="11" s="1"/>
  <c r="T497" i="11" a="1"/>
  <c r="T497" i="11" s="1"/>
  <c r="T498" i="11" a="1"/>
  <c r="T498" i="11" s="1"/>
  <c r="T499" i="11" a="1"/>
  <c r="T499" i="11" s="1"/>
  <c r="T500" i="11" a="1"/>
  <c r="T500" i="11" s="1"/>
  <c r="T501" i="11" a="1"/>
  <c r="T501" i="11" s="1"/>
  <c r="T502" i="11" a="1"/>
  <c r="T502" i="11" s="1"/>
  <c r="T503" i="11" a="1"/>
  <c r="T503" i="11" s="1"/>
  <c r="T504" i="11" a="1"/>
  <c r="T504" i="11" s="1"/>
  <c r="T505" i="11" a="1"/>
  <c r="T505" i="11" s="1"/>
  <c r="T506" i="11" a="1"/>
  <c r="T506" i="11" s="1"/>
  <c r="T507" i="11" a="1"/>
  <c r="T507" i="11" s="1"/>
  <c r="T508" i="11" a="1"/>
  <c r="T508" i="11" s="1"/>
  <c r="T509" i="11" a="1"/>
  <c r="T509" i="11" s="1"/>
  <c r="T510" i="11" a="1"/>
  <c r="T510" i="11" s="1"/>
  <c r="T511" i="11" a="1"/>
  <c r="T511" i="11" s="1"/>
  <c r="T512" i="11" a="1"/>
  <c r="T512" i="11" s="1"/>
  <c r="T513" i="11" a="1"/>
  <c r="T513" i="11" s="1"/>
  <c r="T514" i="11" a="1"/>
  <c r="T514" i="11" s="1"/>
  <c r="T515" i="11" a="1"/>
  <c r="T515" i="11" s="1"/>
  <c r="T516" i="11" a="1"/>
  <c r="T516" i="11" s="1"/>
  <c r="T517" i="11" a="1"/>
  <c r="T517" i="11" s="1"/>
  <c r="T518" i="11" a="1"/>
  <c r="T518" i="11" s="1"/>
  <c r="T519" i="11" a="1"/>
  <c r="T519" i="11" s="1"/>
  <c r="T520" i="11" a="1"/>
  <c r="T520" i="11" s="1"/>
  <c r="T521" i="11" a="1"/>
  <c r="T521" i="11" s="1"/>
  <c r="T522" i="11" a="1"/>
  <c r="T522" i="11" s="1"/>
  <c r="T523" i="11" a="1"/>
  <c r="T523" i="11" s="1"/>
  <c r="T524" i="11" a="1"/>
  <c r="T524" i="11" s="1"/>
  <c r="T525" i="11" a="1"/>
  <c r="T525" i="11" s="1"/>
  <c r="T526" i="11" a="1"/>
  <c r="T526" i="11" s="1"/>
  <c r="T527" i="11" a="1"/>
  <c r="T527" i="11" s="1"/>
  <c r="T528" i="11" a="1"/>
  <c r="T528" i="11" s="1"/>
  <c r="T529" i="11" a="1"/>
  <c r="T529" i="11" s="1"/>
  <c r="T530" i="11" a="1"/>
  <c r="T530" i="11" s="1"/>
  <c r="T531" i="11" a="1"/>
  <c r="T531" i="11" s="1"/>
  <c r="T532" i="11" a="1"/>
  <c r="T532" i="11" s="1"/>
  <c r="T533" i="11" a="1"/>
  <c r="T533" i="11" s="1"/>
  <c r="T534" i="11" a="1"/>
  <c r="T534" i="11" s="1"/>
  <c r="T535" i="11" a="1"/>
  <c r="T535" i="11" s="1"/>
  <c r="T536" i="11" a="1"/>
  <c r="T536" i="11" s="1"/>
  <c r="T537" i="11" a="1"/>
  <c r="T537" i="11" s="1"/>
  <c r="T538" i="11" a="1"/>
  <c r="T538" i="11" s="1"/>
  <c r="T539" i="11" a="1"/>
  <c r="T539" i="11" s="1"/>
  <c r="T540" i="11" a="1"/>
  <c r="T540" i="11" s="1"/>
  <c r="T541" i="11" a="1"/>
  <c r="T541" i="11" s="1"/>
  <c r="T542" i="11" a="1"/>
  <c r="T542" i="11" s="1"/>
  <c r="T543" i="11" a="1"/>
  <c r="T543" i="11" s="1"/>
  <c r="T544" i="11" a="1"/>
  <c r="T544" i="11" s="1"/>
  <c r="T545" i="11" a="1"/>
  <c r="T545" i="11" s="1"/>
  <c r="T546" i="11" a="1"/>
  <c r="T546" i="11" s="1"/>
  <c r="T547" i="11" a="1"/>
  <c r="T547" i="11" s="1"/>
  <c r="T548" i="11" a="1"/>
  <c r="T548" i="11" s="1"/>
  <c r="T549" i="11" a="1"/>
  <c r="T549" i="11" s="1"/>
  <c r="T550" i="11" a="1"/>
  <c r="T550" i="11" s="1"/>
  <c r="T551" i="11" a="1"/>
  <c r="T551" i="11" s="1"/>
  <c r="T552" i="11" a="1"/>
  <c r="T552" i="11" s="1"/>
  <c r="T553" i="11" a="1"/>
  <c r="T553" i="11" s="1"/>
  <c r="T554" i="11" a="1"/>
  <c r="T554" i="11" s="1"/>
  <c r="T555" i="11" a="1"/>
  <c r="T555" i="11" s="1"/>
  <c r="T556" i="11" a="1"/>
  <c r="T556" i="11" s="1"/>
  <c r="T557" i="11" a="1"/>
  <c r="T557" i="11" s="1"/>
  <c r="T558" i="11" a="1"/>
  <c r="T558" i="11" s="1"/>
  <c r="T559" i="11" a="1"/>
  <c r="T559" i="11" s="1"/>
  <c r="T560" i="11" a="1"/>
  <c r="T560" i="11" s="1"/>
  <c r="T561" i="11" a="1"/>
  <c r="T561" i="11" s="1"/>
  <c r="T562" i="11" a="1"/>
  <c r="T562" i="11" s="1"/>
  <c r="T563" i="11" a="1"/>
  <c r="T563" i="11" s="1"/>
  <c r="T564" i="11" a="1"/>
  <c r="T564" i="11" s="1"/>
  <c r="T565" i="11" a="1"/>
  <c r="T565" i="11" s="1"/>
  <c r="T566" i="11" a="1"/>
  <c r="T566" i="11" s="1"/>
  <c r="T567" i="11" a="1"/>
  <c r="T567" i="11" s="1"/>
  <c r="T568" i="11" a="1"/>
  <c r="T568" i="11" s="1"/>
  <c r="T569" i="11" a="1"/>
  <c r="T569" i="11" s="1"/>
  <c r="T570" i="11" a="1"/>
  <c r="T570" i="11" s="1"/>
  <c r="T571" i="11" a="1"/>
  <c r="T571" i="11" s="1"/>
  <c r="T572" i="11" a="1"/>
  <c r="T572" i="11" s="1"/>
  <c r="T573" i="11" a="1"/>
  <c r="T573" i="11" s="1"/>
  <c r="T574" i="11" a="1"/>
  <c r="T574" i="11" s="1"/>
  <c r="T575" i="11" a="1"/>
  <c r="T575" i="11" s="1"/>
  <c r="T576" i="11" a="1"/>
  <c r="T576" i="11" s="1"/>
  <c r="T577" i="11" a="1"/>
  <c r="T577" i="11" s="1"/>
  <c r="T578" i="11" a="1"/>
  <c r="T578" i="11" s="1"/>
  <c r="T579" i="11" a="1"/>
  <c r="T579" i="11" s="1"/>
  <c r="T580" i="11" a="1"/>
  <c r="T580" i="11" s="1"/>
  <c r="T581" i="11" a="1"/>
  <c r="T581" i="11" s="1"/>
  <c r="T582" i="11" a="1"/>
  <c r="T582" i="11" s="1"/>
  <c r="T583" i="11" a="1"/>
  <c r="T583" i="11" s="1"/>
  <c r="T584" i="11" a="1"/>
  <c r="T584" i="11" s="1"/>
  <c r="T585" i="11" a="1"/>
  <c r="T585" i="11" s="1"/>
  <c r="T586" i="11" a="1"/>
  <c r="T586" i="11" s="1"/>
  <c r="T587" i="11" a="1"/>
  <c r="T587" i="11" s="1"/>
  <c r="T588" i="11" a="1"/>
  <c r="T588" i="11" s="1"/>
  <c r="T589" i="11" a="1"/>
  <c r="T589" i="11" s="1"/>
  <c r="T590" i="11" a="1"/>
  <c r="T590" i="11" s="1"/>
  <c r="T591" i="11" a="1"/>
  <c r="T591" i="11" s="1"/>
  <c r="T592" i="11" a="1"/>
  <c r="T592" i="11" s="1"/>
  <c r="T593" i="11" a="1"/>
  <c r="T593" i="11" s="1"/>
  <c r="T594" i="11" a="1"/>
  <c r="T594" i="11" s="1"/>
  <c r="T595" i="11" a="1"/>
  <c r="T595" i="11" s="1"/>
  <c r="T596" i="11" a="1"/>
  <c r="T596" i="11" s="1"/>
  <c r="T597" i="11" a="1"/>
  <c r="T597" i="11" s="1"/>
  <c r="T598" i="11" a="1"/>
  <c r="T598" i="11" s="1"/>
  <c r="T599" i="11" a="1"/>
  <c r="T599" i="11" s="1"/>
  <c r="T600" i="11" a="1"/>
  <c r="T600" i="11" s="1"/>
  <c r="T601" i="11" a="1"/>
  <c r="T601" i="11" s="1"/>
  <c r="T602" i="11" a="1"/>
  <c r="T602" i="11" s="1"/>
  <c r="T603" i="11" a="1"/>
  <c r="T603" i="11" s="1"/>
  <c r="T604" i="11" a="1"/>
  <c r="T604" i="11" s="1"/>
  <c r="T605" i="11" a="1"/>
  <c r="T605" i="11" s="1"/>
  <c r="T606" i="11" a="1"/>
  <c r="T606" i="11" s="1"/>
  <c r="T607" i="11" a="1"/>
  <c r="T607" i="11" s="1"/>
  <c r="T608" i="11" a="1"/>
  <c r="T608" i="11" s="1"/>
  <c r="T609" i="11" a="1"/>
  <c r="T609" i="11" s="1"/>
  <c r="T610" i="11" a="1"/>
  <c r="T610" i="11" s="1"/>
  <c r="T611" i="11" a="1"/>
  <c r="T611" i="11" s="1"/>
  <c r="T612" i="11" a="1"/>
  <c r="T612" i="11" s="1"/>
  <c r="T613" i="11" a="1"/>
  <c r="T613" i="11" s="1"/>
  <c r="T614" i="11" a="1"/>
  <c r="T614" i="11" s="1"/>
  <c r="T615" i="11" a="1"/>
  <c r="T615" i="11" s="1"/>
  <c r="T616" i="11" a="1"/>
  <c r="T616" i="11" s="1"/>
  <c r="T617" i="11" a="1"/>
  <c r="T617" i="11" s="1"/>
  <c r="T618" i="11" a="1"/>
  <c r="T618" i="11" s="1"/>
  <c r="T619" i="11" a="1"/>
  <c r="T619" i="11" s="1"/>
  <c r="T620" i="11" a="1"/>
  <c r="T620" i="11" s="1"/>
  <c r="T621" i="11" a="1"/>
  <c r="T621" i="11" s="1"/>
  <c r="T622" i="11" a="1"/>
  <c r="T622" i="11" s="1"/>
  <c r="T623" i="11" a="1"/>
  <c r="T623" i="11" s="1"/>
  <c r="T624" i="11" a="1"/>
  <c r="T624" i="11" s="1"/>
  <c r="T625" i="11" a="1"/>
  <c r="T625" i="11" s="1"/>
  <c r="T626" i="11" a="1"/>
  <c r="T626" i="11" s="1"/>
  <c r="T627" i="11" a="1"/>
  <c r="T627" i="11" s="1"/>
  <c r="T628" i="11" a="1"/>
  <c r="T628" i="11" s="1"/>
  <c r="T629" i="11" a="1"/>
  <c r="T629" i="11" s="1"/>
  <c r="T630" i="11" a="1"/>
  <c r="T630" i="11" s="1"/>
  <c r="T631" i="11" a="1"/>
  <c r="T631" i="11" s="1"/>
  <c r="T632" i="11" a="1"/>
  <c r="T632" i="11" s="1"/>
  <c r="T633" i="11" a="1"/>
  <c r="T633" i="11" s="1"/>
  <c r="T634" i="11" a="1"/>
  <c r="T634" i="11" s="1"/>
  <c r="T635" i="11" a="1"/>
  <c r="T635" i="11" s="1"/>
  <c r="T636" i="11" a="1"/>
  <c r="T636" i="11" s="1"/>
  <c r="T637" i="11" a="1"/>
  <c r="T637" i="11" s="1"/>
  <c r="T638" i="11" a="1"/>
  <c r="T638" i="11" s="1"/>
  <c r="T639" i="11" a="1"/>
  <c r="T639" i="11" s="1"/>
  <c r="T640" i="11" a="1"/>
  <c r="T640" i="11" s="1"/>
  <c r="T641" i="11" a="1"/>
  <c r="T641" i="11" s="1"/>
  <c r="T642" i="11" a="1"/>
  <c r="T642" i="11" s="1"/>
  <c r="T643" i="11" a="1"/>
  <c r="T643" i="11" s="1"/>
  <c r="T644" i="11" a="1"/>
  <c r="T644" i="11" s="1"/>
  <c r="T645" i="11" a="1"/>
  <c r="T645" i="11" s="1"/>
  <c r="T646" i="11" a="1"/>
  <c r="T646" i="11" s="1"/>
  <c r="T647" i="11" a="1"/>
  <c r="T647" i="11" s="1"/>
  <c r="T648" i="11" a="1"/>
  <c r="T648" i="11" s="1"/>
  <c r="T649" i="11" a="1"/>
  <c r="T649" i="11" s="1"/>
  <c r="T650" i="11" a="1"/>
  <c r="T650" i="11" s="1"/>
  <c r="T651" i="11" a="1"/>
  <c r="T651" i="11" s="1"/>
  <c r="T652" i="11" a="1"/>
  <c r="T652" i="11" s="1"/>
  <c r="T653" i="11" a="1"/>
  <c r="T653" i="11" s="1"/>
  <c r="T654" i="11" a="1"/>
  <c r="T654" i="11" s="1"/>
  <c r="T655" i="11" a="1"/>
  <c r="T655" i="11" s="1"/>
  <c r="T656" i="11" a="1"/>
  <c r="T656" i="11" s="1"/>
  <c r="T657" i="11" a="1"/>
  <c r="T657" i="11" s="1"/>
  <c r="T658" i="11" a="1"/>
  <c r="T658" i="11" s="1"/>
  <c r="T659" i="11" a="1"/>
  <c r="T659" i="11" s="1"/>
  <c r="T660" i="11" a="1"/>
  <c r="T660" i="11" s="1"/>
  <c r="T661" i="11" a="1"/>
  <c r="T661" i="11" s="1"/>
  <c r="T662" i="11" a="1"/>
  <c r="T662" i="11" s="1"/>
  <c r="T663" i="11" a="1"/>
  <c r="T663" i="11" s="1"/>
  <c r="T664" i="11" a="1"/>
  <c r="T664" i="11" s="1"/>
  <c r="T665" i="11" a="1"/>
  <c r="T665" i="11" s="1"/>
  <c r="T666" i="11" a="1"/>
  <c r="T666" i="11" s="1"/>
  <c r="T667" i="11" a="1"/>
  <c r="T667" i="11" s="1"/>
  <c r="T668" i="11" a="1"/>
  <c r="T668" i="11" s="1"/>
  <c r="T669" i="11" a="1"/>
  <c r="T669" i="11" s="1"/>
  <c r="T670" i="11" a="1"/>
  <c r="T670" i="11" s="1"/>
  <c r="T671" i="11" a="1"/>
  <c r="T671" i="11" s="1"/>
  <c r="T672" i="11" a="1"/>
  <c r="T672" i="11" s="1"/>
  <c r="T673" i="11" a="1"/>
  <c r="T673" i="11" s="1"/>
  <c r="T674" i="11" a="1"/>
  <c r="T674" i="11" s="1"/>
  <c r="T675" i="11" a="1"/>
  <c r="T675" i="11" s="1"/>
  <c r="T676" i="11" a="1"/>
  <c r="T676" i="11" s="1"/>
  <c r="T677" i="11" a="1"/>
  <c r="T677" i="11" s="1"/>
  <c r="T678" i="11" a="1"/>
  <c r="T678" i="11" s="1"/>
  <c r="T679" i="11" a="1"/>
  <c r="T679" i="11" s="1"/>
  <c r="T680" i="11" a="1"/>
  <c r="T680" i="11" s="1"/>
  <c r="T681" i="11" a="1"/>
  <c r="T681" i="11" s="1"/>
  <c r="T682" i="11" a="1"/>
  <c r="T682" i="11" s="1"/>
  <c r="T683" i="11" a="1"/>
  <c r="T683" i="11" s="1"/>
  <c r="T684" i="11" a="1"/>
  <c r="T684" i="11" s="1"/>
  <c r="T685" i="11" a="1"/>
  <c r="T685" i="11" s="1"/>
  <c r="T686" i="11" a="1"/>
  <c r="T686" i="11" s="1"/>
  <c r="T687" i="11" a="1"/>
  <c r="T687" i="11" s="1"/>
  <c r="T688" i="11" a="1"/>
  <c r="T688" i="11" s="1"/>
  <c r="T689" i="11" a="1"/>
  <c r="T689" i="11" s="1"/>
  <c r="T690" i="11" a="1"/>
  <c r="T690" i="11" s="1"/>
  <c r="T691" i="11" a="1"/>
  <c r="T691" i="11" s="1"/>
  <c r="T692" i="11" a="1"/>
  <c r="T692" i="11" s="1"/>
  <c r="T693" i="11" a="1"/>
  <c r="T693" i="11" s="1"/>
  <c r="T694" i="11" a="1"/>
  <c r="T694" i="11" s="1"/>
  <c r="T695" i="11" a="1"/>
  <c r="T695" i="11" s="1"/>
  <c r="T696" i="11" a="1"/>
  <c r="T696" i="11" s="1"/>
  <c r="T697" i="11" a="1"/>
  <c r="T697" i="11" s="1"/>
  <c r="T698" i="11" a="1"/>
  <c r="T698" i="11" s="1"/>
  <c r="T699" i="11" a="1"/>
  <c r="T699" i="11" s="1"/>
  <c r="T700" i="11" a="1"/>
  <c r="T700" i="11" s="1"/>
  <c r="T701" i="11" a="1"/>
  <c r="T701" i="11" s="1"/>
  <c r="T702" i="11" a="1"/>
  <c r="T702" i="11" s="1"/>
  <c r="T703" i="11" a="1"/>
  <c r="T703" i="11" s="1"/>
  <c r="T704" i="11" a="1"/>
  <c r="T704" i="11" s="1"/>
  <c r="T705" i="11" a="1"/>
  <c r="T705" i="11" s="1"/>
  <c r="T706" i="11" a="1"/>
  <c r="T706" i="11" s="1"/>
  <c r="T707" i="11" a="1"/>
  <c r="T707" i="11" s="1"/>
  <c r="T708" i="11" a="1"/>
  <c r="T708" i="11" s="1"/>
  <c r="T709" i="11" a="1"/>
  <c r="T709" i="11" s="1"/>
  <c r="T710" i="11" a="1"/>
  <c r="T710" i="11" s="1"/>
  <c r="T711" i="11" a="1"/>
  <c r="T711" i="11" s="1"/>
  <c r="T712" i="11" a="1"/>
  <c r="T712" i="11" s="1"/>
  <c r="T713" i="11" a="1"/>
  <c r="T713" i="11" s="1"/>
  <c r="T714" i="11" a="1"/>
  <c r="T714" i="11" s="1"/>
  <c r="T715" i="11" a="1"/>
  <c r="T715" i="11" s="1"/>
  <c r="T716" i="11" a="1"/>
  <c r="T716" i="11" s="1"/>
  <c r="T717" i="11" a="1"/>
  <c r="T717" i="11" s="1"/>
  <c r="T718" i="11" a="1"/>
  <c r="T718" i="11" s="1"/>
  <c r="T719" i="11" a="1"/>
  <c r="T719" i="11" s="1"/>
  <c r="T720" i="11" a="1"/>
  <c r="T720" i="11" s="1"/>
  <c r="T721" i="11" a="1"/>
  <c r="T721" i="11" s="1"/>
  <c r="T722" i="11" a="1"/>
  <c r="T722" i="11" s="1"/>
  <c r="T723" i="11" a="1"/>
  <c r="T723" i="11" s="1"/>
  <c r="T724" i="11" a="1"/>
  <c r="T724" i="11" s="1"/>
  <c r="T725" i="11" a="1"/>
  <c r="T725" i="11" s="1"/>
  <c r="T726" i="11" a="1"/>
  <c r="T726" i="11" s="1"/>
  <c r="T727" i="11" a="1"/>
  <c r="T727" i="11" s="1"/>
  <c r="T728" i="11" a="1"/>
  <c r="T728" i="11" s="1"/>
  <c r="T729" i="11" a="1"/>
  <c r="T729" i="11" s="1"/>
  <c r="T730" i="11" a="1"/>
  <c r="T730" i="11" s="1"/>
  <c r="T731" i="11" a="1"/>
  <c r="T731" i="11" s="1"/>
  <c r="T732" i="11" a="1"/>
  <c r="T732" i="11" s="1"/>
  <c r="T733" i="11" a="1"/>
  <c r="T733" i="11" s="1"/>
  <c r="T734" i="11" a="1"/>
  <c r="T734" i="11" s="1"/>
  <c r="T735" i="11" a="1"/>
  <c r="T735" i="11" s="1"/>
  <c r="T736" i="11" a="1"/>
  <c r="T736" i="11" s="1"/>
  <c r="T737" i="11" a="1"/>
  <c r="T737" i="11" s="1"/>
  <c r="T738" i="11" a="1"/>
  <c r="T738" i="11" s="1"/>
  <c r="T739" i="11" a="1"/>
  <c r="T739" i="11" s="1"/>
  <c r="T740" i="11" a="1"/>
  <c r="T740" i="11" s="1"/>
  <c r="T741" i="11" a="1"/>
  <c r="T741" i="11" s="1"/>
  <c r="T742" i="11" a="1"/>
  <c r="T742" i="11" s="1"/>
  <c r="T743" i="11" a="1"/>
  <c r="T743" i="11" s="1"/>
  <c r="T744" i="11" a="1"/>
  <c r="T744" i="11" s="1"/>
  <c r="T745" i="11" a="1"/>
  <c r="T745" i="11" s="1"/>
  <c r="T746" i="11" a="1"/>
  <c r="T746" i="11" s="1"/>
  <c r="T747" i="11" a="1"/>
  <c r="T747" i="11" s="1"/>
  <c r="T748" i="11" a="1"/>
  <c r="T748" i="11" s="1"/>
  <c r="T749" i="11" a="1"/>
  <c r="T749" i="11" s="1"/>
  <c r="T750" i="11" a="1"/>
  <c r="T750" i="11" s="1"/>
  <c r="T751" i="11" a="1"/>
  <c r="T751" i="11" s="1"/>
  <c r="T752" i="11" a="1"/>
  <c r="T752" i="11" s="1"/>
  <c r="T753" i="11" a="1"/>
  <c r="T753" i="11" s="1"/>
  <c r="T754" i="11" a="1"/>
  <c r="T754" i="11" s="1"/>
  <c r="T755" i="11" a="1"/>
  <c r="T755" i="11" s="1"/>
  <c r="T756" i="11" a="1"/>
  <c r="T756" i="11" s="1"/>
  <c r="T757" i="11" a="1"/>
  <c r="T757" i="11" s="1"/>
  <c r="T758" i="11" a="1"/>
  <c r="T758" i="11" s="1"/>
  <c r="T759" i="11" a="1"/>
  <c r="T759" i="11" s="1"/>
  <c r="T760" i="11" a="1"/>
  <c r="T760" i="11" s="1"/>
  <c r="T761" i="11" a="1"/>
  <c r="T761" i="11" s="1"/>
  <c r="T762" i="11" a="1"/>
  <c r="T762" i="11" s="1"/>
  <c r="T763" i="11" a="1"/>
  <c r="T763" i="11" s="1"/>
  <c r="T764" i="11" a="1"/>
  <c r="T764" i="11" s="1"/>
  <c r="T765" i="11" a="1"/>
  <c r="T765" i="11" s="1"/>
  <c r="T766" i="11" a="1"/>
  <c r="T766" i="11" s="1"/>
  <c r="T767" i="11" a="1"/>
  <c r="T767" i="11" s="1"/>
  <c r="T768" i="11" a="1"/>
  <c r="T768" i="11" s="1"/>
  <c r="T769" i="11" a="1"/>
  <c r="T769" i="11" s="1"/>
  <c r="T770" i="11" a="1"/>
  <c r="T770" i="11" s="1"/>
  <c r="T771" i="11" a="1"/>
  <c r="T771" i="11" s="1"/>
  <c r="T772" i="11" a="1"/>
  <c r="T772" i="11" s="1"/>
  <c r="T773" i="11" a="1"/>
  <c r="T773" i="11" s="1"/>
  <c r="T774" i="11" a="1"/>
  <c r="T774" i="11" s="1"/>
  <c r="T775" i="11" a="1"/>
  <c r="T775" i="11" s="1"/>
  <c r="T776" i="11" a="1"/>
  <c r="T776" i="11" s="1"/>
  <c r="T777" i="11" a="1"/>
  <c r="T777" i="11" s="1"/>
  <c r="T778" i="11" a="1"/>
  <c r="T778" i="11" s="1"/>
  <c r="T779" i="11" a="1"/>
  <c r="T779" i="11" s="1"/>
  <c r="T780" i="11" a="1"/>
  <c r="T780" i="11" s="1"/>
  <c r="T781" i="11" a="1"/>
  <c r="T781" i="11" s="1"/>
  <c r="T782" i="11" a="1"/>
  <c r="T782" i="11" s="1"/>
  <c r="T783" i="11" a="1"/>
  <c r="T783" i="11" s="1"/>
  <c r="T784" i="11" a="1"/>
  <c r="T784" i="11" s="1"/>
  <c r="T785" i="11" a="1"/>
  <c r="T785" i="11" s="1"/>
  <c r="T786" i="11" a="1"/>
  <c r="T786" i="11" s="1"/>
  <c r="T787" i="11" a="1"/>
  <c r="T787" i="11" s="1"/>
  <c r="T788" i="11" a="1"/>
  <c r="T788" i="11" s="1"/>
  <c r="T789" i="11" a="1"/>
  <c r="T789" i="11" s="1"/>
  <c r="T790" i="11" a="1"/>
  <c r="T790" i="11" s="1"/>
  <c r="T791" i="11" a="1"/>
  <c r="T791" i="11" s="1"/>
  <c r="T792" i="11" a="1"/>
  <c r="T792" i="11" s="1"/>
  <c r="T793" i="11" a="1"/>
  <c r="T793" i="11" s="1"/>
  <c r="T794" i="11" a="1"/>
  <c r="T794" i="11" s="1"/>
  <c r="T795" i="11" a="1"/>
  <c r="T795" i="11" s="1"/>
  <c r="T796" i="11" a="1"/>
  <c r="T796" i="11" s="1"/>
  <c r="T797" i="11" a="1"/>
  <c r="T797" i="11" s="1"/>
  <c r="T798" i="11" a="1"/>
  <c r="T798" i="11" s="1"/>
  <c r="T799" i="11" a="1"/>
  <c r="T799" i="11" s="1"/>
  <c r="T800" i="11" a="1"/>
  <c r="T800" i="11" s="1"/>
  <c r="T801" i="11" a="1"/>
  <c r="T801" i="11" s="1"/>
  <c r="T802" i="11" a="1"/>
  <c r="T802" i="11" s="1"/>
  <c r="T803" i="11" a="1"/>
  <c r="T803" i="11" s="1"/>
  <c r="T804" i="11" a="1"/>
  <c r="T804" i="11" s="1"/>
  <c r="T805" i="11" a="1"/>
  <c r="T805" i="11" s="1"/>
  <c r="T806" i="11" a="1"/>
  <c r="T806" i="11" s="1"/>
  <c r="T807" i="11" a="1"/>
  <c r="T807" i="11" s="1"/>
  <c r="T808" i="11" a="1"/>
  <c r="T808" i="11" s="1"/>
  <c r="T809" i="11" a="1"/>
  <c r="T809" i="11" s="1"/>
  <c r="T810" i="11" a="1"/>
  <c r="T810" i="11" s="1"/>
  <c r="T811" i="11" a="1"/>
  <c r="T811" i="11" s="1"/>
  <c r="T812" i="11" a="1"/>
  <c r="T812" i="11" s="1"/>
  <c r="T813" i="11" a="1"/>
  <c r="T813" i="11" s="1"/>
  <c r="T814" i="11" a="1"/>
  <c r="T814" i="11" s="1"/>
  <c r="T815" i="11" a="1"/>
  <c r="T815" i="11" s="1"/>
  <c r="T816" i="11" a="1"/>
  <c r="T816" i="11" s="1"/>
  <c r="T817" i="11" a="1"/>
  <c r="T817" i="11" s="1"/>
  <c r="T818" i="11" a="1"/>
  <c r="T818" i="11" s="1"/>
  <c r="T819" i="11" a="1"/>
  <c r="T819" i="11" s="1"/>
  <c r="T820" i="11" a="1"/>
  <c r="T820" i="11" s="1"/>
  <c r="T821" i="11" a="1"/>
  <c r="T821" i="11" s="1"/>
  <c r="T822" i="11" a="1"/>
  <c r="T822" i="11" s="1"/>
  <c r="T823" i="11" a="1"/>
  <c r="T823" i="11" s="1"/>
  <c r="T824" i="11" a="1"/>
  <c r="T824" i="11" s="1"/>
  <c r="T825" i="11" a="1"/>
  <c r="T825" i="11" s="1"/>
  <c r="T826" i="11" a="1"/>
  <c r="T826" i="11" s="1"/>
  <c r="T827" i="11" a="1"/>
  <c r="T827" i="11" s="1"/>
  <c r="T828" i="11" a="1"/>
  <c r="T828" i="11" s="1"/>
  <c r="T829" i="11" a="1"/>
  <c r="T829" i="11" s="1"/>
  <c r="T830" i="11" a="1"/>
  <c r="T830" i="11" s="1"/>
  <c r="T831" i="11" a="1"/>
  <c r="T831" i="11" s="1"/>
  <c r="T832" i="11" a="1"/>
  <c r="T832" i="11" s="1"/>
  <c r="T833" i="11" a="1"/>
  <c r="T833" i="11" s="1"/>
  <c r="T834" i="11" a="1"/>
  <c r="T834" i="11" s="1"/>
  <c r="T835" i="11" a="1"/>
  <c r="T835" i="11" s="1"/>
  <c r="T836" i="11" a="1"/>
  <c r="T836" i="11" s="1"/>
  <c r="T837" i="11" a="1"/>
  <c r="T837" i="11" s="1"/>
  <c r="T838" i="11" a="1"/>
  <c r="T838" i="11" s="1"/>
  <c r="T839" i="11" a="1"/>
  <c r="T839" i="11" s="1"/>
  <c r="T840" i="11" a="1"/>
  <c r="T840" i="11" s="1"/>
  <c r="T841" i="11" a="1"/>
  <c r="T841" i="11" s="1"/>
  <c r="T842" i="11" a="1"/>
  <c r="T842" i="11" s="1"/>
  <c r="T843" i="11" a="1"/>
  <c r="T843" i="11" s="1"/>
  <c r="T844" i="11" a="1"/>
  <c r="T844" i="11" s="1"/>
  <c r="T845" i="11" a="1"/>
  <c r="T845" i="11" s="1"/>
  <c r="T846" i="11" a="1"/>
  <c r="T846" i="11" s="1"/>
  <c r="T847" i="11" a="1"/>
  <c r="T847" i="11" s="1"/>
  <c r="T848" i="11" a="1"/>
  <c r="T848" i="11" s="1"/>
  <c r="T849" i="11" a="1"/>
  <c r="T849" i="11" s="1"/>
  <c r="T850" i="11" a="1"/>
  <c r="T850" i="11" s="1"/>
  <c r="T851" i="11" a="1"/>
  <c r="T851" i="11" s="1"/>
  <c r="T852" i="11" a="1"/>
  <c r="T852" i="11" s="1"/>
  <c r="T853" i="11" a="1"/>
  <c r="T853" i="11" s="1"/>
  <c r="T854" i="11" a="1"/>
  <c r="T854" i="11" s="1"/>
  <c r="T855" i="11" a="1"/>
  <c r="T855" i="11" s="1"/>
  <c r="T856" i="11" a="1"/>
  <c r="T856" i="11" s="1"/>
  <c r="T857" i="11" a="1"/>
  <c r="T857" i="11" s="1"/>
  <c r="T858" i="11" a="1"/>
  <c r="T858" i="11" s="1"/>
  <c r="T859" i="11" a="1"/>
  <c r="T859" i="11" s="1"/>
  <c r="T860" i="11" a="1"/>
  <c r="T860" i="11" s="1"/>
  <c r="T861" i="11" a="1"/>
  <c r="T861" i="11" s="1"/>
  <c r="T862" i="11" a="1"/>
  <c r="T862" i="11" s="1"/>
  <c r="T863" i="11" a="1"/>
  <c r="T863" i="11" s="1"/>
  <c r="T864" i="11" a="1"/>
  <c r="T864" i="11" s="1"/>
  <c r="T865" i="11" a="1"/>
  <c r="T865" i="11" s="1"/>
  <c r="T866" i="11" a="1"/>
  <c r="T866" i="11" s="1"/>
  <c r="T867" i="11" a="1"/>
  <c r="T867" i="11" s="1"/>
  <c r="T868" i="11" a="1"/>
  <c r="T868" i="11" s="1"/>
  <c r="T869" i="11" a="1"/>
  <c r="T869" i="11" s="1"/>
  <c r="T870" i="11" a="1"/>
  <c r="T870" i="11" s="1"/>
  <c r="T871" i="11" a="1"/>
  <c r="T871" i="11" s="1"/>
  <c r="T872" i="11" a="1"/>
  <c r="T872" i="11" s="1"/>
  <c r="T873" i="11" a="1"/>
  <c r="T873" i="11" s="1"/>
  <c r="T874" i="11" a="1"/>
  <c r="T874" i="11" s="1"/>
  <c r="T875" i="11" a="1"/>
  <c r="T875" i="11" s="1"/>
  <c r="T876" i="11" a="1"/>
  <c r="T876" i="11" s="1"/>
  <c r="T877" i="11" a="1"/>
  <c r="T877" i="11" s="1"/>
  <c r="T878" i="11" a="1"/>
  <c r="T878" i="11" s="1"/>
  <c r="T879" i="11" a="1"/>
  <c r="T879" i="11" s="1"/>
  <c r="T880" i="11" a="1"/>
  <c r="T880" i="11" s="1"/>
  <c r="T881" i="11" a="1"/>
  <c r="T881" i="11" s="1"/>
  <c r="T882" i="11" a="1"/>
  <c r="T882" i="11" s="1"/>
  <c r="T883" i="11" a="1"/>
  <c r="T883" i="11" s="1"/>
  <c r="T884" i="11" a="1"/>
  <c r="T884" i="11" s="1"/>
  <c r="T885" i="11" a="1"/>
  <c r="T885" i="11" s="1"/>
  <c r="T886" i="11" a="1"/>
  <c r="T886" i="11" s="1"/>
  <c r="T887" i="11" a="1"/>
  <c r="T887" i="11" s="1"/>
  <c r="T888" i="11" a="1"/>
  <c r="T888" i="11" s="1"/>
  <c r="T889" i="11" a="1"/>
  <c r="T889" i="11" s="1"/>
  <c r="T890" i="11" a="1"/>
  <c r="T890" i="11" s="1"/>
  <c r="T891" i="11" a="1"/>
  <c r="T891" i="11" s="1"/>
  <c r="T892" i="11" a="1"/>
  <c r="T892" i="11" s="1"/>
  <c r="T893" i="11" a="1"/>
  <c r="T893" i="11" s="1"/>
  <c r="T894" i="11" a="1"/>
  <c r="T894" i="11" s="1"/>
  <c r="T895" i="11" a="1"/>
  <c r="T895" i="11" s="1"/>
  <c r="T896" i="11" a="1"/>
  <c r="T896" i="11" s="1"/>
  <c r="T897" i="11" a="1"/>
  <c r="T897" i="11" s="1"/>
  <c r="T898" i="11" a="1"/>
  <c r="T898" i="11" s="1"/>
  <c r="T899" i="11" a="1"/>
  <c r="T899" i="11" s="1"/>
  <c r="T900" i="11" a="1"/>
  <c r="T900" i="11" s="1"/>
  <c r="T901" i="11" a="1"/>
  <c r="T901" i="11" s="1"/>
  <c r="T902" i="11" a="1"/>
  <c r="T902" i="11" s="1"/>
  <c r="T903" i="11" a="1"/>
  <c r="T903" i="11" s="1"/>
  <c r="T904" i="11" a="1"/>
  <c r="T904" i="11" s="1"/>
  <c r="T905" i="11" a="1"/>
  <c r="T905" i="11" s="1"/>
  <c r="T906" i="11" a="1"/>
  <c r="T906" i="11" s="1"/>
  <c r="T907" i="11" a="1"/>
  <c r="T907" i="11" s="1"/>
  <c r="T908" i="11" a="1"/>
  <c r="T908" i="11" s="1"/>
  <c r="T909" i="11" a="1"/>
  <c r="T909" i="11" s="1"/>
  <c r="T910" i="11" a="1"/>
  <c r="T910" i="11" s="1"/>
  <c r="T911" i="11" a="1"/>
  <c r="T911" i="11" s="1"/>
  <c r="T912" i="11" a="1"/>
  <c r="T912" i="11" s="1"/>
  <c r="T913" i="11" a="1"/>
  <c r="T913" i="11" s="1"/>
  <c r="T914" i="11" a="1"/>
  <c r="T914" i="11" s="1"/>
  <c r="T915" i="11" a="1"/>
  <c r="T915" i="11" s="1"/>
  <c r="T916" i="11" a="1"/>
  <c r="T916" i="11" s="1"/>
  <c r="T917" i="11" a="1"/>
  <c r="T917" i="11" s="1"/>
  <c r="T918" i="11" a="1"/>
  <c r="T918" i="11" s="1"/>
  <c r="T919" i="11" a="1"/>
  <c r="T919" i="11" s="1"/>
  <c r="T920" i="11" a="1"/>
  <c r="T920" i="11" s="1"/>
  <c r="T921" i="11" a="1"/>
  <c r="T921" i="11" s="1"/>
  <c r="T922" i="11" a="1"/>
  <c r="T922" i="11" s="1"/>
  <c r="T923" i="11" a="1"/>
  <c r="T923" i="11" s="1"/>
  <c r="T924" i="11" a="1"/>
  <c r="T924" i="11" s="1"/>
  <c r="T925" i="11" a="1"/>
  <c r="T925" i="11" s="1"/>
  <c r="T926" i="11" a="1"/>
  <c r="T926" i="11" s="1"/>
  <c r="T927" i="11" a="1"/>
  <c r="T927" i="11" s="1"/>
  <c r="T928" i="11" a="1"/>
  <c r="T928" i="11" s="1"/>
  <c r="T929" i="11" a="1"/>
  <c r="T929" i="11" s="1"/>
  <c r="T930" i="11" a="1"/>
  <c r="T930" i="11" s="1"/>
  <c r="T931" i="11" a="1"/>
  <c r="T931" i="11" s="1"/>
  <c r="T932" i="11" a="1"/>
  <c r="T932" i="11" s="1"/>
  <c r="T933" i="11" a="1"/>
  <c r="T933" i="11" s="1"/>
  <c r="T934" i="11" a="1"/>
  <c r="T934" i="11" s="1"/>
  <c r="T935" i="11" a="1"/>
  <c r="T935" i="11" s="1"/>
  <c r="T936" i="11" a="1"/>
  <c r="T936" i="11" s="1"/>
  <c r="T937" i="11" a="1"/>
  <c r="T937" i="11" s="1"/>
  <c r="T938" i="11" a="1"/>
  <c r="T938" i="11" s="1"/>
  <c r="T939" i="11" a="1"/>
  <c r="T939" i="11" s="1"/>
  <c r="T940" i="11" a="1"/>
  <c r="T940" i="11" s="1"/>
  <c r="T941" i="11" a="1"/>
  <c r="T941" i="11" s="1"/>
  <c r="T942" i="11" a="1"/>
  <c r="T942" i="11" s="1"/>
  <c r="T943" i="11" a="1"/>
  <c r="T943" i="11" s="1"/>
  <c r="T944" i="11" a="1"/>
  <c r="T944" i="11" s="1"/>
  <c r="T945" i="11" a="1"/>
  <c r="T945" i="11" s="1"/>
  <c r="T946" i="11" a="1"/>
  <c r="T946" i="11" s="1"/>
  <c r="T947" i="11" a="1"/>
  <c r="T947" i="11" s="1"/>
  <c r="T948" i="11" a="1"/>
  <c r="T948" i="11" s="1"/>
  <c r="T949" i="11" a="1"/>
  <c r="T949" i="11" s="1"/>
  <c r="T950" i="11" a="1"/>
  <c r="T950" i="11" s="1"/>
  <c r="T951" i="11" a="1"/>
  <c r="T951" i="11" s="1"/>
  <c r="T952" i="11" a="1"/>
  <c r="T952" i="11" s="1"/>
  <c r="T953" i="11" a="1"/>
  <c r="T953" i="11" s="1"/>
  <c r="T954" i="11" a="1"/>
  <c r="T954" i="11" s="1"/>
  <c r="T955" i="11" a="1"/>
  <c r="T955" i="11" s="1"/>
  <c r="T956" i="11" a="1"/>
  <c r="T956" i="11" s="1"/>
  <c r="T957" i="11" a="1"/>
  <c r="T957" i="11" s="1"/>
  <c r="T958" i="11" a="1"/>
  <c r="T958" i="11" s="1"/>
  <c r="T959" i="11" a="1"/>
  <c r="T959" i="11" s="1"/>
  <c r="T960" i="11" a="1"/>
  <c r="T960" i="11" s="1"/>
  <c r="T961" i="11" a="1"/>
  <c r="T961" i="11" s="1"/>
  <c r="T962" i="11" a="1"/>
  <c r="T962" i="11" s="1"/>
  <c r="T963" i="11" a="1"/>
  <c r="T963" i="11" s="1"/>
  <c r="T964" i="11" a="1"/>
  <c r="T964" i="11" s="1"/>
  <c r="T965" i="11" a="1"/>
  <c r="T965" i="11" s="1"/>
  <c r="T966" i="11" a="1"/>
  <c r="T966" i="11" s="1"/>
  <c r="T967" i="11" a="1"/>
  <c r="T967" i="11" s="1"/>
  <c r="T968" i="11" a="1"/>
  <c r="T968" i="11" s="1"/>
  <c r="T969" i="11" a="1"/>
  <c r="T969" i="11" s="1"/>
  <c r="T970" i="11" a="1"/>
  <c r="T970" i="11" s="1"/>
  <c r="T971" i="11" a="1"/>
  <c r="T971" i="11" s="1"/>
  <c r="T972" i="11" a="1"/>
  <c r="T972" i="11" s="1"/>
  <c r="T973" i="11" a="1"/>
  <c r="T973" i="11" s="1"/>
  <c r="T974" i="11" a="1"/>
  <c r="T974" i="11" s="1"/>
  <c r="T975" i="11" a="1"/>
  <c r="T975" i="11" s="1"/>
  <c r="T976" i="11" a="1"/>
  <c r="T976" i="11" s="1"/>
  <c r="T977" i="11" a="1"/>
  <c r="T977" i="11" s="1"/>
  <c r="T978" i="11" a="1"/>
  <c r="T978" i="11" s="1"/>
  <c r="T979" i="11" a="1"/>
  <c r="T979" i="11" s="1"/>
  <c r="T980" i="11" a="1"/>
  <c r="T980" i="11" s="1"/>
  <c r="T981" i="11" a="1"/>
  <c r="T981" i="11" s="1"/>
  <c r="T982" i="11" a="1"/>
  <c r="T982" i="11" s="1"/>
  <c r="T983" i="11" a="1"/>
  <c r="T983" i="11" s="1"/>
  <c r="T984" i="11" a="1"/>
  <c r="T984" i="11" s="1"/>
  <c r="T985" i="11" a="1"/>
  <c r="T985" i="11" s="1"/>
  <c r="T986" i="11" a="1"/>
  <c r="T986" i="11" s="1"/>
  <c r="T987" i="11" a="1"/>
  <c r="T987" i="11" s="1"/>
  <c r="T988" i="11" a="1"/>
  <c r="T988" i="11" s="1"/>
  <c r="T989" i="11" a="1"/>
  <c r="T989" i="11" s="1"/>
  <c r="T990" i="11" a="1"/>
  <c r="T990" i="11" s="1"/>
  <c r="T991" i="11" a="1"/>
  <c r="T991" i="11" s="1"/>
  <c r="T992" i="11" a="1"/>
  <c r="T992" i="11" s="1"/>
  <c r="T993" i="11" a="1"/>
  <c r="T993" i="11" s="1"/>
  <c r="T994" i="11" a="1"/>
  <c r="T994" i="11" s="1"/>
  <c r="T995" i="11" a="1"/>
  <c r="T995" i="11" s="1"/>
  <c r="T996" i="11" a="1"/>
  <c r="T996" i="11" s="1"/>
  <c r="T997" i="11" a="1"/>
  <c r="T997" i="11" s="1"/>
  <c r="T998" i="11" a="1"/>
  <c r="T998" i="11" s="1"/>
  <c r="T999" i="11" a="1"/>
  <c r="T999" i="11" s="1"/>
  <c r="T1000" i="11" a="1"/>
  <c r="T1000" i="11" s="1"/>
  <c r="T1001" i="11" a="1"/>
  <c r="T1001" i="11" s="1"/>
  <c r="T1002" i="11" a="1"/>
  <c r="T1002" i="11" s="1"/>
  <c r="T1003" i="11" a="1"/>
  <c r="T1003" i="11" s="1"/>
  <c r="T1004" i="11" a="1"/>
  <c r="T1004" i="11" s="1"/>
  <c r="T1005" i="11" a="1"/>
  <c r="T1005" i="11" s="1"/>
  <c r="T1006" i="11" a="1"/>
  <c r="T1006" i="11" s="1"/>
  <c r="T1007" i="11" a="1"/>
  <c r="T1007" i="11" s="1"/>
  <c r="T1008" i="11" a="1"/>
  <c r="T1008" i="11" s="1"/>
  <c r="T1009" i="11" a="1"/>
  <c r="T1009" i="11" s="1"/>
  <c r="T1010" i="11" a="1"/>
  <c r="T1010" i="11" s="1"/>
  <c r="T1011" i="11" a="1"/>
  <c r="T1011" i="11" s="1"/>
  <c r="T1012" i="11" a="1"/>
  <c r="T1012" i="11" s="1"/>
  <c r="T1013" i="11" a="1"/>
  <c r="T1013" i="11" s="1"/>
  <c r="T1014" i="11" a="1"/>
  <c r="T1014" i="11" s="1"/>
  <c r="T1015" i="11" a="1"/>
  <c r="T1015" i="11" s="1"/>
  <c r="T1016" i="11" a="1"/>
  <c r="T1016" i="11" s="1"/>
  <c r="T1017" i="11" a="1"/>
  <c r="T1017" i="11" s="1"/>
  <c r="T1018" i="11" a="1"/>
  <c r="T1018" i="11" s="1"/>
  <c r="T1019" i="11" a="1"/>
  <c r="T1019" i="11" s="1"/>
  <c r="T1020" i="11" a="1"/>
  <c r="T1020" i="11" s="1"/>
  <c r="T1021" i="11" a="1"/>
  <c r="T1021" i="11" s="1"/>
  <c r="T1022" i="11" a="1"/>
  <c r="T1022" i="11" s="1"/>
  <c r="T1023" i="11" a="1"/>
  <c r="T1023" i="11" s="1"/>
  <c r="T1024" i="11" a="1"/>
  <c r="T1024" i="11" s="1"/>
  <c r="T1025" i="11" a="1"/>
  <c r="T1025" i="11" s="1"/>
  <c r="T1026" i="11" a="1"/>
  <c r="T1026" i="11" s="1"/>
  <c r="T1027" i="11" a="1"/>
  <c r="T1027" i="11" s="1"/>
  <c r="T1028" i="11" a="1"/>
  <c r="T1028" i="11" s="1"/>
  <c r="T1029" i="11" a="1"/>
  <c r="T1029" i="11" s="1"/>
  <c r="T1030" i="11" a="1"/>
  <c r="T1030" i="11" s="1"/>
  <c r="T1031" i="11" a="1"/>
  <c r="T1031" i="11" s="1"/>
  <c r="T1032" i="11" a="1"/>
  <c r="T1032" i="11" s="1"/>
  <c r="T1033" i="11" a="1"/>
  <c r="T1033" i="11" s="1"/>
  <c r="T1034" i="11" a="1"/>
  <c r="T1034" i="11" s="1"/>
  <c r="T1035" i="11" a="1"/>
  <c r="T1035" i="11" s="1"/>
  <c r="T1036" i="11" a="1"/>
  <c r="T1036" i="11" s="1"/>
  <c r="T1037" i="11" a="1"/>
  <c r="T1037" i="11" s="1"/>
  <c r="T1038" i="11" a="1"/>
  <c r="T1038" i="11" s="1"/>
  <c r="T1039" i="11" a="1"/>
  <c r="T1039" i="11" s="1"/>
  <c r="T1040" i="11" a="1"/>
  <c r="T1040" i="11" s="1"/>
  <c r="T1041" i="11" a="1"/>
  <c r="T1041" i="11" s="1"/>
  <c r="T1042" i="11" a="1"/>
  <c r="T1042" i="11" s="1"/>
  <c r="T1043" i="11" a="1"/>
  <c r="T1043" i="11" s="1"/>
  <c r="T1044" i="11" a="1"/>
  <c r="T1044" i="11" s="1"/>
  <c r="T1045" i="11" a="1"/>
  <c r="T1045" i="11" s="1"/>
  <c r="T1046" i="11" a="1"/>
  <c r="T1046" i="11" s="1"/>
  <c r="T1047" i="11" a="1"/>
  <c r="T1047" i="11" s="1"/>
  <c r="T1048" i="11" a="1"/>
  <c r="T1048" i="11" s="1"/>
  <c r="T1049" i="11" a="1"/>
  <c r="T1049" i="11" s="1"/>
  <c r="T1050" i="11" a="1"/>
  <c r="T1050" i="11" s="1"/>
  <c r="T1051" i="11" a="1"/>
  <c r="T1051" i="11" s="1"/>
  <c r="T1052" i="11" a="1"/>
  <c r="T1052" i="11" s="1"/>
  <c r="T1053" i="11" a="1"/>
  <c r="T1053" i="11" s="1"/>
  <c r="T1054" i="11" a="1"/>
  <c r="T1054" i="11" s="1"/>
  <c r="T1055" i="11" a="1"/>
  <c r="T1055" i="11" s="1"/>
  <c r="T1056" i="11" a="1"/>
  <c r="T1056" i="11" s="1"/>
  <c r="T1057" i="11" a="1"/>
  <c r="T1057" i="11" s="1"/>
  <c r="T1058" i="11" a="1"/>
  <c r="T1058" i="11" s="1"/>
  <c r="T1059" i="11" a="1"/>
  <c r="T1059" i="11" s="1"/>
  <c r="T1060" i="11" a="1"/>
  <c r="T1060" i="11" s="1"/>
  <c r="T1061" i="11" a="1"/>
  <c r="T1061" i="11" s="1"/>
  <c r="T1062" i="11" a="1"/>
  <c r="T1062" i="11" s="1"/>
  <c r="T1063" i="11" a="1"/>
  <c r="T1063" i="11" s="1"/>
  <c r="T1064" i="11" a="1"/>
  <c r="T1064" i="11" s="1"/>
  <c r="T1065" i="11" a="1"/>
  <c r="T1065" i="11" s="1"/>
  <c r="T1066" i="11" a="1"/>
  <c r="T1066" i="11" s="1"/>
  <c r="T1067" i="11" a="1"/>
  <c r="T1067" i="11" s="1"/>
  <c r="T1068" i="11" a="1"/>
  <c r="T1068" i="11" s="1"/>
  <c r="T1069" i="11" a="1"/>
  <c r="T1069" i="11" s="1"/>
  <c r="T1070" i="11" a="1"/>
  <c r="T1070" i="11" s="1"/>
  <c r="T1071" i="11" a="1"/>
  <c r="T1071" i="11" s="1"/>
  <c r="T1072" i="11" a="1"/>
  <c r="T1072" i="11" s="1"/>
  <c r="T1073" i="11" a="1"/>
  <c r="T1073" i="11" s="1"/>
  <c r="T1074" i="11" a="1"/>
  <c r="T1074" i="11" s="1"/>
  <c r="T1075" i="11" a="1"/>
  <c r="T1075" i="11" s="1"/>
  <c r="T1076" i="11" a="1"/>
  <c r="T1076" i="11" s="1"/>
  <c r="T1077" i="11" a="1"/>
  <c r="T1077" i="11" s="1"/>
  <c r="T1078" i="11" a="1"/>
  <c r="T1078" i="11" s="1"/>
  <c r="T1079" i="11" a="1"/>
  <c r="T1079" i="11" s="1"/>
  <c r="T1080" i="11" a="1"/>
  <c r="T1080" i="11" s="1"/>
  <c r="T1081" i="11" a="1"/>
  <c r="T1081" i="11" s="1"/>
  <c r="T1082" i="11" a="1"/>
  <c r="T1082" i="11" s="1"/>
  <c r="T1083" i="11" a="1"/>
  <c r="T1083" i="11" s="1"/>
  <c r="T1084" i="11" a="1"/>
  <c r="T1084" i="11" s="1"/>
  <c r="T1085" i="11" a="1"/>
  <c r="T1085" i="11" s="1"/>
  <c r="T1086" i="11" a="1"/>
  <c r="T1086" i="11" s="1"/>
  <c r="T1087" i="11" a="1"/>
  <c r="T1087" i="11" s="1"/>
  <c r="T1088" i="11" a="1"/>
  <c r="T1088" i="11" s="1"/>
  <c r="T1089" i="11" a="1"/>
  <c r="T1089" i="11" s="1"/>
  <c r="T1090" i="11" a="1"/>
  <c r="T1090" i="11" s="1"/>
  <c r="T1091" i="11" a="1"/>
  <c r="T1091" i="11" s="1"/>
  <c r="T1092" i="11" a="1"/>
  <c r="T1092" i="11" s="1"/>
  <c r="T1093" i="11" a="1"/>
  <c r="T1093" i="11" s="1"/>
  <c r="T1094" i="11" a="1"/>
  <c r="T1094" i="11" s="1"/>
  <c r="T1095" i="11" a="1"/>
  <c r="T1095" i="11" s="1"/>
  <c r="T1096" i="11" a="1"/>
  <c r="T1096" i="11" s="1"/>
  <c r="T1097" i="11" a="1"/>
  <c r="T1097" i="11" s="1"/>
  <c r="T1098" i="11" a="1"/>
  <c r="T1098" i="11" s="1"/>
  <c r="T1099" i="11" a="1"/>
  <c r="T1099" i="11" s="1"/>
  <c r="T1100" i="11" a="1"/>
  <c r="T1100" i="11" s="1"/>
  <c r="T1101" i="11" a="1"/>
  <c r="T1101" i="11" s="1"/>
  <c r="T1102" i="11" a="1"/>
  <c r="T1102" i="11" s="1"/>
  <c r="T1103" i="11" a="1"/>
  <c r="T1103" i="11" s="1"/>
  <c r="T1104" i="11" a="1"/>
  <c r="T1104" i="11" s="1"/>
  <c r="T1105" i="11" a="1"/>
  <c r="T1105" i="11" s="1"/>
  <c r="T1106" i="11" a="1"/>
  <c r="T1106" i="11" s="1"/>
  <c r="T1107" i="11" a="1"/>
  <c r="T1107" i="11" s="1"/>
  <c r="T1108" i="11" a="1"/>
  <c r="T1108" i="11" s="1"/>
  <c r="T1109" i="11" a="1"/>
  <c r="T1109" i="11" s="1"/>
  <c r="T1110" i="11" a="1"/>
  <c r="T1110" i="11" s="1"/>
  <c r="T1111" i="11" a="1"/>
  <c r="T1111" i="11" s="1"/>
  <c r="T1112" i="11" a="1"/>
  <c r="T1112" i="11" s="1"/>
  <c r="T1113" i="11" a="1"/>
  <c r="T1113" i="11" s="1"/>
  <c r="T1114" i="11" a="1"/>
  <c r="T1114" i="11" s="1"/>
  <c r="T1115" i="11" a="1"/>
  <c r="T1115" i="11" s="1"/>
  <c r="T1116" i="11" a="1"/>
  <c r="T1116" i="11" s="1"/>
  <c r="T1117" i="11" a="1"/>
  <c r="T1117" i="11" s="1"/>
  <c r="T1118" i="11" a="1"/>
  <c r="T1118" i="11" s="1"/>
  <c r="T1119" i="11" a="1"/>
  <c r="T1119" i="11" s="1"/>
  <c r="T1120" i="11" a="1"/>
  <c r="T1120" i="11" s="1"/>
  <c r="T1121" i="11" a="1"/>
  <c r="T1121" i="11" s="1"/>
  <c r="T1122" i="11" a="1"/>
  <c r="T1122" i="11" s="1"/>
  <c r="T1123" i="11" a="1"/>
  <c r="T1123" i="11" s="1"/>
  <c r="T1124" i="11" a="1"/>
  <c r="T1124" i="11" s="1"/>
  <c r="T1125" i="11" a="1"/>
  <c r="T1125" i="11" s="1"/>
  <c r="T1126" i="11" a="1"/>
  <c r="T1126" i="11" s="1"/>
  <c r="T1127" i="11" a="1"/>
  <c r="T1127" i="11" s="1"/>
  <c r="T1128" i="11" a="1"/>
  <c r="T1128" i="11" s="1"/>
  <c r="T1129" i="11" a="1"/>
  <c r="T1129" i="11" s="1"/>
  <c r="T1130" i="11" a="1"/>
  <c r="T1130" i="11" s="1"/>
  <c r="T1131" i="11" a="1"/>
  <c r="T1131" i="11" s="1"/>
  <c r="T1132" i="11" a="1"/>
  <c r="T1132" i="11" s="1"/>
  <c r="T1133" i="11" a="1"/>
  <c r="T1133" i="11" s="1"/>
  <c r="T1134" i="11" a="1"/>
  <c r="T1134" i="11" s="1"/>
  <c r="T1135" i="11" a="1"/>
  <c r="T1135" i="11" s="1"/>
  <c r="T1136" i="11" a="1"/>
  <c r="T1136" i="11" s="1"/>
  <c r="T1137" i="11" a="1"/>
  <c r="T1137" i="11" s="1"/>
  <c r="T1138" i="11" a="1"/>
  <c r="T1138" i="11" s="1"/>
  <c r="T1139" i="11" a="1"/>
  <c r="T1139" i="11" s="1"/>
  <c r="T1140" i="11" a="1"/>
  <c r="T1140" i="11" s="1"/>
  <c r="T1141" i="11" a="1"/>
  <c r="T1141" i="11" s="1"/>
  <c r="T1142" i="11" a="1"/>
  <c r="T1142" i="11" s="1"/>
  <c r="T1143" i="11" a="1"/>
  <c r="T1143" i="11" s="1"/>
  <c r="T1144" i="11" a="1"/>
  <c r="T1144" i="11" s="1"/>
  <c r="T1145" i="11" a="1"/>
  <c r="T1145" i="11" s="1"/>
  <c r="T1146" i="11" a="1"/>
  <c r="T1146" i="11" s="1"/>
  <c r="T1147" i="11" a="1"/>
  <c r="T1147" i="11" s="1"/>
  <c r="T1148" i="11" a="1"/>
  <c r="T1148" i="11" s="1"/>
  <c r="T1149" i="11" a="1"/>
  <c r="T1149" i="11" s="1"/>
  <c r="T1150" i="11" a="1"/>
  <c r="T1150" i="11" s="1"/>
  <c r="T1151" i="11" a="1"/>
  <c r="T1151" i="11" s="1"/>
  <c r="T1152" i="11" a="1"/>
  <c r="T1152" i="11" s="1"/>
  <c r="T1153" i="11" a="1"/>
  <c r="T1153" i="11" s="1"/>
  <c r="T1154" i="11" a="1"/>
  <c r="T1154" i="11" s="1"/>
  <c r="T1155" i="11" a="1"/>
  <c r="T1155" i="11" s="1"/>
  <c r="T1156" i="11" a="1"/>
  <c r="T1156" i="11" s="1"/>
  <c r="T1157" i="11" a="1"/>
  <c r="T1157" i="11" s="1"/>
  <c r="T1158" i="11" a="1"/>
  <c r="T1158" i="11" s="1"/>
  <c r="T1159" i="11" a="1"/>
  <c r="T1159" i="11" s="1"/>
  <c r="T1160" i="11" a="1"/>
  <c r="T1160" i="11" s="1"/>
  <c r="T1161" i="11" a="1"/>
  <c r="T1161" i="11" s="1"/>
  <c r="T1162" i="11" a="1"/>
  <c r="T1162" i="11" s="1"/>
  <c r="T1163" i="11" a="1"/>
  <c r="T1163" i="11" s="1"/>
  <c r="T1164" i="11" a="1"/>
  <c r="T1164" i="11" s="1"/>
  <c r="T1165" i="11" a="1"/>
  <c r="T1165" i="11" s="1"/>
  <c r="T1166" i="11" a="1"/>
  <c r="T1166" i="11" s="1"/>
  <c r="T1167" i="11" a="1"/>
  <c r="T1167" i="11" s="1"/>
  <c r="T1168" i="11" a="1"/>
  <c r="T1168" i="11" s="1"/>
  <c r="T1169" i="11" a="1"/>
  <c r="T1169" i="11" s="1"/>
  <c r="T1170" i="11" a="1"/>
  <c r="T1170" i="11" s="1"/>
  <c r="T1171" i="11" a="1"/>
  <c r="T1171" i="11" s="1"/>
  <c r="T1172" i="11" a="1"/>
  <c r="T1172" i="11" s="1"/>
  <c r="T1173" i="11" a="1"/>
  <c r="T1173" i="11" s="1"/>
  <c r="T1174" i="11" a="1"/>
  <c r="T1174" i="11" s="1"/>
  <c r="T1175" i="11" a="1"/>
  <c r="T1175" i="11" s="1"/>
  <c r="T1176" i="11" a="1"/>
  <c r="T1176" i="11" s="1"/>
  <c r="T1177" i="11" a="1"/>
  <c r="T1177" i="11" s="1"/>
  <c r="T1178" i="11" a="1"/>
  <c r="T1178" i="11" s="1"/>
  <c r="T1179" i="11" a="1"/>
  <c r="T1179" i="11" s="1"/>
  <c r="T1180" i="11" a="1"/>
  <c r="T1180" i="11" s="1"/>
  <c r="T1181" i="11" a="1"/>
  <c r="T1181" i="11" s="1"/>
  <c r="T1182" i="11" a="1"/>
  <c r="T1182" i="11" s="1"/>
  <c r="T1183" i="11" a="1"/>
  <c r="T1183" i="11" s="1"/>
  <c r="T1184" i="11" a="1"/>
  <c r="T1184" i="11" s="1"/>
  <c r="T1185" i="11" a="1"/>
  <c r="T1185" i="11" s="1"/>
  <c r="T1186" i="11" a="1"/>
  <c r="T1186" i="11" s="1"/>
  <c r="T1187" i="11" a="1"/>
  <c r="T1187" i="11" s="1"/>
  <c r="T1188" i="11" a="1"/>
  <c r="T1188" i="11" s="1"/>
  <c r="T1189" i="11" a="1"/>
  <c r="T1189" i="11" s="1"/>
  <c r="T1190" i="11" a="1"/>
  <c r="T1190" i="11" s="1"/>
  <c r="T1191" i="11" a="1"/>
  <c r="T1191" i="11" s="1"/>
  <c r="T1192" i="11" a="1"/>
  <c r="T1192" i="11" s="1"/>
  <c r="T1193" i="11" a="1"/>
  <c r="T1193" i="11" s="1"/>
  <c r="T1194" i="11" a="1"/>
  <c r="T1194" i="11" s="1"/>
  <c r="T1195" i="11" a="1"/>
  <c r="T1195" i="11" s="1"/>
  <c r="T1196" i="11" a="1"/>
  <c r="T1196" i="11" s="1"/>
  <c r="T1197" i="11" a="1"/>
  <c r="T1197" i="11" s="1"/>
  <c r="T1198" i="11" a="1"/>
  <c r="T1198" i="11" s="1"/>
  <c r="T1199" i="11" a="1"/>
  <c r="T1199" i="11" s="1"/>
  <c r="T1200" i="11" a="1"/>
  <c r="T1200" i="11" s="1"/>
  <c r="T1201" i="11" a="1"/>
  <c r="T1201" i="11" s="1"/>
  <c r="T1202" i="11" a="1"/>
  <c r="T1202" i="11" s="1"/>
  <c r="T1203" i="11" a="1"/>
  <c r="T1203" i="11" s="1"/>
  <c r="T1204" i="11" a="1"/>
  <c r="T1204" i="11" s="1"/>
  <c r="T1205" i="11" a="1"/>
  <c r="T1205" i="11" s="1"/>
  <c r="T1206" i="11" a="1"/>
  <c r="T1206" i="11" s="1"/>
  <c r="T1207" i="11" a="1"/>
  <c r="T1207" i="11" s="1"/>
  <c r="T1208" i="11" a="1"/>
  <c r="T1208" i="11" s="1"/>
  <c r="T1209" i="11" a="1"/>
  <c r="T1209" i="11" s="1"/>
  <c r="T1210" i="11" a="1"/>
  <c r="T1210" i="11" s="1"/>
  <c r="T1211" i="11" a="1"/>
  <c r="T1211" i="11" s="1"/>
  <c r="T1212" i="11" a="1"/>
  <c r="T1212" i="11" s="1"/>
  <c r="T1213" i="11" a="1"/>
  <c r="T1213" i="11" s="1"/>
  <c r="T1214" i="11" a="1"/>
  <c r="T1214" i="11" s="1"/>
  <c r="T1215" i="11" a="1"/>
  <c r="T1215" i="11" s="1"/>
  <c r="T1216" i="11" a="1"/>
  <c r="T1216" i="11" s="1"/>
  <c r="T1217" i="11" a="1"/>
  <c r="T1217" i="11" s="1"/>
  <c r="T1218" i="11" a="1"/>
  <c r="T1218" i="11" s="1"/>
  <c r="T1219" i="11" a="1"/>
  <c r="T1219" i="11" s="1"/>
  <c r="T1220" i="11" a="1"/>
  <c r="T1220" i="11" s="1"/>
  <c r="T1221" i="11" a="1"/>
  <c r="T1221" i="11" s="1"/>
  <c r="T1222" i="11" a="1"/>
  <c r="T1222" i="11" s="1"/>
  <c r="T1223" i="11" a="1"/>
  <c r="T1223" i="11" s="1"/>
  <c r="T1224" i="11" a="1"/>
  <c r="T1224" i="11" s="1"/>
  <c r="T1225" i="11" a="1"/>
  <c r="T1225" i="11" s="1"/>
  <c r="T1226" i="11" a="1"/>
  <c r="T1226" i="11" s="1"/>
  <c r="T1227" i="11" a="1"/>
  <c r="T1227" i="11" s="1"/>
  <c r="T1228" i="11" a="1"/>
  <c r="T1228" i="11" s="1"/>
  <c r="T1229" i="11" a="1"/>
  <c r="T1229" i="11" s="1"/>
  <c r="T1230" i="11" a="1"/>
  <c r="T1230" i="11" s="1"/>
  <c r="T1231" i="11" a="1"/>
  <c r="T1231" i="11" s="1"/>
  <c r="T1232" i="11" a="1"/>
  <c r="T1232" i="11" s="1"/>
  <c r="T1233" i="11" a="1"/>
  <c r="T1233" i="11" s="1"/>
  <c r="T1234" i="11" a="1"/>
  <c r="T1234" i="11" s="1"/>
  <c r="T1235" i="11" a="1"/>
  <c r="T1235" i="11" s="1"/>
  <c r="T1236" i="11" a="1"/>
  <c r="T1236" i="11" s="1"/>
  <c r="T1237" i="11" a="1"/>
  <c r="T1237" i="11" s="1"/>
  <c r="T1238" i="11" a="1"/>
  <c r="T1238" i="11" s="1"/>
  <c r="T1239" i="11" a="1"/>
  <c r="T1239" i="11" s="1"/>
  <c r="T1240" i="11" a="1"/>
  <c r="T1240" i="11" s="1"/>
  <c r="T1241" i="11" a="1"/>
  <c r="T1241" i="11" s="1"/>
  <c r="T1242" i="11" a="1"/>
  <c r="T1242" i="11" s="1"/>
  <c r="T1243" i="11" a="1"/>
  <c r="T1243" i="11" s="1"/>
  <c r="T1244" i="11" a="1"/>
  <c r="T1244" i="11" s="1"/>
  <c r="T1245" i="11" a="1"/>
  <c r="T1245" i="11" s="1"/>
  <c r="T1246" i="11" a="1"/>
  <c r="T1246" i="11" s="1"/>
  <c r="T1247" i="11" a="1"/>
  <c r="T1247" i="11" s="1"/>
  <c r="T1248" i="11" a="1"/>
  <c r="T1248" i="11" s="1"/>
  <c r="T1249" i="11" a="1"/>
  <c r="T1249" i="11" s="1"/>
  <c r="T1250" i="11" a="1"/>
  <c r="T1250" i="11" s="1"/>
  <c r="T1251" i="11" a="1"/>
  <c r="T1251" i="11" s="1"/>
  <c r="T1252" i="11" a="1"/>
  <c r="T1252" i="11" s="1"/>
  <c r="T1253" i="11" a="1"/>
  <c r="T1253" i="11" s="1"/>
  <c r="T1254" i="11" a="1"/>
  <c r="T1254" i="11" s="1"/>
  <c r="T1255" i="11" a="1"/>
  <c r="T1255" i="11" s="1"/>
  <c r="T1256" i="11" a="1"/>
  <c r="T1256" i="11" s="1"/>
  <c r="T1257" i="11" a="1"/>
  <c r="T1257" i="11" s="1"/>
  <c r="T1258" i="11" a="1"/>
  <c r="T1258" i="11" s="1"/>
  <c r="T1259" i="11" a="1"/>
  <c r="T1259" i="11" s="1"/>
  <c r="T1260" i="11" a="1"/>
  <c r="T1260" i="11" s="1"/>
  <c r="T1261" i="11" a="1"/>
  <c r="T1261" i="11" s="1"/>
  <c r="T1262" i="11" a="1"/>
  <c r="T1262" i="11" s="1"/>
  <c r="T1263" i="11" a="1"/>
  <c r="T1263" i="11" s="1"/>
  <c r="T1264" i="11" a="1"/>
  <c r="T1264" i="11" s="1"/>
  <c r="T1265" i="11" a="1"/>
  <c r="T1265" i="11" s="1"/>
  <c r="T1266" i="11" a="1"/>
  <c r="T1266" i="11" s="1"/>
  <c r="T1267" i="11" a="1"/>
  <c r="T1267" i="11" s="1"/>
  <c r="T1268" i="11" a="1"/>
  <c r="T1268" i="11" s="1"/>
  <c r="T1269" i="11" a="1"/>
  <c r="T1269" i="11" s="1"/>
  <c r="T1270" i="11" a="1"/>
  <c r="T1270" i="11" s="1"/>
  <c r="T1271" i="11" a="1"/>
  <c r="T1271" i="11" s="1"/>
  <c r="T1272" i="11" a="1"/>
  <c r="T1272" i="11" s="1"/>
  <c r="T1273" i="11" a="1"/>
  <c r="T1273" i="11" s="1"/>
  <c r="T1274" i="11" a="1"/>
  <c r="T1274" i="11" s="1"/>
  <c r="T1275" i="11" a="1"/>
  <c r="T1275" i="11" s="1"/>
  <c r="T1276" i="11" a="1"/>
  <c r="T1276" i="11" s="1"/>
  <c r="T1277" i="11" a="1"/>
  <c r="T1277" i="11" s="1"/>
  <c r="T1278" i="11" a="1"/>
  <c r="T1278" i="11" s="1"/>
  <c r="T1279" i="11" a="1"/>
  <c r="T1279" i="11" s="1"/>
  <c r="T1280" i="11" a="1"/>
  <c r="T1280" i="11" s="1"/>
  <c r="T1281" i="11" a="1"/>
  <c r="T1281" i="11" s="1"/>
  <c r="T1282" i="11" a="1"/>
  <c r="T1282" i="11" s="1"/>
  <c r="T1283" i="11" a="1"/>
  <c r="T1283" i="11" s="1"/>
  <c r="T1284" i="11" a="1"/>
  <c r="T1284" i="11" s="1"/>
  <c r="T1285" i="11" a="1"/>
  <c r="T1285" i="11" s="1"/>
  <c r="T1286" i="11" a="1"/>
  <c r="T1286" i="11" s="1"/>
  <c r="T1287" i="11" a="1"/>
  <c r="T1287" i="11" s="1"/>
  <c r="T1288" i="11" a="1"/>
  <c r="T1288" i="11" s="1"/>
  <c r="T1289" i="11" a="1"/>
  <c r="T1289" i="11" s="1"/>
  <c r="T1290" i="11" a="1"/>
  <c r="T1290" i="11" s="1"/>
  <c r="T1291" i="11" a="1"/>
  <c r="T1291" i="11" s="1"/>
  <c r="T1292" i="11" a="1"/>
  <c r="T1292" i="11" s="1"/>
  <c r="T1293" i="11" a="1"/>
  <c r="T1293" i="11" s="1"/>
  <c r="T1294" i="11" a="1"/>
  <c r="T1294" i="11" s="1"/>
  <c r="T1295" i="11" a="1"/>
  <c r="T1295" i="11" s="1"/>
  <c r="T1296" i="11" a="1"/>
  <c r="T1296" i="11" s="1"/>
  <c r="T1297" i="11" a="1"/>
  <c r="T1297" i="11" s="1"/>
  <c r="T1298" i="11" a="1"/>
  <c r="T1298" i="11" s="1"/>
  <c r="T1299" i="11" a="1"/>
  <c r="T1299" i="11" s="1"/>
  <c r="T1300" i="11" a="1"/>
  <c r="T1300" i="11" s="1"/>
  <c r="T1301" i="11" a="1"/>
  <c r="T1301" i="11" s="1"/>
  <c r="T1302" i="11" a="1"/>
  <c r="T1302" i="11" s="1"/>
  <c r="T1303" i="11" a="1"/>
  <c r="T1303" i="11" s="1"/>
  <c r="T1304" i="11" a="1"/>
  <c r="T1304" i="11" s="1"/>
  <c r="T1305" i="11" a="1"/>
  <c r="T1305" i="11" s="1"/>
  <c r="T1306" i="11" a="1"/>
  <c r="T1306" i="11" s="1"/>
  <c r="T1307" i="11" a="1"/>
  <c r="T1307" i="11" s="1"/>
  <c r="T1308" i="11" a="1"/>
  <c r="T1308" i="11" s="1"/>
  <c r="T1309" i="11" a="1"/>
  <c r="T1309" i="11" s="1"/>
  <c r="T1310" i="11" a="1"/>
  <c r="T1310" i="11" s="1"/>
  <c r="T1311" i="11" a="1"/>
  <c r="T1311" i="11" s="1"/>
  <c r="T1312" i="11" a="1"/>
  <c r="T1312" i="11" s="1"/>
  <c r="T1313" i="11" a="1"/>
  <c r="T1313" i="11" s="1"/>
  <c r="T1314" i="11" a="1"/>
  <c r="T1314" i="11" s="1"/>
  <c r="T1315" i="11" a="1"/>
  <c r="T1315" i="11" s="1"/>
  <c r="T1316" i="11" a="1"/>
  <c r="T1316" i="11" s="1"/>
  <c r="T1317" i="11" a="1"/>
  <c r="T1317" i="11" s="1"/>
  <c r="T1318" i="11" a="1"/>
  <c r="T1318" i="11" s="1"/>
  <c r="T1319" i="11" a="1"/>
  <c r="T1319" i="11" s="1"/>
  <c r="T1320" i="11" a="1"/>
  <c r="T1320" i="11" s="1"/>
  <c r="T1321" i="11" a="1"/>
  <c r="T1321" i="11" s="1"/>
  <c r="T1322" i="11" a="1"/>
  <c r="T1322" i="11" s="1"/>
  <c r="T1323" i="11" a="1"/>
  <c r="T1323" i="11" s="1"/>
  <c r="T1324" i="11" a="1"/>
  <c r="T1324" i="11" s="1"/>
  <c r="T1325" i="11" a="1"/>
  <c r="T1325" i="11" s="1"/>
  <c r="T1326" i="11" a="1"/>
  <c r="T1326" i="11" s="1"/>
  <c r="T1327" i="11" a="1"/>
  <c r="T1327" i="11" s="1"/>
  <c r="T1328" i="11" a="1"/>
  <c r="T1328" i="11" s="1"/>
  <c r="T1329" i="11" a="1"/>
  <c r="T1329" i="11" s="1"/>
  <c r="T1330" i="11" a="1"/>
  <c r="T1330" i="11" s="1"/>
  <c r="T1331" i="11" a="1"/>
  <c r="T1331" i="11" s="1"/>
  <c r="T1332" i="11" a="1"/>
  <c r="T1332" i="11" s="1"/>
  <c r="T1333" i="11" a="1"/>
  <c r="T1333" i="11" s="1"/>
  <c r="T1334" i="11" a="1"/>
  <c r="T1334" i="11" s="1"/>
  <c r="T1335" i="11" a="1"/>
  <c r="T1335" i="11" s="1"/>
  <c r="T1336" i="11" a="1"/>
  <c r="T1336" i="11" s="1"/>
  <c r="T1337" i="11" a="1"/>
  <c r="T1337" i="11" s="1"/>
  <c r="T1338" i="11" a="1"/>
  <c r="T1338" i="11" s="1"/>
  <c r="T1339" i="11" a="1"/>
  <c r="T1339" i="11" s="1"/>
  <c r="T1340" i="11" a="1"/>
  <c r="T1340" i="11" s="1"/>
  <c r="T1341" i="11" a="1"/>
  <c r="T1341" i="11" s="1"/>
  <c r="T1342" i="11" a="1"/>
  <c r="T1342" i="11" s="1"/>
  <c r="T1343" i="11" a="1"/>
  <c r="T1343" i="11" s="1"/>
  <c r="T1344" i="11" a="1"/>
  <c r="T1344" i="11" s="1"/>
  <c r="T1345" i="11" a="1"/>
  <c r="T1345" i="11" s="1"/>
  <c r="T1346" i="11" a="1"/>
  <c r="T1346" i="11" s="1"/>
  <c r="T1347" i="11" a="1"/>
  <c r="T1347" i="11" s="1"/>
  <c r="T1348" i="11" a="1"/>
  <c r="T1348" i="11" s="1"/>
  <c r="T1349" i="11" a="1"/>
  <c r="T1349" i="11" s="1"/>
  <c r="T1350" i="11" a="1"/>
  <c r="T1350" i="11" s="1"/>
  <c r="T1351" i="11" a="1"/>
  <c r="T1351" i="11" s="1"/>
  <c r="T1352" i="11" a="1"/>
  <c r="T1352" i="11" s="1"/>
  <c r="T1353" i="11" a="1"/>
  <c r="T1353" i="11" s="1"/>
  <c r="T1354" i="11" a="1"/>
  <c r="T1354" i="11" s="1"/>
  <c r="T1355" i="11" a="1"/>
  <c r="T1355" i="11" s="1"/>
  <c r="T1356" i="11" a="1"/>
  <c r="T1356" i="11" s="1"/>
  <c r="T1357" i="11" a="1"/>
  <c r="T1357" i="11" s="1"/>
  <c r="T1358" i="11" a="1"/>
  <c r="T1358" i="11" s="1"/>
  <c r="T1359" i="11" a="1"/>
  <c r="T1359" i="11" s="1"/>
  <c r="T1360" i="11" a="1"/>
  <c r="T1360" i="11" s="1"/>
  <c r="T1361" i="11" a="1"/>
  <c r="T1361" i="11" s="1"/>
  <c r="T1362" i="11" a="1"/>
  <c r="T1362" i="11" s="1"/>
  <c r="T1363" i="11" a="1"/>
  <c r="T1363" i="11" s="1"/>
  <c r="T1364" i="11" a="1"/>
  <c r="T1364" i="11" s="1"/>
  <c r="T1365" i="11" a="1"/>
  <c r="T1365" i="11" s="1"/>
  <c r="T1366" i="11" a="1"/>
  <c r="T1366" i="11" s="1"/>
  <c r="T1367" i="11" a="1"/>
  <c r="T1367" i="11" s="1"/>
  <c r="T1368" i="11" a="1"/>
  <c r="T1368" i="11" s="1"/>
  <c r="T1369" i="11" a="1"/>
  <c r="T1369" i="11" s="1"/>
  <c r="T1370" i="11" a="1"/>
  <c r="T1370" i="11" s="1"/>
  <c r="T1371" i="11" a="1"/>
  <c r="T1371" i="11" s="1"/>
  <c r="T1372" i="11" a="1"/>
  <c r="T1372" i="11" s="1"/>
  <c r="T1373" i="11" a="1"/>
  <c r="T1373" i="11" s="1"/>
  <c r="T1374" i="11" a="1"/>
  <c r="T1374" i="11" s="1"/>
  <c r="T1375" i="11" a="1"/>
  <c r="T1375" i="11" s="1"/>
  <c r="T1376" i="11" a="1"/>
  <c r="T1376" i="11" s="1"/>
  <c r="T1377" i="11" a="1"/>
  <c r="T1377" i="11" s="1"/>
  <c r="T1378" i="11" a="1"/>
  <c r="T1378" i="11" s="1"/>
  <c r="T1379" i="11" a="1"/>
  <c r="T1379" i="11" s="1"/>
  <c r="T1380" i="11" a="1"/>
  <c r="T1380" i="11" s="1"/>
  <c r="T1381" i="11" a="1"/>
  <c r="T1381" i="11" s="1"/>
  <c r="T1382" i="11" a="1"/>
  <c r="T1382" i="11" s="1"/>
  <c r="T1383" i="11" a="1"/>
  <c r="T1383" i="11" s="1"/>
  <c r="T1384" i="11" a="1"/>
  <c r="T1384" i="11" s="1"/>
  <c r="T1385" i="11" a="1"/>
  <c r="T1385" i="11" s="1"/>
  <c r="T1386" i="11" a="1"/>
  <c r="T1386" i="11" s="1"/>
  <c r="T1387" i="11" a="1"/>
  <c r="T1387" i="11" s="1"/>
  <c r="T1388" i="11" a="1"/>
  <c r="T1388" i="11" s="1"/>
  <c r="T1389" i="11" a="1"/>
  <c r="T1389" i="11" s="1"/>
  <c r="T1390" i="11" a="1"/>
  <c r="T1390" i="11" s="1"/>
  <c r="T1391" i="11" a="1"/>
  <c r="T1391" i="11" s="1"/>
  <c r="T1392" i="11" a="1"/>
  <c r="T1392" i="11" s="1"/>
  <c r="T1393" i="11" a="1"/>
  <c r="T1393" i="11" s="1"/>
  <c r="T1394" i="11" a="1"/>
  <c r="T1394" i="11" s="1"/>
  <c r="T1395" i="11" a="1"/>
  <c r="T1395" i="11" s="1"/>
  <c r="T1396" i="11" a="1"/>
  <c r="T1396" i="11" s="1"/>
  <c r="T1397" i="11" a="1"/>
  <c r="T1397" i="11" s="1"/>
  <c r="T1398" i="11" a="1"/>
  <c r="T1398" i="11" s="1"/>
  <c r="T1399" i="11" a="1"/>
  <c r="T1399" i="11" s="1"/>
  <c r="T1400" i="11" a="1"/>
  <c r="T1400" i="11" s="1"/>
  <c r="T1401" i="11" a="1"/>
  <c r="T1401" i="11" s="1"/>
  <c r="T1402" i="11" a="1"/>
  <c r="T1402" i="11" s="1"/>
  <c r="T1403" i="11" a="1"/>
  <c r="T1403" i="11" s="1"/>
  <c r="T1404" i="11" a="1"/>
  <c r="T1404" i="11" s="1"/>
  <c r="T1405" i="11" a="1"/>
  <c r="T1405" i="11" s="1"/>
  <c r="T1406" i="11" a="1"/>
  <c r="T1406" i="11" s="1"/>
  <c r="T1407" i="11" a="1"/>
  <c r="T1407" i="11" s="1"/>
  <c r="T1408" i="11" a="1"/>
  <c r="T1408" i="11" s="1"/>
  <c r="T1409" i="11" a="1"/>
  <c r="T1409" i="11" s="1"/>
  <c r="T1410" i="11" a="1"/>
  <c r="T1410" i="11" s="1"/>
  <c r="T1411" i="11" a="1"/>
  <c r="T1411" i="11" s="1"/>
  <c r="T1412" i="11" a="1"/>
  <c r="T1412" i="11" s="1"/>
  <c r="T1413" i="11" a="1"/>
  <c r="T1413" i="11" s="1"/>
  <c r="T1414" i="11" a="1"/>
  <c r="T1414" i="11" s="1"/>
  <c r="T1415" i="11" a="1"/>
  <c r="T1415" i="11" s="1"/>
  <c r="T1416" i="11" a="1"/>
  <c r="T1416" i="11" s="1"/>
  <c r="T1417" i="11" a="1"/>
  <c r="T1417" i="11" s="1"/>
  <c r="T1418" i="11" a="1"/>
  <c r="T1418" i="11" s="1"/>
  <c r="T1419" i="11" a="1"/>
  <c r="T1419" i="11" s="1"/>
  <c r="T1420" i="11" a="1"/>
  <c r="T1420" i="11" s="1"/>
  <c r="T1421" i="11" a="1"/>
  <c r="T1421" i="11" s="1"/>
  <c r="T1422" i="11" a="1"/>
  <c r="T1422" i="11" s="1"/>
  <c r="T1423" i="11" a="1"/>
  <c r="T1423" i="11" s="1"/>
  <c r="T1424" i="11" a="1"/>
  <c r="T1424" i="11" s="1"/>
  <c r="T1425" i="11" a="1"/>
  <c r="T1425" i="11" s="1"/>
  <c r="T1426" i="11" a="1"/>
  <c r="T1426" i="11" s="1"/>
  <c r="T1427" i="11" a="1"/>
  <c r="T1427" i="11" s="1"/>
  <c r="T1428" i="11" a="1"/>
  <c r="T1428" i="11" s="1"/>
  <c r="T1429" i="11" a="1"/>
  <c r="T1429" i="11" s="1"/>
  <c r="T1430" i="11" a="1"/>
  <c r="T1430" i="11" s="1"/>
  <c r="T1431" i="11" a="1"/>
  <c r="T1431" i="11" s="1"/>
  <c r="T1432" i="11" a="1"/>
  <c r="T1432" i="11" s="1"/>
  <c r="T1433" i="11" a="1"/>
  <c r="T1433" i="11" s="1"/>
  <c r="T1434" i="11" a="1"/>
  <c r="T1434" i="11" s="1"/>
  <c r="T1435" i="11" a="1"/>
  <c r="T1435" i="11" s="1"/>
  <c r="T1436" i="11" a="1"/>
  <c r="T1436" i="11" s="1"/>
  <c r="T1437" i="11" a="1"/>
  <c r="T1437" i="11" s="1"/>
  <c r="T1438" i="11" a="1"/>
  <c r="T1438" i="11" s="1"/>
  <c r="T1439" i="11" a="1"/>
  <c r="T1439" i="11" s="1"/>
  <c r="T1440" i="11" a="1"/>
  <c r="T1440" i="11" s="1"/>
  <c r="T1441" i="11" a="1"/>
  <c r="T1441" i="11" s="1"/>
  <c r="T1442" i="11" a="1"/>
  <c r="T1442" i="11" s="1"/>
  <c r="T1443" i="11" a="1"/>
  <c r="T1443" i="11" s="1"/>
  <c r="T1444" i="11" a="1"/>
  <c r="T1444" i="11" s="1"/>
  <c r="T1445" i="11" a="1"/>
  <c r="T1445" i="11" s="1"/>
  <c r="T1446" i="11" a="1"/>
  <c r="T1446" i="11" s="1"/>
  <c r="T1447" i="11" a="1"/>
  <c r="T1447" i="11" s="1"/>
  <c r="T1448" i="11" a="1"/>
  <c r="T1448" i="11" s="1"/>
  <c r="T1449" i="11" a="1"/>
  <c r="T1449" i="11" s="1"/>
  <c r="T1450" i="11" a="1"/>
  <c r="T1450" i="11" s="1"/>
  <c r="T1451" i="11" a="1"/>
  <c r="T1451" i="11" s="1"/>
  <c r="T1452" i="11" a="1"/>
  <c r="T1452" i="11" s="1"/>
  <c r="T1453" i="11" a="1"/>
  <c r="T1453" i="11" s="1"/>
  <c r="T1454" i="11" a="1"/>
  <c r="T1454" i="11" s="1"/>
  <c r="T1455" i="11" a="1"/>
  <c r="T1455" i="11" s="1"/>
  <c r="T1456" i="11" a="1"/>
  <c r="T1456" i="11" s="1"/>
  <c r="T1457" i="11" a="1"/>
  <c r="T1457" i="11" s="1"/>
  <c r="T1458" i="11" a="1"/>
  <c r="T1458" i="11" s="1"/>
  <c r="T1459" i="11" a="1"/>
  <c r="T1459" i="11" s="1"/>
  <c r="T1460" i="11" a="1"/>
  <c r="T1460" i="11" s="1"/>
  <c r="T1461" i="11" a="1"/>
  <c r="T1461" i="11" s="1"/>
  <c r="T1462" i="11" a="1"/>
  <c r="T1462" i="11" s="1"/>
  <c r="T1463" i="11" a="1"/>
  <c r="T1463" i="11" s="1"/>
  <c r="T1464" i="11" a="1"/>
  <c r="T1464" i="11" s="1"/>
  <c r="T1465" i="11" a="1"/>
  <c r="T1465" i="11" s="1"/>
  <c r="T1466" i="11" a="1"/>
  <c r="T1466" i="11" s="1"/>
  <c r="T1467" i="11" a="1"/>
  <c r="T1467" i="11" s="1"/>
  <c r="T1468" i="11" a="1"/>
  <c r="T1468" i="11" s="1"/>
  <c r="T1469" i="11" a="1"/>
  <c r="T1469" i="11" s="1"/>
  <c r="T1470" i="11" a="1"/>
  <c r="T1470" i="11" s="1"/>
  <c r="T1471" i="11" a="1"/>
  <c r="T1471" i="11" s="1"/>
  <c r="T1472" i="11" a="1"/>
  <c r="T1472" i="11" s="1"/>
  <c r="T1473" i="11" a="1"/>
  <c r="T1473" i="11" s="1"/>
  <c r="T1474" i="11" a="1"/>
  <c r="T1474" i="11" s="1"/>
  <c r="T1475" i="11" a="1"/>
  <c r="T1475" i="11" s="1"/>
  <c r="T1476" i="11" a="1"/>
  <c r="T1476" i="11" s="1"/>
  <c r="T1477" i="11" a="1"/>
  <c r="T1477" i="11" s="1"/>
  <c r="T1478" i="11" a="1"/>
  <c r="T1478" i="11" s="1"/>
  <c r="T1479" i="11" a="1"/>
  <c r="T1479" i="11" s="1"/>
  <c r="T1480" i="11" a="1"/>
  <c r="T1480" i="11" s="1"/>
  <c r="T1481" i="11" a="1"/>
  <c r="T1481" i="11" s="1"/>
  <c r="T1482" i="11" a="1"/>
  <c r="T1482" i="11" s="1"/>
  <c r="T1483" i="11" a="1"/>
  <c r="T1483" i="11" s="1"/>
  <c r="T1484" i="11" a="1"/>
  <c r="T1484" i="11" s="1"/>
  <c r="T1485" i="11" a="1"/>
  <c r="T1485" i="11" s="1"/>
  <c r="T1486" i="11" a="1"/>
  <c r="T1486" i="11" s="1"/>
  <c r="T1487" i="11" a="1"/>
  <c r="T1487" i="11" s="1"/>
  <c r="T1488" i="11" a="1"/>
  <c r="T1488" i="11" s="1"/>
  <c r="T1489" i="11" a="1"/>
  <c r="T1489" i="11" s="1"/>
  <c r="T1490" i="11" a="1"/>
  <c r="T1490" i="11" s="1"/>
  <c r="T1491" i="11" a="1"/>
  <c r="T1491" i="11" s="1"/>
  <c r="T1492" i="11" a="1"/>
  <c r="T1492" i="11" s="1"/>
  <c r="T1493" i="11" a="1"/>
  <c r="T1493" i="11" s="1"/>
  <c r="T1494" i="11" a="1"/>
  <c r="T1494" i="11" s="1"/>
  <c r="T1495" i="11" a="1"/>
  <c r="T1495" i="11" s="1"/>
  <c r="T1496" i="11" a="1"/>
  <c r="T1496" i="11" s="1"/>
  <c r="T1497" i="11" a="1"/>
  <c r="T1497" i="11" s="1"/>
  <c r="T1498" i="11" a="1"/>
  <c r="T1498" i="11" s="1"/>
  <c r="T1499" i="11" a="1"/>
  <c r="T1499" i="11" s="1"/>
  <c r="T1500" i="11" a="1"/>
  <c r="T1500" i="11" s="1"/>
  <c r="T1501" i="11" a="1"/>
  <c r="T1501" i="11" s="1"/>
  <c r="T1502" i="11" a="1"/>
  <c r="T1502" i="11" s="1"/>
  <c r="T1503" i="11" a="1"/>
  <c r="T1503" i="11" s="1"/>
  <c r="T1504" i="11" a="1"/>
  <c r="T1504" i="11" s="1"/>
  <c r="T1505" i="11" a="1"/>
  <c r="T1505" i="11" s="1"/>
  <c r="T1506" i="11" a="1"/>
  <c r="T1506" i="11" s="1"/>
  <c r="T1507" i="11" a="1"/>
  <c r="T1507" i="11" s="1"/>
  <c r="T1508" i="11" a="1"/>
  <c r="T1508" i="11" s="1"/>
  <c r="T1509" i="11" a="1"/>
  <c r="T1509" i="11" s="1"/>
  <c r="T1510" i="11" a="1"/>
  <c r="T1510" i="11" s="1"/>
  <c r="T1511" i="11" a="1"/>
  <c r="T1511" i="11" s="1"/>
  <c r="T1512" i="11" a="1"/>
  <c r="T1512" i="11" s="1"/>
  <c r="T1513" i="11" a="1"/>
  <c r="T1513" i="11" s="1"/>
  <c r="T1514" i="11" a="1"/>
  <c r="T1514" i="11" s="1"/>
  <c r="T1515" i="11" a="1"/>
  <c r="T1515" i="11" s="1"/>
  <c r="T1516" i="11" a="1"/>
  <c r="T1516" i="11" s="1"/>
  <c r="T1517" i="11" a="1"/>
  <c r="T1517" i="11" s="1"/>
  <c r="T1518" i="11" a="1"/>
  <c r="T1518" i="11" s="1"/>
  <c r="T1519" i="11" a="1"/>
  <c r="T1519" i="11" s="1"/>
  <c r="T1520" i="11" a="1"/>
  <c r="T1520" i="11" s="1"/>
  <c r="T1521" i="11" a="1"/>
  <c r="T1521" i="11" s="1"/>
  <c r="E8" i="8"/>
  <c r="D9" i="8" s="1"/>
  <c r="C7" i="1"/>
  <c r="I7" i="1"/>
  <c r="AP1010" i="11"/>
  <c r="AI1010" i="11"/>
  <c r="S1010" i="11"/>
  <c r="AP1009" i="11"/>
  <c r="AI1009" i="11"/>
  <c r="S1009" i="11"/>
  <c r="AP1008" i="11"/>
  <c r="AI1008" i="11"/>
  <c r="S1008" i="11"/>
  <c r="AP1007" i="11"/>
  <c r="AI1007" i="11"/>
  <c r="S1007" i="11"/>
  <c r="AP1006" i="11"/>
  <c r="AI1006" i="11"/>
  <c r="S1006" i="11"/>
  <c r="AP1005" i="11"/>
  <c r="AI1005" i="11"/>
  <c r="S1005" i="11"/>
  <c r="AP1004" i="11"/>
  <c r="AI1004" i="11"/>
  <c r="S1004" i="11"/>
  <c r="AP1003" i="11"/>
  <c r="AI1003" i="11"/>
  <c r="S1003" i="11"/>
  <c r="AP1002" i="11"/>
  <c r="AI1002" i="11"/>
  <c r="S1002" i="11"/>
  <c r="AP1001" i="11"/>
  <c r="AI1001" i="11"/>
  <c r="S1001" i="11"/>
  <c r="AP1000" i="11"/>
  <c r="AI1000" i="11"/>
  <c r="S1000" i="11"/>
  <c r="AP999" i="11"/>
  <c r="AI999" i="11"/>
  <c r="S999" i="11"/>
  <c r="AP998" i="11"/>
  <c r="AI998" i="11"/>
  <c r="S998" i="11"/>
  <c r="AP997" i="11"/>
  <c r="AI997" i="11"/>
  <c r="S997" i="11"/>
  <c r="U997" i="11" s="1"/>
  <c r="AK997" i="11" s="1"/>
  <c r="AP996" i="11"/>
  <c r="AI996" i="11"/>
  <c r="S996" i="11"/>
  <c r="AP995" i="11"/>
  <c r="AI995" i="11"/>
  <c r="S995" i="11"/>
  <c r="AP994" i="11"/>
  <c r="AI994" i="11"/>
  <c r="S994" i="11"/>
  <c r="AP993" i="11"/>
  <c r="AI993" i="11"/>
  <c r="S993" i="11"/>
  <c r="AP992" i="11"/>
  <c r="AI992" i="11"/>
  <c r="S992" i="11"/>
  <c r="AP991" i="11"/>
  <c r="AI991" i="11"/>
  <c r="S991" i="11"/>
  <c r="AP990" i="11"/>
  <c r="AI990" i="11"/>
  <c r="S990" i="11"/>
  <c r="AP989" i="11"/>
  <c r="AI989" i="11"/>
  <c r="S989" i="11"/>
  <c r="AP988" i="11"/>
  <c r="AI988" i="11"/>
  <c r="S988" i="11"/>
  <c r="AP987" i="11"/>
  <c r="AI987" i="11"/>
  <c r="S987" i="11"/>
  <c r="AP986" i="11"/>
  <c r="AI986" i="11"/>
  <c r="S986" i="11"/>
  <c r="AP985" i="11"/>
  <c r="AI985" i="11"/>
  <c r="S985" i="11"/>
  <c r="AP984" i="11"/>
  <c r="AI984" i="11"/>
  <c r="S984" i="11"/>
  <c r="AP983" i="11"/>
  <c r="AI983" i="11"/>
  <c r="S983" i="11"/>
  <c r="AP982" i="11"/>
  <c r="AI982" i="11"/>
  <c r="S982" i="11"/>
  <c r="AP981" i="11"/>
  <c r="AI981" i="11"/>
  <c r="S981" i="11"/>
  <c r="AP980" i="11"/>
  <c r="AI980" i="11"/>
  <c r="S980" i="11"/>
  <c r="AP979" i="11"/>
  <c r="AI979" i="11"/>
  <c r="S979" i="11"/>
  <c r="AP978" i="11"/>
  <c r="AI978" i="11"/>
  <c r="S978" i="11"/>
  <c r="AP977" i="11"/>
  <c r="AI977" i="11"/>
  <c r="S977" i="11"/>
  <c r="AP976" i="11"/>
  <c r="AI976" i="11"/>
  <c r="S976" i="11"/>
  <c r="AP975" i="11"/>
  <c r="AI975" i="11"/>
  <c r="S975" i="11"/>
  <c r="AP974" i="11"/>
  <c r="AI974" i="11"/>
  <c r="S974" i="11"/>
  <c r="AP973" i="11"/>
  <c r="AI973" i="11"/>
  <c r="S973" i="11"/>
  <c r="AP972" i="11"/>
  <c r="AI972" i="11"/>
  <c r="S972" i="11"/>
  <c r="AP971" i="11"/>
  <c r="AI971" i="11"/>
  <c r="S971" i="11"/>
  <c r="U971" i="11" s="1"/>
  <c r="AP970" i="11"/>
  <c r="AI970" i="11"/>
  <c r="S970" i="11"/>
  <c r="AP969" i="11"/>
  <c r="AI969" i="11"/>
  <c r="S969" i="11"/>
  <c r="AP968" i="11"/>
  <c r="AI968" i="11"/>
  <c r="S968" i="11"/>
  <c r="AP967" i="11"/>
  <c r="AI967" i="11"/>
  <c r="S967" i="11"/>
  <c r="AP966" i="11"/>
  <c r="AI966" i="11"/>
  <c r="S966" i="11"/>
  <c r="AP965" i="11"/>
  <c r="AI965" i="11"/>
  <c r="S965" i="11"/>
  <c r="AP964" i="11"/>
  <c r="AI964" i="11"/>
  <c r="S964" i="11"/>
  <c r="AP963" i="11"/>
  <c r="AI963" i="11"/>
  <c r="S963" i="11"/>
  <c r="U963" i="11" s="1"/>
  <c r="AP962" i="11"/>
  <c r="AI962" i="11"/>
  <c r="S962" i="11"/>
  <c r="AP961" i="11"/>
  <c r="AI961" i="11"/>
  <c r="S961" i="11"/>
  <c r="AP960" i="11"/>
  <c r="AI960" i="11"/>
  <c r="S960" i="11"/>
  <c r="AP959" i="11"/>
  <c r="AI959" i="11"/>
  <c r="S959" i="11"/>
  <c r="AP958" i="11"/>
  <c r="AI958" i="11"/>
  <c r="S958" i="11"/>
  <c r="AP957" i="11"/>
  <c r="AI957" i="11"/>
  <c r="S957" i="11"/>
  <c r="AP956" i="11"/>
  <c r="AI956" i="11"/>
  <c r="S956" i="11"/>
  <c r="AP955" i="11"/>
  <c r="AI955" i="11"/>
  <c r="S955" i="11"/>
  <c r="U955" i="11" s="1"/>
  <c r="AP954" i="11"/>
  <c r="AI954" i="11"/>
  <c r="S954" i="11"/>
  <c r="AP953" i="11"/>
  <c r="AI953" i="11"/>
  <c r="S953" i="11"/>
  <c r="AP952" i="11"/>
  <c r="AI952" i="11"/>
  <c r="S952" i="11"/>
  <c r="AP951" i="11"/>
  <c r="AI951" i="11"/>
  <c r="S951" i="11"/>
  <c r="AP950" i="11"/>
  <c r="AI950" i="11"/>
  <c r="S950" i="11"/>
  <c r="AP949" i="11"/>
  <c r="AI949" i="11"/>
  <c r="S949" i="11"/>
  <c r="AP948" i="11"/>
  <c r="AI948" i="11"/>
  <c r="S948" i="11"/>
  <c r="AP947" i="11"/>
  <c r="AI947" i="11"/>
  <c r="S947" i="11"/>
  <c r="U947" i="11" s="1"/>
  <c r="AP946" i="11"/>
  <c r="AI946" i="11"/>
  <c r="S946" i="11"/>
  <c r="AP945" i="11"/>
  <c r="AI945" i="11"/>
  <c r="S945" i="11"/>
  <c r="AP944" i="11"/>
  <c r="AI944" i="11"/>
  <c r="S944" i="11"/>
  <c r="AP943" i="11"/>
  <c r="AI943" i="11"/>
  <c r="S943" i="11"/>
  <c r="AP942" i="11"/>
  <c r="AI942" i="11"/>
  <c r="S942" i="11"/>
  <c r="AP941" i="11"/>
  <c r="AI941" i="11"/>
  <c r="S941" i="11"/>
  <c r="AP940" i="11"/>
  <c r="AI940" i="11"/>
  <c r="S940" i="11"/>
  <c r="AP939" i="11"/>
  <c r="AI939" i="11"/>
  <c r="S939" i="11"/>
  <c r="U939" i="11" s="1"/>
  <c r="AP938" i="11"/>
  <c r="AI938" i="11"/>
  <c r="S938" i="11"/>
  <c r="AP937" i="11"/>
  <c r="AI937" i="11"/>
  <c r="S937" i="11"/>
  <c r="AP936" i="11"/>
  <c r="AI936" i="11"/>
  <c r="S936" i="11"/>
  <c r="AP935" i="11"/>
  <c r="AI935" i="11"/>
  <c r="S935" i="11"/>
  <c r="AP934" i="11"/>
  <c r="AI934" i="11"/>
  <c r="S934" i="11"/>
  <c r="AP933" i="11"/>
  <c r="AI933" i="11"/>
  <c r="S933" i="11"/>
  <c r="AP932" i="11"/>
  <c r="AI932" i="11"/>
  <c r="S932" i="11"/>
  <c r="AP931" i="11"/>
  <c r="AI931" i="11"/>
  <c r="S931" i="11"/>
  <c r="U931" i="11" s="1"/>
  <c r="AP930" i="11"/>
  <c r="AI930" i="11"/>
  <c r="S930" i="11"/>
  <c r="AP929" i="11"/>
  <c r="AI929" i="11"/>
  <c r="S929" i="11"/>
  <c r="AP928" i="11"/>
  <c r="AI928" i="11"/>
  <c r="S928" i="11"/>
  <c r="AP927" i="11"/>
  <c r="AI927" i="11"/>
  <c r="S927" i="11"/>
  <c r="AP926" i="11"/>
  <c r="AI926" i="11"/>
  <c r="S926" i="11"/>
  <c r="AP925" i="11"/>
  <c r="AI925" i="11"/>
  <c r="S925" i="11"/>
  <c r="AP924" i="11"/>
  <c r="AI924" i="11"/>
  <c r="S924" i="11"/>
  <c r="AP923" i="11"/>
  <c r="AI923" i="11"/>
  <c r="S923" i="11"/>
  <c r="U923" i="11" s="1"/>
  <c r="AP922" i="11"/>
  <c r="AI922" i="11"/>
  <c r="S922" i="11"/>
  <c r="AP921" i="11"/>
  <c r="AI921" i="11"/>
  <c r="S921" i="11"/>
  <c r="AP920" i="11"/>
  <c r="AI920" i="11"/>
  <c r="S920" i="11"/>
  <c r="AP919" i="11"/>
  <c r="AI919" i="11"/>
  <c r="S919" i="11"/>
  <c r="AP918" i="11"/>
  <c r="AI918" i="11"/>
  <c r="S918" i="11"/>
  <c r="AP917" i="11"/>
  <c r="AI917" i="11"/>
  <c r="S917" i="11"/>
  <c r="AP916" i="11"/>
  <c r="AI916" i="11"/>
  <c r="S916" i="11"/>
  <c r="AP915" i="11"/>
  <c r="AI915" i="11"/>
  <c r="S915" i="11"/>
  <c r="U915" i="11" s="1"/>
  <c r="AP914" i="11"/>
  <c r="AI914" i="11"/>
  <c r="S914" i="11"/>
  <c r="AP913" i="11"/>
  <c r="AI913" i="11"/>
  <c r="S913" i="11"/>
  <c r="AP912" i="11"/>
  <c r="AI912" i="11"/>
  <c r="S912" i="11"/>
  <c r="AP911" i="11"/>
  <c r="AI911" i="11"/>
  <c r="S911" i="11"/>
  <c r="AP910" i="11"/>
  <c r="AI910" i="11"/>
  <c r="S910" i="11"/>
  <c r="AP909" i="11"/>
  <c r="AI909" i="11"/>
  <c r="S909" i="11"/>
  <c r="AP908" i="11"/>
  <c r="AI908" i="11"/>
  <c r="S908" i="11"/>
  <c r="AP907" i="11"/>
  <c r="AI907" i="11"/>
  <c r="S907" i="11"/>
  <c r="U907" i="11" s="1"/>
  <c r="AP906" i="11"/>
  <c r="AI906" i="11"/>
  <c r="S906" i="11"/>
  <c r="AP905" i="11"/>
  <c r="AI905" i="11"/>
  <c r="S905" i="11"/>
  <c r="AP904" i="11"/>
  <c r="AI904" i="11"/>
  <c r="S904" i="11"/>
  <c r="AP903" i="11"/>
  <c r="AI903" i="11"/>
  <c r="S903" i="11"/>
  <c r="AP902" i="11"/>
  <c r="AI902" i="11"/>
  <c r="S902" i="11"/>
  <c r="AP901" i="11"/>
  <c r="AI901" i="11"/>
  <c r="S901" i="11"/>
  <c r="AP900" i="11"/>
  <c r="AI900" i="11"/>
  <c r="S900" i="11"/>
  <c r="AP899" i="11"/>
  <c r="AI899" i="11"/>
  <c r="S899" i="11"/>
  <c r="U899" i="11" s="1"/>
  <c r="AP898" i="11"/>
  <c r="AI898" i="11"/>
  <c r="S898" i="11"/>
  <c r="AP897" i="11"/>
  <c r="AI897" i="11"/>
  <c r="S897" i="11"/>
  <c r="AP896" i="11"/>
  <c r="AI896" i="11"/>
  <c r="S896" i="11"/>
  <c r="AP895" i="11"/>
  <c r="AI895" i="11"/>
  <c r="S895" i="11"/>
  <c r="AP894" i="11"/>
  <c r="AI894" i="11"/>
  <c r="S894" i="11"/>
  <c r="AP893" i="11"/>
  <c r="AI893" i="11"/>
  <c r="S893" i="11"/>
  <c r="AP892" i="11"/>
  <c r="AI892" i="11"/>
  <c r="S892" i="11"/>
  <c r="AP891" i="11"/>
  <c r="AI891" i="11"/>
  <c r="S891" i="11"/>
  <c r="U891" i="11" s="1"/>
  <c r="AP890" i="11"/>
  <c r="AI890" i="11"/>
  <c r="S890" i="11"/>
  <c r="AP889" i="11"/>
  <c r="AI889" i="11"/>
  <c r="S889" i="11"/>
  <c r="AP888" i="11"/>
  <c r="AI888" i="11"/>
  <c r="S888" i="11"/>
  <c r="AP887" i="11"/>
  <c r="AI887" i="11"/>
  <c r="S887" i="11"/>
  <c r="AP886" i="11"/>
  <c r="AI886" i="11"/>
  <c r="S886" i="11"/>
  <c r="AP885" i="11"/>
  <c r="AI885" i="11"/>
  <c r="S885" i="11"/>
  <c r="AP884" i="11"/>
  <c r="AI884" i="11"/>
  <c r="S884" i="11"/>
  <c r="AP883" i="11"/>
  <c r="AI883" i="11"/>
  <c r="S883" i="11"/>
  <c r="U883" i="11" s="1"/>
  <c r="AP882" i="11"/>
  <c r="AI882" i="11"/>
  <c r="S882" i="11"/>
  <c r="AP881" i="11"/>
  <c r="AI881" i="11"/>
  <c r="S881" i="11"/>
  <c r="AP880" i="11"/>
  <c r="AI880" i="11"/>
  <c r="S880" i="11"/>
  <c r="AP879" i="11"/>
  <c r="AI879" i="11"/>
  <c r="S879" i="11"/>
  <c r="AP878" i="11"/>
  <c r="AI878" i="11"/>
  <c r="S878" i="11"/>
  <c r="AP877" i="11"/>
  <c r="AI877" i="11"/>
  <c r="S877" i="11"/>
  <c r="AP876" i="11"/>
  <c r="AI876" i="11"/>
  <c r="S876" i="11"/>
  <c r="AP875" i="11"/>
  <c r="AI875" i="11"/>
  <c r="S875" i="11"/>
  <c r="U875" i="11" s="1"/>
  <c r="AP874" i="11"/>
  <c r="AI874" i="11"/>
  <c r="S874" i="11"/>
  <c r="AP873" i="11"/>
  <c r="AI873" i="11"/>
  <c r="S873" i="11"/>
  <c r="AP872" i="11"/>
  <c r="AI872" i="11"/>
  <c r="S872" i="11"/>
  <c r="AP871" i="11"/>
  <c r="AI871" i="11"/>
  <c r="S871" i="11"/>
  <c r="AP870" i="11"/>
  <c r="AI870" i="11"/>
  <c r="S870" i="11"/>
  <c r="AP869" i="11"/>
  <c r="AI869" i="11"/>
  <c r="S869" i="11"/>
  <c r="AP868" i="11"/>
  <c r="AI868" i="11"/>
  <c r="S868" i="11"/>
  <c r="AP867" i="11"/>
  <c r="AI867" i="11"/>
  <c r="S867" i="11"/>
  <c r="U867" i="11" s="1"/>
  <c r="AP866" i="11"/>
  <c r="AI866" i="11"/>
  <c r="S866" i="11"/>
  <c r="AP865" i="11"/>
  <c r="AI865" i="11"/>
  <c r="S865" i="11"/>
  <c r="AP864" i="11"/>
  <c r="AI864" i="11"/>
  <c r="S864" i="11"/>
  <c r="AP863" i="11"/>
  <c r="AI863" i="11"/>
  <c r="S863" i="11"/>
  <c r="AP862" i="11"/>
  <c r="AI862" i="11"/>
  <c r="S862" i="11"/>
  <c r="AP861" i="11"/>
  <c r="AI861" i="11"/>
  <c r="S861" i="11"/>
  <c r="AP860" i="11"/>
  <c r="AI860" i="11"/>
  <c r="S860" i="11"/>
  <c r="AP859" i="11"/>
  <c r="AI859" i="11"/>
  <c r="S859" i="11"/>
  <c r="U859" i="11" s="1"/>
  <c r="AP858" i="11"/>
  <c r="AI858" i="11"/>
  <c r="S858" i="11"/>
  <c r="AP857" i="11"/>
  <c r="AI857" i="11"/>
  <c r="S857" i="11"/>
  <c r="AP856" i="11"/>
  <c r="AI856" i="11"/>
  <c r="S856" i="11"/>
  <c r="AP855" i="11"/>
  <c r="AI855" i="11"/>
  <c r="S855" i="11"/>
  <c r="AP854" i="11"/>
  <c r="AI854" i="11"/>
  <c r="S854" i="11"/>
  <c r="AP853" i="11"/>
  <c r="AI853" i="11"/>
  <c r="S853" i="11"/>
  <c r="AP852" i="11"/>
  <c r="AI852" i="11"/>
  <c r="S852" i="11"/>
  <c r="U852" i="11" s="1"/>
  <c r="AP851" i="11"/>
  <c r="AI851" i="11"/>
  <c r="S851" i="11"/>
  <c r="U851" i="11" s="1"/>
  <c r="AP850" i="11"/>
  <c r="AI850" i="11"/>
  <c r="S850" i="11"/>
  <c r="AP849" i="11"/>
  <c r="AI849" i="11"/>
  <c r="S849" i="11"/>
  <c r="AP848" i="11"/>
  <c r="AI848" i="11"/>
  <c r="S848" i="11"/>
  <c r="AP847" i="11"/>
  <c r="AI847" i="11"/>
  <c r="S847" i="11"/>
  <c r="AP846" i="11"/>
  <c r="AI846" i="11"/>
  <c r="S846" i="11"/>
  <c r="AP845" i="11"/>
  <c r="AI845" i="11"/>
  <c r="S845" i="11"/>
  <c r="AP844" i="11"/>
  <c r="AI844" i="11"/>
  <c r="S844" i="11"/>
  <c r="U844" i="11" s="1"/>
  <c r="AP843" i="11"/>
  <c r="AI843" i="11"/>
  <c r="S843" i="11"/>
  <c r="U843" i="11" s="1"/>
  <c r="AP842" i="11"/>
  <c r="AI842" i="11"/>
  <c r="S842" i="11"/>
  <c r="AP841" i="11"/>
  <c r="AI841" i="11"/>
  <c r="S841" i="11"/>
  <c r="AP840" i="11"/>
  <c r="AI840" i="11"/>
  <c r="S840" i="11"/>
  <c r="AP839" i="11"/>
  <c r="AI839" i="11"/>
  <c r="S839" i="11"/>
  <c r="AP838" i="11"/>
  <c r="AI838" i="11"/>
  <c r="S838" i="11"/>
  <c r="AP837" i="11"/>
  <c r="AI837" i="11"/>
  <c r="S837" i="11"/>
  <c r="AP836" i="11"/>
  <c r="AI836" i="11"/>
  <c r="S836" i="11"/>
  <c r="U836" i="11" s="1"/>
  <c r="AP835" i="11"/>
  <c r="AI835" i="11"/>
  <c r="S835" i="11"/>
  <c r="U835" i="11" s="1"/>
  <c r="AP834" i="11"/>
  <c r="AI834" i="11"/>
  <c r="S834" i="11"/>
  <c r="AP833" i="11"/>
  <c r="AI833" i="11"/>
  <c r="S833" i="11"/>
  <c r="AP832" i="11"/>
  <c r="AI832" i="11"/>
  <c r="S832" i="11"/>
  <c r="AP831" i="11"/>
  <c r="AI831" i="11"/>
  <c r="S831" i="11"/>
  <c r="AP830" i="11"/>
  <c r="AI830" i="11"/>
  <c r="S830" i="11"/>
  <c r="AP829" i="11"/>
  <c r="AI829" i="11"/>
  <c r="S829" i="11"/>
  <c r="AP828" i="11"/>
  <c r="AI828" i="11"/>
  <c r="S828" i="11"/>
  <c r="U828" i="11" s="1"/>
  <c r="AP827" i="11"/>
  <c r="AI827" i="11"/>
  <c r="S827" i="11"/>
  <c r="U827" i="11" s="1"/>
  <c r="AP826" i="11"/>
  <c r="AI826" i="11"/>
  <c r="S826" i="11"/>
  <c r="AP825" i="11"/>
  <c r="AI825" i="11"/>
  <c r="S825" i="11"/>
  <c r="AP824" i="11"/>
  <c r="AI824" i="11"/>
  <c r="S824" i="11"/>
  <c r="AP823" i="11"/>
  <c r="AI823" i="11"/>
  <c r="S823" i="11"/>
  <c r="AP822" i="11"/>
  <c r="AI822" i="11"/>
  <c r="S822" i="11"/>
  <c r="AP821" i="11"/>
  <c r="AI821" i="11"/>
  <c r="S821" i="11"/>
  <c r="AP820" i="11"/>
  <c r="AI820" i="11"/>
  <c r="S820" i="11"/>
  <c r="U820" i="11" s="1"/>
  <c r="AP819" i="11"/>
  <c r="AI819" i="11"/>
  <c r="S819" i="11"/>
  <c r="U819" i="11" s="1"/>
  <c r="AP818" i="11"/>
  <c r="AI818" i="11"/>
  <c r="S818" i="11"/>
  <c r="AP817" i="11"/>
  <c r="AI817" i="11"/>
  <c r="S817" i="11"/>
  <c r="AP816" i="11"/>
  <c r="AI816" i="11"/>
  <c r="S816" i="11"/>
  <c r="AP815" i="11"/>
  <c r="AI815" i="11"/>
  <c r="S815" i="11"/>
  <c r="AP814" i="11"/>
  <c r="AI814" i="11"/>
  <c r="S814" i="11"/>
  <c r="AP813" i="11"/>
  <c r="AI813" i="11"/>
  <c r="S813" i="11"/>
  <c r="AP812" i="11"/>
  <c r="AI812" i="11"/>
  <c r="S812" i="11"/>
  <c r="U812" i="11" s="1"/>
  <c r="AP811" i="11"/>
  <c r="AI811" i="11"/>
  <c r="S811" i="11"/>
  <c r="U811" i="11" s="1"/>
  <c r="AP810" i="11"/>
  <c r="AI810" i="11"/>
  <c r="S810" i="11"/>
  <c r="AP809" i="11"/>
  <c r="AI809" i="11"/>
  <c r="S809" i="11"/>
  <c r="AP808" i="11"/>
  <c r="AI808" i="11"/>
  <c r="S808" i="11"/>
  <c r="AP807" i="11"/>
  <c r="AI807" i="11"/>
  <c r="S807" i="11"/>
  <c r="AP806" i="11"/>
  <c r="AI806" i="11"/>
  <c r="S806" i="11"/>
  <c r="AP805" i="11"/>
  <c r="AI805" i="11"/>
  <c r="S805" i="11"/>
  <c r="AP804" i="11"/>
  <c r="AI804" i="11"/>
  <c r="S804" i="11"/>
  <c r="U804" i="11" s="1"/>
  <c r="AP803" i="11"/>
  <c r="AI803" i="11"/>
  <c r="S803" i="11"/>
  <c r="U803" i="11" s="1"/>
  <c r="AP802" i="11"/>
  <c r="AI802" i="11"/>
  <c r="S802" i="11"/>
  <c r="AP801" i="11"/>
  <c r="AI801" i="11"/>
  <c r="S801" i="11"/>
  <c r="AP800" i="11"/>
  <c r="AI800" i="11"/>
  <c r="S800" i="11"/>
  <c r="AP799" i="11"/>
  <c r="AI799" i="11"/>
  <c r="S799" i="11"/>
  <c r="AP798" i="11"/>
  <c r="AI798" i="11"/>
  <c r="S798" i="11"/>
  <c r="AP797" i="11"/>
  <c r="AI797" i="11"/>
  <c r="S797" i="11"/>
  <c r="AP796" i="11"/>
  <c r="AI796" i="11"/>
  <c r="S796" i="11"/>
  <c r="U796" i="11" s="1"/>
  <c r="AP795" i="11"/>
  <c r="AI795" i="11"/>
  <c r="S795" i="11"/>
  <c r="U795" i="11" s="1"/>
  <c r="AP794" i="11"/>
  <c r="AI794" i="11"/>
  <c r="S794" i="11"/>
  <c r="AP793" i="11"/>
  <c r="AI793" i="11"/>
  <c r="S793" i="11"/>
  <c r="AP792" i="11"/>
  <c r="AI792" i="11"/>
  <c r="S792" i="11"/>
  <c r="AP791" i="11"/>
  <c r="AI791" i="11"/>
  <c r="S791" i="11"/>
  <c r="AP790" i="11"/>
  <c r="AI790" i="11"/>
  <c r="S790" i="11"/>
  <c r="AP789" i="11"/>
  <c r="AI789" i="11"/>
  <c r="S789" i="11"/>
  <c r="AP788" i="11"/>
  <c r="AI788" i="11"/>
  <c r="S788" i="11"/>
  <c r="U788" i="11" s="1"/>
  <c r="AP787" i="11"/>
  <c r="AI787" i="11"/>
  <c r="S787" i="11"/>
  <c r="U787" i="11" s="1"/>
  <c r="AP786" i="11"/>
  <c r="AI786" i="11"/>
  <c r="S786" i="11"/>
  <c r="AP785" i="11"/>
  <c r="AI785" i="11"/>
  <c r="S785" i="11"/>
  <c r="AP784" i="11"/>
  <c r="AI784" i="11"/>
  <c r="S784" i="11"/>
  <c r="AP783" i="11"/>
  <c r="AI783" i="11"/>
  <c r="S783" i="11"/>
  <c r="AP782" i="11"/>
  <c r="AI782" i="11"/>
  <c r="S782" i="11"/>
  <c r="AP781" i="11"/>
  <c r="AI781" i="11"/>
  <c r="S781" i="11"/>
  <c r="AP780" i="11"/>
  <c r="AI780" i="11"/>
  <c r="S780" i="11"/>
  <c r="U780" i="11" s="1"/>
  <c r="AP779" i="11"/>
  <c r="AI779" i="11"/>
  <c r="S779" i="11"/>
  <c r="U779" i="11" s="1"/>
  <c r="AP778" i="11"/>
  <c r="AI778" i="11"/>
  <c r="S778" i="11"/>
  <c r="AP777" i="11"/>
  <c r="AI777" i="11"/>
  <c r="S777" i="11"/>
  <c r="AP776" i="11"/>
  <c r="AI776" i="11"/>
  <c r="S776" i="11"/>
  <c r="AP775" i="11"/>
  <c r="AI775" i="11"/>
  <c r="S775" i="11"/>
  <c r="AP774" i="11"/>
  <c r="AI774" i="11"/>
  <c r="S774" i="11"/>
  <c r="AP773" i="11"/>
  <c r="AI773" i="11"/>
  <c r="S773" i="11"/>
  <c r="AP772" i="11"/>
  <c r="AI772" i="11"/>
  <c r="S772" i="11"/>
  <c r="U772" i="11" s="1"/>
  <c r="AP771" i="11"/>
  <c r="AI771" i="11"/>
  <c r="S771" i="11"/>
  <c r="U771" i="11" s="1"/>
  <c r="AP770" i="11"/>
  <c r="AI770" i="11"/>
  <c r="S770" i="11"/>
  <c r="AP769" i="11"/>
  <c r="AI769" i="11"/>
  <c r="S769" i="11"/>
  <c r="AP768" i="11"/>
  <c r="AI768" i="11"/>
  <c r="S768" i="11"/>
  <c r="AP767" i="11"/>
  <c r="AI767" i="11"/>
  <c r="S767" i="11"/>
  <c r="AP766" i="11"/>
  <c r="AI766" i="11"/>
  <c r="S766" i="11"/>
  <c r="AP765" i="11"/>
  <c r="AI765" i="11"/>
  <c r="S765" i="11"/>
  <c r="AP764" i="11"/>
  <c r="AI764" i="11"/>
  <c r="S764" i="11"/>
  <c r="U764" i="11" s="1"/>
  <c r="AP763" i="11"/>
  <c r="AI763" i="11"/>
  <c r="S763" i="11"/>
  <c r="U763" i="11" s="1"/>
  <c r="AP762" i="11"/>
  <c r="AI762" i="11"/>
  <c r="S762" i="11"/>
  <c r="AP761" i="11"/>
  <c r="AI761" i="11"/>
  <c r="S761" i="11"/>
  <c r="AP760" i="11"/>
  <c r="AI760" i="11"/>
  <c r="S760" i="11"/>
  <c r="AP759" i="11"/>
  <c r="AI759" i="11"/>
  <c r="S759" i="11"/>
  <c r="AP758" i="11"/>
  <c r="AI758" i="11"/>
  <c r="S758" i="11"/>
  <c r="AP757" i="11"/>
  <c r="AI757" i="11"/>
  <c r="S757" i="11"/>
  <c r="AP756" i="11"/>
  <c r="AI756" i="11"/>
  <c r="S756" i="11"/>
  <c r="U756" i="11" s="1"/>
  <c r="AP755" i="11"/>
  <c r="AI755" i="11"/>
  <c r="S755" i="11"/>
  <c r="U755" i="11" s="1"/>
  <c r="AP754" i="11"/>
  <c r="AI754" i="11"/>
  <c r="S754" i="11"/>
  <c r="AP753" i="11"/>
  <c r="AI753" i="11"/>
  <c r="S753" i="11"/>
  <c r="AP752" i="11"/>
  <c r="AI752" i="11"/>
  <c r="S752" i="11"/>
  <c r="AP751" i="11"/>
  <c r="AI751" i="11"/>
  <c r="S751" i="11"/>
  <c r="AP750" i="11"/>
  <c r="AI750" i="11"/>
  <c r="S750" i="11"/>
  <c r="AP749" i="11"/>
  <c r="AI749" i="11"/>
  <c r="S749" i="11"/>
  <c r="AP748" i="11"/>
  <c r="AI748" i="11"/>
  <c r="S748" i="11"/>
  <c r="U748" i="11" s="1"/>
  <c r="AP747" i="11"/>
  <c r="AI747" i="11"/>
  <c r="S747" i="11"/>
  <c r="U747" i="11" s="1"/>
  <c r="AP746" i="11"/>
  <c r="AI746" i="11"/>
  <c r="S746" i="11"/>
  <c r="AP745" i="11"/>
  <c r="AI745" i="11"/>
  <c r="S745" i="11"/>
  <c r="AP744" i="11"/>
  <c r="AI744" i="11"/>
  <c r="S744" i="11"/>
  <c r="AP743" i="11"/>
  <c r="AI743" i="11"/>
  <c r="S743" i="11"/>
  <c r="AP742" i="11"/>
  <c r="AI742" i="11"/>
  <c r="S742" i="11"/>
  <c r="AP741" i="11"/>
  <c r="AI741" i="11"/>
  <c r="S741" i="11"/>
  <c r="AP740" i="11"/>
  <c r="AI740" i="11"/>
  <c r="S740" i="11"/>
  <c r="AP739" i="11"/>
  <c r="AI739" i="11"/>
  <c r="S739" i="11"/>
  <c r="U739" i="11" s="1"/>
  <c r="AP738" i="11"/>
  <c r="AI738" i="11"/>
  <c r="S738" i="11"/>
  <c r="AP737" i="11"/>
  <c r="AI737" i="11"/>
  <c r="S737" i="11"/>
  <c r="AP736" i="11"/>
  <c r="AI736" i="11"/>
  <c r="S736" i="11"/>
  <c r="AP735" i="11"/>
  <c r="AI735" i="11"/>
  <c r="S735" i="11"/>
  <c r="AP734" i="11"/>
  <c r="AI734" i="11"/>
  <c r="S734" i="11"/>
  <c r="AP733" i="11"/>
  <c r="AI733" i="11"/>
  <c r="S733" i="11"/>
  <c r="AP732" i="11"/>
  <c r="AI732" i="11"/>
  <c r="S732" i="11"/>
  <c r="AP731" i="11"/>
  <c r="AI731" i="11"/>
  <c r="S731" i="11"/>
  <c r="U731" i="11" s="1"/>
  <c r="AP730" i="11"/>
  <c r="AI730" i="11"/>
  <c r="S730" i="11"/>
  <c r="AP729" i="11"/>
  <c r="AI729" i="11"/>
  <c r="S729" i="11"/>
  <c r="AP728" i="11"/>
  <c r="AI728" i="11"/>
  <c r="S728" i="11"/>
  <c r="AP727" i="11"/>
  <c r="AI727" i="11"/>
  <c r="S727" i="11"/>
  <c r="AP726" i="11"/>
  <c r="AI726" i="11"/>
  <c r="S726" i="11"/>
  <c r="AP725" i="11"/>
  <c r="AI725" i="11"/>
  <c r="S725" i="11"/>
  <c r="AP724" i="11"/>
  <c r="AI724" i="11"/>
  <c r="S724" i="11"/>
  <c r="AP723" i="11"/>
  <c r="AI723" i="11"/>
  <c r="S723" i="11"/>
  <c r="U723" i="11" s="1"/>
  <c r="AP722" i="11"/>
  <c r="AI722" i="11"/>
  <c r="S722" i="11"/>
  <c r="AP721" i="11"/>
  <c r="AI721" i="11"/>
  <c r="S721" i="11"/>
  <c r="AP720" i="11"/>
  <c r="AI720" i="11"/>
  <c r="S720" i="11"/>
  <c r="AP719" i="11"/>
  <c r="AI719" i="11"/>
  <c r="S719" i="11"/>
  <c r="AP718" i="11"/>
  <c r="AI718" i="11"/>
  <c r="S718" i="11"/>
  <c r="AP717" i="11"/>
  <c r="AI717" i="11"/>
  <c r="S717" i="11"/>
  <c r="AP716" i="11"/>
  <c r="AI716" i="11"/>
  <c r="S716" i="11"/>
  <c r="AP715" i="11"/>
  <c r="AI715" i="11"/>
  <c r="S715" i="11"/>
  <c r="U715" i="11" s="1"/>
  <c r="AP714" i="11"/>
  <c r="AI714" i="11"/>
  <c r="S714" i="11"/>
  <c r="AP713" i="11"/>
  <c r="AI713" i="11"/>
  <c r="S713" i="11"/>
  <c r="AP712" i="11"/>
  <c r="AI712" i="11"/>
  <c r="S712" i="11"/>
  <c r="AP711" i="11"/>
  <c r="AI711" i="11"/>
  <c r="S711" i="11"/>
  <c r="AP710" i="11"/>
  <c r="AI710" i="11"/>
  <c r="S710" i="11"/>
  <c r="AP709" i="11"/>
  <c r="AI709" i="11"/>
  <c r="S709" i="11"/>
  <c r="AP708" i="11"/>
  <c r="AI708" i="11"/>
  <c r="S708" i="11"/>
  <c r="AP707" i="11"/>
  <c r="AI707" i="11"/>
  <c r="S707" i="11"/>
  <c r="U707" i="11" s="1"/>
  <c r="AP706" i="11"/>
  <c r="AI706" i="11"/>
  <c r="S706" i="11"/>
  <c r="AP705" i="11"/>
  <c r="AI705" i="11"/>
  <c r="S705" i="11"/>
  <c r="AP704" i="11"/>
  <c r="AI704" i="11"/>
  <c r="S704" i="11"/>
  <c r="AP703" i="11"/>
  <c r="AI703" i="11"/>
  <c r="S703" i="11"/>
  <c r="AP702" i="11"/>
  <c r="AI702" i="11"/>
  <c r="S702" i="11"/>
  <c r="AP701" i="11"/>
  <c r="AI701" i="11"/>
  <c r="S701" i="11"/>
  <c r="AP700" i="11"/>
  <c r="AI700" i="11"/>
  <c r="S700" i="11"/>
  <c r="AP699" i="11"/>
  <c r="AI699" i="11"/>
  <c r="S699" i="11"/>
  <c r="U699" i="11" s="1"/>
  <c r="AP698" i="11"/>
  <c r="AI698" i="11"/>
  <c r="S698" i="11"/>
  <c r="AP697" i="11"/>
  <c r="AI697" i="11"/>
  <c r="S697" i="11"/>
  <c r="AP696" i="11"/>
  <c r="AI696" i="11"/>
  <c r="S696" i="11"/>
  <c r="AP695" i="11"/>
  <c r="AI695" i="11"/>
  <c r="S695" i="11"/>
  <c r="AP694" i="11"/>
  <c r="AI694" i="11"/>
  <c r="S694" i="11"/>
  <c r="AP693" i="11"/>
  <c r="AI693" i="11"/>
  <c r="S693" i="11"/>
  <c r="AP692" i="11"/>
  <c r="AI692" i="11"/>
  <c r="S692" i="11"/>
  <c r="U692" i="11" s="1"/>
  <c r="AP691" i="11"/>
  <c r="AI691" i="11"/>
  <c r="S691" i="11"/>
  <c r="U691" i="11" s="1"/>
  <c r="AP690" i="11"/>
  <c r="AI690" i="11"/>
  <c r="S690" i="11"/>
  <c r="AP689" i="11"/>
  <c r="AI689" i="11"/>
  <c r="S689" i="11"/>
  <c r="AP688" i="11"/>
  <c r="AI688" i="11"/>
  <c r="S688" i="11"/>
  <c r="AP687" i="11"/>
  <c r="AI687" i="11"/>
  <c r="S687" i="11"/>
  <c r="AP686" i="11"/>
  <c r="AI686" i="11"/>
  <c r="S686" i="11"/>
  <c r="AP685" i="11"/>
  <c r="AI685" i="11"/>
  <c r="S685" i="11"/>
  <c r="U685" i="11" s="1"/>
  <c r="AK685" i="11" s="1"/>
  <c r="AP684" i="11"/>
  <c r="AI684" i="11"/>
  <c r="S684" i="11"/>
  <c r="U684" i="11" s="1"/>
  <c r="AP683" i="11"/>
  <c r="AI683" i="11"/>
  <c r="S683" i="11"/>
  <c r="U683" i="11" s="1"/>
  <c r="AP682" i="11"/>
  <c r="AI682" i="11"/>
  <c r="S682" i="11"/>
  <c r="AP681" i="11"/>
  <c r="AI681" i="11"/>
  <c r="S681" i="11"/>
  <c r="AP680" i="11"/>
  <c r="AI680" i="11"/>
  <c r="S680" i="11"/>
  <c r="AP679" i="11"/>
  <c r="AI679" i="11"/>
  <c r="S679" i="11"/>
  <c r="AP678" i="11"/>
  <c r="AI678" i="11"/>
  <c r="S678" i="11"/>
  <c r="AP677" i="11"/>
  <c r="AI677" i="11"/>
  <c r="S677" i="11"/>
  <c r="AP676" i="11"/>
  <c r="AI676" i="11"/>
  <c r="S676" i="11"/>
  <c r="U676" i="11" s="1"/>
  <c r="AP675" i="11"/>
  <c r="AI675" i="11"/>
  <c r="S675" i="11"/>
  <c r="U675" i="11" s="1"/>
  <c r="AP674" i="11"/>
  <c r="AI674" i="11"/>
  <c r="S674" i="11"/>
  <c r="AP673" i="11"/>
  <c r="AI673" i="11"/>
  <c r="S673" i="11"/>
  <c r="AP672" i="11"/>
  <c r="AI672" i="11"/>
  <c r="S672" i="11"/>
  <c r="AP671" i="11"/>
  <c r="AI671" i="11"/>
  <c r="S671" i="11"/>
  <c r="AP670" i="11"/>
  <c r="AI670" i="11"/>
  <c r="S670" i="11"/>
  <c r="AP669" i="11"/>
  <c r="AI669" i="11"/>
  <c r="S669" i="11"/>
  <c r="U669" i="11" s="1"/>
  <c r="AK669" i="11" s="1"/>
  <c r="AP668" i="11"/>
  <c r="AI668" i="11"/>
  <c r="S668" i="11"/>
  <c r="U668" i="11" s="1"/>
  <c r="AP667" i="11"/>
  <c r="AI667" i="11"/>
  <c r="S667" i="11"/>
  <c r="U667" i="11" s="1"/>
  <c r="AP666" i="11"/>
  <c r="AI666" i="11"/>
  <c r="S666" i="11"/>
  <c r="AP665" i="11"/>
  <c r="AI665" i="11"/>
  <c r="S665" i="11"/>
  <c r="AP664" i="11"/>
  <c r="AI664" i="11"/>
  <c r="S664" i="11"/>
  <c r="AP663" i="11"/>
  <c r="AI663" i="11"/>
  <c r="S663" i="11"/>
  <c r="AP662" i="11"/>
  <c r="AI662" i="11"/>
  <c r="S662" i="11"/>
  <c r="AP661" i="11"/>
  <c r="AI661" i="11"/>
  <c r="S661" i="11"/>
  <c r="U661" i="11" s="1"/>
  <c r="AK661" i="11" s="1"/>
  <c r="AP660" i="11"/>
  <c r="AI660" i="11"/>
  <c r="S660" i="11"/>
  <c r="U660" i="11" s="1"/>
  <c r="AP659" i="11"/>
  <c r="AI659" i="11"/>
  <c r="S659" i="11"/>
  <c r="U659" i="11" s="1"/>
  <c r="AP658" i="11"/>
  <c r="AI658" i="11"/>
  <c r="S658" i="11"/>
  <c r="AP657" i="11"/>
  <c r="AI657" i="11"/>
  <c r="S657" i="11"/>
  <c r="AP656" i="11"/>
  <c r="AI656" i="11"/>
  <c r="S656" i="11"/>
  <c r="AP655" i="11"/>
  <c r="AI655" i="11"/>
  <c r="S655" i="11"/>
  <c r="AP654" i="11"/>
  <c r="AI654" i="11"/>
  <c r="S654" i="11"/>
  <c r="AP653" i="11"/>
  <c r="AI653" i="11"/>
  <c r="S653" i="11"/>
  <c r="U653" i="11" s="1"/>
  <c r="AK653" i="11" s="1"/>
  <c r="AP652" i="11"/>
  <c r="AI652" i="11"/>
  <c r="S652" i="11"/>
  <c r="U652" i="11" s="1"/>
  <c r="AP651" i="11"/>
  <c r="AI651" i="11"/>
  <c r="S651" i="11"/>
  <c r="U651" i="11" s="1"/>
  <c r="AP650" i="11"/>
  <c r="AI650" i="11"/>
  <c r="S650" i="11"/>
  <c r="AP649" i="11"/>
  <c r="AI649" i="11"/>
  <c r="S649" i="11"/>
  <c r="AP648" i="11"/>
  <c r="AI648" i="11"/>
  <c r="S648" i="11"/>
  <c r="AP647" i="11"/>
  <c r="AI647" i="11"/>
  <c r="S647" i="11"/>
  <c r="AP646" i="11"/>
  <c r="AI646" i="11"/>
  <c r="S646" i="11"/>
  <c r="AP645" i="11"/>
  <c r="AI645" i="11"/>
  <c r="S645" i="11"/>
  <c r="AP644" i="11"/>
  <c r="AI644" i="11"/>
  <c r="S644" i="11"/>
  <c r="U644" i="11" s="1"/>
  <c r="AP643" i="11"/>
  <c r="AI643" i="11"/>
  <c r="S643" i="11"/>
  <c r="U643" i="11" s="1"/>
  <c r="AP642" i="11"/>
  <c r="AI642" i="11"/>
  <c r="S642" i="11"/>
  <c r="AP641" i="11"/>
  <c r="AI641" i="11"/>
  <c r="S641" i="11"/>
  <c r="AP640" i="11"/>
  <c r="AI640" i="11"/>
  <c r="S640" i="11"/>
  <c r="AP639" i="11"/>
  <c r="AI639" i="11"/>
  <c r="S639" i="11"/>
  <c r="AP638" i="11"/>
  <c r="AI638" i="11"/>
  <c r="S638" i="11"/>
  <c r="AP637" i="11"/>
  <c r="AI637" i="11"/>
  <c r="S637" i="11"/>
  <c r="U637" i="11" s="1"/>
  <c r="AK637" i="11" s="1"/>
  <c r="AP636" i="11"/>
  <c r="AI636" i="11"/>
  <c r="S636" i="11"/>
  <c r="U636" i="11" s="1"/>
  <c r="AP635" i="11"/>
  <c r="AI635" i="11"/>
  <c r="S635" i="11"/>
  <c r="U635" i="11" s="1"/>
  <c r="AP634" i="11"/>
  <c r="AI634" i="11"/>
  <c r="S634" i="11"/>
  <c r="AP633" i="11"/>
  <c r="AI633" i="11"/>
  <c r="S633" i="11"/>
  <c r="AP632" i="11"/>
  <c r="AI632" i="11"/>
  <c r="S632" i="11"/>
  <c r="AP631" i="11"/>
  <c r="AI631" i="11"/>
  <c r="S631" i="11"/>
  <c r="AP630" i="11"/>
  <c r="AI630" i="11"/>
  <c r="S630" i="11"/>
  <c r="AP629" i="11"/>
  <c r="AI629" i="11"/>
  <c r="S629" i="11"/>
  <c r="U629" i="11" s="1"/>
  <c r="AK629" i="11" s="1"/>
  <c r="AP628" i="11"/>
  <c r="AI628" i="11"/>
  <c r="S628" i="11"/>
  <c r="AP627" i="11"/>
  <c r="AI627" i="11"/>
  <c r="S627" i="11"/>
  <c r="U627" i="11" s="1"/>
  <c r="AP626" i="11"/>
  <c r="AI626" i="11"/>
  <c r="S626" i="11"/>
  <c r="AP625" i="11"/>
  <c r="AI625" i="11"/>
  <c r="S625" i="11"/>
  <c r="AP624" i="11"/>
  <c r="AI624" i="11"/>
  <c r="S624" i="11"/>
  <c r="AP623" i="11"/>
  <c r="AI623" i="11"/>
  <c r="S623" i="11"/>
  <c r="AP622" i="11"/>
  <c r="AI622" i="11"/>
  <c r="S622" i="11"/>
  <c r="AP621" i="11"/>
  <c r="AI621" i="11"/>
  <c r="S621" i="11"/>
  <c r="AP620" i="11"/>
  <c r="AI620" i="11"/>
  <c r="S620" i="11"/>
  <c r="AP619" i="11"/>
  <c r="AI619" i="11"/>
  <c r="S619" i="11"/>
  <c r="U619" i="11" s="1"/>
  <c r="AP618" i="11"/>
  <c r="AI618" i="11"/>
  <c r="S618" i="11"/>
  <c r="AP617" i="11"/>
  <c r="AI617" i="11"/>
  <c r="S617" i="11"/>
  <c r="AP616" i="11"/>
  <c r="AI616" i="11"/>
  <c r="S616" i="11"/>
  <c r="AP615" i="11"/>
  <c r="AI615" i="11"/>
  <c r="S615" i="11"/>
  <c r="AP614" i="11"/>
  <c r="AI614" i="11"/>
  <c r="S614" i="11"/>
  <c r="AP613" i="11"/>
  <c r="AI613" i="11"/>
  <c r="S613" i="11"/>
  <c r="U613" i="11" s="1"/>
  <c r="AK613" i="11" s="1"/>
  <c r="AP612" i="11"/>
  <c r="AI612" i="11"/>
  <c r="S612" i="11"/>
  <c r="AP611" i="11"/>
  <c r="AI611" i="11"/>
  <c r="S611" i="11"/>
  <c r="U611" i="11" s="1"/>
  <c r="AP610" i="11"/>
  <c r="AI610" i="11"/>
  <c r="S610" i="11"/>
  <c r="AP609" i="11"/>
  <c r="AI609" i="11"/>
  <c r="S609" i="11"/>
  <c r="AP608" i="11"/>
  <c r="AI608" i="11"/>
  <c r="S608" i="11"/>
  <c r="AP607" i="11"/>
  <c r="AI607" i="11"/>
  <c r="S607" i="11"/>
  <c r="AP606" i="11"/>
  <c r="AI606" i="11"/>
  <c r="S606" i="11"/>
  <c r="AP605" i="11"/>
  <c r="AI605" i="11"/>
  <c r="S605" i="11"/>
  <c r="U605" i="11" s="1"/>
  <c r="AK605" i="11" s="1"/>
  <c r="AP604" i="11"/>
  <c r="AI604" i="11"/>
  <c r="S604" i="11"/>
  <c r="U604" i="11" s="1"/>
  <c r="AP603" i="11"/>
  <c r="AI603" i="11"/>
  <c r="S603" i="11"/>
  <c r="U603" i="11" s="1"/>
  <c r="AP602" i="11"/>
  <c r="AI602" i="11"/>
  <c r="S602" i="11"/>
  <c r="AP601" i="11"/>
  <c r="AI601" i="11"/>
  <c r="S601" i="11"/>
  <c r="AP600" i="11"/>
  <c r="AI600" i="11"/>
  <c r="S600" i="11"/>
  <c r="AP599" i="11"/>
  <c r="AI599" i="11"/>
  <c r="S599" i="11"/>
  <c r="AP598" i="11"/>
  <c r="AI598" i="11"/>
  <c r="S598" i="11"/>
  <c r="AP597" i="11"/>
  <c r="AI597" i="11"/>
  <c r="S597" i="11"/>
  <c r="U597" i="11" s="1"/>
  <c r="AK597" i="11" s="1"/>
  <c r="AP596" i="11"/>
  <c r="AI596" i="11"/>
  <c r="S596" i="11"/>
  <c r="U596" i="11" s="1"/>
  <c r="AP595" i="11"/>
  <c r="AI595" i="11"/>
  <c r="S595" i="11"/>
  <c r="U595" i="11" s="1"/>
  <c r="AP594" i="11"/>
  <c r="AI594" i="11"/>
  <c r="S594" i="11"/>
  <c r="AP593" i="11"/>
  <c r="AI593" i="11"/>
  <c r="S593" i="11"/>
  <c r="AP592" i="11"/>
  <c r="AI592" i="11"/>
  <c r="S592" i="11"/>
  <c r="AP591" i="11"/>
  <c r="AI591" i="11"/>
  <c r="S591" i="11"/>
  <c r="AP590" i="11"/>
  <c r="AI590" i="11"/>
  <c r="S590" i="11"/>
  <c r="AP589" i="11"/>
  <c r="AI589" i="11"/>
  <c r="S589" i="11"/>
  <c r="U589" i="11" s="1"/>
  <c r="AK589" i="11" s="1"/>
  <c r="AP588" i="11"/>
  <c r="AI588" i="11"/>
  <c r="S588" i="11"/>
  <c r="U588" i="11" s="1"/>
  <c r="AP587" i="11"/>
  <c r="AI587" i="11"/>
  <c r="S587" i="11"/>
  <c r="U587" i="11" s="1"/>
  <c r="AP586" i="11"/>
  <c r="AI586" i="11"/>
  <c r="S586" i="11"/>
  <c r="AP585" i="11"/>
  <c r="AI585" i="11"/>
  <c r="S585" i="11"/>
  <c r="AP584" i="11"/>
  <c r="AI584" i="11"/>
  <c r="S584" i="11"/>
  <c r="AP583" i="11"/>
  <c r="AI583" i="11"/>
  <c r="S583" i="11"/>
  <c r="U583" i="11" s="1"/>
  <c r="AP582" i="11"/>
  <c r="AI582" i="11"/>
  <c r="S582" i="11"/>
  <c r="U582" i="11" s="1"/>
  <c r="AK582" i="11" s="1"/>
  <c r="AP581" i="11"/>
  <c r="AI581" i="11"/>
  <c r="S581" i="11"/>
  <c r="U581" i="11" s="1"/>
  <c r="AK581" i="11" s="1"/>
  <c r="AP580" i="11"/>
  <c r="AI580" i="11"/>
  <c r="S580" i="11"/>
  <c r="U580" i="11" s="1"/>
  <c r="AP579" i="11"/>
  <c r="AI579" i="11"/>
  <c r="S579" i="11"/>
  <c r="U579" i="11" s="1"/>
  <c r="AP578" i="11"/>
  <c r="AI578" i="11"/>
  <c r="S578" i="11"/>
  <c r="AP577" i="11"/>
  <c r="AI577" i="11"/>
  <c r="S577" i="11"/>
  <c r="AP576" i="11"/>
  <c r="AI576" i="11"/>
  <c r="S576" i="11"/>
  <c r="AP575" i="11"/>
  <c r="AI575" i="11"/>
  <c r="S575" i="11"/>
  <c r="AP574" i="11"/>
  <c r="AI574" i="11"/>
  <c r="S574" i="11"/>
  <c r="U574" i="11" s="1"/>
  <c r="AK574" i="11" s="1"/>
  <c r="AP573" i="11"/>
  <c r="AI573" i="11"/>
  <c r="S573" i="11"/>
  <c r="U573" i="11" s="1"/>
  <c r="AK573" i="11" s="1"/>
  <c r="AP572" i="11"/>
  <c r="AI572" i="11"/>
  <c r="S572" i="11"/>
  <c r="U572" i="11" s="1"/>
  <c r="AP571" i="11"/>
  <c r="AI571" i="11"/>
  <c r="S571" i="11"/>
  <c r="U571" i="11" s="1"/>
  <c r="AP570" i="11"/>
  <c r="AI570" i="11"/>
  <c r="S570" i="11"/>
  <c r="AP569" i="11"/>
  <c r="AI569" i="11"/>
  <c r="S569" i="11"/>
  <c r="AP568" i="11"/>
  <c r="AI568" i="11"/>
  <c r="S568" i="11"/>
  <c r="AP567" i="11"/>
  <c r="AI567" i="11"/>
  <c r="S567" i="11"/>
  <c r="U567" i="11" s="1"/>
  <c r="AP566" i="11"/>
  <c r="AI566" i="11"/>
  <c r="S566" i="11"/>
  <c r="U566" i="11" s="1"/>
  <c r="AK566" i="11" s="1"/>
  <c r="AP565" i="11"/>
  <c r="AI565" i="11"/>
  <c r="S565" i="11"/>
  <c r="U565" i="11" s="1"/>
  <c r="AK565" i="11" s="1"/>
  <c r="AP564" i="11"/>
  <c r="AI564" i="11"/>
  <c r="S564" i="11"/>
  <c r="AP563" i="11"/>
  <c r="AI563" i="11"/>
  <c r="S563" i="11"/>
  <c r="AP562" i="11"/>
  <c r="AI562" i="11"/>
  <c r="S562" i="11"/>
  <c r="AP561" i="11"/>
  <c r="AI561" i="11"/>
  <c r="S561" i="11"/>
  <c r="AP560" i="11"/>
  <c r="AI560" i="11"/>
  <c r="S560" i="11"/>
  <c r="AP559" i="11"/>
  <c r="AI559" i="11"/>
  <c r="S559" i="11"/>
  <c r="AP558" i="11"/>
  <c r="AI558" i="11"/>
  <c r="S558" i="11"/>
  <c r="U558" i="11" s="1"/>
  <c r="AK558" i="11" s="1"/>
  <c r="AP557" i="11"/>
  <c r="AI557" i="11"/>
  <c r="S557" i="11"/>
  <c r="U557" i="11" s="1"/>
  <c r="AK557" i="11" s="1"/>
  <c r="AP556" i="11"/>
  <c r="AI556" i="11"/>
  <c r="S556" i="11"/>
  <c r="U556" i="11" s="1"/>
  <c r="AP555" i="11"/>
  <c r="AI555" i="11"/>
  <c r="S555" i="11"/>
  <c r="U555" i="11" s="1"/>
  <c r="AP554" i="11"/>
  <c r="AI554" i="11"/>
  <c r="S554" i="11"/>
  <c r="AP553" i="11"/>
  <c r="AI553" i="11"/>
  <c r="S553" i="11"/>
  <c r="AP552" i="11"/>
  <c r="AI552" i="11"/>
  <c r="S552" i="11"/>
  <c r="AP551" i="11"/>
  <c r="AI551" i="11"/>
  <c r="S551" i="11"/>
  <c r="U551" i="11" s="1"/>
  <c r="AP550" i="11"/>
  <c r="AI550" i="11"/>
  <c r="S550" i="11"/>
  <c r="U550" i="11" s="1"/>
  <c r="AK550" i="11" s="1"/>
  <c r="AP549" i="11"/>
  <c r="AI549" i="11"/>
  <c r="S549" i="11"/>
  <c r="U549" i="11" s="1"/>
  <c r="AK549" i="11" s="1"/>
  <c r="AP548" i="11"/>
  <c r="AI548" i="11"/>
  <c r="S548" i="11"/>
  <c r="U548" i="11" s="1"/>
  <c r="AP547" i="11"/>
  <c r="AI547" i="11"/>
  <c r="S547" i="11"/>
  <c r="U547" i="11" s="1"/>
  <c r="AP546" i="11"/>
  <c r="AI546" i="11"/>
  <c r="S546" i="11"/>
  <c r="AP545" i="11"/>
  <c r="AI545" i="11"/>
  <c r="S545" i="11"/>
  <c r="AP544" i="11"/>
  <c r="AI544" i="11"/>
  <c r="S544" i="11"/>
  <c r="AP543" i="11"/>
  <c r="AI543" i="11"/>
  <c r="S543" i="11"/>
  <c r="U543" i="11" s="1"/>
  <c r="AP542" i="11"/>
  <c r="AI542" i="11"/>
  <c r="S542" i="11"/>
  <c r="AP541" i="11"/>
  <c r="AI541" i="11"/>
  <c r="S541" i="11"/>
  <c r="U541" i="11" s="1"/>
  <c r="AK541" i="11" s="1"/>
  <c r="AP540" i="11"/>
  <c r="AI540" i="11"/>
  <c r="S540" i="11"/>
  <c r="U540" i="11" s="1"/>
  <c r="AP539" i="11"/>
  <c r="AI539" i="11"/>
  <c r="S539" i="11"/>
  <c r="U539" i="11" s="1"/>
  <c r="AP538" i="11"/>
  <c r="AI538" i="11"/>
  <c r="S538" i="11"/>
  <c r="AP537" i="11"/>
  <c r="AI537" i="11"/>
  <c r="S537" i="11"/>
  <c r="AP536" i="11"/>
  <c r="AI536" i="11"/>
  <c r="S536" i="11"/>
  <c r="AP535" i="11"/>
  <c r="AI535" i="11"/>
  <c r="S535" i="11"/>
  <c r="U535" i="11" s="1"/>
  <c r="AP534" i="11"/>
  <c r="AI534" i="11"/>
  <c r="S534" i="11"/>
  <c r="U534" i="11" s="1"/>
  <c r="AK534" i="11" s="1"/>
  <c r="AP533" i="11"/>
  <c r="AI533" i="11"/>
  <c r="S533" i="11"/>
  <c r="U533" i="11" s="1"/>
  <c r="AK533" i="11" s="1"/>
  <c r="AP532" i="11"/>
  <c r="AI532" i="11"/>
  <c r="S532" i="11"/>
  <c r="U532" i="11" s="1"/>
  <c r="AP531" i="11"/>
  <c r="AI531" i="11"/>
  <c r="S531" i="11"/>
  <c r="U531" i="11" s="1"/>
  <c r="AP530" i="11"/>
  <c r="AI530" i="11"/>
  <c r="S530" i="11"/>
  <c r="AP529" i="11"/>
  <c r="AI529" i="11"/>
  <c r="S529" i="11"/>
  <c r="AP528" i="11"/>
  <c r="AI528" i="11"/>
  <c r="S528" i="11"/>
  <c r="AP527" i="11"/>
  <c r="AI527" i="11"/>
  <c r="S527" i="11"/>
  <c r="U527" i="11" s="1"/>
  <c r="AP526" i="11"/>
  <c r="AI526" i="11"/>
  <c r="S526" i="11"/>
  <c r="U526" i="11" s="1"/>
  <c r="AK526" i="11" s="1"/>
  <c r="AP525" i="11"/>
  <c r="AI525" i="11"/>
  <c r="S525" i="11"/>
  <c r="U525" i="11" s="1"/>
  <c r="AK525" i="11" s="1"/>
  <c r="AP524" i="11"/>
  <c r="AI524" i="11"/>
  <c r="S524" i="11"/>
  <c r="AP523" i="11"/>
  <c r="AI523" i="11"/>
  <c r="S523" i="11"/>
  <c r="U523" i="11" s="1"/>
  <c r="AP522" i="11"/>
  <c r="AI522" i="11"/>
  <c r="S522" i="11"/>
  <c r="AP521" i="11"/>
  <c r="AI521" i="11"/>
  <c r="S521" i="11"/>
  <c r="AP520" i="11"/>
  <c r="AI520" i="11"/>
  <c r="S520" i="11"/>
  <c r="AP519" i="11"/>
  <c r="AI519" i="11"/>
  <c r="S519" i="11"/>
  <c r="U519" i="11" s="1"/>
  <c r="AP518" i="11"/>
  <c r="AI518" i="11"/>
  <c r="S518" i="11"/>
  <c r="U518" i="11" s="1"/>
  <c r="AK518" i="11" s="1"/>
  <c r="AP517" i="11"/>
  <c r="AI517" i="11"/>
  <c r="S517" i="11"/>
  <c r="U517" i="11" s="1"/>
  <c r="AK517" i="11" s="1"/>
  <c r="AP516" i="11"/>
  <c r="AI516" i="11"/>
  <c r="S516" i="11"/>
  <c r="U516" i="11" s="1"/>
  <c r="AP515" i="11"/>
  <c r="AI515" i="11"/>
  <c r="S515" i="11"/>
  <c r="U515" i="11" s="1"/>
  <c r="AP514" i="11"/>
  <c r="AI514" i="11"/>
  <c r="S514" i="11"/>
  <c r="AP513" i="11"/>
  <c r="AI513" i="11"/>
  <c r="S513" i="11"/>
  <c r="AP512" i="11"/>
  <c r="AI512" i="11"/>
  <c r="S512" i="11"/>
  <c r="AP511" i="11"/>
  <c r="AI511" i="11"/>
  <c r="S511" i="11"/>
  <c r="U511" i="11" s="1"/>
  <c r="AP510" i="11"/>
  <c r="AI510" i="11"/>
  <c r="S510" i="11"/>
  <c r="U510" i="11" s="1"/>
  <c r="AK510" i="11" s="1"/>
  <c r="AP509" i="11"/>
  <c r="AI509" i="11"/>
  <c r="S509" i="11"/>
  <c r="AP508" i="11"/>
  <c r="AI508" i="11"/>
  <c r="S508" i="11"/>
  <c r="U508" i="11" s="1"/>
  <c r="AP507" i="11"/>
  <c r="AI507" i="11"/>
  <c r="S507" i="11"/>
  <c r="U507" i="11" s="1"/>
  <c r="AP506" i="11"/>
  <c r="AI506" i="11"/>
  <c r="S506" i="11"/>
  <c r="AP505" i="11"/>
  <c r="AI505" i="11"/>
  <c r="S505" i="11"/>
  <c r="AP504" i="11"/>
  <c r="AI504" i="11"/>
  <c r="S504" i="11"/>
  <c r="AP503" i="11"/>
  <c r="AI503" i="11"/>
  <c r="S503" i="11"/>
  <c r="U503" i="11" s="1"/>
  <c r="AP502" i="11"/>
  <c r="AI502" i="11"/>
  <c r="S502" i="11"/>
  <c r="U502" i="11" s="1"/>
  <c r="AK502" i="11" s="1"/>
  <c r="AP501" i="11"/>
  <c r="AI501" i="11"/>
  <c r="S501" i="11"/>
  <c r="U501" i="11" s="1"/>
  <c r="AK501" i="11" s="1"/>
  <c r="AP500" i="11"/>
  <c r="AI500" i="11"/>
  <c r="S500" i="11"/>
  <c r="U500" i="11" s="1"/>
  <c r="AP499" i="11"/>
  <c r="AI499" i="11"/>
  <c r="S499" i="11"/>
  <c r="U499" i="11" s="1"/>
  <c r="AP498" i="11"/>
  <c r="AI498" i="11"/>
  <c r="S498" i="11"/>
  <c r="AP497" i="11"/>
  <c r="AI497" i="11"/>
  <c r="S497" i="11"/>
  <c r="AP496" i="11"/>
  <c r="AI496" i="11"/>
  <c r="S496" i="11"/>
  <c r="AP495" i="11"/>
  <c r="AI495" i="11"/>
  <c r="S495" i="11"/>
  <c r="U495" i="11" s="1"/>
  <c r="AP494" i="11"/>
  <c r="AI494" i="11"/>
  <c r="S494" i="11"/>
  <c r="U494" i="11" s="1"/>
  <c r="AP493" i="11"/>
  <c r="AI493" i="11"/>
  <c r="S493" i="11"/>
  <c r="U493" i="11" s="1"/>
  <c r="AK493" i="11" s="1"/>
  <c r="AP492" i="11"/>
  <c r="AI492" i="11"/>
  <c r="S492" i="11"/>
  <c r="U492" i="11" s="1"/>
  <c r="AP491" i="11"/>
  <c r="AI491" i="11"/>
  <c r="S491" i="11"/>
  <c r="U491" i="11" s="1"/>
  <c r="AP490" i="11"/>
  <c r="AI490" i="11"/>
  <c r="S490" i="11"/>
  <c r="AP489" i="11"/>
  <c r="AI489" i="11"/>
  <c r="S489" i="11"/>
  <c r="AP488" i="11"/>
  <c r="AI488" i="11"/>
  <c r="S488" i="11"/>
  <c r="AP487" i="11"/>
  <c r="AI487" i="11"/>
  <c r="S487" i="11"/>
  <c r="U487" i="11" s="1"/>
  <c r="AP486" i="11"/>
  <c r="AI486" i="11"/>
  <c r="S486" i="11"/>
  <c r="U486" i="11" s="1"/>
  <c r="AP485" i="11"/>
  <c r="AI485" i="11"/>
  <c r="S485" i="11"/>
  <c r="U485" i="11" s="1"/>
  <c r="AK485" i="11" s="1"/>
  <c r="AP484" i="11"/>
  <c r="AI484" i="11"/>
  <c r="S484" i="11"/>
  <c r="U484" i="11" s="1"/>
  <c r="AP483" i="11"/>
  <c r="AI483" i="11"/>
  <c r="S483" i="11"/>
  <c r="U483" i="11" s="1"/>
  <c r="AP482" i="11"/>
  <c r="AI482" i="11"/>
  <c r="S482" i="11"/>
  <c r="AP481" i="11"/>
  <c r="AI481" i="11"/>
  <c r="S481" i="11"/>
  <c r="AP480" i="11"/>
  <c r="AI480" i="11"/>
  <c r="S480" i="11"/>
  <c r="U480" i="11" s="1"/>
  <c r="AP479" i="11"/>
  <c r="AI479" i="11"/>
  <c r="S479" i="11"/>
  <c r="U479" i="11" s="1"/>
  <c r="AP478" i="11"/>
  <c r="AI478" i="11"/>
  <c r="S478" i="11"/>
  <c r="U478" i="11" s="1"/>
  <c r="AP477" i="11"/>
  <c r="AI477" i="11"/>
  <c r="S477" i="11"/>
  <c r="U477" i="11" s="1"/>
  <c r="AK477" i="11" s="1"/>
  <c r="AP476" i="11"/>
  <c r="AI476" i="11"/>
  <c r="S476" i="11"/>
  <c r="U476" i="11" s="1"/>
  <c r="AP475" i="11"/>
  <c r="AI475" i="11"/>
  <c r="S475" i="11"/>
  <c r="U475" i="11" s="1"/>
  <c r="AP474" i="11"/>
  <c r="AI474" i="11"/>
  <c r="S474" i="11"/>
  <c r="AP473" i="11"/>
  <c r="AI473" i="11"/>
  <c r="S473" i="11"/>
  <c r="AP472" i="11"/>
  <c r="AI472" i="11"/>
  <c r="S472" i="11"/>
  <c r="U472" i="11" s="1"/>
  <c r="AP471" i="11"/>
  <c r="AI471" i="11"/>
  <c r="S471" i="11"/>
  <c r="U471" i="11" s="1"/>
  <c r="AP470" i="11"/>
  <c r="AI470" i="11"/>
  <c r="S470" i="11"/>
  <c r="U470" i="11" s="1"/>
  <c r="AP469" i="11"/>
  <c r="AI469" i="11"/>
  <c r="S469" i="11"/>
  <c r="U469" i="11" s="1"/>
  <c r="AK469" i="11" s="1"/>
  <c r="AP468" i="11"/>
  <c r="AI468" i="11"/>
  <c r="S468" i="11"/>
  <c r="U468" i="11" s="1"/>
  <c r="AP467" i="11"/>
  <c r="AI467" i="11"/>
  <c r="S467" i="11"/>
  <c r="U467" i="11" s="1"/>
  <c r="AP466" i="11"/>
  <c r="AI466" i="11"/>
  <c r="S466" i="11"/>
  <c r="AP465" i="11"/>
  <c r="AI465" i="11"/>
  <c r="S465" i="11"/>
  <c r="AP464" i="11"/>
  <c r="AI464" i="11"/>
  <c r="S464" i="11"/>
  <c r="U464" i="11" s="1"/>
  <c r="AP463" i="11"/>
  <c r="AI463" i="11"/>
  <c r="S463" i="11"/>
  <c r="U463" i="11" s="1"/>
  <c r="AP462" i="11"/>
  <c r="AI462" i="11"/>
  <c r="S462" i="11"/>
  <c r="U462" i="11" s="1"/>
  <c r="AP461" i="11"/>
  <c r="AI461" i="11"/>
  <c r="S461" i="11"/>
  <c r="U461" i="11" s="1"/>
  <c r="AK461" i="11" s="1"/>
  <c r="AP460" i="11"/>
  <c r="AI460" i="11"/>
  <c r="S460" i="11"/>
  <c r="U460" i="11" s="1"/>
  <c r="AP459" i="11"/>
  <c r="AI459" i="11"/>
  <c r="S459" i="11"/>
  <c r="U459" i="11" s="1"/>
  <c r="AP458" i="11"/>
  <c r="AI458" i="11"/>
  <c r="S458" i="11"/>
  <c r="AP457" i="11"/>
  <c r="AI457" i="11"/>
  <c r="S457" i="11"/>
  <c r="AP456" i="11"/>
  <c r="AI456" i="11"/>
  <c r="S456" i="11"/>
  <c r="U456" i="11" s="1"/>
  <c r="AP455" i="11"/>
  <c r="AI455" i="11"/>
  <c r="S455" i="11"/>
  <c r="U455" i="11" s="1"/>
  <c r="AP454" i="11"/>
  <c r="AI454" i="11"/>
  <c r="S454" i="11"/>
  <c r="U454" i="11" s="1"/>
  <c r="AP453" i="11"/>
  <c r="AI453" i="11"/>
  <c r="S453" i="11"/>
  <c r="U453" i="11" s="1"/>
  <c r="AK453" i="11" s="1"/>
  <c r="AP452" i="11"/>
  <c r="AI452" i="11"/>
  <c r="S452" i="11"/>
  <c r="U452" i="11" s="1"/>
  <c r="AP451" i="11"/>
  <c r="AI451" i="11"/>
  <c r="S451" i="11"/>
  <c r="U451" i="11" s="1"/>
  <c r="AP450" i="11"/>
  <c r="AI450" i="11"/>
  <c r="S450" i="11"/>
  <c r="U450" i="11" s="1"/>
  <c r="AP449" i="11"/>
  <c r="AI449" i="11"/>
  <c r="S449" i="11"/>
  <c r="AP448" i="11"/>
  <c r="AI448" i="11"/>
  <c r="S448" i="11"/>
  <c r="U448" i="11" s="1"/>
  <c r="AP447" i="11"/>
  <c r="AI447" i="11"/>
  <c r="S447" i="11"/>
  <c r="U447" i="11" s="1"/>
  <c r="AP446" i="11"/>
  <c r="AI446" i="11"/>
  <c r="S446" i="11"/>
  <c r="U446" i="11" s="1"/>
  <c r="AP445" i="11"/>
  <c r="AI445" i="11"/>
  <c r="S445" i="11"/>
  <c r="AP444" i="11"/>
  <c r="AI444" i="11"/>
  <c r="S444" i="11"/>
  <c r="U444" i="11" s="1"/>
  <c r="AP443" i="11"/>
  <c r="AI443" i="11"/>
  <c r="S443" i="11"/>
  <c r="U443" i="11" s="1"/>
  <c r="AP442" i="11"/>
  <c r="AI442" i="11"/>
  <c r="S442" i="11"/>
  <c r="U442" i="11" s="1"/>
  <c r="AP441" i="11"/>
  <c r="AI441" i="11"/>
  <c r="S441" i="11"/>
  <c r="AP440" i="11"/>
  <c r="AI440" i="11"/>
  <c r="S440" i="11"/>
  <c r="U440" i="11" s="1"/>
  <c r="AP439" i="11"/>
  <c r="AI439" i="11"/>
  <c r="S439" i="11"/>
  <c r="U439" i="11" s="1"/>
  <c r="AP438" i="11"/>
  <c r="AI438" i="11"/>
  <c r="S438" i="11"/>
  <c r="U438" i="11" s="1"/>
  <c r="AP437" i="11"/>
  <c r="AI437" i="11"/>
  <c r="S437" i="11"/>
  <c r="U437" i="11" s="1"/>
  <c r="AK437" i="11" s="1"/>
  <c r="AP436" i="11"/>
  <c r="AI436" i="11"/>
  <c r="S436" i="11"/>
  <c r="U436" i="11" s="1"/>
  <c r="AP435" i="11"/>
  <c r="AI435" i="11"/>
  <c r="S435" i="11"/>
  <c r="U435" i="11" s="1"/>
  <c r="AP434" i="11"/>
  <c r="AI434" i="11"/>
  <c r="S434" i="11"/>
  <c r="U434" i="11" s="1"/>
  <c r="AP433" i="11"/>
  <c r="AI433" i="11"/>
  <c r="S433" i="11"/>
  <c r="AP432" i="11"/>
  <c r="AI432" i="11"/>
  <c r="S432" i="11"/>
  <c r="U432" i="11" s="1"/>
  <c r="AP431" i="11"/>
  <c r="AI431" i="11"/>
  <c r="S431" i="11"/>
  <c r="U431" i="11" s="1"/>
  <c r="AP430" i="11"/>
  <c r="AI430" i="11"/>
  <c r="S430" i="11"/>
  <c r="U430" i="11" s="1"/>
  <c r="AP429" i="11"/>
  <c r="AI429" i="11"/>
  <c r="S429" i="11"/>
  <c r="U429" i="11" s="1"/>
  <c r="AK429" i="11" s="1"/>
  <c r="AP428" i="11"/>
  <c r="AI428" i="11"/>
  <c r="S428" i="11"/>
  <c r="U428" i="11" s="1"/>
  <c r="AP427" i="11"/>
  <c r="AI427" i="11"/>
  <c r="S427" i="11"/>
  <c r="U427" i="11" s="1"/>
  <c r="AP426" i="11"/>
  <c r="AI426" i="11"/>
  <c r="S426" i="11"/>
  <c r="U426" i="11" s="1"/>
  <c r="AP425" i="11"/>
  <c r="AI425" i="11"/>
  <c r="S425" i="11"/>
  <c r="AP424" i="11"/>
  <c r="AI424" i="11"/>
  <c r="S424" i="11"/>
  <c r="U424" i="11" s="1"/>
  <c r="AP423" i="11"/>
  <c r="AI423" i="11"/>
  <c r="S423" i="11"/>
  <c r="U423" i="11" s="1"/>
  <c r="AP422" i="11"/>
  <c r="AI422" i="11"/>
  <c r="S422" i="11"/>
  <c r="U422" i="11" s="1"/>
  <c r="AP421" i="11"/>
  <c r="AI421" i="11"/>
  <c r="S421" i="11"/>
  <c r="U421" i="11" s="1"/>
  <c r="AK421" i="11" s="1"/>
  <c r="AP420" i="11"/>
  <c r="AI420" i="11"/>
  <c r="S420" i="11"/>
  <c r="U420" i="11" s="1"/>
  <c r="AP419" i="11"/>
  <c r="AI419" i="11"/>
  <c r="S419" i="11"/>
  <c r="U419" i="11" s="1"/>
  <c r="AP418" i="11"/>
  <c r="AI418" i="11"/>
  <c r="S418" i="11"/>
  <c r="U418" i="11" s="1"/>
  <c r="AP417" i="11"/>
  <c r="AI417" i="11"/>
  <c r="S417" i="11"/>
  <c r="AP416" i="11"/>
  <c r="AI416" i="11"/>
  <c r="S416" i="11"/>
  <c r="U416" i="11" s="1"/>
  <c r="AP415" i="11"/>
  <c r="AI415" i="11"/>
  <c r="S415" i="11"/>
  <c r="U415" i="11" s="1"/>
  <c r="AP414" i="11"/>
  <c r="AI414" i="11"/>
  <c r="S414" i="11"/>
  <c r="U414" i="11" s="1"/>
  <c r="AP413" i="11"/>
  <c r="AI413" i="11"/>
  <c r="S413" i="11"/>
  <c r="AP412" i="11"/>
  <c r="AI412" i="11"/>
  <c r="S412" i="11"/>
  <c r="U412" i="11" s="1"/>
  <c r="AP411" i="11"/>
  <c r="AI411" i="11"/>
  <c r="S411" i="11"/>
  <c r="U411" i="11" s="1"/>
  <c r="AP410" i="11"/>
  <c r="AI410" i="11"/>
  <c r="S410" i="11"/>
  <c r="U410" i="11" s="1"/>
  <c r="AP409" i="11"/>
  <c r="AI409" i="11"/>
  <c r="S409" i="11"/>
  <c r="AP408" i="11"/>
  <c r="AI408" i="11"/>
  <c r="S408" i="11"/>
  <c r="AP407" i="11"/>
  <c r="AI407" i="11"/>
  <c r="S407" i="11"/>
  <c r="U407" i="11" s="1"/>
  <c r="AP406" i="11"/>
  <c r="AI406" i="11"/>
  <c r="S406" i="11"/>
  <c r="U406" i="11" s="1"/>
  <c r="AP405" i="11"/>
  <c r="AI405" i="11"/>
  <c r="S405" i="11"/>
  <c r="U405" i="11" s="1"/>
  <c r="AK405" i="11" s="1"/>
  <c r="AP404" i="11"/>
  <c r="AI404" i="11"/>
  <c r="S404" i="11"/>
  <c r="U404" i="11" s="1"/>
  <c r="AP403" i="11"/>
  <c r="AI403" i="11"/>
  <c r="S403" i="11"/>
  <c r="U403" i="11" s="1"/>
  <c r="AP402" i="11"/>
  <c r="AI402" i="11"/>
  <c r="S402" i="11"/>
  <c r="U402" i="11" s="1"/>
  <c r="AP401" i="11"/>
  <c r="AI401" i="11"/>
  <c r="S401" i="11"/>
  <c r="AP400" i="11"/>
  <c r="AI400" i="11"/>
  <c r="S400" i="11"/>
  <c r="U400" i="11" s="1"/>
  <c r="AP399" i="11"/>
  <c r="AI399" i="11"/>
  <c r="S399" i="11"/>
  <c r="U399" i="11" s="1"/>
  <c r="AP398" i="11"/>
  <c r="AI398" i="11"/>
  <c r="S398" i="11"/>
  <c r="U398" i="11" s="1"/>
  <c r="AP397" i="11"/>
  <c r="AI397" i="11"/>
  <c r="S397" i="11"/>
  <c r="U397" i="11" s="1"/>
  <c r="AK397" i="11" s="1"/>
  <c r="AP396" i="11"/>
  <c r="AI396" i="11"/>
  <c r="S396" i="11"/>
  <c r="U396" i="11" s="1"/>
  <c r="AP395" i="11"/>
  <c r="AI395" i="11"/>
  <c r="S395" i="11"/>
  <c r="U395" i="11" s="1"/>
  <c r="AP394" i="11"/>
  <c r="AI394" i="11"/>
  <c r="S394" i="11"/>
  <c r="U394" i="11" s="1"/>
  <c r="AP393" i="11"/>
  <c r="AI393" i="11"/>
  <c r="S393" i="11"/>
  <c r="AP392" i="11"/>
  <c r="AI392" i="11"/>
  <c r="S392" i="11"/>
  <c r="U392" i="11" s="1"/>
  <c r="AP391" i="11"/>
  <c r="AI391" i="11"/>
  <c r="S391" i="11"/>
  <c r="U391" i="11" s="1"/>
  <c r="AP390" i="11"/>
  <c r="AI390" i="11"/>
  <c r="S390" i="11"/>
  <c r="U390" i="11" s="1"/>
  <c r="AP389" i="11"/>
  <c r="AI389" i="11"/>
  <c r="S389" i="11"/>
  <c r="U389" i="11" s="1"/>
  <c r="AK389" i="11" s="1"/>
  <c r="AP388" i="11"/>
  <c r="AI388" i="11"/>
  <c r="S388" i="11"/>
  <c r="U388" i="11" s="1"/>
  <c r="AP387" i="11"/>
  <c r="AI387" i="11"/>
  <c r="S387" i="11"/>
  <c r="U387" i="11" s="1"/>
  <c r="AP386" i="11"/>
  <c r="AI386" i="11"/>
  <c r="S386" i="11"/>
  <c r="U386" i="11" s="1"/>
  <c r="AP385" i="11"/>
  <c r="AI385" i="11"/>
  <c r="S385" i="11"/>
  <c r="AP384" i="11"/>
  <c r="AI384" i="11"/>
  <c r="S384" i="11"/>
  <c r="U384" i="11" s="1"/>
  <c r="AP383" i="11"/>
  <c r="AI383" i="11"/>
  <c r="S383" i="11"/>
  <c r="U383" i="11" s="1"/>
  <c r="AP382" i="11"/>
  <c r="AI382" i="11"/>
  <c r="S382" i="11"/>
  <c r="U382" i="11" s="1"/>
  <c r="AP381" i="11"/>
  <c r="AI381" i="11"/>
  <c r="S381" i="11"/>
  <c r="U381" i="11" s="1"/>
  <c r="AK381" i="11" s="1"/>
  <c r="AP380" i="11"/>
  <c r="AI380" i="11"/>
  <c r="S380" i="11"/>
  <c r="U380" i="11" s="1"/>
  <c r="AP379" i="11"/>
  <c r="AI379" i="11"/>
  <c r="S379" i="11"/>
  <c r="U379" i="11" s="1"/>
  <c r="AP378" i="11"/>
  <c r="AI378" i="11"/>
  <c r="S378" i="11"/>
  <c r="U378" i="11" s="1"/>
  <c r="AP377" i="11"/>
  <c r="AI377" i="11"/>
  <c r="S377" i="11"/>
  <c r="AP376" i="11"/>
  <c r="AI376" i="11"/>
  <c r="S376" i="11"/>
  <c r="AP375" i="11"/>
  <c r="AI375" i="11"/>
  <c r="S375" i="11"/>
  <c r="U375" i="11" s="1"/>
  <c r="AP374" i="11"/>
  <c r="AI374" i="11"/>
  <c r="S374" i="11"/>
  <c r="U374" i="11" s="1"/>
  <c r="AP373" i="11"/>
  <c r="AI373" i="11"/>
  <c r="S373" i="11"/>
  <c r="U373" i="11" s="1"/>
  <c r="AK373" i="11" s="1"/>
  <c r="AP372" i="11"/>
  <c r="AI372" i="11"/>
  <c r="S372" i="11"/>
  <c r="U372" i="11" s="1"/>
  <c r="AP371" i="11"/>
  <c r="AI371" i="11"/>
  <c r="S371" i="11"/>
  <c r="U371" i="11" s="1"/>
  <c r="AP370" i="11"/>
  <c r="AI370" i="11"/>
  <c r="S370" i="11"/>
  <c r="U370" i="11" s="1"/>
  <c r="AP369" i="11"/>
  <c r="AI369" i="11"/>
  <c r="S369" i="11"/>
  <c r="AP368" i="11"/>
  <c r="AI368" i="11"/>
  <c r="S368" i="11"/>
  <c r="U368" i="11" s="1"/>
  <c r="AP367" i="11"/>
  <c r="AI367" i="11"/>
  <c r="S367" i="11"/>
  <c r="U367" i="11" s="1"/>
  <c r="AP366" i="11"/>
  <c r="AI366" i="11"/>
  <c r="S366" i="11"/>
  <c r="U366" i="11" s="1"/>
  <c r="AP365" i="11"/>
  <c r="AI365" i="11"/>
  <c r="S365" i="11"/>
  <c r="U365" i="11" s="1"/>
  <c r="AK365" i="11" s="1"/>
  <c r="AP364" i="11"/>
  <c r="AI364" i="11"/>
  <c r="S364" i="11"/>
  <c r="U364" i="11" s="1"/>
  <c r="AP363" i="11"/>
  <c r="AI363" i="11"/>
  <c r="S363" i="11"/>
  <c r="U363" i="11" s="1"/>
  <c r="AP362" i="11"/>
  <c r="AI362" i="11"/>
  <c r="S362" i="11"/>
  <c r="U362" i="11" s="1"/>
  <c r="AP361" i="11"/>
  <c r="AI361" i="11"/>
  <c r="S361" i="11"/>
  <c r="U361" i="11" s="1"/>
  <c r="AP360" i="11"/>
  <c r="AI360" i="11"/>
  <c r="S360" i="11"/>
  <c r="U360" i="11" s="1"/>
  <c r="AP359" i="11"/>
  <c r="AI359" i="11"/>
  <c r="S359" i="11"/>
  <c r="U359" i="11" s="1"/>
  <c r="AP358" i="11"/>
  <c r="AI358" i="11"/>
  <c r="S358" i="11"/>
  <c r="U358" i="11" s="1"/>
  <c r="AP357" i="11"/>
  <c r="AI357" i="11"/>
  <c r="S357" i="11"/>
  <c r="U357" i="11" s="1"/>
  <c r="AK357" i="11" s="1"/>
  <c r="AP356" i="11"/>
  <c r="AI356" i="11"/>
  <c r="S356" i="11"/>
  <c r="U356" i="11" s="1"/>
  <c r="AP355" i="11"/>
  <c r="AI355" i="11"/>
  <c r="S355" i="11"/>
  <c r="U355" i="11" s="1"/>
  <c r="AP354" i="11"/>
  <c r="AI354" i="11"/>
  <c r="S354" i="11"/>
  <c r="U354" i="11" s="1"/>
  <c r="AP353" i="11"/>
  <c r="AI353" i="11"/>
  <c r="S353" i="11"/>
  <c r="U353" i="11" s="1"/>
  <c r="AP352" i="11"/>
  <c r="AI352" i="11"/>
  <c r="S352" i="11"/>
  <c r="U352" i="11" s="1"/>
  <c r="AP351" i="11"/>
  <c r="AI351" i="11"/>
  <c r="S351" i="11"/>
  <c r="U351" i="11" s="1"/>
  <c r="AP350" i="11"/>
  <c r="AI350" i="11"/>
  <c r="S350" i="11"/>
  <c r="U350" i="11" s="1"/>
  <c r="AP349" i="11"/>
  <c r="AI349" i="11"/>
  <c r="S349" i="11"/>
  <c r="U349" i="11" s="1"/>
  <c r="AK349" i="11" s="1"/>
  <c r="AP348" i="11"/>
  <c r="AI348" i="11"/>
  <c r="S348" i="11"/>
  <c r="U348" i="11" s="1"/>
  <c r="AP347" i="11"/>
  <c r="AI347" i="11"/>
  <c r="S347" i="11"/>
  <c r="U347" i="11" s="1"/>
  <c r="AP346" i="11"/>
  <c r="AI346" i="11"/>
  <c r="S346" i="11"/>
  <c r="U346" i="11" s="1"/>
  <c r="AP345" i="11"/>
  <c r="AI345" i="11"/>
  <c r="S345" i="11"/>
  <c r="U345" i="11" s="1"/>
  <c r="AP344" i="11"/>
  <c r="AI344" i="11"/>
  <c r="S344" i="11"/>
  <c r="U344" i="11" s="1"/>
  <c r="AP343" i="11"/>
  <c r="AI343" i="11"/>
  <c r="S343" i="11"/>
  <c r="U343" i="11" s="1"/>
  <c r="AP342" i="11"/>
  <c r="AI342" i="11"/>
  <c r="S342" i="11"/>
  <c r="U342" i="11" s="1"/>
  <c r="AP341" i="11"/>
  <c r="AI341" i="11"/>
  <c r="S341" i="11"/>
  <c r="U341" i="11" s="1"/>
  <c r="AK341" i="11" s="1"/>
  <c r="AP340" i="11"/>
  <c r="AI340" i="11"/>
  <c r="S340" i="11"/>
  <c r="U340" i="11" s="1"/>
  <c r="AP339" i="11"/>
  <c r="AI339" i="11"/>
  <c r="S339" i="11"/>
  <c r="U339" i="11" s="1"/>
  <c r="AP338" i="11"/>
  <c r="AI338" i="11"/>
  <c r="S338" i="11"/>
  <c r="U338" i="11" s="1"/>
  <c r="AP337" i="11"/>
  <c r="AI337" i="11"/>
  <c r="S337" i="11"/>
  <c r="U337" i="11" s="1"/>
  <c r="AP336" i="11"/>
  <c r="AI336" i="11"/>
  <c r="S336" i="11"/>
  <c r="U336" i="11" s="1"/>
  <c r="AP335" i="11"/>
  <c r="AI335" i="11"/>
  <c r="S335" i="11"/>
  <c r="U335" i="11" s="1"/>
  <c r="AP334" i="11"/>
  <c r="AI334" i="11"/>
  <c r="S334" i="11"/>
  <c r="U334" i="11" s="1"/>
  <c r="AP333" i="11"/>
  <c r="AI333" i="11"/>
  <c r="S333" i="11"/>
  <c r="U333" i="11" s="1"/>
  <c r="AK333" i="11" s="1"/>
  <c r="AP332" i="11"/>
  <c r="AI332" i="11"/>
  <c r="S332" i="11"/>
  <c r="U332" i="11" s="1"/>
  <c r="AP331" i="11"/>
  <c r="AI331" i="11"/>
  <c r="S331" i="11"/>
  <c r="U331" i="11" s="1"/>
  <c r="AP330" i="11"/>
  <c r="AI330" i="11"/>
  <c r="S330" i="11"/>
  <c r="U330" i="11" s="1"/>
  <c r="AP329" i="11"/>
  <c r="AI329" i="11"/>
  <c r="S329" i="11"/>
  <c r="U329" i="11" s="1"/>
  <c r="AP328" i="11"/>
  <c r="AI328" i="11"/>
  <c r="S328" i="11"/>
  <c r="U328" i="11" s="1"/>
  <c r="AP327" i="11"/>
  <c r="AI327" i="11"/>
  <c r="S327" i="11"/>
  <c r="AP326" i="11"/>
  <c r="AI326" i="11"/>
  <c r="S326" i="11"/>
  <c r="U326" i="11" s="1"/>
  <c r="AP325" i="11"/>
  <c r="AI325" i="11"/>
  <c r="S325" i="11"/>
  <c r="U325" i="11" s="1"/>
  <c r="AK325" i="11" s="1"/>
  <c r="AP324" i="11"/>
  <c r="AI324" i="11"/>
  <c r="S324" i="11"/>
  <c r="U324" i="11" s="1"/>
  <c r="AP323" i="11"/>
  <c r="AI323" i="11"/>
  <c r="S323" i="11"/>
  <c r="U323" i="11" s="1"/>
  <c r="AP322" i="11"/>
  <c r="AI322" i="11"/>
  <c r="S322" i="11"/>
  <c r="U322" i="11" s="1"/>
  <c r="AP321" i="11"/>
  <c r="AI321" i="11"/>
  <c r="S321" i="11"/>
  <c r="AP320" i="11"/>
  <c r="AI320" i="11"/>
  <c r="S320" i="11"/>
  <c r="U320" i="11" s="1"/>
  <c r="AP319" i="11"/>
  <c r="AI319" i="11"/>
  <c r="S319" i="11"/>
  <c r="U319" i="11" s="1"/>
  <c r="AP318" i="11"/>
  <c r="AI318" i="11"/>
  <c r="S318" i="11"/>
  <c r="U318" i="11" s="1"/>
  <c r="AP317" i="11"/>
  <c r="AI317" i="11"/>
  <c r="S317" i="11"/>
  <c r="U317" i="11" s="1"/>
  <c r="AK317" i="11" s="1"/>
  <c r="AP316" i="11"/>
  <c r="AI316" i="11"/>
  <c r="S316" i="11"/>
  <c r="U316" i="11" s="1"/>
  <c r="AP315" i="11"/>
  <c r="AI315" i="11"/>
  <c r="S315" i="11"/>
  <c r="AP314" i="11"/>
  <c r="AI314" i="11"/>
  <c r="S314" i="11"/>
  <c r="U314" i="11" s="1"/>
  <c r="AP313" i="11"/>
  <c r="AI313" i="11"/>
  <c r="S313" i="11"/>
  <c r="U313" i="11" s="1"/>
  <c r="AP312" i="11"/>
  <c r="AI312" i="11"/>
  <c r="S312" i="11"/>
  <c r="U312" i="11" s="1"/>
  <c r="AP311" i="11"/>
  <c r="AI311" i="11"/>
  <c r="S311" i="11"/>
  <c r="U311" i="11" s="1"/>
  <c r="AP310" i="11"/>
  <c r="AI310" i="11"/>
  <c r="S310" i="11"/>
  <c r="U310" i="11" s="1"/>
  <c r="AP309" i="11"/>
  <c r="AI309" i="11"/>
  <c r="S309" i="11"/>
  <c r="U309" i="11" s="1"/>
  <c r="AK309" i="11" s="1"/>
  <c r="AP308" i="11"/>
  <c r="AI308" i="11"/>
  <c r="S308" i="11"/>
  <c r="U308" i="11" s="1"/>
  <c r="AP307" i="11"/>
  <c r="AI307" i="11"/>
  <c r="S307" i="11"/>
  <c r="AP306" i="11"/>
  <c r="AI306" i="11"/>
  <c r="S306" i="11"/>
  <c r="U306" i="11" s="1"/>
  <c r="AP305" i="11"/>
  <c r="AI305" i="11"/>
  <c r="S305" i="11"/>
  <c r="U305" i="11" s="1"/>
  <c r="AP304" i="11"/>
  <c r="AI304" i="11"/>
  <c r="S304" i="11"/>
  <c r="U304" i="11" s="1"/>
  <c r="AP303" i="11"/>
  <c r="AI303" i="11"/>
  <c r="S303" i="11"/>
  <c r="U303" i="11" s="1"/>
  <c r="AP302" i="11"/>
  <c r="AI302" i="11"/>
  <c r="S302" i="11"/>
  <c r="U302" i="11" s="1"/>
  <c r="AP301" i="11"/>
  <c r="AI301" i="11"/>
  <c r="S301" i="11"/>
  <c r="U301" i="11" s="1"/>
  <c r="AK301" i="11" s="1"/>
  <c r="AP300" i="11"/>
  <c r="AI300" i="11"/>
  <c r="S300" i="11"/>
  <c r="U300" i="11" s="1"/>
  <c r="AP299" i="11"/>
  <c r="AI299" i="11"/>
  <c r="S299" i="11"/>
  <c r="U299" i="11" s="1"/>
  <c r="AP298" i="11"/>
  <c r="AI298" i="11"/>
  <c r="S298" i="11"/>
  <c r="U298" i="11" s="1"/>
  <c r="AP297" i="11"/>
  <c r="AI297" i="11"/>
  <c r="S297" i="11"/>
  <c r="U297" i="11" s="1"/>
  <c r="AP296" i="11"/>
  <c r="AI296" i="11"/>
  <c r="S296" i="11"/>
  <c r="U296" i="11" s="1"/>
  <c r="AP295" i="11"/>
  <c r="AI295" i="11"/>
  <c r="S295" i="11"/>
  <c r="U295" i="11" s="1"/>
  <c r="AP294" i="11"/>
  <c r="AI294" i="11"/>
  <c r="S294" i="11"/>
  <c r="U294" i="11" s="1"/>
  <c r="AP293" i="11"/>
  <c r="AI293" i="11"/>
  <c r="S293" i="11"/>
  <c r="U293" i="11" s="1"/>
  <c r="AK293" i="11" s="1"/>
  <c r="AP292" i="11"/>
  <c r="AI292" i="11"/>
  <c r="S292" i="11"/>
  <c r="U292" i="11" s="1"/>
  <c r="AP291" i="11"/>
  <c r="AI291" i="11"/>
  <c r="S291" i="11"/>
  <c r="U291" i="11" s="1"/>
  <c r="AP290" i="11"/>
  <c r="AI290" i="11"/>
  <c r="S290" i="11"/>
  <c r="U290" i="11" s="1"/>
  <c r="AP289" i="11"/>
  <c r="AI289" i="11"/>
  <c r="S289" i="11"/>
  <c r="U289" i="11" s="1"/>
  <c r="AP288" i="11"/>
  <c r="AI288" i="11"/>
  <c r="S288" i="11"/>
  <c r="U288" i="11" s="1"/>
  <c r="AP287" i="11"/>
  <c r="AI287" i="11"/>
  <c r="S287" i="11"/>
  <c r="U287" i="11" s="1"/>
  <c r="AP286" i="11"/>
  <c r="AI286" i="11"/>
  <c r="S286" i="11"/>
  <c r="U286" i="11" s="1"/>
  <c r="AP285" i="11"/>
  <c r="AI285" i="11"/>
  <c r="S285" i="11"/>
  <c r="U285" i="11" s="1"/>
  <c r="AK285" i="11" s="1"/>
  <c r="AP284" i="11"/>
  <c r="AI284" i="11"/>
  <c r="S284" i="11"/>
  <c r="U284" i="11" s="1"/>
  <c r="AP283" i="11"/>
  <c r="AI283" i="11"/>
  <c r="S283" i="11"/>
  <c r="U283" i="11" s="1"/>
  <c r="AP282" i="11"/>
  <c r="AI282" i="11"/>
  <c r="S282" i="11"/>
  <c r="U282" i="11" s="1"/>
  <c r="AP281" i="11"/>
  <c r="AI281" i="11"/>
  <c r="S281" i="11"/>
  <c r="U281" i="11" s="1"/>
  <c r="AP280" i="11"/>
  <c r="AI280" i="11"/>
  <c r="S280" i="11"/>
  <c r="U280" i="11" s="1"/>
  <c r="AP279" i="11"/>
  <c r="AI279" i="11"/>
  <c r="S279" i="11"/>
  <c r="U279" i="11" s="1"/>
  <c r="AP278" i="11"/>
  <c r="AI278" i="11"/>
  <c r="S278" i="11"/>
  <c r="U278" i="11" s="1"/>
  <c r="AP277" i="11"/>
  <c r="AI277" i="11"/>
  <c r="S277" i="11"/>
  <c r="U277" i="11" s="1"/>
  <c r="AK277" i="11" s="1"/>
  <c r="AP276" i="11"/>
  <c r="AI276" i="11"/>
  <c r="S276" i="11"/>
  <c r="U276" i="11" s="1"/>
  <c r="AP275" i="11"/>
  <c r="AI275" i="11"/>
  <c r="S275" i="11"/>
  <c r="U275" i="11" s="1"/>
  <c r="AP274" i="11"/>
  <c r="AI274" i="11"/>
  <c r="S274" i="11"/>
  <c r="U274" i="11" s="1"/>
  <c r="AP273" i="11"/>
  <c r="AI273" i="11"/>
  <c r="S273" i="11"/>
  <c r="U273" i="11" s="1"/>
  <c r="AP272" i="11"/>
  <c r="AI272" i="11"/>
  <c r="S272" i="11"/>
  <c r="U272" i="11" s="1"/>
  <c r="AP271" i="11"/>
  <c r="AI271" i="11"/>
  <c r="S271" i="11"/>
  <c r="U271" i="11" s="1"/>
  <c r="AP270" i="11"/>
  <c r="AI270" i="11"/>
  <c r="S270" i="11"/>
  <c r="U270" i="11" s="1"/>
  <c r="AP269" i="11"/>
  <c r="AI269" i="11"/>
  <c r="S269" i="11"/>
  <c r="U269" i="11" s="1"/>
  <c r="AK269" i="11" s="1"/>
  <c r="AP268" i="11"/>
  <c r="AI268" i="11"/>
  <c r="S268" i="11"/>
  <c r="U268" i="11" s="1"/>
  <c r="AP267" i="11"/>
  <c r="AI267" i="11"/>
  <c r="S267" i="11"/>
  <c r="U267" i="11" s="1"/>
  <c r="AP266" i="11"/>
  <c r="AI266" i="11"/>
  <c r="S266" i="11"/>
  <c r="AP265" i="11"/>
  <c r="AI265" i="11"/>
  <c r="S265" i="11"/>
  <c r="AP264" i="11"/>
  <c r="AI264" i="11"/>
  <c r="S264" i="11"/>
  <c r="U264" i="11" s="1"/>
  <c r="AP263" i="11"/>
  <c r="AI263" i="11"/>
  <c r="S263" i="11"/>
  <c r="U263" i="11" s="1"/>
  <c r="AP262" i="11"/>
  <c r="AI262" i="11"/>
  <c r="S262" i="11"/>
  <c r="U262" i="11" s="1"/>
  <c r="AP261" i="11"/>
  <c r="AI261" i="11"/>
  <c r="S261" i="11"/>
  <c r="U261" i="11" s="1"/>
  <c r="AK261" i="11" s="1"/>
  <c r="AP260" i="11"/>
  <c r="AI260" i="11"/>
  <c r="S260" i="11"/>
  <c r="U260" i="11" s="1"/>
  <c r="AP259" i="11"/>
  <c r="AI259" i="11"/>
  <c r="S259" i="11"/>
  <c r="U259" i="11" s="1"/>
  <c r="AP258" i="11"/>
  <c r="AI258" i="11"/>
  <c r="S258" i="11"/>
  <c r="U258" i="11" s="1"/>
  <c r="AP257" i="11"/>
  <c r="AI257" i="11"/>
  <c r="S257" i="11"/>
  <c r="U257" i="11" s="1"/>
  <c r="AP256" i="11"/>
  <c r="AI256" i="11"/>
  <c r="S256" i="11"/>
  <c r="U256" i="11" s="1"/>
  <c r="AP255" i="11"/>
  <c r="AI255" i="11"/>
  <c r="S255" i="11"/>
  <c r="U255" i="11" s="1"/>
  <c r="AP254" i="11"/>
  <c r="AI254" i="11"/>
  <c r="S254" i="11"/>
  <c r="U254" i="11" s="1"/>
  <c r="AP253" i="11"/>
  <c r="AI253" i="11"/>
  <c r="S253" i="11"/>
  <c r="U253" i="11" s="1"/>
  <c r="AK253" i="11" s="1"/>
  <c r="AP252" i="11"/>
  <c r="AI252" i="11"/>
  <c r="S252" i="11"/>
  <c r="U252" i="11" s="1"/>
  <c r="AP251" i="11"/>
  <c r="AI251" i="11"/>
  <c r="S251" i="11"/>
  <c r="U251" i="11" s="1"/>
  <c r="AP250" i="11"/>
  <c r="AI250" i="11"/>
  <c r="S250" i="11"/>
  <c r="U250" i="11" s="1"/>
  <c r="AP249" i="11"/>
  <c r="AI249" i="11"/>
  <c r="S249" i="11"/>
  <c r="U249" i="11" s="1"/>
  <c r="AP248" i="11"/>
  <c r="AI248" i="11"/>
  <c r="S248" i="11"/>
  <c r="U248" i="11" s="1"/>
  <c r="AP247" i="11"/>
  <c r="AI247" i="11"/>
  <c r="S247" i="11"/>
  <c r="U247" i="11" s="1"/>
  <c r="AP246" i="11"/>
  <c r="AI246" i="11"/>
  <c r="S246" i="11"/>
  <c r="U246" i="11" s="1"/>
  <c r="AP245" i="11"/>
  <c r="AI245" i="11"/>
  <c r="S245" i="11"/>
  <c r="U245" i="11" s="1"/>
  <c r="AK245" i="11" s="1"/>
  <c r="AP244" i="11"/>
  <c r="AI244" i="11"/>
  <c r="S244" i="11"/>
  <c r="U244" i="11" s="1"/>
  <c r="AP243" i="11"/>
  <c r="AI243" i="11"/>
  <c r="S243" i="11"/>
  <c r="U243" i="11" s="1"/>
  <c r="AP242" i="11"/>
  <c r="AI242" i="11"/>
  <c r="S242" i="11"/>
  <c r="AP241" i="11"/>
  <c r="AI241" i="11"/>
  <c r="S241" i="11"/>
  <c r="U241" i="11" s="1"/>
  <c r="AP240" i="11"/>
  <c r="AI240" i="11"/>
  <c r="S240" i="11"/>
  <c r="U240" i="11" s="1"/>
  <c r="AP239" i="11"/>
  <c r="AI239" i="11"/>
  <c r="S239" i="11"/>
  <c r="U239" i="11" s="1"/>
  <c r="AP238" i="11"/>
  <c r="AI238" i="11"/>
  <c r="S238" i="11"/>
  <c r="U238" i="11" s="1"/>
  <c r="AP237" i="11"/>
  <c r="AI237" i="11"/>
  <c r="S237" i="11"/>
  <c r="U237" i="11" s="1"/>
  <c r="AK237" i="11" s="1"/>
  <c r="AP236" i="11"/>
  <c r="AI236" i="11"/>
  <c r="S236" i="11"/>
  <c r="U236" i="11" s="1"/>
  <c r="AP235" i="11"/>
  <c r="AI235" i="11"/>
  <c r="S235" i="11"/>
  <c r="U235" i="11" s="1"/>
  <c r="AP234" i="11"/>
  <c r="AI234" i="11"/>
  <c r="S234" i="11"/>
  <c r="U234" i="11" s="1"/>
  <c r="AP233" i="11"/>
  <c r="AI233" i="11"/>
  <c r="S233" i="11"/>
  <c r="U233" i="11" s="1"/>
  <c r="AP232" i="11"/>
  <c r="AI232" i="11"/>
  <c r="S232" i="11"/>
  <c r="U232" i="11" s="1"/>
  <c r="AP231" i="11"/>
  <c r="AI231" i="11"/>
  <c r="S231" i="11"/>
  <c r="AP230" i="11"/>
  <c r="AI230" i="11"/>
  <c r="S230" i="11"/>
  <c r="U230" i="11" s="1"/>
  <c r="AP229" i="11"/>
  <c r="AI229" i="11"/>
  <c r="S229" i="11"/>
  <c r="U229" i="11" s="1"/>
  <c r="AK229" i="11" s="1"/>
  <c r="AP228" i="11"/>
  <c r="AI228" i="11"/>
  <c r="S228" i="11"/>
  <c r="U228" i="11" s="1"/>
  <c r="AP227" i="11"/>
  <c r="AI227" i="11"/>
  <c r="S227" i="11"/>
  <c r="U227" i="11" s="1"/>
  <c r="AP226" i="11"/>
  <c r="AI226" i="11"/>
  <c r="S226" i="11"/>
  <c r="U226" i="11" s="1"/>
  <c r="AP225" i="11"/>
  <c r="AI225" i="11"/>
  <c r="S225" i="11"/>
  <c r="U225" i="11" s="1"/>
  <c r="AP224" i="11"/>
  <c r="AI224" i="11"/>
  <c r="S224" i="11"/>
  <c r="U224" i="11" s="1"/>
  <c r="AP223" i="11"/>
  <c r="AI223" i="11"/>
  <c r="S223" i="11"/>
  <c r="U223" i="11" s="1"/>
  <c r="AP222" i="11"/>
  <c r="AI222" i="11"/>
  <c r="S222" i="11"/>
  <c r="U222" i="11" s="1"/>
  <c r="AP221" i="11"/>
  <c r="AI221" i="11"/>
  <c r="S221" i="11"/>
  <c r="U221" i="11" s="1"/>
  <c r="AK221" i="11" s="1"/>
  <c r="AP220" i="11"/>
  <c r="AI220" i="11"/>
  <c r="S220" i="11"/>
  <c r="U220" i="11" s="1"/>
  <c r="AP219" i="11"/>
  <c r="AI219" i="11"/>
  <c r="S219" i="11"/>
  <c r="U219" i="11" s="1"/>
  <c r="AP218" i="11"/>
  <c r="AI218" i="11"/>
  <c r="S218" i="11"/>
  <c r="U218" i="11" s="1"/>
  <c r="AP217" i="11"/>
  <c r="AI217" i="11"/>
  <c r="S217" i="11"/>
  <c r="U217" i="11" s="1"/>
  <c r="AP216" i="11"/>
  <c r="AI216" i="11"/>
  <c r="S216" i="11"/>
  <c r="U216" i="11" s="1"/>
  <c r="AP215" i="11"/>
  <c r="AI215" i="11"/>
  <c r="S215" i="11"/>
  <c r="U215" i="11" s="1"/>
  <c r="AP214" i="11"/>
  <c r="AI214" i="11"/>
  <c r="S214" i="11"/>
  <c r="U214" i="11" s="1"/>
  <c r="AP213" i="11"/>
  <c r="AI213" i="11"/>
  <c r="S213" i="11"/>
  <c r="U213" i="11" s="1"/>
  <c r="AK213" i="11" s="1"/>
  <c r="AP212" i="11"/>
  <c r="AI212" i="11"/>
  <c r="S212" i="11"/>
  <c r="U212" i="11" s="1"/>
  <c r="AP211" i="11"/>
  <c r="AI211" i="11"/>
  <c r="S211" i="11"/>
  <c r="AP210" i="11"/>
  <c r="AI210" i="11"/>
  <c r="S210" i="11"/>
  <c r="U210" i="11" s="1"/>
  <c r="AP209" i="11"/>
  <c r="AI209" i="11"/>
  <c r="S209" i="11"/>
  <c r="U209" i="11" s="1"/>
  <c r="AP208" i="11"/>
  <c r="AI208" i="11"/>
  <c r="S208" i="11"/>
  <c r="U208" i="11" s="1"/>
  <c r="AP207" i="11"/>
  <c r="AI207" i="11"/>
  <c r="S207" i="11"/>
  <c r="U207" i="11" s="1"/>
  <c r="AP206" i="11"/>
  <c r="AI206" i="11"/>
  <c r="S206" i="11"/>
  <c r="U206" i="11" s="1"/>
  <c r="AP205" i="11"/>
  <c r="AI205" i="11"/>
  <c r="S205" i="11"/>
  <c r="U205" i="11" s="1"/>
  <c r="AP204" i="11"/>
  <c r="AI204" i="11"/>
  <c r="S204" i="11"/>
  <c r="U204" i="11" s="1"/>
  <c r="AP203" i="11"/>
  <c r="AI203" i="11"/>
  <c r="S203" i="11"/>
  <c r="U203" i="11" s="1"/>
  <c r="AP202" i="11"/>
  <c r="AI202" i="11"/>
  <c r="S202" i="11"/>
  <c r="U202" i="11" s="1"/>
  <c r="AP201" i="11"/>
  <c r="AI201" i="11"/>
  <c r="S201" i="11"/>
  <c r="AP200" i="11"/>
  <c r="AI200" i="11"/>
  <c r="S200" i="11"/>
  <c r="U200" i="11" s="1"/>
  <c r="AP199" i="11"/>
  <c r="AI199" i="11"/>
  <c r="S199" i="11"/>
  <c r="U199" i="11" s="1"/>
  <c r="AP198" i="11"/>
  <c r="AI198" i="11"/>
  <c r="S198" i="11"/>
  <c r="U198" i="11" s="1"/>
  <c r="AP197" i="11"/>
  <c r="AI197" i="11"/>
  <c r="S197" i="11"/>
  <c r="U197" i="11" s="1"/>
  <c r="AP196" i="11"/>
  <c r="AI196" i="11"/>
  <c r="S196" i="11"/>
  <c r="U196" i="11" s="1"/>
  <c r="AP195" i="11"/>
  <c r="AI195" i="11"/>
  <c r="S195" i="11"/>
  <c r="U195" i="11" s="1"/>
  <c r="AP194" i="11"/>
  <c r="AI194" i="11"/>
  <c r="S194" i="11"/>
  <c r="U194" i="11" s="1"/>
  <c r="AP193" i="11"/>
  <c r="AI193" i="11"/>
  <c r="S193" i="11"/>
  <c r="U193" i="11" s="1"/>
  <c r="AP192" i="11"/>
  <c r="AI192" i="11"/>
  <c r="S192" i="11"/>
  <c r="U192" i="11" s="1"/>
  <c r="AP191" i="11"/>
  <c r="AI191" i="11"/>
  <c r="S191" i="11"/>
  <c r="U191" i="11" s="1"/>
  <c r="AP190" i="11"/>
  <c r="AI190" i="11"/>
  <c r="S190" i="11"/>
  <c r="U190" i="11" s="1"/>
  <c r="AP189" i="11"/>
  <c r="AI189" i="11"/>
  <c r="S189" i="11"/>
  <c r="U189" i="11" s="1"/>
  <c r="AP188" i="11"/>
  <c r="AI188" i="11"/>
  <c r="S188" i="11"/>
  <c r="U188" i="11" s="1"/>
  <c r="AP187" i="11"/>
  <c r="AI187" i="11"/>
  <c r="S187" i="11"/>
  <c r="AP186" i="11"/>
  <c r="AI186" i="11"/>
  <c r="S186" i="11"/>
  <c r="U186" i="11" s="1"/>
  <c r="AP185" i="11"/>
  <c r="AI185" i="11"/>
  <c r="S185" i="11"/>
  <c r="AP184" i="11"/>
  <c r="AI184" i="11"/>
  <c r="S184" i="11"/>
  <c r="U184" i="11" s="1"/>
  <c r="AP183" i="11"/>
  <c r="AI183" i="11"/>
  <c r="S183" i="11"/>
  <c r="U183" i="11" s="1"/>
  <c r="AP182" i="11"/>
  <c r="AI182" i="11"/>
  <c r="S182" i="11"/>
  <c r="U182" i="11" s="1"/>
  <c r="AP181" i="11"/>
  <c r="AI181" i="11"/>
  <c r="S181" i="11"/>
  <c r="U181" i="11" s="1"/>
  <c r="AP180" i="11"/>
  <c r="AI180" i="11"/>
  <c r="S180" i="11"/>
  <c r="U180" i="11" s="1"/>
  <c r="AP179" i="11"/>
  <c r="AI179" i="11"/>
  <c r="S179" i="11"/>
  <c r="U179" i="11" s="1"/>
  <c r="AP178" i="11"/>
  <c r="AI178" i="11"/>
  <c r="S178" i="11"/>
  <c r="U178" i="11" s="1"/>
  <c r="AP177" i="11"/>
  <c r="AI177" i="11"/>
  <c r="S177" i="11"/>
  <c r="U177" i="11" s="1"/>
  <c r="AP176" i="11"/>
  <c r="AI176" i="11"/>
  <c r="S176" i="11"/>
  <c r="U176" i="11" s="1"/>
  <c r="AP175" i="11"/>
  <c r="AI175" i="11"/>
  <c r="S175" i="11"/>
  <c r="AP174" i="11"/>
  <c r="AI174" i="11"/>
  <c r="S174" i="11"/>
  <c r="U174" i="11" s="1"/>
  <c r="AP173" i="11"/>
  <c r="AI173" i="11"/>
  <c r="S173" i="11"/>
  <c r="U173" i="11" s="1"/>
  <c r="AP172" i="11"/>
  <c r="AI172" i="11"/>
  <c r="S172" i="11"/>
  <c r="U172" i="11" s="1"/>
  <c r="AP171" i="11"/>
  <c r="AI171" i="11"/>
  <c r="S171" i="11"/>
  <c r="AP170" i="11"/>
  <c r="AI170" i="11"/>
  <c r="S170" i="11"/>
  <c r="U170" i="11" s="1"/>
  <c r="AP169" i="11"/>
  <c r="AI169" i="11"/>
  <c r="S169" i="11"/>
  <c r="U169" i="11" s="1"/>
  <c r="AP168" i="11"/>
  <c r="AI168" i="11"/>
  <c r="S168" i="11"/>
  <c r="U168" i="11" s="1"/>
  <c r="AP167" i="11"/>
  <c r="AI167" i="11"/>
  <c r="S167" i="11"/>
  <c r="U167" i="11" s="1"/>
  <c r="AP166" i="11"/>
  <c r="AI166" i="11"/>
  <c r="S166" i="11"/>
  <c r="U166" i="11" s="1"/>
  <c r="AP165" i="11"/>
  <c r="AI165" i="11"/>
  <c r="S165" i="11"/>
  <c r="U165" i="11" s="1"/>
  <c r="AP164" i="11"/>
  <c r="AI164" i="11"/>
  <c r="S164" i="11"/>
  <c r="U164" i="11" s="1"/>
  <c r="AP163" i="11"/>
  <c r="AI163" i="11"/>
  <c r="S163" i="11"/>
  <c r="U163" i="11" s="1"/>
  <c r="AP162" i="11"/>
  <c r="AI162" i="11"/>
  <c r="S162" i="11"/>
  <c r="U162" i="11" s="1"/>
  <c r="AP161" i="11"/>
  <c r="AI161" i="11"/>
  <c r="S161" i="11"/>
  <c r="AP160" i="11"/>
  <c r="AI160" i="11"/>
  <c r="S160" i="11"/>
  <c r="U160" i="11" s="1"/>
  <c r="AP159" i="11"/>
  <c r="AI159" i="11"/>
  <c r="S159" i="11"/>
  <c r="U159" i="11" s="1"/>
  <c r="AP158" i="11"/>
  <c r="AI158" i="11"/>
  <c r="S158" i="11"/>
  <c r="U158" i="11" s="1"/>
  <c r="AP157" i="11"/>
  <c r="AI157" i="11"/>
  <c r="S157" i="11"/>
  <c r="U157" i="11" s="1"/>
  <c r="AP156" i="11"/>
  <c r="AI156" i="11"/>
  <c r="S156" i="11"/>
  <c r="U156" i="11" s="1"/>
  <c r="AP155" i="11"/>
  <c r="AI155" i="11"/>
  <c r="S155" i="11"/>
  <c r="AP154" i="11"/>
  <c r="AI154" i="11"/>
  <c r="S154" i="11"/>
  <c r="U154" i="11" s="1"/>
  <c r="AP153" i="11"/>
  <c r="AI153" i="11"/>
  <c r="S153" i="11"/>
  <c r="U153" i="11" s="1"/>
  <c r="AP152" i="11"/>
  <c r="AI152" i="11"/>
  <c r="S152" i="11"/>
  <c r="U152" i="11" s="1"/>
  <c r="AP151" i="11"/>
  <c r="AI151" i="11"/>
  <c r="S151" i="11"/>
  <c r="U151" i="11" s="1"/>
  <c r="AP150" i="11"/>
  <c r="AI150" i="11"/>
  <c r="S150" i="11"/>
  <c r="U150" i="11" s="1"/>
  <c r="AP149" i="11"/>
  <c r="AI149" i="11"/>
  <c r="S149" i="11"/>
  <c r="AP148" i="11"/>
  <c r="AI148" i="11"/>
  <c r="S148" i="11"/>
  <c r="U148" i="11" s="1"/>
  <c r="AP147" i="11"/>
  <c r="AI147" i="11"/>
  <c r="S147" i="11"/>
  <c r="AP146" i="11"/>
  <c r="AI146" i="11"/>
  <c r="S146" i="11"/>
  <c r="U146" i="11" s="1"/>
  <c r="AP145" i="11"/>
  <c r="AI145" i="11"/>
  <c r="S145" i="11"/>
  <c r="U145" i="11" s="1"/>
  <c r="AP144" i="11"/>
  <c r="AI144" i="11"/>
  <c r="S144" i="11"/>
  <c r="U144" i="11" s="1"/>
  <c r="AP143" i="11"/>
  <c r="AI143" i="11"/>
  <c r="S143" i="11"/>
  <c r="AP142" i="11"/>
  <c r="AI142" i="11"/>
  <c r="S142" i="11"/>
  <c r="U142" i="11" s="1"/>
  <c r="AP141" i="11"/>
  <c r="AI141" i="11"/>
  <c r="S141" i="11"/>
  <c r="AP140" i="11"/>
  <c r="AI140" i="11"/>
  <c r="S140" i="11"/>
  <c r="U140" i="11" s="1"/>
  <c r="AP139" i="11"/>
  <c r="AI139" i="11"/>
  <c r="S139" i="11"/>
  <c r="U139" i="11" s="1"/>
  <c r="AP138" i="11"/>
  <c r="AI138" i="11"/>
  <c r="S138" i="11"/>
  <c r="U138" i="11" s="1"/>
  <c r="AP137" i="11"/>
  <c r="AI137" i="11"/>
  <c r="S137" i="11"/>
  <c r="AP136" i="11"/>
  <c r="AI136" i="11"/>
  <c r="S136" i="11"/>
  <c r="U136" i="11" s="1"/>
  <c r="AP135" i="11"/>
  <c r="AI135" i="11"/>
  <c r="S135" i="11"/>
  <c r="U135" i="11" s="1"/>
  <c r="AP134" i="11"/>
  <c r="AI134" i="11"/>
  <c r="S134" i="11"/>
  <c r="U134" i="11" s="1"/>
  <c r="AP133" i="11"/>
  <c r="AI133" i="11"/>
  <c r="S133" i="11"/>
  <c r="AP132" i="11"/>
  <c r="AI132" i="11"/>
  <c r="S132" i="11"/>
  <c r="U132" i="11" s="1"/>
  <c r="AP131" i="11"/>
  <c r="AI131" i="11"/>
  <c r="S131" i="11"/>
  <c r="U131" i="11" s="1"/>
  <c r="AP130" i="11"/>
  <c r="AI130" i="11"/>
  <c r="S130" i="11"/>
  <c r="AP129" i="11"/>
  <c r="AI129" i="11"/>
  <c r="S129" i="11"/>
  <c r="U129" i="11" s="1"/>
  <c r="AP128" i="11"/>
  <c r="AI128" i="11"/>
  <c r="S128" i="11"/>
  <c r="U128" i="11" s="1"/>
  <c r="AP127" i="11"/>
  <c r="AI127" i="11"/>
  <c r="S127" i="11"/>
  <c r="U127" i="11" s="1"/>
  <c r="AP126" i="11"/>
  <c r="AI126" i="11"/>
  <c r="S126" i="11"/>
  <c r="U126" i="11" s="1"/>
  <c r="AP125" i="11"/>
  <c r="AI125" i="11"/>
  <c r="S125" i="11"/>
  <c r="AP124" i="11"/>
  <c r="AI124" i="11"/>
  <c r="S124" i="11"/>
  <c r="U124" i="11" s="1"/>
  <c r="AP123" i="11"/>
  <c r="AI123" i="11"/>
  <c r="S123" i="11"/>
  <c r="U123" i="11" s="1"/>
  <c r="AP122" i="11"/>
  <c r="AI122" i="11"/>
  <c r="S122" i="11"/>
  <c r="U122" i="11" s="1"/>
  <c r="AP121" i="11"/>
  <c r="AI121" i="11"/>
  <c r="S121" i="11"/>
  <c r="U121" i="11" s="1"/>
  <c r="AP120" i="11"/>
  <c r="AI120" i="11"/>
  <c r="S120" i="11"/>
  <c r="U120" i="11" s="1"/>
  <c r="AP119" i="11"/>
  <c r="AI119" i="11"/>
  <c r="S119" i="11"/>
  <c r="U119" i="11" s="1"/>
  <c r="AP118" i="11"/>
  <c r="AI118" i="11"/>
  <c r="S118" i="11"/>
  <c r="U118" i="11" s="1"/>
  <c r="AP117" i="11"/>
  <c r="AI117" i="11"/>
  <c r="S117" i="11"/>
  <c r="AP116" i="11"/>
  <c r="AI116" i="11"/>
  <c r="S116" i="11"/>
  <c r="U116" i="11" s="1"/>
  <c r="AP115" i="11"/>
  <c r="AI115" i="11"/>
  <c r="S115" i="11"/>
  <c r="U115" i="11" s="1"/>
  <c r="AP114" i="11"/>
  <c r="AI114" i="11"/>
  <c r="S114" i="11"/>
  <c r="U114" i="11" s="1"/>
  <c r="AP113" i="11"/>
  <c r="AI113" i="11"/>
  <c r="S113" i="11"/>
  <c r="U113" i="11" s="1"/>
  <c r="AP112" i="11"/>
  <c r="AI112" i="11"/>
  <c r="S112" i="11"/>
  <c r="U112" i="11" s="1"/>
  <c r="AP111" i="11"/>
  <c r="AI111" i="11"/>
  <c r="S111" i="11"/>
  <c r="U111" i="11" s="1"/>
  <c r="AP110" i="11"/>
  <c r="AI110" i="11"/>
  <c r="S110" i="11"/>
  <c r="U110" i="11" s="1"/>
  <c r="AP109" i="11"/>
  <c r="AI109" i="11"/>
  <c r="S109" i="11"/>
  <c r="AP108" i="11"/>
  <c r="AI108" i="11"/>
  <c r="S108" i="11"/>
  <c r="U108" i="11" s="1"/>
  <c r="AP107" i="11"/>
  <c r="AI107" i="11"/>
  <c r="S107" i="11"/>
  <c r="U107" i="11" s="1"/>
  <c r="AP106" i="11"/>
  <c r="AI106" i="11"/>
  <c r="S106" i="11"/>
  <c r="U106" i="11" s="1"/>
  <c r="AP105" i="11"/>
  <c r="AI105" i="11"/>
  <c r="S105" i="11"/>
  <c r="AP104" i="11"/>
  <c r="AI104" i="11"/>
  <c r="S104" i="11"/>
  <c r="U104" i="11" s="1"/>
  <c r="AP103" i="11"/>
  <c r="AI103" i="11"/>
  <c r="S103" i="11"/>
  <c r="U103" i="11" s="1"/>
  <c r="AP102" i="11"/>
  <c r="AI102" i="11"/>
  <c r="S102" i="11"/>
  <c r="U102" i="11" s="1"/>
  <c r="AP101" i="11"/>
  <c r="AI101" i="11"/>
  <c r="S101" i="11"/>
  <c r="AP100" i="11"/>
  <c r="AI100" i="11"/>
  <c r="S100" i="11"/>
  <c r="U100" i="11" s="1"/>
  <c r="AP99" i="11"/>
  <c r="AI99" i="11"/>
  <c r="S99" i="11"/>
  <c r="U99" i="11" s="1"/>
  <c r="AP98" i="11"/>
  <c r="AI98" i="11"/>
  <c r="S98" i="11"/>
  <c r="U98" i="11" s="1"/>
  <c r="AP97" i="11"/>
  <c r="AI97" i="11"/>
  <c r="S97" i="11"/>
  <c r="U97" i="11" s="1"/>
  <c r="AP96" i="11"/>
  <c r="AI96" i="11"/>
  <c r="S96" i="11"/>
  <c r="U96" i="11" s="1"/>
  <c r="AP95" i="11"/>
  <c r="AI95" i="11"/>
  <c r="S95" i="11"/>
  <c r="U95" i="11" s="1"/>
  <c r="AP94" i="11"/>
  <c r="AI94" i="11"/>
  <c r="S94" i="11"/>
  <c r="U94" i="11" s="1"/>
  <c r="AP93" i="11"/>
  <c r="AI93" i="11"/>
  <c r="S93" i="11"/>
  <c r="AP92" i="11"/>
  <c r="AI92" i="11"/>
  <c r="S92" i="11"/>
  <c r="U92" i="11" s="1"/>
  <c r="AP91" i="11"/>
  <c r="AI91" i="11"/>
  <c r="S91" i="11"/>
  <c r="U91" i="11" s="1"/>
  <c r="AP90" i="11"/>
  <c r="AI90" i="11"/>
  <c r="S90" i="11"/>
  <c r="U90" i="11" s="1"/>
  <c r="AP89" i="11"/>
  <c r="AI89" i="11"/>
  <c r="S89" i="11"/>
  <c r="U89" i="11" s="1"/>
  <c r="AP88" i="11"/>
  <c r="AI88" i="11"/>
  <c r="S88" i="11"/>
  <c r="U88" i="11" s="1"/>
  <c r="AP87" i="11"/>
  <c r="AI87" i="11"/>
  <c r="S87" i="11"/>
  <c r="U87" i="11" s="1"/>
  <c r="AP86" i="11"/>
  <c r="AI86" i="11"/>
  <c r="S86" i="11"/>
  <c r="U86" i="11" s="1"/>
  <c r="AP85" i="11"/>
  <c r="AI85" i="11"/>
  <c r="S85" i="11"/>
  <c r="AP84" i="11"/>
  <c r="AI84" i="11"/>
  <c r="S84" i="11"/>
  <c r="U84" i="11" s="1"/>
  <c r="AP83" i="11"/>
  <c r="AI83" i="11"/>
  <c r="S83" i="11"/>
  <c r="U83" i="11" s="1"/>
  <c r="AP82" i="11"/>
  <c r="AI82" i="11"/>
  <c r="S82" i="11"/>
  <c r="U82" i="11" s="1"/>
  <c r="AP81" i="11"/>
  <c r="AI81" i="11"/>
  <c r="S81" i="11"/>
  <c r="U81" i="11" s="1"/>
  <c r="AP80" i="11"/>
  <c r="AI80" i="11"/>
  <c r="S80" i="11"/>
  <c r="U80" i="11" s="1"/>
  <c r="AP79" i="11"/>
  <c r="AI79" i="11"/>
  <c r="S79" i="11"/>
  <c r="U79" i="11" s="1"/>
  <c r="AP78" i="11"/>
  <c r="AI78" i="11"/>
  <c r="S78" i="11"/>
  <c r="U78" i="11" s="1"/>
  <c r="AP77" i="11"/>
  <c r="AI77" i="11"/>
  <c r="S77" i="11"/>
  <c r="AP76" i="11"/>
  <c r="AI76" i="11"/>
  <c r="S76" i="11"/>
  <c r="U76" i="11" s="1"/>
  <c r="AP75" i="11"/>
  <c r="AI75" i="11"/>
  <c r="S75" i="11"/>
  <c r="U75" i="11" s="1"/>
  <c r="AP74" i="11"/>
  <c r="AI74" i="11"/>
  <c r="S74" i="11"/>
  <c r="U74" i="11" s="1"/>
  <c r="AP73" i="11"/>
  <c r="AI73" i="11"/>
  <c r="S73" i="11"/>
  <c r="U73" i="11" s="1"/>
  <c r="AP72" i="11"/>
  <c r="AI72" i="11"/>
  <c r="S72" i="11"/>
  <c r="U72" i="11" s="1"/>
  <c r="AP71" i="11"/>
  <c r="AI71" i="11"/>
  <c r="S71" i="11"/>
  <c r="U71" i="11" s="1"/>
  <c r="AP70" i="11"/>
  <c r="AI70" i="11"/>
  <c r="S70" i="11"/>
  <c r="U70" i="11" s="1"/>
  <c r="AP69" i="11"/>
  <c r="AI69" i="11"/>
  <c r="S69" i="11"/>
  <c r="AP68" i="11"/>
  <c r="AI68" i="11"/>
  <c r="S68" i="11"/>
  <c r="U68" i="11" s="1"/>
  <c r="AP67" i="11"/>
  <c r="AI67" i="11"/>
  <c r="S67" i="11"/>
  <c r="U67" i="11" s="1"/>
  <c r="AP66" i="11"/>
  <c r="AI66" i="11"/>
  <c r="S66" i="11"/>
  <c r="U66" i="11" s="1"/>
  <c r="AP65" i="11"/>
  <c r="AI65" i="11"/>
  <c r="S65" i="11"/>
  <c r="U65" i="11" s="1"/>
  <c r="AP64" i="11"/>
  <c r="AI64" i="11"/>
  <c r="S64" i="11"/>
  <c r="U64" i="11" s="1"/>
  <c r="AP63" i="11"/>
  <c r="AI63" i="11"/>
  <c r="S63" i="11"/>
  <c r="U63" i="11" s="1"/>
  <c r="AP62" i="11"/>
  <c r="AI62" i="11"/>
  <c r="S62" i="11"/>
  <c r="U62" i="11" s="1"/>
  <c r="AP61" i="11"/>
  <c r="AI61" i="11"/>
  <c r="S61" i="11"/>
  <c r="AP60" i="11"/>
  <c r="AI60" i="11"/>
  <c r="S60" i="11"/>
  <c r="U60" i="11" s="1"/>
  <c r="AP59" i="11"/>
  <c r="AI59" i="11"/>
  <c r="S59" i="11"/>
  <c r="U59" i="11" s="1"/>
  <c r="AP58" i="11"/>
  <c r="AI58" i="11"/>
  <c r="S58" i="11"/>
  <c r="U58" i="11" s="1"/>
  <c r="AP57" i="11"/>
  <c r="AI57" i="11"/>
  <c r="S57" i="11"/>
  <c r="U57" i="11" s="1"/>
  <c r="AP56" i="11"/>
  <c r="AI56" i="11"/>
  <c r="S56" i="11"/>
  <c r="U56" i="11" s="1"/>
  <c r="AP55" i="11"/>
  <c r="AI55" i="11"/>
  <c r="S55" i="11"/>
  <c r="U55" i="11" s="1"/>
  <c r="AP54" i="11"/>
  <c r="AI54" i="11"/>
  <c r="S54" i="11"/>
  <c r="U54" i="11" s="1"/>
  <c r="AP53" i="11"/>
  <c r="AI53" i="11"/>
  <c r="S53" i="11"/>
  <c r="AP52" i="11"/>
  <c r="AI52" i="11"/>
  <c r="S52" i="11"/>
  <c r="U52" i="11" s="1"/>
  <c r="AP51" i="11"/>
  <c r="AI51" i="11"/>
  <c r="S51" i="11"/>
  <c r="AP50" i="11"/>
  <c r="AI50" i="11"/>
  <c r="S50" i="11"/>
  <c r="U50" i="11" s="1"/>
  <c r="AP49" i="11"/>
  <c r="AI49" i="11"/>
  <c r="S49" i="11"/>
  <c r="U49" i="11" s="1"/>
  <c r="AP48" i="11"/>
  <c r="AI48" i="11"/>
  <c r="S48" i="11"/>
  <c r="U48" i="11" s="1"/>
  <c r="AP47" i="11"/>
  <c r="AI47" i="11"/>
  <c r="S47" i="11"/>
  <c r="U47" i="11" s="1"/>
  <c r="AP46" i="11"/>
  <c r="AI46" i="11"/>
  <c r="S46" i="11"/>
  <c r="U46" i="11" s="1"/>
  <c r="AP45" i="11"/>
  <c r="AI45" i="11"/>
  <c r="S45" i="11"/>
  <c r="AP44" i="11"/>
  <c r="AI44" i="11"/>
  <c r="S44" i="11"/>
  <c r="U44" i="11" s="1"/>
  <c r="AP43" i="11"/>
  <c r="AI43" i="11"/>
  <c r="S43" i="11"/>
  <c r="U43" i="11" s="1"/>
  <c r="AP42" i="11"/>
  <c r="AI42" i="11"/>
  <c r="S42" i="11"/>
  <c r="U42" i="11" s="1"/>
  <c r="AP41" i="11"/>
  <c r="AI41" i="11"/>
  <c r="S41" i="11"/>
  <c r="U41" i="11" s="1"/>
  <c r="AP40" i="11"/>
  <c r="AI40" i="11"/>
  <c r="S40" i="11"/>
  <c r="U40" i="11" s="1"/>
  <c r="AP39" i="11"/>
  <c r="AI39" i="11"/>
  <c r="S39" i="11"/>
  <c r="U39" i="11" s="1"/>
  <c r="AP38" i="11"/>
  <c r="AI38" i="11"/>
  <c r="S38" i="11"/>
  <c r="U38" i="11" s="1"/>
  <c r="AP37" i="11"/>
  <c r="AI37" i="11"/>
  <c r="S37" i="11"/>
  <c r="AP36" i="11"/>
  <c r="AI36" i="11"/>
  <c r="S36" i="11"/>
  <c r="U36" i="11" s="1"/>
  <c r="AP35" i="11"/>
  <c r="AI35" i="11"/>
  <c r="S35" i="11"/>
  <c r="U35" i="11" s="1"/>
  <c r="AP34" i="11"/>
  <c r="AI34" i="11"/>
  <c r="S34" i="11"/>
  <c r="U34" i="11" s="1"/>
  <c r="AP33" i="11"/>
  <c r="AI33" i="11"/>
  <c r="S33" i="11"/>
  <c r="U33" i="11" s="1"/>
  <c r="AP32" i="11"/>
  <c r="AI32" i="11"/>
  <c r="S32" i="11"/>
  <c r="U32" i="11" s="1"/>
  <c r="AP31" i="11"/>
  <c r="AI31" i="11"/>
  <c r="S31" i="11"/>
  <c r="U31" i="11" s="1"/>
  <c r="AP30" i="11"/>
  <c r="AI30" i="11"/>
  <c r="S30" i="11"/>
  <c r="U30" i="11" s="1"/>
  <c r="AP29" i="11"/>
  <c r="AI29" i="11"/>
  <c r="S29" i="11"/>
  <c r="AP28" i="11"/>
  <c r="AI28" i="11"/>
  <c r="S28" i="11"/>
  <c r="U28" i="11" s="1"/>
  <c r="AP27" i="11"/>
  <c r="AI27" i="11"/>
  <c r="S27" i="11"/>
  <c r="U27" i="11" s="1"/>
  <c r="AP26" i="11"/>
  <c r="AI26" i="11"/>
  <c r="S26" i="11"/>
  <c r="U26" i="11" s="1"/>
  <c r="AP25" i="11"/>
  <c r="AI25" i="11"/>
  <c r="S25" i="11"/>
  <c r="U25" i="11" s="1"/>
  <c r="AP24" i="11"/>
  <c r="AI24" i="11"/>
  <c r="S24" i="11"/>
  <c r="U24" i="11" s="1"/>
  <c r="AP23" i="11"/>
  <c r="AI23" i="11"/>
  <c r="S23" i="11"/>
  <c r="U23" i="11" s="1"/>
  <c r="AP22" i="11"/>
  <c r="AI22" i="11"/>
  <c r="S22" i="11"/>
  <c r="U22" i="11" s="1"/>
  <c r="AP21" i="11"/>
  <c r="AI21" i="11"/>
  <c r="S21" i="11"/>
  <c r="AP20" i="11"/>
  <c r="AI20" i="11"/>
  <c r="S20" i="11"/>
  <c r="U20" i="11" s="1"/>
  <c r="AP19" i="11"/>
  <c r="AI19" i="11"/>
  <c r="S19" i="11"/>
  <c r="U19" i="11" s="1"/>
  <c r="AP18" i="11"/>
  <c r="AI18" i="11"/>
  <c r="S18" i="11"/>
  <c r="U18" i="11" s="1"/>
  <c r="AP17" i="11"/>
  <c r="AI17" i="11"/>
  <c r="S17" i="11"/>
  <c r="U17" i="11" s="1"/>
  <c r="AP16" i="11"/>
  <c r="AI16" i="11"/>
  <c r="S16" i="11"/>
  <c r="U16" i="11" s="1"/>
  <c r="AP15" i="11"/>
  <c r="AI15" i="11"/>
  <c r="S15" i="11"/>
  <c r="U15" i="11" s="1"/>
  <c r="AP1521" i="11"/>
  <c r="AI1521" i="11"/>
  <c r="S1521" i="11"/>
  <c r="AP1520" i="11"/>
  <c r="AI1520" i="11"/>
  <c r="S1520" i="11"/>
  <c r="AP1519" i="11"/>
  <c r="AI1519" i="11"/>
  <c r="S1519" i="11"/>
  <c r="AP1518" i="11"/>
  <c r="AI1518" i="11"/>
  <c r="S1518" i="11"/>
  <c r="AP1517" i="11"/>
  <c r="AI1517" i="11"/>
  <c r="S1517" i="11"/>
  <c r="AP1516" i="11"/>
  <c r="AI1516" i="11"/>
  <c r="S1516" i="11"/>
  <c r="AP1515" i="11"/>
  <c r="AI1515" i="11"/>
  <c r="S1515" i="11"/>
  <c r="U1515" i="11" s="1"/>
  <c r="AP1514" i="11"/>
  <c r="AI1514" i="11"/>
  <c r="S1514" i="11"/>
  <c r="U1514" i="11" s="1"/>
  <c r="AP1513" i="11"/>
  <c r="AI1513" i="11"/>
  <c r="S1513" i="11"/>
  <c r="AP1512" i="11"/>
  <c r="AI1512" i="11"/>
  <c r="S1512" i="11"/>
  <c r="AP1511" i="11"/>
  <c r="AI1511" i="11"/>
  <c r="S1511" i="11"/>
  <c r="AP1510" i="11"/>
  <c r="AI1510" i="11"/>
  <c r="S1510" i="11"/>
  <c r="AP1509" i="11"/>
  <c r="AI1509" i="11"/>
  <c r="S1509" i="11"/>
  <c r="AP1508" i="11"/>
  <c r="AI1508" i="11"/>
  <c r="S1508" i="11"/>
  <c r="AP1507" i="11"/>
  <c r="AI1507" i="11"/>
  <c r="S1507" i="11"/>
  <c r="U1507" i="11" s="1"/>
  <c r="AP1506" i="11"/>
  <c r="AI1506" i="11"/>
  <c r="S1506" i="11"/>
  <c r="U1506" i="11" s="1"/>
  <c r="AP1505" i="11"/>
  <c r="AI1505" i="11"/>
  <c r="S1505" i="11"/>
  <c r="AP1504" i="11"/>
  <c r="AI1504" i="11"/>
  <c r="S1504" i="11"/>
  <c r="AP1503" i="11"/>
  <c r="AI1503" i="11"/>
  <c r="S1503" i="11"/>
  <c r="AP1502" i="11"/>
  <c r="AI1502" i="11"/>
  <c r="S1502" i="11"/>
  <c r="AP1501" i="11"/>
  <c r="AI1501" i="11"/>
  <c r="S1501" i="11"/>
  <c r="AP1500" i="11"/>
  <c r="AI1500" i="11"/>
  <c r="S1500" i="11"/>
  <c r="U1500" i="11" s="1"/>
  <c r="AP1499" i="11"/>
  <c r="AI1499" i="11"/>
  <c r="S1499" i="11"/>
  <c r="U1499" i="11" s="1"/>
  <c r="AP1498" i="11"/>
  <c r="AI1498" i="11"/>
  <c r="S1498" i="11"/>
  <c r="U1498" i="11" s="1"/>
  <c r="AP1497" i="11"/>
  <c r="AI1497" i="11"/>
  <c r="S1497" i="11"/>
  <c r="AP1496" i="11"/>
  <c r="AI1496" i="11"/>
  <c r="S1496" i="11"/>
  <c r="AP1495" i="11"/>
  <c r="AI1495" i="11"/>
  <c r="S1495" i="11"/>
  <c r="AP1494" i="11"/>
  <c r="AI1494" i="11"/>
  <c r="S1494" i="11"/>
  <c r="AP1493" i="11"/>
  <c r="AI1493" i="11"/>
  <c r="S1493" i="11"/>
  <c r="AP1492" i="11"/>
  <c r="AI1492" i="11"/>
  <c r="S1492" i="11"/>
  <c r="U1492" i="11" s="1"/>
  <c r="AP1491" i="11"/>
  <c r="AI1491" i="11"/>
  <c r="S1491" i="11"/>
  <c r="U1491" i="11" s="1"/>
  <c r="AP1490" i="11"/>
  <c r="AI1490" i="11"/>
  <c r="S1490" i="11"/>
  <c r="U1490" i="11" s="1"/>
  <c r="AP1489" i="11"/>
  <c r="AI1489" i="11"/>
  <c r="S1489" i="11"/>
  <c r="AP1488" i="11"/>
  <c r="AI1488" i="11"/>
  <c r="S1488" i="11"/>
  <c r="AP1487" i="11"/>
  <c r="AI1487" i="11"/>
  <c r="S1487" i="11"/>
  <c r="AP1486" i="11"/>
  <c r="AI1486" i="11"/>
  <c r="S1486" i="11"/>
  <c r="AP1485" i="11"/>
  <c r="AI1485" i="11"/>
  <c r="S1485" i="11"/>
  <c r="AP1484" i="11"/>
  <c r="AI1484" i="11"/>
  <c r="S1484" i="11"/>
  <c r="U1484" i="11" s="1"/>
  <c r="AP1483" i="11"/>
  <c r="AI1483" i="11"/>
  <c r="S1483" i="11"/>
  <c r="U1483" i="11" s="1"/>
  <c r="AP1482" i="11"/>
  <c r="AI1482" i="11"/>
  <c r="S1482" i="11"/>
  <c r="U1482" i="11" s="1"/>
  <c r="AP1481" i="11"/>
  <c r="AI1481" i="11"/>
  <c r="S1481" i="11"/>
  <c r="AP1480" i="11"/>
  <c r="AI1480" i="11"/>
  <c r="S1480" i="11"/>
  <c r="AP1479" i="11"/>
  <c r="AI1479" i="11"/>
  <c r="S1479" i="11"/>
  <c r="AP1478" i="11"/>
  <c r="AI1478" i="11"/>
  <c r="S1478" i="11"/>
  <c r="AP1477" i="11"/>
  <c r="AI1477" i="11"/>
  <c r="S1477" i="11"/>
  <c r="AP1476" i="11"/>
  <c r="AI1476" i="11"/>
  <c r="S1476" i="11"/>
  <c r="U1476" i="11" s="1"/>
  <c r="AP1475" i="11"/>
  <c r="AI1475" i="11"/>
  <c r="S1475" i="11"/>
  <c r="U1475" i="11" s="1"/>
  <c r="AP1474" i="11"/>
  <c r="AI1474" i="11"/>
  <c r="S1474" i="11"/>
  <c r="U1474" i="11" s="1"/>
  <c r="AP1473" i="11"/>
  <c r="AI1473" i="11"/>
  <c r="S1473" i="11"/>
  <c r="AP1472" i="11"/>
  <c r="AI1472" i="11"/>
  <c r="S1472" i="11"/>
  <c r="AP1471" i="11"/>
  <c r="AI1471" i="11"/>
  <c r="S1471" i="11"/>
  <c r="AP1470" i="11"/>
  <c r="AI1470" i="11"/>
  <c r="S1470" i="11"/>
  <c r="AP1469" i="11"/>
  <c r="AI1469" i="11"/>
  <c r="S1469" i="11"/>
  <c r="AP1468" i="11"/>
  <c r="AI1468" i="11"/>
  <c r="S1468" i="11"/>
  <c r="U1468" i="11" s="1"/>
  <c r="AP1467" i="11"/>
  <c r="AI1467" i="11"/>
  <c r="S1467" i="11"/>
  <c r="U1467" i="11" s="1"/>
  <c r="AP1466" i="11"/>
  <c r="AI1466" i="11"/>
  <c r="S1466" i="11"/>
  <c r="AP1465" i="11"/>
  <c r="AI1465" i="11"/>
  <c r="S1465" i="11"/>
  <c r="AP1464" i="11"/>
  <c r="AI1464" i="11"/>
  <c r="S1464" i="11"/>
  <c r="AP1463" i="11"/>
  <c r="AI1463" i="11"/>
  <c r="S1463" i="11"/>
  <c r="AP1462" i="11"/>
  <c r="AI1462" i="11"/>
  <c r="S1462" i="11"/>
  <c r="AP1461" i="11"/>
  <c r="AI1461" i="11"/>
  <c r="S1461" i="11"/>
  <c r="AP1460" i="11"/>
  <c r="AI1460" i="11"/>
  <c r="S1460" i="11"/>
  <c r="U1460" i="11" s="1"/>
  <c r="AP1459" i="11"/>
  <c r="AI1459" i="11"/>
  <c r="S1459" i="11"/>
  <c r="U1459" i="11" s="1"/>
  <c r="AP1458" i="11"/>
  <c r="AI1458" i="11"/>
  <c r="S1458" i="11"/>
  <c r="U1458" i="11" s="1"/>
  <c r="AP1457" i="11"/>
  <c r="AI1457" i="11"/>
  <c r="S1457" i="11"/>
  <c r="AP1456" i="11"/>
  <c r="AI1456" i="11"/>
  <c r="S1456" i="11"/>
  <c r="AP1455" i="11"/>
  <c r="AI1455" i="11"/>
  <c r="S1455" i="11"/>
  <c r="AP1454" i="11"/>
  <c r="AI1454" i="11"/>
  <c r="S1454" i="11"/>
  <c r="AP1453" i="11"/>
  <c r="AI1453" i="11"/>
  <c r="S1453" i="11"/>
  <c r="AP1452" i="11"/>
  <c r="AI1452" i="11"/>
  <c r="S1452" i="11"/>
  <c r="U1452" i="11" s="1"/>
  <c r="AP1451" i="11"/>
  <c r="AI1451" i="11"/>
  <c r="S1451" i="11"/>
  <c r="U1451" i="11" s="1"/>
  <c r="AP1450" i="11"/>
  <c r="AI1450" i="11"/>
  <c r="S1450" i="11"/>
  <c r="U1450" i="11" s="1"/>
  <c r="AP1449" i="11"/>
  <c r="AI1449" i="11"/>
  <c r="S1449" i="11"/>
  <c r="AP1448" i="11"/>
  <c r="AI1448" i="11"/>
  <c r="S1448" i="11"/>
  <c r="AP1447" i="11"/>
  <c r="AI1447" i="11"/>
  <c r="S1447" i="11"/>
  <c r="AP1446" i="11"/>
  <c r="AI1446" i="11"/>
  <c r="S1446" i="11"/>
  <c r="AP1445" i="11"/>
  <c r="AI1445" i="11"/>
  <c r="S1445" i="11"/>
  <c r="AP1444" i="11"/>
  <c r="AI1444" i="11"/>
  <c r="S1444" i="11"/>
  <c r="U1444" i="11" s="1"/>
  <c r="AP1443" i="11"/>
  <c r="AI1443" i="11"/>
  <c r="S1443" i="11"/>
  <c r="AP1442" i="11"/>
  <c r="AI1442" i="11"/>
  <c r="S1442" i="11"/>
  <c r="U1442" i="11" s="1"/>
  <c r="AP1441" i="11"/>
  <c r="AI1441" i="11"/>
  <c r="S1441" i="11"/>
  <c r="AP1440" i="11"/>
  <c r="AI1440" i="11"/>
  <c r="S1440" i="11"/>
  <c r="AP1439" i="11"/>
  <c r="AI1439" i="11"/>
  <c r="S1439" i="11"/>
  <c r="AP1438" i="11"/>
  <c r="AI1438" i="11"/>
  <c r="S1438" i="11"/>
  <c r="AP1437" i="11"/>
  <c r="AI1437" i="11"/>
  <c r="S1437" i="11"/>
  <c r="AP1436" i="11"/>
  <c r="AI1436" i="11"/>
  <c r="S1436" i="11"/>
  <c r="U1436" i="11" s="1"/>
  <c r="AP1435" i="11"/>
  <c r="AI1435" i="11"/>
  <c r="S1435" i="11"/>
  <c r="AP1434" i="11"/>
  <c r="AI1434" i="11"/>
  <c r="S1434" i="11"/>
  <c r="U1434" i="11" s="1"/>
  <c r="AP1433" i="11"/>
  <c r="AI1433" i="11"/>
  <c r="S1433" i="11"/>
  <c r="AP1432" i="11"/>
  <c r="AI1432" i="11"/>
  <c r="S1432" i="11"/>
  <c r="AP1431" i="11"/>
  <c r="AI1431" i="11"/>
  <c r="S1431" i="11"/>
  <c r="AP1430" i="11"/>
  <c r="AI1430" i="11"/>
  <c r="S1430" i="11"/>
  <c r="AP1429" i="11"/>
  <c r="AI1429" i="11"/>
  <c r="S1429" i="11"/>
  <c r="AP1428" i="11"/>
  <c r="AI1428" i="11"/>
  <c r="S1428" i="11"/>
  <c r="U1428" i="11" s="1"/>
  <c r="AP1427" i="11"/>
  <c r="AI1427" i="11"/>
  <c r="S1427" i="11"/>
  <c r="AP1426" i="11"/>
  <c r="AI1426" i="11"/>
  <c r="S1426" i="11"/>
  <c r="U1426" i="11" s="1"/>
  <c r="AP1425" i="11"/>
  <c r="AI1425" i="11"/>
  <c r="S1425" i="11"/>
  <c r="AP1424" i="11"/>
  <c r="AI1424" i="11"/>
  <c r="S1424" i="11"/>
  <c r="AP1423" i="11"/>
  <c r="AI1423" i="11"/>
  <c r="S1423" i="11"/>
  <c r="AP1422" i="11"/>
  <c r="AI1422" i="11"/>
  <c r="S1422" i="11"/>
  <c r="AP1421" i="11"/>
  <c r="AI1421" i="11"/>
  <c r="S1421" i="11"/>
  <c r="AP1420" i="11"/>
  <c r="AI1420" i="11"/>
  <c r="S1420" i="11"/>
  <c r="U1420" i="11" s="1"/>
  <c r="AP1419" i="11"/>
  <c r="AI1419" i="11"/>
  <c r="S1419" i="11"/>
  <c r="AP1418" i="11"/>
  <c r="AI1418" i="11"/>
  <c r="S1418" i="11"/>
  <c r="AP1417" i="11"/>
  <c r="AI1417" i="11"/>
  <c r="S1417" i="11"/>
  <c r="AP1416" i="11"/>
  <c r="AI1416" i="11"/>
  <c r="S1416" i="11"/>
  <c r="AP1415" i="11"/>
  <c r="AI1415" i="11"/>
  <c r="S1415" i="11"/>
  <c r="AP1414" i="11"/>
  <c r="AI1414" i="11"/>
  <c r="S1414" i="11"/>
  <c r="AP1413" i="11"/>
  <c r="AI1413" i="11"/>
  <c r="S1413" i="11"/>
  <c r="AP1412" i="11"/>
  <c r="AI1412" i="11"/>
  <c r="S1412" i="11"/>
  <c r="U1412" i="11" s="1"/>
  <c r="AP1411" i="11"/>
  <c r="AI1411" i="11"/>
  <c r="S1411" i="11"/>
  <c r="AP1410" i="11"/>
  <c r="AI1410" i="11"/>
  <c r="S1410" i="11"/>
  <c r="U1410" i="11" s="1"/>
  <c r="AP1409" i="11"/>
  <c r="AI1409" i="11"/>
  <c r="S1409" i="11"/>
  <c r="AP1408" i="11"/>
  <c r="AI1408" i="11"/>
  <c r="S1408" i="11"/>
  <c r="AP1407" i="11"/>
  <c r="AI1407" i="11"/>
  <c r="S1407" i="11"/>
  <c r="AP1406" i="11"/>
  <c r="AI1406" i="11"/>
  <c r="S1406" i="11"/>
  <c r="AP1405" i="11"/>
  <c r="AI1405" i="11"/>
  <c r="S1405" i="11"/>
  <c r="U1405" i="11" s="1"/>
  <c r="AP1404" i="11"/>
  <c r="AI1404" i="11"/>
  <c r="S1404" i="11"/>
  <c r="U1404" i="11" s="1"/>
  <c r="AP1403" i="11"/>
  <c r="AI1403" i="11"/>
  <c r="S1403" i="11"/>
  <c r="AP1402" i="11"/>
  <c r="AI1402" i="11"/>
  <c r="S1402" i="11"/>
  <c r="U1402" i="11" s="1"/>
  <c r="AP1401" i="11"/>
  <c r="AI1401" i="11"/>
  <c r="S1401" i="11"/>
  <c r="AP1400" i="11"/>
  <c r="AI1400" i="11"/>
  <c r="S1400" i="11"/>
  <c r="AP1399" i="11"/>
  <c r="AI1399" i="11"/>
  <c r="S1399" i="11"/>
  <c r="AP1398" i="11"/>
  <c r="AI1398" i="11"/>
  <c r="S1398" i="11"/>
  <c r="AP1397" i="11"/>
  <c r="AI1397" i="11"/>
  <c r="S1397" i="11"/>
  <c r="U1397" i="11" s="1"/>
  <c r="AP1396" i="11"/>
  <c r="AI1396" i="11"/>
  <c r="S1396" i="11"/>
  <c r="U1396" i="11" s="1"/>
  <c r="AP1395" i="11"/>
  <c r="AI1395" i="11"/>
  <c r="S1395" i="11"/>
  <c r="AP1394" i="11"/>
  <c r="AI1394" i="11"/>
  <c r="S1394" i="11"/>
  <c r="U1394" i="11" s="1"/>
  <c r="AP1393" i="11"/>
  <c r="AI1393" i="11"/>
  <c r="S1393" i="11"/>
  <c r="AP1392" i="11"/>
  <c r="AI1392" i="11"/>
  <c r="S1392" i="11"/>
  <c r="AP1391" i="11"/>
  <c r="AI1391" i="11"/>
  <c r="S1391" i="11"/>
  <c r="AP1390" i="11"/>
  <c r="AI1390" i="11"/>
  <c r="S1390" i="11"/>
  <c r="AP1389" i="11"/>
  <c r="AI1389" i="11"/>
  <c r="S1389" i="11"/>
  <c r="U1389" i="11" s="1"/>
  <c r="AP1388" i="11"/>
  <c r="AI1388" i="11"/>
  <c r="S1388" i="11"/>
  <c r="U1388" i="11" s="1"/>
  <c r="AP1387" i="11"/>
  <c r="AI1387" i="11"/>
  <c r="S1387" i="11"/>
  <c r="AP1386" i="11"/>
  <c r="AI1386" i="11"/>
  <c r="S1386" i="11"/>
  <c r="U1386" i="11" s="1"/>
  <c r="AP1385" i="11"/>
  <c r="AI1385" i="11"/>
  <c r="S1385" i="11"/>
  <c r="AP1384" i="11"/>
  <c r="AI1384" i="11"/>
  <c r="S1384" i="11"/>
  <c r="AP1383" i="11"/>
  <c r="AI1383" i="11"/>
  <c r="S1383" i="11"/>
  <c r="AP1382" i="11"/>
  <c r="AI1382" i="11"/>
  <c r="S1382" i="11"/>
  <c r="AP1381" i="11"/>
  <c r="AI1381" i="11"/>
  <c r="S1381" i="11"/>
  <c r="U1381" i="11" s="1"/>
  <c r="AP1380" i="11"/>
  <c r="AI1380" i="11"/>
  <c r="S1380" i="11"/>
  <c r="U1380" i="11" s="1"/>
  <c r="AP1379" i="11"/>
  <c r="AI1379" i="11"/>
  <c r="S1379" i="11"/>
  <c r="U1379" i="11" s="1"/>
  <c r="AP1378" i="11"/>
  <c r="AI1378" i="11"/>
  <c r="S1378" i="11"/>
  <c r="U1378" i="11" s="1"/>
  <c r="AP1377" i="11"/>
  <c r="AI1377" i="11"/>
  <c r="S1377" i="11"/>
  <c r="AP1376" i="11"/>
  <c r="AI1376" i="11"/>
  <c r="S1376" i="11"/>
  <c r="AP1375" i="11"/>
  <c r="AI1375" i="11"/>
  <c r="S1375" i="11"/>
  <c r="AP1374" i="11"/>
  <c r="AI1374" i="11"/>
  <c r="S1374" i="11"/>
  <c r="AP1373" i="11"/>
  <c r="AI1373" i="11"/>
  <c r="S1373" i="11"/>
  <c r="U1373" i="11" s="1"/>
  <c r="AP1372" i="11"/>
  <c r="AI1372" i="11"/>
  <c r="S1372" i="11"/>
  <c r="U1372" i="11" s="1"/>
  <c r="AP1371" i="11"/>
  <c r="AI1371" i="11"/>
  <c r="S1371" i="11"/>
  <c r="U1371" i="11" s="1"/>
  <c r="AP1370" i="11"/>
  <c r="AI1370" i="11"/>
  <c r="S1370" i="11"/>
  <c r="U1370" i="11" s="1"/>
  <c r="AP1369" i="11"/>
  <c r="AI1369" i="11"/>
  <c r="S1369" i="11"/>
  <c r="AP1368" i="11"/>
  <c r="AI1368" i="11"/>
  <c r="S1368" i="11"/>
  <c r="AP1367" i="11"/>
  <c r="AI1367" i="11"/>
  <c r="S1367" i="11"/>
  <c r="AP1366" i="11"/>
  <c r="AI1366" i="11"/>
  <c r="S1366" i="11"/>
  <c r="AP1365" i="11"/>
  <c r="AI1365" i="11"/>
  <c r="S1365" i="11"/>
  <c r="U1365" i="11" s="1"/>
  <c r="AP1364" i="11"/>
  <c r="AI1364" i="11"/>
  <c r="S1364" i="11"/>
  <c r="U1364" i="11" s="1"/>
  <c r="AP1363" i="11"/>
  <c r="AI1363" i="11"/>
  <c r="S1363" i="11"/>
  <c r="U1363" i="11" s="1"/>
  <c r="AP1362" i="11"/>
  <c r="AI1362" i="11"/>
  <c r="S1362" i="11"/>
  <c r="U1362" i="11" s="1"/>
  <c r="AP1361" i="11"/>
  <c r="AI1361" i="11"/>
  <c r="S1361" i="11"/>
  <c r="AP1360" i="11"/>
  <c r="AI1360" i="11"/>
  <c r="S1360" i="11"/>
  <c r="AP1359" i="11"/>
  <c r="AI1359" i="11"/>
  <c r="S1359" i="11"/>
  <c r="AP1358" i="11"/>
  <c r="AI1358" i="11"/>
  <c r="S1358" i="11"/>
  <c r="AP1357" i="11"/>
  <c r="AI1357" i="11"/>
  <c r="S1357" i="11"/>
  <c r="U1357" i="11" s="1"/>
  <c r="AP1356" i="11"/>
  <c r="AI1356" i="11"/>
  <c r="S1356" i="11"/>
  <c r="U1356" i="11" s="1"/>
  <c r="AP1355" i="11"/>
  <c r="AI1355" i="11"/>
  <c r="S1355" i="11"/>
  <c r="U1355" i="11" s="1"/>
  <c r="AP1354" i="11"/>
  <c r="AI1354" i="11"/>
  <c r="S1354" i="11"/>
  <c r="U1354" i="11" s="1"/>
  <c r="AP1353" i="11"/>
  <c r="AI1353" i="11"/>
  <c r="S1353" i="11"/>
  <c r="AP1352" i="11"/>
  <c r="AI1352" i="11"/>
  <c r="S1352" i="11"/>
  <c r="AP1351" i="11"/>
  <c r="AI1351" i="11"/>
  <c r="S1351" i="11"/>
  <c r="AP1350" i="11"/>
  <c r="AI1350" i="11"/>
  <c r="S1350" i="11"/>
  <c r="AP1349" i="11"/>
  <c r="AI1349" i="11"/>
  <c r="S1349" i="11"/>
  <c r="U1349" i="11" s="1"/>
  <c r="AP1348" i="11"/>
  <c r="AI1348" i="11"/>
  <c r="S1348" i="11"/>
  <c r="U1348" i="11" s="1"/>
  <c r="AP1347" i="11"/>
  <c r="AI1347" i="11"/>
  <c r="S1347" i="11"/>
  <c r="U1347" i="11" s="1"/>
  <c r="AP1346" i="11"/>
  <c r="AI1346" i="11"/>
  <c r="S1346" i="11"/>
  <c r="U1346" i="11" s="1"/>
  <c r="AP1345" i="11"/>
  <c r="AI1345" i="11"/>
  <c r="S1345" i="11"/>
  <c r="AP1344" i="11"/>
  <c r="AI1344" i="11"/>
  <c r="S1344" i="11"/>
  <c r="AP1343" i="11"/>
  <c r="AI1343" i="11"/>
  <c r="S1343" i="11"/>
  <c r="AP1342" i="11"/>
  <c r="AI1342" i="11"/>
  <c r="S1342" i="11"/>
  <c r="AP1341" i="11"/>
  <c r="AI1341" i="11"/>
  <c r="S1341" i="11"/>
  <c r="U1341" i="11" s="1"/>
  <c r="AP1340" i="11"/>
  <c r="AI1340" i="11"/>
  <c r="S1340" i="11"/>
  <c r="U1340" i="11" s="1"/>
  <c r="AP1339" i="11"/>
  <c r="AI1339" i="11"/>
  <c r="S1339" i="11"/>
  <c r="U1339" i="11" s="1"/>
  <c r="AP1338" i="11"/>
  <c r="AI1338" i="11"/>
  <c r="S1338" i="11"/>
  <c r="U1338" i="11" s="1"/>
  <c r="AP1337" i="11"/>
  <c r="AI1337" i="11"/>
  <c r="S1337" i="11"/>
  <c r="AP1336" i="11"/>
  <c r="AI1336" i="11"/>
  <c r="S1336" i="11"/>
  <c r="AP1335" i="11"/>
  <c r="AI1335" i="11"/>
  <c r="S1335" i="11"/>
  <c r="AP1334" i="11"/>
  <c r="AI1334" i="11"/>
  <c r="S1334" i="11"/>
  <c r="AP1333" i="11"/>
  <c r="AI1333" i="11"/>
  <c r="S1333" i="11"/>
  <c r="U1333" i="11" s="1"/>
  <c r="AP1332" i="11"/>
  <c r="AI1332" i="11"/>
  <c r="S1332" i="11"/>
  <c r="U1332" i="11" s="1"/>
  <c r="AP1331" i="11"/>
  <c r="AI1331" i="11"/>
  <c r="S1331" i="11"/>
  <c r="U1331" i="11" s="1"/>
  <c r="AP1330" i="11"/>
  <c r="AI1330" i="11"/>
  <c r="S1330" i="11"/>
  <c r="U1330" i="11" s="1"/>
  <c r="AP1329" i="11"/>
  <c r="AI1329" i="11"/>
  <c r="S1329" i="11"/>
  <c r="AP1328" i="11"/>
  <c r="AI1328" i="11"/>
  <c r="S1328" i="11"/>
  <c r="AP1327" i="11"/>
  <c r="AI1327" i="11"/>
  <c r="S1327" i="11"/>
  <c r="AP1326" i="11"/>
  <c r="AI1326" i="11"/>
  <c r="S1326" i="11"/>
  <c r="AP1325" i="11"/>
  <c r="AI1325" i="11"/>
  <c r="S1325" i="11"/>
  <c r="U1325" i="11" s="1"/>
  <c r="AP1324" i="11"/>
  <c r="AI1324" i="11"/>
  <c r="S1324" i="11"/>
  <c r="U1324" i="11" s="1"/>
  <c r="AP1323" i="11"/>
  <c r="AI1323" i="11"/>
  <c r="S1323" i="11"/>
  <c r="U1323" i="11" s="1"/>
  <c r="AP1322" i="11"/>
  <c r="AI1322" i="11"/>
  <c r="S1322" i="11"/>
  <c r="U1322" i="11" s="1"/>
  <c r="AP1321" i="11"/>
  <c r="AI1321" i="11"/>
  <c r="S1321" i="11"/>
  <c r="AP1320" i="11"/>
  <c r="AI1320" i="11"/>
  <c r="S1320" i="11"/>
  <c r="AP1319" i="11"/>
  <c r="AI1319" i="11"/>
  <c r="S1319" i="11"/>
  <c r="AP1318" i="11"/>
  <c r="AI1318" i="11"/>
  <c r="S1318" i="11"/>
  <c r="AP1317" i="11"/>
  <c r="AI1317" i="11"/>
  <c r="S1317" i="11"/>
  <c r="U1317" i="11" s="1"/>
  <c r="AP1316" i="11"/>
  <c r="AI1316" i="11"/>
  <c r="S1316" i="11"/>
  <c r="U1316" i="11" s="1"/>
  <c r="AP1315" i="11"/>
  <c r="AI1315" i="11"/>
  <c r="S1315" i="11"/>
  <c r="U1315" i="11" s="1"/>
  <c r="AP1314" i="11"/>
  <c r="AI1314" i="11"/>
  <c r="S1314" i="11"/>
  <c r="U1314" i="11" s="1"/>
  <c r="AP1313" i="11"/>
  <c r="AI1313" i="11"/>
  <c r="S1313" i="11"/>
  <c r="AP1312" i="11"/>
  <c r="AI1312" i="11"/>
  <c r="S1312" i="11"/>
  <c r="AP1311" i="11"/>
  <c r="AI1311" i="11"/>
  <c r="S1311" i="11"/>
  <c r="AP1310" i="11"/>
  <c r="AI1310" i="11"/>
  <c r="S1310" i="11"/>
  <c r="AP1309" i="11"/>
  <c r="AI1309" i="11"/>
  <c r="S1309" i="11"/>
  <c r="U1309" i="11" s="1"/>
  <c r="AP1308" i="11"/>
  <c r="AI1308" i="11"/>
  <c r="S1308" i="11"/>
  <c r="U1308" i="11" s="1"/>
  <c r="AP1307" i="11"/>
  <c r="AI1307" i="11"/>
  <c r="S1307" i="11"/>
  <c r="U1307" i="11" s="1"/>
  <c r="AP1306" i="11"/>
  <c r="AI1306" i="11"/>
  <c r="S1306" i="11"/>
  <c r="U1306" i="11" s="1"/>
  <c r="AP1305" i="11"/>
  <c r="AI1305" i="11"/>
  <c r="S1305" i="11"/>
  <c r="AP1304" i="11"/>
  <c r="AI1304" i="11"/>
  <c r="S1304" i="11"/>
  <c r="AP1303" i="11"/>
  <c r="AI1303" i="11"/>
  <c r="S1303" i="11"/>
  <c r="AP1302" i="11"/>
  <c r="AI1302" i="11"/>
  <c r="S1302" i="11"/>
  <c r="AP1301" i="11"/>
  <c r="AI1301" i="11"/>
  <c r="S1301" i="11"/>
  <c r="U1301" i="11" s="1"/>
  <c r="AP1300" i="11"/>
  <c r="AI1300" i="11"/>
  <c r="S1300" i="11"/>
  <c r="U1300" i="11" s="1"/>
  <c r="AP1299" i="11"/>
  <c r="AI1299" i="11"/>
  <c r="S1299" i="11"/>
  <c r="U1299" i="11" s="1"/>
  <c r="AP1298" i="11"/>
  <c r="AI1298" i="11"/>
  <c r="S1298" i="11"/>
  <c r="U1298" i="11" s="1"/>
  <c r="AP1297" i="11"/>
  <c r="AI1297" i="11"/>
  <c r="S1297" i="11"/>
  <c r="AP1296" i="11"/>
  <c r="AI1296" i="11"/>
  <c r="S1296" i="11"/>
  <c r="AP1295" i="11"/>
  <c r="AI1295" i="11"/>
  <c r="S1295" i="11"/>
  <c r="AP1294" i="11"/>
  <c r="AI1294" i="11"/>
  <c r="S1294" i="11"/>
  <c r="AP1293" i="11"/>
  <c r="AI1293" i="11"/>
  <c r="S1293" i="11"/>
  <c r="U1293" i="11" s="1"/>
  <c r="AP1292" i="11"/>
  <c r="AI1292" i="11"/>
  <c r="S1292" i="11"/>
  <c r="U1292" i="11" s="1"/>
  <c r="AP1291" i="11"/>
  <c r="AI1291" i="11"/>
  <c r="S1291" i="11"/>
  <c r="U1291" i="11" s="1"/>
  <c r="AP1290" i="11"/>
  <c r="AI1290" i="11"/>
  <c r="S1290" i="11"/>
  <c r="U1290" i="11" s="1"/>
  <c r="AP1289" i="11"/>
  <c r="AI1289" i="11"/>
  <c r="S1289" i="11"/>
  <c r="AP1288" i="11"/>
  <c r="AI1288" i="11"/>
  <c r="S1288" i="11"/>
  <c r="AP1287" i="11"/>
  <c r="AI1287" i="11"/>
  <c r="S1287" i="11"/>
  <c r="AP1286" i="11"/>
  <c r="AI1286" i="11"/>
  <c r="S1286" i="11"/>
  <c r="AP1285" i="11"/>
  <c r="AI1285" i="11"/>
  <c r="S1285" i="11"/>
  <c r="U1285" i="11" s="1"/>
  <c r="AP1284" i="11"/>
  <c r="AI1284" i="11"/>
  <c r="S1284" i="11"/>
  <c r="U1284" i="11" s="1"/>
  <c r="AP1283" i="11"/>
  <c r="AI1283" i="11"/>
  <c r="S1283" i="11"/>
  <c r="U1283" i="11" s="1"/>
  <c r="AP1282" i="11"/>
  <c r="AI1282" i="11"/>
  <c r="S1282" i="11"/>
  <c r="U1282" i="11" s="1"/>
  <c r="AP1281" i="11"/>
  <c r="AI1281" i="11"/>
  <c r="S1281" i="11"/>
  <c r="AP1280" i="11"/>
  <c r="AI1280" i="11"/>
  <c r="S1280" i="11"/>
  <c r="AP1279" i="11"/>
  <c r="AI1279" i="11"/>
  <c r="S1279" i="11"/>
  <c r="AP1278" i="11"/>
  <c r="AI1278" i="11"/>
  <c r="S1278" i="11"/>
  <c r="AP1277" i="11"/>
  <c r="AI1277" i="11"/>
  <c r="S1277" i="11"/>
  <c r="U1277" i="11" s="1"/>
  <c r="AP1276" i="11"/>
  <c r="AI1276" i="11"/>
  <c r="S1276" i="11"/>
  <c r="U1276" i="11" s="1"/>
  <c r="AP1275" i="11"/>
  <c r="AI1275" i="11"/>
  <c r="S1275" i="11"/>
  <c r="U1275" i="11" s="1"/>
  <c r="AP1274" i="11"/>
  <c r="AI1274" i="11"/>
  <c r="S1274" i="11"/>
  <c r="U1274" i="11" s="1"/>
  <c r="AP1273" i="11"/>
  <c r="AI1273" i="11"/>
  <c r="S1273" i="11"/>
  <c r="AP1272" i="11"/>
  <c r="AI1272" i="11"/>
  <c r="S1272" i="11"/>
  <c r="AP1271" i="11"/>
  <c r="AI1271" i="11"/>
  <c r="S1271" i="11"/>
  <c r="AP1270" i="11"/>
  <c r="AI1270" i="11"/>
  <c r="S1270" i="11"/>
  <c r="AP1269" i="11"/>
  <c r="AI1269" i="11"/>
  <c r="S1269" i="11"/>
  <c r="U1269" i="11" s="1"/>
  <c r="AP1268" i="11"/>
  <c r="AI1268" i="11"/>
  <c r="S1268" i="11"/>
  <c r="U1268" i="11" s="1"/>
  <c r="AP1267" i="11"/>
  <c r="AI1267" i="11"/>
  <c r="S1267" i="11"/>
  <c r="U1267" i="11" s="1"/>
  <c r="AP1266" i="11"/>
  <c r="AI1266" i="11"/>
  <c r="S1266" i="11"/>
  <c r="U1266" i="11" s="1"/>
  <c r="AP1265" i="11"/>
  <c r="AI1265" i="11"/>
  <c r="S1265" i="11"/>
  <c r="AP1264" i="11"/>
  <c r="AI1264" i="11"/>
  <c r="S1264" i="11"/>
  <c r="AP1263" i="11"/>
  <c r="AI1263" i="11"/>
  <c r="S1263" i="11"/>
  <c r="AP1262" i="11"/>
  <c r="AI1262" i="11"/>
  <c r="S1262" i="11"/>
  <c r="AP1261" i="11"/>
  <c r="AI1261" i="11"/>
  <c r="S1261" i="11"/>
  <c r="U1261" i="11" s="1"/>
  <c r="AP1260" i="11"/>
  <c r="AI1260" i="11"/>
  <c r="S1260" i="11"/>
  <c r="U1260" i="11" s="1"/>
  <c r="AP1259" i="11"/>
  <c r="AI1259" i="11"/>
  <c r="S1259" i="11"/>
  <c r="U1259" i="11" s="1"/>
  <c r="AP1258" i="11"/>
  <c r="AI1258" i="11"/>
  <c r="S1258" i="11"/>
  <c r="U1258" i="11" s="1"/>
  <c r="AP1257" i="11"/>
  <c r="AI1257" i="11"/>
  <c r="S1257" i="11"/>
  <c r="AP1256" i="11"/>
  <c r="AI1256" i="11"/>
  <c r="S1256" i="11"/>
  <c r="U1256" i="11" s="1"/>
  <c r="AP1255" i="11"/>
  <c r="AI1255" i="11"/>
  <c r="S1255" i="11"/>
  <c r="AP1254" i="11"/>
  <c r="AI1254" i="11"/>
  <c r="S1254" i="11"/>
  <c r="AP1253" i="11"/>
  <c r="AI1253" i="11"/>
  <c r="S1253" i="11"/>
  <c r="U1253" i="11" s="1"/>
  <c r="AP1252" i="11"/>
  <c r="AI1252" i="11"/>
  <c r="S1252" i="11"/>
  <c r="U1252" i="11" s="1"/>
  <c r="AP1251" i="11"/>
  <c r="AI1251" i="11"/>
  <c r="S1251" i="11"/>
  <c r="U1251" i="11" s="1"/>
  <c r="AP1250" i="11"/>
  <c r="AI1250" i="11"/>
  <c r="S1250" i="11"/>
  <c r="U1250" i="11" s="1"/>
  <c r="AP1249" i="11"/>
  <c r="AI1249" i="11"/>
  <c r="S1249" i="11"/>
  <c r="AP1248" i="11"/>
  <c r="AI1248" i="11"/>
  <c r="S1248" i="11"/>
  <c r="U1248" i="11" s="1"/>
  <c r="AP1247" i="11"/>
  <c r="AI1247" i="11"/>
  <c r="S1247" i="11"/>
  <c r="AP1246" i="11"/>
  <c r="AI1246" i="11"/>
  <c r="S1246" i="11"/>
  <c r="AP1245" i="11"/>
  <c r="AI1245" i="11"/>
  <c r="S1245" i="11"/>
  <c r="U1245" i="11" s="1"/>
  <c r="AP1244" i="11"/>
  <c r="AI1244" i="11"/>
  <c r="S1244" i="11"/>
  <c r="U1244" i="11" s="1"/>
  <c r="AP1243" i="11"/>
  <c r="AI1243" i="11"/>
  <c r="S1243" i="11"/>
  <c r="U1243" i="11" s="1"/>
  <c r="AP1242" i="11"/>
  <c r="AI1242" i="11"/>
  <c r="S1242" i="11"/>
  <c r="U1242" i="11" s="1"/>
  <c r="AP1241" i="11"/>
  <c r="AI1241" i="11"/>
  <c r="S1241" i="11"/>
  <c r="AP1240" i="11"/>
  <c r="AI1240" i="11"/>
  <c r="S1240" i="11"/>
  <c r="U1240" i="11" s="1"/>
  <c r="AP1239" i="11"/>
  <c r="AI1239" i="11"/>
  <c r="S1239" i="11"/>
  <c r="AP1238" i="11"/>
  <c r="AI1238" i="11"/>
  <c r="S1238" i="11"/>
  <c r="AP1237" i="11"/>
  <c r="AI1237" i="11"/>
  <c r="S1237" i="11"/>
  <c r="U1237" i="11" s="1"/>
  <c r="AP1236" i="11"/>
  <c r="AI1236" i="11"/>
  <c r="S1236" i="11"/>
  <c r="U1236" i="11" s="1"/>
  <c r="AP1235" i="11"/>
  <c r="AI1235" i="11"/>
  <c r="S1235" i="11"/>
  <c r="U1235" i="11" s="1"/>
  <c r="AP1234" i="11"/>
  <c r="AI1234" i="11"/>
  <c r="S1234" i="11"/>
  <c r="U1234" i="11" s="1"/>
  <c r="AP1233" i="11"/>
  <c r="AI1233" i="11"/>
  <c r="S1233" i="11"/>
  <c r="AP1232" i="11"/>
  <c r="AI1232" i="11"/>
  <c r="S1232" i="11"/>
  <c r="U1232" i="11" s="1"/>
  <c r="AP1231" i="11"/>
  <c r="AI1231" i="11"/>
  <c r="S1231" i="11"/>
  <c r="AP1230" i="11"/>
  <c r="AI1230" i="11"/>
  <c r="S1230" i="11"/>
  <c r="AP1229" i="11"/>
  <c r="AI1229" i="11"/>
  <c r="S1229" i="11"/>
  <c r="U1229" i="11" s="1"/>
  <c r="AP1228" i="11"/>
  <c r="AI1228" i="11"/>
  <c r="S1228" i="11"/>
  <c r="U1228" i="11" s="1"/>
  <c r="AP1227" i="11"/>
  <c r="AI1227" i="11"/>
  <c r="S1227" i="11"/>
  <c r="U1227" i="11" s="1"/>
  <c r="AP1226" i="11"/>
  <c r="AI1226" i="11"/>
  <c r="S1226" i="11"/>
  <c r="U1226" i="11" s="1"/>
  <c r="AP1225" i="11"/>
  <c r="AI1225" i="11"/>
  <c r="S1225" i="11"/>
  <c r="AP1224" i="11"/>
  <c r="AI1224" i="11"/>
  <c r="S1224" i="11"/>
  <c r="U1224" i="11" s="1"/>
  <c r="AP1223" i="11"/>
  <c r="AI1223" i="11"/>
  <c r="S1223" i="11"/>
  <c r="AP1222" i="11"/>
  <c r="AI1222" i="11"/>
  <c r="S1222" i="11"/>
  <c r="AP1221" i="11"/>
  <c r="AI1221" i="11"/>
  <c r="S1221" i="11"/>
  <c r="U1221" i="11" s="1"/>
  <c r="AP1220" i="11"/>
  <c r="AI1220" i="11"/>
  <c r="S1220" i="11"/>
  <c r="U1220" i="11" s="1"/>
  <c r="AP1219" i="11"/>
  <c r="AI1219" i="11"/>
  <c r="S1219" i="11"/>
  <c r="U1219" i="11" s="1"/>
  <c r="AP1218" i="11"/>
  <c r="AI1218" i="11"/>
  <c r="S1218" i="11"/>
  <c r="U1218" i="11" s="1"/>
  <c r="AP1217" i="11"/>
  <c r="AI1217" i="11"/>
  <c r="S1217" i="11"/>
  <c r="AP1216" i="11"/>
  <c r="AI1216" i="11"/>
  <c r="S1216" i="11"/>
  <c r="U1216" i="11" s="1"/>
  <c r="AP1215" i="11"/>
  <c r="AI1215" i="11"/>
  <c r="S1215" i="11"/>
  <c r="AP1214" i="11"/>
  <c r="AI1214" i="11"/>
  <c r="S1214" i="11"/>
  <c r="AP1213" i="11"/>
  <c r="AI1213" i="11"/>
  <c r="S1213" i="11"/>
  <c r="U1213" i="11" s="1"/>
  <c r="AP1212" i="11"/>
  <c r="AI1212" i="11"/>
  <c r="S1212" i="11"/>
  <c r="U1212" i="11" s="1"/>
  <c r="AP1211" i="11"/>
  <c r="AI1211" i="11"/>
  <c r="S1211" i="11"/>
  <c r="U1211" i="11" s="1"/>
  <c r="AP1210" i="11"/>
  <c r="AI1210" i="11"/>
  <c r="S1210" i="11"/>
  <c r="U1210" i="11" s="1"/>
  <c r="AP1209" i="11"/>
  <c r="AI1209" i="11"/>
  <c r="S1209" i="11"/>
  <c r="AP1208" i="11"/>
  <c r="AI1208" i="11"/>
  <c r="S1208" i="11"/>
  <c r="U1208" i="11" s="1"/>
  <c r="AP1207" i="11"/>
  <c r="AI1207" i="11"/>
  <c r="S1207" i="11"/>
  <c r="U1207" i="11" s="1"/>
  <c r="AP1206" i="11"/>
  <c r="AI1206" i="11"/>
  <c r="S1206" i="11"/>
  <c r="AP1205" i="11"/>
  <c r="AI1205" i="11"/>
  <c r="S1205" i="11"/>
  <c r="U1205" i="11" s="1"/>
  <c r="AP1204" i="11"/>
  <c r="AI1204" i="11"/>
  <c r="S1204" i="11"/>
  <c r="U1204" i="11" s="1"/>
  <c r="AP1203" i="11"/>
  <c r="AI1203" i="11"/>
  <c r="S1203" i="11"/>
  <c r="U1203" i="11" s="1"/>
  <c r="AP1202" i="11"/>
  <c r="AI1202" i="11"/>
  <c r="S1202" i="11"/>
  <c r="U1202" i="11" s="1"/>
  <c r="AP1201" i="11"/>
  <c r="AI1201" i="11"/>
  <c r="S1201" i="11"/>
  <c r="AP1200" i="11"/>
  <c r="AI1200" i="11"/>
  <c r="S1200" i="11"/>
  <c r="U1200" i="11" s="1"/>
  <c r="AP1199" i="11"/>
  <c r="AI1199" i="11"/>
  <c r="S1199" i="11"/>
  <c r="U1199" i="11" s="1"/>
  <c r="AP1198" i="11"/>
  <c r="AI1198" i="11"/>
  <c r="S1198" i="11"/>
  <c r="AP1197" i="11"/>
  <c r="AI1197" i="11"/>
  <c r="S1197" i="11"/>
  <c r="U1197" i="11" s="1"/>
  <c r="AP1196" i="11"/>
  <c r="AI1196" i="11"/>
  <c r="S1196" i="11"/>
  <c r="U1196" i="11" s="1"/>
  <c r="AP1195" i="11"/>
  <c r="AI1195" i="11"/>
  <c r="S1195" i="11"/>
  <c r="U1195" i="11" s="1"/>
  <c r="AP1194" i="11"/>
  <c r="AI1194" i="11"/>
  <c r="S1194" i="11"/>
  <c r="U1194" i="11" s="1"/>
  <c r="AP1193" i="11"/>
  <c r="AI1193" i="11"/>
  <c r="S1193" i="11"/>
  <c r="AP1192" i="11"/>
  <c r="AI1192" i="11"/>
  <c r="S1192" i="11"/>
  <c r="U1192" i="11" s="1"/>
  <c r="AP1191" i="11"/>
  <c r="AI1191" i="11"/>
  <c r="S1191" i="11"/>
  <c r="U1191" i="11" s="1"/>
  <c r="AP1190" i="11"/>
  <c r="AI1190" i="11"/>
  <c r="S1190" i="11"/>
  <c r="U1190" i="11" s="1"/>
  <c r="AP1189" i="11"/>
  <c r="AI1189" i="11"/>
  <c r="S1189" i="11"/>
  <c r="U1189" i="11" s="1"/>
  <c r="AP1188" i="11"/>
  <c r="AI1188" i="11"/>
  <c r="S1188" i="11"/>
  <c r="U1188" i="11" s="1"/>
  <c r="AP1187" i="11"/>
  <c r="AI1187" i="11"/>
  <c r="S1187" i="11"/>
  <c r="U1187" i="11" s="1"/>
  <c r="AP1186" i="11"/>
  <c r="AI1186" i="11"/>
  <c r="S1186" i="11"/>
  <c r="U1186" i="11" s="1"/>
  <c r="AP1185" i="11"/>
  <c r="AI1185" i="11"/>
  <c r="S1185" i="11"/>
  <c r="AP1184" i="11"/>
  <c r="AI1184" i="11"/>
  <c r="S1184" i="11"/>
  <c r="U1184" i="11" s="1"/>
  <c r="AP1183" i="11"/>
  <c r="AI1183" i="11"/>
  <c r="S1183" i="11"/>
  <c r="U1183" i="11" s="1"/>
  <c r="AP1182" i="11"/>
  <c r="AI1182" i="11"/>
  <c r="S1182" i="11"/>
  <c r="U1182" i="11" s="1"/>
  <c r="AP1181" i="11"/>
  <c r="AI1181" i="11"/>
  <c r="S1181" i="11"/>
  <c r="AP1180" i="11"/>
  <c r="AI1180" i="11"/>
  <c r="S1180" i="11"/>
  <c r="U1180" i="11" s="1"/>
  <c r="AP1179" i="11"/>
  <c r="AI1179" i="11"/>
  <c r="S1179" i="11"/>
  <c r="U1179" i="11" s="1"/>
  <c r="AP1178" i="11"/>
  <c r="AI1178" i="11"/>
  <c r="S1178" i="11"/>
  <c r="U1178" i="11" s="1"/>
  <c r="AP1177" i="11"/>
  <c r="AI1177" i="11"/>
  <c r="S1177" i="11"/>
  <c r="AP1176" i="11"/>
  <c r="AI1176" i="11"/>
  <c r="S1176" i="11"/>
  <c r="U1176" i="11" s="1"/>
  <c r="AP1175" i="11"/>
  <c r="AI1175" i="11"/>
  <c r="S1175" i="11"/>
  <c r="U1175" i="11" s="1"/>
  <c r="AP1174" i="11"/>
  <c r="AI1174" i="11"/>
  <c r="S1174" i="11"/>
  <c r="U1174" i="11" s="1"/>
  <c r="AP1173" i="11"/>
  <c r="AI1173" i="11"/>
  <c r="S1173" i="11"/>
  <c r="AP1172" i="11"/>
  <c r="AI1172" i="11"/>
  <c r="S1172" i="11"/>
  <c r="U1172" i="11" s="1"/>
  <c r="AP1171" i="11"/>
  <c r="AI1171" i="11"/>
  <c r="S1171" i="11"/>
  <c r="U1171" i="11" s="1"/>
  <c r="AP1170" i="11"/>
  <c r="AI1170" i="11"/>
  <c r="S1170" i="11"/>
  <c r="U1170" i="11" s="1"/>
  <c r="AP1169" i="11"/>
  <c r="AI1169" i="11"/>
  <c r="S1169" i="11"/>
  <c r="AP1168" i="11"/>
  <c r="AI1168" i="11"/>
  <c r="S1168" i="11"/>
  <c r="U1168" i="11" s="1"/>
  <c r="AP1167" i="11"/>
  <c r="AI1167" i="11"/>
  <c r="S1167" i="11"/>
  <c r="U1167" i="11" s="1"/>
  <c r="AP1166" i="11"/>
  <c r="AI1166" i="11"/>
  <c r="S1166" i="11"/>
  <c r="U1166" i="11" s="1"/>
  <c r="AP1165" i="11"/>
  <c r="AI1165" i="11"/>
  <c r="S1165" i="11"/>
  <c r="U1165" i="11" s="1"/>
  <c r="AP1164" i="11"/>
  <c r="AI1164" i="11"/>
  <c r="S1164" i="11"/>
  <c r="U1164" i="11" s="1"/>
  <c r="AP1163" i="11"/>
  <c r="AI1163" i="11"/>
  <c r="S1163" i="11"/>
  <c r="U1163" i="11" s="1"/>
  <c r="AP1162" i="11"/>
  <c r="AI1162" i="11"/>
  <c r="S1162" i="11"/>
  <c r="U1162" i="11" s="1"/>
  <c r="AP1161" i="11"/>
  <c r="AI1161" i="11"/>
  <c r="S1161" i="11"/>
  <c r="AP1160" i="11"/>
  <c r="AI1160" i="11"/>
  <c r="S1160" i="11"/>
  <c r="U1160" i="11" s="1"/>
  <c r="AP1159" i="11"/>
  <c r="AI1159" i="11"/>
  <c r="S1159" i="11"/>
  <c r="U1159" i="11" s="1"/>
  <c r="AP1158" i="11"/>
  <c r="AI1158" i="11"/>
  <c r="S1158" i="11"/>
  <c r="U1158" i="11" s="1"/>
  <c r="AP1157" i="11"/>
  <c r="AI1157" i="11"/>
  <c r="S1157" i="11"/>
  <c r="AP1156" i="11"/>
  <c r="AI1156" i="11"/>
  <c r="S1156" i="11"/>
  <c r="U1156" i="11" s="1"/>
  <c r="AP1155" i="11"/>
  <c r="AI1155" i="11"/>
  <c r="S1155" i="11"/>
  <c r="U1155" i="11" s="1"/>
  <c r="AP1154" i="11"/>
  <c r="AI1154" i="11"/>
  <c r="S1154" i="11"/>
  <c r="U1154" i="11" s="1"/>
  <c r="AP1153" i="11"/>
  <c r="AI1153" i="11"/>
  <c r="S1153" i="11"/>
  <c r="AP1152" i="11"/>
  <c r="AI1152" i="11"/>
  <c r="S1152" i="11"/>
  <c r="U1152" i="11" s="1"/>
  <c r="AP1151" i="11"/>
  <c r="AI1151" i="11"/>
  <c r="S1151" i="11"/>
  <c r="U1151" i="11" s="1"/>
  <c r="AP1150" i="11"/>
  <c r="AI1150" i="11"/>
  <c r="S1150" i="11"/>
  <c r="U1150" i="11" s="1"/>
  <c r="AP1149" i="11"/>
  <c r="AI1149" i="11"/>
  <c r="S1149" i="11"/>
  <c r="AP1148" i="11"/>
  <c r="AI1148" i="11"/>
  <c r="S1148" i="11"/>
  <c r="U1148" i="11" s="1"/>
  <c r="AP1147" i="11"/>
  <c r="AI1147" i="11"/>
  <c r="S1147" i="11"/>
  <c r="U1147" i="11" s="1"/>
  <c r="AP1146" i="11"/>
  <c r="AI1146" i="11"/>
  <c r="S1146" i="11"/>
  <c r="U1146" i="11" s="1"/>
  <c r="AP1145" i="11"/>
  <c r="AI1145" i="11"/>
  <c r="S1145" i="11"/>
  <c r="AP1144" i="11"/>
  <c r="AI1144" i="11"/>
  <c r="S1144" i="11"/>
  <c r="U1144" i="11" s="1"/>
  <c r="AP1143" i="11"/>
  <c r="AI1143" i="11"/>
  <c r="S1143" i="11"/>
  <c r="U1143" i="11" s="1"/>
  <c r="AP1142" i="11"/>
  <c r="AI1142" i="11"/>
  <c r="S1142" i="11"/>
  <c r="U1142" i="11" s="1"/>
  <c r="AP1141" i="11"/>
  <c r="AI1141" i="11"/>
  <c r="S1141" i="11"/>
  <c r="AP1140" i="11"/>
  <c r="AI1140" i="11"/>
  <c r="S1140" i="11"/>
  <c r="U1140" i="11" s="1"/>
  <c r="AP1139" i="11"/>
  <c r="AI1139" i="11"/>
  <c r="S1139" i="11"/>
  <c r="U1139" i="11" s="1"/>
  <c r="AP1138" i="11"/>
  <c r="AI1138" i="11"/>
  <c r="S1138" i="11"/>
  <c r="U1138" i="11" s="1"/>
  <c r="AP1137" i="11"/>
  <c r="AI1137" i="11"/>
  <c r="S1137" i="11"/>
  <c r="AP1136" i="11"/>
  <c r="AI1136" i="11"/>
  <c r="S1136" i="11"/>
  <c r="U1136" i="11" s="1"/>
  <c r="AP1135" i="11"/>
  <c r="AI1135" i="11"/>
  <c r="S1135" i="11"/>
  <c r="U1135" i="11" s="1"/>
  <c r="AP1134" i="11"/>
  <c r="AI1134" i="11"/>
  <c r="S1134" i="11"/>
  <c r="U1134" i="11" s="1"/>
  <c r="AP1133" i="11"/>
  <c r="AI1133" i="11"/>
  <c r="S1133" i="11"/>
  <c r="U1133" i="11" s="1"/>
  <c r="AP1132" i="11"/>
  <c r="AI1132" i="11"/>
  <c r="S1132" i="11"/>
  <c r="U1132" i="11" s="1"/>
  <c r="AP1131" i="11"/>
  <c r="AI1131" i="11"/>
  <c r="S1131" i="11"/>
  <c r="U1131" i="11" s="1"/>
  <c r="AP1130" i="11"/>
  <c r="AI1130" i="11"/>
  <c r="S1130" i="11"/>
  <c r="U1130" i="11" s="1"/>
  <c r="AP1129" i="11"/>
  <c r="AI1129" i="11"/>
  <c r="S1129" i="11"/>
  <c r="AP1128" i="11"/>
  <c r="AI1128" i="11"/>
  <c r="S1128" i="11"/>
  <c r="U1128" i="11" s="1"/>
  <c r="AP1127" i="11"/>
  <c r="AI1127" i="11"/>
  <c r="S1127" i="11"/>
  <c r="U1127" i="11" s="1"/>
  <c r="AP1126" i="11"/>
  <c r="AI1126" i="11"/>
  <c r="S1126" i="11"/>
  <c r="U1126" i="11" s="1"/>
  <c r="AP1125" i="11"/>
  <c r="AI1125" i="11"/>
  <c r="S1125" i="11"/>
  <c r="AP1124" i="11"/>
  <c r="AI1124" i="11"/>
  <c r="S1124" i="11"/>
  <c r="U1124" i="11" s="1"/>
  <c r="AP1123" i="11"/>
  <c r="AI1123" i="11"/>
  <c r="S1123" i="11"/>
  <c r="U1123" i="11" s="1"/>
  <c r="AP1122" i="11"/>
  <c r="AI1122" i="11"/>
  <c r="S1122" i="11"/>
  <c r="U1122" i="11" s="1"/>
  <c r="AP1121" i="11"/>
  <c r="AI1121" i="11"/>
  <c r="S1121" i="11"/>
  <c r="AP1120" i="11"/>
  <c r="AI1120" i="11"/>
  <c r="S1120" i="11"/>
  <c r="U1120" i="11" s="1"/>
  <c r="AP1119" i="11"/>
  <c r="AI1119" i="11"/>
  <c r="S1119" i="11"/>
  <c r="U1119" i="11" s="1"/>
  <c r="AP1118" i="11"/>
  <c r="AI1118" i="11"/>
  <c r="S1118" i="11"/>
  <c r="U1118" i="11" s="1"/>
  <c r="AP1117" i="11"/>
  <c r="AI1117" i="11"/>
  <c r="S1117" i="11"/>
  <c r="U1117" i="11" s="1"/>
  <c r="AP1116" i="11"/>
  <c r="AI1116" i="11"/>
  <c r="S1116" i="11"/>
  <c r="U1116" i="11" s="1"/>
  <c r="AP1115" i="11"/>
  <c r="AI1115" i="11"/>
  <c r="S1115" i="11"/>
  <c r="U1115" i="11" s="1"/>
  <c r="AP1114" i="11"/>
  <c r="AI1114" i="11"/>
  <c r="S1114" i="11"/>
  <c r="U1114" i="11" s="1"/>
  <c r="AP1113" i="11"/>
  <c r="AI1113" i="11"/>
  <c r="S1113" i="11"/>
  <c r="U1113" i="11" s="1"/>
  <c r="AP1112" i="11"/>
  <c r="AI1112" i="11"/>
  <c r="S1112" i="11"/>
  <c r="U1112" i="11" s="1"/>
  <c r="AP1111" i="11"/>
  <c r="AI1111" i="11"/>
  <c r="S1111" i="11"/>
  <c r="U1111" i="11" s="1"/>
  <c r="AP1110" i="11"/>
  <c r="AI1110" i="11"/>
  <c r="S1110" i="11"/>
  <c r="U1110" i="11" s="1"/>
  <c r="AP1109" i="11"/>
  <c r="AI1109" i="11"/>
  <c r="S1109" i="11"/>
  <c r="AP1108" i="11"/>
  <c r="AI1108" i="11"/>
  <c r="S1108" i="11"/>
  <c r="U1108" i="11" s="1"/>
  <c r="AP1107" i="11"/>
  <c r="AI1107" i="11"/>
  <c r="S1107" i="11"/>
  <c r="U1107" i="11" s="1"/>
  <c r="AP1106" i="11"/>
  <c r="AI1106" i="11"/>
  <c r="S1106" i="11"/>
  <c r="U1106" i="11" s="1"/>
  <c r="AP1105" i="11"/>
  <c r="AI1105" i="11"/>
  <c r="S1105" i="11"/>
  <c r="U1105" i="11" s="1"/>
  <c r="AP1104" i="11"/>
  <c r="AI1104" i="11"/>
  <c r="S1104" i="11"/>
  <c r="U1104" i="11" s="1"/>
  <c r="AP1103" i="11"/>
  <c r="AI1103" i="11"/>
  <c r="S1103" i="11"/>
  <c r="U1103" i="11" s="1"/>
  <c r="AP1102" i="11"/>
  <c r="AI1102" i="11"/>
  <c r="S1102" i="11"/>
  <c r="U1102" i="11" s="1"/>
  <c r="AP1101" i="11"/>
  <c r="AI1101" i="11"/>
  <c r="S1101" i="11"/>
  <c r="U1101" i="11" s="1"/>
  <c r="AP1100" i="11"/>
  <c r="AI1100" i="11"/>
  <c r="S1100" i="11"/>
  <c r="U1100" i="11" s="1"/>
  <c r="AP1099" i="11"/>
  <c r="AI1099" i="11"/>
  <c r="S1099" i="11"/>
  <c r="U1099" i="11" s="1"/>
  <c r="AP1098" i="11"/>
  <c r="AI1098" i="11"/>
  <c r="S1098" i="11"/>
  <c r="U1098" i="11" s="1"/>
  <c r="AP1097" i="11"/>
  <c r="AI1097" i="11"/>
  <c r="S1097" i="11"/>
  <c r="AP1096" i="11"/>
  <c r="AI1096" i="11"/>
  <c r="S1096" i="11"/>
  <c r="U1096" i="11" s="1"/>
  <c r="AP1095" i="11"/>
  <c r="AI1095" i="11"/>
  <c r="S1095" i="11"/>
  <c r="U1095" i="11" s="1"/>
  <c r="AP1094" i="11"/>
  <c r="AI1094" i="11"/>
  <c r="S1094" i="11"/>
  <c r="U1094" i="11" s="1"/>
  <c r="AP1093" i="11"/>
  <c r="AI1093" i="11"/>
  <c r="S1093" i="11"/>
  <c r="AP1092" i="11"/>
  <c r="AI1092" i="11"/>
  <c r="S1092" i="11"/>
  <c r="U1092" i="11" s="1"/>
  <c r="AP1091" i="11"/>
  <c r="AI1091" i="11"/>
  <c r="S1091" i="11"/>
  <c r="U1091" i="11" s="1"/>
  <c r="AP1090" i="11"/>
  <c r="AI1090" i="11"/>
  <c r="S1090" i="11"/>
  <c r="U1090" i="11" s="1"/>
  <c r="AP1089" i="11"/>
  <c r="AI1089" i="11"/>
  <c r="S1089" i="11"/>
  <c r="U1089" i="11" s="1"/>
  <c r="AP1088" i="11"/>
  <c r="AI1088" i="11"/>
  <c r="S1088" i="11"/>
  <c r="U1088" i="11" s="1"/>
  <c r="AP1087" i="11"/>
  <c r="AI1087" i="11"/>
  <c r="S1087" i="11"/>
  <c r="U1087" i="11" s="1"/>
  <c r="AP1086" i="11"/>
  <c r="AI1086" i="11"/>
  <c r="S1086" i="11"/>
  <c r="U1086" i="11" s="1"/>
  <c r="AP1085" i="11"/>
  <c r="AI1085" i="11"/>
  <c r="S1085" i="11"/>
  <c r="AP1084" i="11"/>
  <c r="AI1084" i="11"/>
  <c r="S1084" i="11"/>
  <c r="U1084" i="11" s="1"/>
  <c r="AP1083" i="11"/>
  <c r="AI1083" i="11"/>
  <c r="S1083" i="11"/>
  <c r="U1083" i="11" s="1"/>
  <c r="AP1082" i="11"/>
  <c r="AI1082" i="11"/>
  <c r="S1082" i="11"/>
  <c r="U1082" i="11" s="1"/>
  <c r="AP1081" i="11"/>
  <c r="AI1081" i="11"/>
  <c r="S1081" i="11"/>
  <c r="U1081" i="11" s="1"/>
  <c r="AP1080" i="11"/>
  <c r="AI1080" i="11"/>
  <c r="S1080" i="11"/>
  <c r="U1080" i="11" s="1"/>
  <c r="AP1079" i="11"/>
  <c r="AI1079" i="11"/>
  <c r="S1079" i="11"/>
  <c r="U1079" i="11" s="1"/>
  <c r="AP1078" i="11"/>
  <c r="AI1078" i="11"/>
  <c r="S1078" i="11"/>
  <c r="U1078" i="11" s="1"/>
  <c r="AP1077" i="11"/>
  <c r="AI1077" i="11"/>
  <c r="S1077" i="11"/>
  <c r="AP1076" i="11"/>
  <c r="AI1076" i="11"/>
  <c r="S1076" i="11"/>
  <c r="U1076" i="11" s="1"/>
  <c r="AP1075" i="11"/>
  <c r="AI1075" i="11"/>
  <c r="S1075" i="11"/>
  <c r="U1075" i="11" s="1"/>
  <c r="AP1074" i="11"/>
  <c r="AI1074" i="11"/>
  <c r="S1074" i="11"/>
  <c r="U1074" i="11" s="1"/>
  <c r="AP1073" i="11"/>
  <c r="AI1073" i="11"/>
  <c r="S1073" i="11"/>
  <c r="U1073" i="11" s="1"/>
  <c r="AP1072" i="11"/>
  <c r="AI1072" i="11"/>
  <c r="S1072" i="11"/>
  <c r="U1072" i="11" s="1"/>
  <c r="AP1071" i="11"/>
  <c r="AI1071" i="11"/>
  <c r="S1071" i="11"/>
  <c r="U1071" i="11" s="1"/>
  <c r="AP1070" i="11"/>
  <c r="AI1070" i="11"/>
  <c r="S1070" i="11"/>
  <c r="U1070" i="11" s="1"/>
  <c r="AP1069" i="11"/>
  <c r="AI1069" i="11"/>
  <c r="S1069" i="11"/>
  <c r="U1069" i="11" s="1"/>
  <c r="AP1068" i="11"/>
  <c r="AI1068" i="11"/>
  <c r="S1068" i="11"/>
  <c r="U1068" i="11" s="1"/>
  <c r="AP1067" i="11"/>
  <c r="AI1067" i="11"/>
  <c r="S1067" i="11"/>
  <c r="U1067" i="11" s="1"/>
  <c r="AP1066" i="11"/>
  <c r="AI1066" i="11"/>
  <c r="S1066" i="11"/>
  <c r="AP1065" i="11"/>
  <c r="AI1065" i="11"/>
  <c r="S1065" i="11"/>
  <c r="U1065" i="11" s="1"/>
  <c r="AP1064" i="11"/>
  <c r="AI1064" i="11"/>
  <c r="S1064" i="11"/>
  <c r="U1064" i="11" s="1"/>
  <c r="AP1063" i="11"/>
  <c r="AI1063" i="11"/>
  <c r="S1063" i="11"/>
  <c r="U1063" i="11" s="1"/>
  <c r="AP1062" i="11"/>
  <c r="AI1062" i="11"/>
  <c r="S1062" i="11"/>
  <c r="AP1061" i="11"/>
  <c r="AI1061" i="11"/>
  <c r="S1061" i="11"/>
  <c r="AP1060" i="11"/>
  <c r="AI1060" i="11"/>
  <c r="S1060" i="11"/>
  <c r="U1060" i="11" s="1"/>
  <c r="AP1059" i="11"/>
  <c r="AI1059" i="11"/>
  <c r="S1059" i="11"/>
  <c r="U1059" i="11" s="1"/>
  <c r="AP1058" i="11"/>
  <c r="AI1058" i="11"/>
  <c r="S1058" i="11"/>
  <c r="U1058" i="11" s="1"/>
  <c r="AP1057" i="11"/>
  <c r="AI1057" i="11"/>
  <c r="S1057" i="11"/>
  <c r="AP1056" i="11"/>
  <c r="AI1056" i="11"/>
  <c r="S1056" i="11"/>
  <c r="U1056" i="11" s="1"/>
  <c r="AP1055" i="11"/>
  <c r="AI1055" i="11"/>
  <c r="S1055" i="11"/>
  <c r="U1055" i="11" s="1"/>
  <c r="AP1054" i="11"/>
  <c r="AI1054" i="11"/>
  <c r="S1054" i="11"/>
  <c r="AP1053" i="11"/>
  <c r="AI1053" i="11"/>
  <c r="S1053" i="11"/>
  <c r="U1053" i="11" s="1"/>
  <c r="AP1052" i="11"/>
  <c r="AI1052" i="11"/>
  <c r="S1052" i="11"/>
  <c r="U1052" i="11" s="1"/>
  <c r="AP1051" i="11"/>
  <c r="AI1051" i="11"/>
  <c r="S1051" i="11"/>
  <c r="U1051" i="11" s="1"/>
  <c r="AP1050" i="11"/>
  <c r="AI1050" i="11"/>
  <c r="S1050" i="11"/>
  <c r="AP1049" i="11"/>
  <c r="AI1049" i="11"/>
  <c r="S1049" i="11"/>
  <c r="AP1048" i="11"/>
  <c r="AI1048" i="11"/>
  <c r="S1048" i="11"/>
  <c r="U1048" i="11" s="1"/>
  <c r="AP1047" i="11"/>
  <c r="AI1047" i="11"/>
  <c r="S1047" i="11"/>
  <c r="U1047" i="11" s="1"/>
  <c r="AP1046" i="11"/>
  <c r="AI1046" i="11"/>
  <c r="S1046" i="11"/>
  <c r="AP1045" i="11"/>
  <c r="AI1045" i="11"/>
  <c r="S1045" i="11"/>
  <c r="AP1044" i="11"/>
  <c r="AI1044" i="11"/>
  <c r="S1044" i="11"/>
  <c r="U1044" i="11" s="1"/>
  <c r="AP1043" i="11"/>
  <c r="AI1043" i="11"/>
  <c r="S1043" i="11"/>
  <c r="U1043" i="11" s="1"/>
  <c r="AP1042" i="11"/>
  <c r="AI1042" i="11"/>
  <c r="S1042" i="11"/>
  <c r="U1042" i="11" s="1"/>
  <c r="AP1041" i="11"/>
  <c r="AI1041" i="11"/>
  <c r="S1041" i="11"/>
  <c r="AP1040" i="11"/>
  <c r="AI1040" i="11"/>
  <c r="S1040" i="11"/>
  <c r="U1040" i="11" s="1"/>
  <c r="AP1039" i="11"/>
  <c r="AI1039" i="11"/>
  <c r="S1039" i="11"/>
  <c r="AP1038" i="11"/>
  <c r="AI1038" i="11"/>
  <c r="S1038" i="11"/>
  <c r="U1038" i="11" s="1"/>
  <c r="AP1037" i="11"/>
  <c r="AI1037" i="11"/>
  <c r="S1037" i="11"/>
  <c r="U1037" i="11" s="1"/>
  <c r="AP1036" i="11"/>
  <c r="AI1036" i="11"/>
  <c r="S1036" i="11"/>
  <c r="U1036" i="11" s="1"/>
  <c r="AP1035" i="11"/>
  <c r="AI1035" i="11"/>
  <c r="S1035" i="11"/>
  <c r="AP1034" i="11"/>
  <c r="AI1034" i="11"/>
  <c r="S1034" i="11"/>
  <c r="AP1033" i="11"/>
  <c r="AI1033" i="11"/>
  <c r="S1033" i="11"/>
  <c r="U1033" i="11" s="1"/>
  <c r="AP1032" i="11"/>
  <c r="AI1032" i="11"/>
  <c r="S1032" i="11"/>
  <c r="U1032" i="11" s="1"/>
  <c r="AP1031" i="11"/>
  <c r="AI1031" i="11"/>
  <c r="S1031" i="11"/>
  <c r="U1031" i="11" s="1"/>
  <c r="AP1030" i="11"/>
  <c r="AI1030" i="11"/>
  <c r="S1030" i="11"/>
  <c r="AP1029" i="11"/>
  <c r="AI1029" i="11"/>
  <c r="S1029" i="11"/>
  <c r="U1029" i="11" s="1"/>
  <c r="AP1028" i="11"/>
  <c r="AI1028" i="11"/>
  <c r="S1028" i="11"/>
  <c r="U1028" i="11" s="1"/>
  <c r="AP1027" i="11"/>
  <c r="AI1027" i="11"/>
  <c r="S1027" i="11"/>
  <c r="U1027" i="11" s="1"/>
  <c r="AP1026" i="11"/>
  <c r="AI1026" i="11"/>
  <c r="S1026" i="11"/>
  <c r="AP1025" i="11"/>
  <c r="AI1025" i="11"/>
  <c r="S1025" i="11"/>
  <c r="U1025" i="11" s="1"/>
  <c r="AP1024" i="11"/>
  <c r="AI1024" i="11"/>
  <c r="S1024" i="11"/>
  <c r="U1024" i="11" s="1"/>
  <c r="AP1023" i="11"/>
  <c r="AI1023" i="11"/>
  <c r="S1023" i="11"/>
  <c r="U1023" i="11" s="1"/>
  <c r="AP1022" i="11"/>
  <c r="AI1022" i="11"/>
  <c r="S1022" i="11"/>
  <c r="U1022" i="11" s="1"/>
  <c r="AP1021" i="11"/>
  <c r="AI1021" i="11"/>
  <c r="S1021" i="11"/>
  <c r="U1021" i="11" s="1"/>
  <c r="AP1020" i="11"/>
  <c r="AI1020" i="11"/>
  <c r="S1020" i="11"/>
  <c r="U1020" i="11" s="1"/>
  <c r="AP1019" i="11"/>
  <c r="AI1019" i="11"/>
  <c r="S1019" i="11"/>
  <c r="U1019" i="11" s="1"/>
  <c r="AP1018" i="11"/>
  <c r="AI1018" i="11"/>
  <c r="S1018" i="11"/>
  <c r="AP1017" i="11"/>
  <c r="AI1017" i="11"/>
  <c r="S1017" i="11"/>
  <c r="AP1016" i="11"/>
  <c r="AI1016" i="11"/>
  <c r="S1016" i="11"/>
  <c r="U1016" i="11" s="1"/>
  <c r="AP1015" i="11"/>
  <c r="AI1015" i="11"/>
  <c r="S1015" i="11"/>
  <c r="U1015" i="11" s="1"/>
  <c r="AP1014" i="11"/>
  <c r="AI1014" i="11"/>
  <c r="S1014" i="11"/>
  <c r="U1014" i="11" s="1"/>
  <c r="AP1013" i="11"/>
  <c r="AI1013" i="11"/>
  <c r="S1013" i="11"/>
  <c r="U1013" i="11" s="1"/>
  <c r="AP1012" i="11"/>
  <c r="AI1012" i="11"/>
  <c r="S1012" i="11"/>
  <c r="AP1011" i="11"/>
  <c r="AI1011" i="11"/>
  <c r="S1011" i="11"/>
  <c r="U1011" i="11" s="1"/>
  <c r="AA1522" i="11"/>
  <c r="AB1522" i="11" s="1"/>
  <c r="AA1523" i="11"/>
  <c r="AB1523" i="11" s="1"/>
  <c r="AA1524" i="11"/>
  <c r="AB1524" i="11" s="1"/>
  <c r="AA1525" i="11"/>
  <c r="AB1525" i="11" s="1"/>
  <c r="AA1526" i="11"/>
  <c r="AB1526" i="11" s="1"/>
  <c r="AA1527" i="11"/>
  <c r="AB1527" i="11" s="1"/>
  <c r="AA1528" i="11"/>
  <c r="AB1528" i="11" s="1"/>
  <c r="AA1529" i="11"/>
  <c r="AB1529" i="11" s="1"/>
  <c r="AA1530" i="11"/>
  <c r="AB1530" i="11" s="1"/>
  <c r="AA1531" i="11"/>
  <c r="AB1531" i="11" s="1"/>
  <c r="AA1532" i="11"/>
  <c r="AB1532" i="11" s="1"/>
  <c r="AA1533" i="11"/>
  <c r="AB1533" i="11" s="1"/>
  <c r="AA1534" i="11"/>
  <c r="AB1534" i="11" s="1"/>
  <c r="AA1535" i="11"/>
  <c r="AB1535" i="11" s="1"/>
  <c r="AA1536" i="11"/>
  <c r="AB1536" i="11" s="1"/>
  <c r="AA1537" i="11"/>
  <c r="AB1537" i="11" s="1"/>
  <c r="AA1538" i="11"/>
  <c r="AB1538" i="11" s="1"/>
  <c r="AA1539" i="11"/>
  <c r="AB1539" i="11" s="1"/>
  <c r="AA1540" i="11"/>
  <c r="AB1540" i="11" s="1"/>
  <c r="AA1541" i="11"/>
  <c r="AB1541" i="11" s="1"/>
  <c r="AA1542" i="11"/>
  <c r="AB1542" i="11" s="1"/>
  <c r="AA1543" i="11"/>
  <c r="AB1543" i="11" s="1"/>
  <c r="AA1544" i="11"/>
  <c r="AB1544" i="11" s="1"/>
  <c r="AA1545" i="11"/>
  <c r="AB1545" i="11" s="1"/>
  <c r="AA1546" i="11"/>
  <c r="AB1546" i="11" s="1"/>
  <c r="AA1547" i="11"/>
  <c r="AB1547" i="11" s="1"/>
  <c r="AA1548" i="11"/>
  <c r="AB1548" i="11" s="1"/>
  <c r="AA1549" i="11"/>
  <c r="AB1549" i="11" s="1"/>
  <c r="AA1550" i="11"/>
  <c r="AB1550" i="11" s="1"/>
  <c r="AA1551" i="11"/>
  <c r="AB1551" i="11" s="1"/>
  <c r="AA1552" i="11"/>
  <c r="AB1552" i="11" s="1"/>
  <c r="AA1553" i="11"/>
  <c r="AB1553" i="11" s="1"/>
  <c r="AA1554" i="11"/>
  <c r="AB1554" i="11" s="1"/>
  <c r="AA1555" i="11"/>
  <c r="AB1555" i="11" s="1"/>
  <c r="AA1556" i="11"/>
  <c r="AB1556" i="11" s="1"/>
  <c r="AA1557" i="11"/>
  <c r="AB1557" i="11" s="1"/>
  <c r="AA1558" i="11"/>
  <c r="AB1558" i="11" s="1"/>
  <c r="AP14" i="11"/>
  <c r="AI14" i="11"/>
  <c r="S14" i="11"/>
  <c r="U14" i="11" s="1"/>
  <c r="AP13" i="11"/>
  <c r="AI13" i="11"/>
  <c r="S13" i="11"/>
  <c r="U13" i="11" s="1"/>
  <c r="AP12" i="11"/>
  <c r="AI12" i="11"/>
  <c r="S12" i="11"/>
  <c r="U12" i="11" s="1"/>
  <c r="AP11" i="11"/>
  <c r="AI11" i="11"/>
  <c r="S11" i="11"/>
  <c r="U11" i="11" s="1"/>
  <c r="AP10" i="11"/>
  <c r="AI10" i="11"/>
  <c r="S10" i="11"/>
  <c r="U10" i="11" s="1"/>
  <c r="AP9" i="11"/>
  <c r="AI9" i="11"/>
  <c r="S9" i="11"/>
  <c r="U9" i="11" s="1"/>
  <c r="AP8" i="11"/>
  <c r="AI8" i="11"/>
  <c r="S8" i="11"/>
  <c r="U8" i="11" s="1"/>
  <c r="AP7" i="11"/>
  <c r="AI7" i="11"/>
  <c r="S7" i="11"/>
  <c r="U7" i="11" s="1"/>
  <c r="AP6" i="11"/>
  <c r="AI6" i="11"/>
  <c r="S6" i="11"/>
  <c r="U6" i="11" s="1"/>
  <c r="AP5" i="11"/>
  <c r="AI5" i="11"/>
  <c r="S5" i="11"/>
  <c r="U5" i="11" s="1"/>
  <c r="AP4" i="11"/>
  <c r="AI4" i="11"/>
  <c r="S4" i="11"/>
  <c r="U4" i="11" s="1"/>
  <c r="P4" i="7"/>
  <c r="P3" i="7"/>
  <c r="AG738" i="11" l="1"/>
  <c r="AG589" i="11"/>
  <c r="AG425" i="11"/>
  <c r="AG288" i="11"/>
  <c r="AG144" i="11"/>
  <c r="AG1257" i="11"/>
  <c r="AG863" i="11"/>
  <c r="AG663" i="11"/>
  <c r="AG153" i="11"/>
  <c r="AG640" i="11"/>
  <c r="AG1319" i="11"/>
  <c r="AG421" i="11"/>
  <c r="AG424" i="11"/>
  <c r="AG1274" i="11"/>
  <c r="AG628" i="11"/>
  <c r="AG1259" i="11"/>
  <c r="AG885" i="11"/>
  <c r="AG520" i="11"/>
  <c r="AG381" i="11"/>
  <c r="AG1175" i="11"/>
  <c r="AG1348" i="11"/>
  <c r="AG744" i="11"/>
  <c r="AG445" i="11"/>
  <c r="AG166" i="11"/>
  <c r="AG737" i="11"/>
  <c r="AG826" i="11"/>
  <c r="AG59" i="11"/>
  <c r="AG762" i="11"/>
  <c r="AG616" i="11"/>
  <c r="AG172" i="11"/>
  <c r="AG338" i="11"/>
  <c r="AG137" i="11"/>
  <c r="AG245" i="11"/>
  <c r="AG844" i="11"/>
  <c r="AG606" i="11"/>
  <c r="AG858" i="11"/>
  <c r="AG766" i="11"/>
  <c r="AG22" i="11"/>
  <c r="AG444" i="11"/>
  <c r="AG1116" i="11"/>
  <c r="AG972" i="11"/>
  <c r="AG1071" i="11"/>
  <c r="AG1430" i="11"/>
  <c r="AG604" i="11"/>
  <c r="AG603" i="11"/>
  <c r="AG37" i="11"/>
  <c r="AG300" i="11"/>
  <c r="AG156" i="11"/>
  <c r="AG159" i="11"/>
  <c r="AG1082" i="11"/>
  <c r="AG447" i="11"/>
  <c r="AG1177" i="11"/>
  <c r="AG1057" i="11"/>
  <c r="AG1240" i="11"/>
  <c r="AG1030" i="11"/>
  <c r="AG886" i="11"/>
  <c r="AG430" i="11"/>
  <c r="AG165" i="11"/>
  <c r="AG163" i="11"/>
  <c r="AG1143" i="11"/>
  <c r="AG116" i="11"/>
  <c r="AG923" i="11"/>
  <c r="AG87" i="11"/>
  <c r="AG398" i="11"/>
  <c r="AG770" i="11"/>
  <c r="AG907" i="11"/>
  <c r="AG938" i="11"/>
  <c r="AG1256" i="11"/>
  <c r="AG1426" i="11"/>
  <c r="AG49" i="11"/>
  <c r="AG1521" i="11"/>
  <c r="AG1387" i="11"/>
  <c r="AG846" i="11"/>
  <c r="AG174" i="11"/>
  <c r="AG1160" i="11"/>
  <c r="AG954" i="11"/>
  <c r="AG197" i="11"/>
  <c r="AG875" i="11"/>
  <c r="AG117" i="11"/>
  <c r="AG1018" i="11"/>
  <c r="AG415" i="11"/>
  <c r="AG5" i="11"/>
  <c r="AG705" i="11"/>
  <c r="AG385" i="11"/>
  <c r="AG668" i="11"/>
  <c r="AG1414" i="11"/>
  <c r="AG971" i="11"/>
  <c r="AG1305" i="11"/>
  <c r="AG1026" i="11"/>
  <c r="AG1396" i="11"/>
  <c r="AG1338" i="11"/>
  <c r="AG1488" i="11"/>
  <c r="AG508" i="11"/>
  <c r="AG443" i="11"/>
  <c r="AG440" i="11"/>
  <c r="AG732" i="11"/>
  <c r="AG1302" i="11"/>
  <c r="AG318" i="11"/>
  <c r="AG1479" i="11"/>
  <c r="AG556" i="11"/>
  <c r="AG388" i="11"/>
  <c r="AG1006" i="11"/>
  <c r="AG325" i="11"/>
  <c r="AG518" i="11"/>
  <c r="AG817" i="11"/>
  <c r="AG378" i="11"/>
  <c r="AG290" i="11"/>
  <c r="AG29" i="11"/>
  <c r="AG1054" i="11"/>
  <c r="AG1407" i="11"/>
  <c r="AG913" i="11"/>
  <c r="AG827" i="11"/>
  <c r="AG541" i="11"/>
  <c r="AG1083" i="11"/>
  <c r="AG62" i="11"/>
  <c r="AG274" i="11"/>
  <c r="AG963" i="11"/>
  <c r="AG1095" i="11"/>
  <c r="AG906" i="11"/>
  <c r="AG17" i="11"/>
  <c r="AG1462" i="11"/>
  <c r="AG347" i="11"/>
  <c r="AG1063" i="11"/>
  <c r="AG1055" i="11"/>
  <c r="AG853" i="11"/>
  <c r="AG952" i="11"/>
  <c r="AG509" i="11"/>
  <c r="AG1296" i="11"/>
  <c r="AG403" i="11"/>
  <c r="AG222" i="11"/>
  <c r="AG417" i="11"/>
  <c r="AG237" i="11"/>
  <c r="AG1318" i="11"/>
  <c r="AG251" i="11"/>
  <c r="AG824" i="11"/>
  <c r="AG526" i="11"/>
  <c r="AG678" i="11"/>
  <c r="AG524" i="11"/>
  <c r="AG228" i="11"/>
  <c r="AG84" i="11"/>
  <c r="AG88" i="11"/>
  <c r="AG110" i="11"/>
  <c r="AG649" i="11"/>
  <c r="AG1136" i="11"/>
  <c r="AG504" i="11"/>
  <c r="AG345" i="11"/>
  <c r="AG1114" i="11"/>
  <c r="AG455" i="11"/>
  <c r="AG488" i="11"/>
  <c r="AG28" i="11"/>
  <c r="AG1401" i="11"/>
  <c r="AG27" i="11"/>
  <c r="AG626" i="11"/>
  <c r="AG1099" i="11"/>
  <c r="AG1241" i="11"/>
  <c r="AG73" i="11"/>
  <c r="AG773" i="11"/>
  <c r="AG40" i="11"/>
  <c r="AG175" i="11"/>
  <c r="AG686" i="11"/>
  <c r="AG961" i="11"/>
  <c r="AG1153" i="11"/>
  <c r="AG1312" i="11"/>
  <c r="AG1024" i="11"/>
  <c r="AG587" i="11"/>
  <c r="AG423" i="11"/>
  <c r="AG792" i="11"/>
  <c r="AG648" i="11"/>
  <c r="AG490" i="11"/>
  <c r="AG1102" i="11"/>
  <c r="AG814" i="11"/>
  <c r="AG515" i="11"/>
  <c r="AG343" i="11"/>
  <c r="AG263" i="11"/>
  <c r="AG41" i="11"/>
  <c r="AG894" i="11"/>
  <c r="AG1227" i="11"/>
  <c r="AG470" i="11"/>
  <c r="AG794" i="11"/>
  <c r="AG1081" i="11"/>
  <c r="AG701" i="11"/>
  <c r="AG866" i="11"/>
  <c r="AG1298" i="11"/>
  <c r="AG797" i="11"/>
  <c r="AG1213" i="11"/>
  <c r="AG1391" i="11"/>
  <c r="AG478" i="11"/>
  <c r="AG145" i="11"/>
  <c r="AG746" i="11"/>
  <c r="AG223" i="11"/>
  <c r="AG977" i="11"/>
  <c r="AG780" i="11"/>
  <c r="AG90" i="11"/>
  <c r="AG802" i="11"/>
  <c r="AG502" i="11"/>
  <c r="AG329" i="11"/>
  <c r="AG127" i="11"/>
  <c r="AG709" i="11"/>
  <c r="AG1146" i="11"/>
  <c r="AG1002" i="11"/>
  <c r="AG337" i="11"/>
  <c r="AG903" i="11"/>
  <c r="AG1067" i="11"/>
  <c r="AG297" i="11"/>
  <c r="AG271" i="11"/>
  <c r="AG749" i="11"/>
  <c r="AG1288" i="11"/>
  <c r="AG394" i="11"/>
  <c r="AG1078" i="11"/>
  <c r="AG315" i="11"/>
  <c r="AG1275" i="11"/>
  <c r="AG728" i="11"/>
  <c r="AG233" i="11"/>
  <c r="AG871" i="11"/>
  <c r="AG14" i="11"/>
  <c r="AG1336" i="11"/>
  <c r="AG1438" i="11"/>
  <c r="AG1121" i="11"/>
  <c r="AG904" i="11"/>
  <c r="AG299" i="11"/>
  <c r="AG85" i="11"/>
  <c r="AG267" i="11"/>
  <c r="AG399" i="11"/>
  <c r="AG1498" i="11"/>
  <c r="AG859" i="11"/>
  <c r="AG1349" i="11"/>
  <c r="AG296" i="11"/>
  <c r="AG1226" i="11"/>
  <c r="AG1239" i="11"/>
  <c r="AG1031" i="11"/>
  <c r="AG124" i="11"/>
  <c r="AG1191" i="11"/>
  <c r="AG1193" i="11"/>
  <c r="AG293" i="11"/>
  <c r="AG463" i="11"/>
  <c r="AG861" i="11"/>
  <c r="AG1273" i="11"/>
  <c r="AG1215" i="11"/>
  <c r="AG1025" i="11"/>
  <c r="AG1264" i="11"/>
  <c r="AG976" i="11"/>
  <c r="AG832" i="11"/>
  <c r="AG688" i="11"/>
  <c r="AG535" i="11"/>
  <c r="AG1450" i="11"/>
  <c r="AG1320" i="11"/>
  <c r="AG1032" i="11"/>
  <c r="AG888" i="11"/>
  <c r="AG255" i="11"/>
  <c r="AG1342" i="11"/>
  <c r="AG1198" i="11"/>
  <c r="AG620" i="11"/>
  <c r="AG283" i="11"/>
  <c r="AG250" i="11"/>
  <c r="AG552" i="11"/>
  <c r="AG703" i="11"/>
  <c r="AG199" i="11"/>
  <c r="AG550" i="11"/>
  <c r="AG382" i="11"/>
  <c r="AG284" i="11"/>
  <c r="AG140" i="11"/>
  <c r="AG1035" i="11"/>
  <c r="AG1178" i="11"/>
  <c r="AG967" i="11"/>
  <c r="AG566" i="11"/>
  <c r="AG519" i="11"/>
  <c r="AG815" i="11"/>
  <c r="AG953" i="11"/>
  <c r="AG1350" i="11"/>
  <c r="AG208" i="11"/>
  <c r="AG1176" i="11"/>
  <c r="AG429" i="11"/>
  <c r="AG702" i="11"/>
  <c r="AG1474" i="11"/>
  <c r="AG108" i="11"/>
  <c r="AG1337" i="11"/>
  <c r="AG1016" i="11"/>
  <c r="AG112" i="11"/>
  <c r="AG1485" i="11"/>
  <c r="AG278" i="11"/>
  <c r="AG1139" i="11"/>
  <c r="AG258" i="11"/>
  <c r="AG989" i="11"/>
  <c r="AG1365" i="11"/>
  <c r="AG851" i="11"/>
  <c r="AG1418" i="11"/>
  <c r="AG1395" i="11"/>
  <c r="AG365" i="11"/>
  <c r="AG596" i="11"/>
  <c r="AG755" i="11"/>
  <c r="AG910" i="11"/>
  <c r="AG593" i="11"/>
  <c r="AG704" i="11"/>
  <c r="AG384" i="11"/>
  <c r="AG1475" i="11"/>
  <c r="AG252" i="11"/>
  <c r="AG1232" i="11"/>
  <c r="AG1108" i="11"/>
  <c r="AG964" i="11"/>
  <c r="AG676" i="11"/>
  <c r="AG351" i="11"/>
  <c r="AG238" i="11"/>
  <c r="AG1330" i="11"/>
  <c r="AG1042" i="11"/>
  <c r="AG898" i="11"/>
  <c r="AG754" i="11"/>
  <c r="AG45" i="11"/>
  <c r="AG414" i="11"/>
  <c r="AG370" i="11"/>
  <c r="AG185" i="11"/>
  <c r="AG691" i="11"/>
  <c r="AG184" i="11"/>
  <c r="AG834" i="11"/>
  <c r="AG690" i="11"/>
  <c r="AG537" i="11"/>
  <c r="AG367" i="11"/>
  <c r="AG240" i="11"/>
  <c r="AG96" i="11"/>
  <c r="AG100" i="11"/>
  <c r="AG266" i="11"/>
  <c r="AG1351" i="11"/>
  <c r="AG757" i="11"/>
  <c r="AG1370" i="11"/>
  <c r="AG1516" i="11"/>
  <c r="AG689" i="11"/>
  <c r="AG1004" i="11"/>
  <c r="AG1378" i="11"/>
  <c r="AG1062" i="11"/>
  <c r="AG1286" i="11"/>
  <c r="AG1079" i="11"/>
  <c r="AG113" i="11"/>
  <c r="AG1490" i="11"/>
  <c r="AG1105" i="11"/>
  <c r="AG939" i="11"/>
  <c r="AG999" i="11"/>
  <c r="AG1282" i="11"/>
  <c r="AG706" i="11"/>
  <c r="AG485" i="11"/>
  <c r="AG1307" i="11"/>
  <c r="AG1303" i="11"/>
  <c r="AG1076" i="11"/>
  <c r="AG1402" i="11"/>
  <c r="AG1424" i="11"/>
  <c r="AG477" i="11"/>
  <c r="AG1449" i="11"/>
  <c r="AG1161" i="11"/>
  <c r="AG896" i="11"/>
  <c r="AG1463" i="11"/>
  <c r="AG674" i="11"/>
  <c r="AG1048" i="11"/>
  <c r="AG359" i="11"/>
  <c r="AG1270" i="11"/>
  <c r="AG774" i="11"/>
  <c r="AG1290" i="11"/>
  <c r="AG819" i="11"/>
  <c r="AG902" i="11"/>
  <c r="AG1125" i="11"/>
  <c r="AG1360" i="11"/>
  <c r="AG1427" i="11"/>
  <c r="AG291" i="11"/>
  <c r="AG1460" i="11"/>
  <c r="AG597" i="11"/>
  <c r="AG1389" i="11"/>
  <c r="AG93" i="11"/>
  <c r="AG1088" i="11"/>
  <c r="AG707" i="11"/>
  <c r="AG921" i="11"/>
  <c r="AG783" i="11"/>
  <c r="AG721" i="11"/>
  <c r="AG1514" i="11"/>
  <c r="AG1515" i="11"/>
  <c r="AG1236" i="11"/>
  <c r="AG657" i="11"/>
  <c r="AG1065" i="11"/>
  <c r="AG482" i="11"/>
  <c r="AG194" i="11"/>
  <c r="AG585" i="11"/>
  <c r="AG1142" i="11"/>
  <c r="AG139" i="11"/>
  <c r="AG1496" i="11"/>
  <c r="AG1510" i="11"/>
  <c r="AG1287" i="11"/>
  <c r="AG1051" i="11"/>
  <c r="AG31" i="11"/>
  <c r="AG588" i="11"/>
  <c r="AG1047" i="11"/>
  <c r="AG699" i="11"/>
  <c r="AG1007" i="11"/>
  <c r="AG868" i="11"/>
  <c r="AG1511" i="11"/>
  <c r="AG489" i="11"/>
  <c r="AG1090" i="11"/>
  <c r="AG21" i="11"/>
  <c r="AG591" i="11"/>
  <c r="AG30" i="11"/>
  <c r="AG1377" i="11"/>
  <c r="AG1520" i="11"/>
  <c r="AG1376" i="11"/>
  <c r="AG458" i="11"/>
  <c r="AG1064" i="11"/>
  <c r="AG771" i="11"/>
  <c r="AG559" i="11"/>
  <c r="AG131" i="11"/>
  <c r="AG661" i="11"/>
  <c r="AG949" i="11"/>
  <c r="AG1141" i="11"/>
  <c r="AG1331" i="11"/>
  <c r="AG1482" i="11"/>
  <c r="AG1207" i="11"/>
  <c r="AG986" i="11"/>
  <c r="AG842" i="11"/>
  <c r="AG697" i="11"/>
  <c r="AG965" i="11"/>
  <c r="AG1346" i="11"/>
  <c r="AG155" i="11"/>
  <c r="AG675" i="11"/>
  <c r="AG1148" i="11"/>
  <c r="AG1147" i="11"/>
  <c r="AG361" i="11"/>
  <c r="AG870" i="11"/>
  <c r="AG231" i="11"/>
  <c r="AG1361" i="11"/>
  <c r="AG586" i="11"/>
  <c r="AG1509" i="11"/>
  <c r="AG405" i="11"/>
  <c r="AG1231" i="11"/>
  <c r="AG1406" i="11"/>
  <c r="AG1209" i="11"/>
  <c r="AG987" i="11"/>
  <c r="AG1375" i="11"/>
  <c r="AG905" i="11"/>
  <c r="AG57" i="11"/>
  <c r="AG1123" i="11"/>
  <c r="AG1315" i="11"/>
  <c r="AG1172" i="11"/>
  <c r="AG1506" i="11"/>
  <c r="AG1242" i="11"/>
  <c r="AG1185" i="11"/>
  <c r="AG856" i="11"/>
  <c r="AG211" i="11"/>
  <c r="AG461" i="11"/>
  <c r="AG634" i="11"/>
  <c r="AG474" i="11"/>
  <c r="AG1222" i="11"/>
  <c r="AG457" i="11"/>
  <c r="AG413" i="11"/>
  <c r="AG412" i="11"/>
  <c r="AG576" i="11"/>
  <c r="AG1003" i="11"/>
  <c r="AG1208" i="11"/>
  <c r="AG158" i="11"/>
  <c r="AG257" i="11"/>
  <c r="AG321" i="11"/>
  <c r="AG782" i="11"/>
  <c r="AG1010" i="11"/>
  <c r="AG1202" i="11"/>
  <c r="AG1383" i="11"/>
  <c r="AG575" i="11"/>
  <c r="AG915" i="11"/>
  <c r="AG1107" i="11"/>
  <c r="AG1299" i="11"/>
  <c r="AG1457" i="11"/>
  <c r="AG1495" i="11"/>
  <c r="AG70" i="11"/>
  <c r="AG623" i="11"/>
  <c r="AG932" i="11"/>
  <c r="AG1124" i="11"/>
  <c r="AG1316" i="11"/>
  <c r="AG1470" i="11"/>
  <c r="AG1333" i="11"/>
  <c r="AG210" i="11"/>
  <c r="AG973" i="11"/>
  <c r="AG1165" i="11"/>
  <c r="AG1352" i="11"/>
  <c r="AG1500" i="11"/>
  <c r="AG1486" i="11"/>
  <c r="AG1179" i="11"/>
  <c r="AG239" i="11"/>
  <c r="AG349" i="11"/>
  <c r="AG1419" i="11"/>
  <c r="AG720" i="11"/>
  <c r="AG6" i="11"/>
  <c r="AG742" i="11"/>
  <c r="AG594" i="11"/>
  <c r="AG680" i="11"/>
  <c r="AG823" i="11"/>
  <c r="AG822" i="11"/>
  <c r="AG162" i="11"/>
  <c r="AG260" i="11"/>
  <c r="AG791" i="11"/>
  <c r="AG725" i="11"/>
  <c r="AG1358" i="11"/>
  <c r="AG1505" i="11"/>
  <c r="AG287" i="11"/>
  <c r="AG759" i="11"/>
  <c r="AG767" i="11"/>
  <c r="AG134" i="11"/>
  <c r="AG653" i="11"/>
  <c r="AG191" i="11"/>
  <c r="AG7" i="11"/>
  <c r="AG272" i="11"/>
  <c r="AG919" i="11"/>
  <c r="AG179" i="11"/>
  <c r="AG1073" i="11"/>
  <c r="AG1467" i="11"/>
  <c r="AG207" i="11"/>
  <c r="AG553" i="11"/>
  <c r="AG392" i="11"/>
  <c r="AG955" i="11"/>
  <c r="AG75" i="11"/>
  <c r="AG1304" i="11"/>
  <c r="AG1131" i="11"/>
  <c r="AG530" i="11"/>
  <c r="AG386" i="11"/>
  <c r="AG1145" i="11"/>
  <c r="AG1001" i="11"/>
  <c r="AG843" i="11"/>
  <c r="AG391" i="11"/>
  <c r="AG269" i="11"/>
  <c r="AG685" i="11"/>
  <c r="AG829" i="11"/>
  <c r="AG1252" i="11"/>
  <c r="AG418" i="11"/>
  <c r="AG1493" i="11"/>
  <c r="AG779" i="11"/>
  <c r="AG1381" i="11"/>
  <c r="AG533" i="11"/>
  <c r="AG1216" i="11"/>
  <c r="AG1072" i="11"/>
  <c r="AG1128" i="11"/>
  <c r="AG984" i="11"/>
  <c r="AG544" i="11"/>
  <c r="AG205" i="11"/>
  <c r="AG186" i="11"/>
  <c r="AG656" i="11"/>
  <c r="AG655" i="11"/>
  <c r="AG1112" i="11"/>
  <c r="AG92" i="11"/>
  <c r="AG1115" i="11"/>
  <c r="AG390" i="11"/>
  <c r="AG1203" i="11"/>
  <c r="AG395" i="11"/>
  <c r="AG825" i="11"/>
  <c r="AG1038" i="11"/>
  <c r="AG1230" i="11"/>
  <c r="AG1405" i="11"/>
  <c r="AG1217" i="11"/>
  <c r="AG422" i="11"/>
  <c r="AG306" i="11"/>
  <c r="AG416" i="11"/>
  <c r="AG1359" i="11"/>
  <c r="AG803" i="11"/>
  <c r="AG1023" i="11"/>
  <c r="AG1394" i="11"/>
  <c r="AG644" i="11"/>
  <c r="AG312" i="11"/>
  <c r="AG786" i="11"/>
  <c r="AG74" i="11"/>
  <c r="AG1130" i="11"/>
  <c r="AG1050" i="11"/>
  <c r="AG547" i="11"/>
  <c r="AG849" i="11"/>
  <c r="AG1053" i="11"/>
  <c r="AG1245" i="11"/>
  <c r="AG1417" i="11"/>
  <c r="AG363" i="11"/>
  <c r="AG1494" i="11"/>
  <c r="AG1399" i="11"/>
  <c r="AG406" i="11"/>
  <c r="AG729" i="11"/>
  <c r="AG538" i="11"/>
  <c r="AG467" i="11"/>
  <c r="AG929" i="11"/>
  <c r="AG1192" i="11"/>
  <c r="AG760" i="11"/>
  <c r="AG275" i="11"/>
  <c r="AG1392" i="11"/>
  <c r="AG1248" i="11"/>
  <c r="AG1104" i="11"/>
  <c r="AG960" i="11"/>
  <c r="AG151" i="11"/>
  <c r="AG187" i="11"/>
  <c r="AG1415" i="11"/>
  <c r="AG776" i="11"/>
  <c r="AG469" i="11"/>
  <c r="AG256" i="11"/>
  <c r="AG795" i="11"/>
  <c r="AG710" i="11"/>
  <c r="AG1034" i="11"/>
  <c r="AG348" i="11"/>
  <c r="AG1422" i="11"/>
  <c r="AG872" i="11"/>
  <c r="AG1070" i="11"/>
  <c r="AG1262" i="11"/>
  <c r="AG1429" i="11"/>
  <c r="AG432" i="11"/>
  <c r="AG551" i="11"/>
  <c r="AG1186" i="11"/>
  <c r="AG580" i="11"/>
  <c r="AG99" i="11"/>
  <c r="AG448" i="11"/>
  <c r="AG650" i="11"/>
  <c r="AG1036" i="11"/>
  <c r="AG748" i="11"/>
  <c r="AG600" i="11"/>
  <c r="AG34" i="11"/>
  <c r="AG331" i="11"/>
  <c r="AG130" i="11"/>
  <c r="AG1258" i="11"/>
  <c r="AG682" i="11"/>
  <c r="AG618" i="11"/>
  <c r="AG456" i="11"/>
  <c r="AG617" i="11"/>
  <c r="AG58" i="11"/>
  <c r="AG168" i="11"/>
  <c r="AG24" i="11"/>
  <c r="AG50" i="11"/>
  <c r="AG1097" i="11"/>
  <c r="AG177" i="11"/>
  <c r="AG687" i="11"/>
  <c r="AG1154" i="11"/>
  <c r="AG1343" i="11"/>
  <c r="AG1492" i="11"/>
  <c r="AG523" i="11"/>
  <c r="AG1278" i="11"/>
  <c r="AG1441" i="11"/>
  <c r="AG383" i="11"/>
  <c r="AG91" i="11"/>
  <c r="AG118" i="11"/>
  <c r="AG867" i="11"/>
  <c r="AG1224" i="11"/>
  <c r="AG330" i="11"/>
  <c r="AG670" i="11"/>
  <c r="AG149" i="11"/>
  <c r="AG313" i="11"/>
  <c r="AG605" i="11"/>
  <c r="AG42" i="11"/>
  <c r="AG751" i="11"/>
  <c r="AG16" i="11"/>
  <c r="AG226" i="11"/>
  <c r="AG723" i="11"/>
  <c r="AG978" i="11"/>
  <c r="AG1170" i="11"/>
  <c r="AG1504" i="11"/>
  <c r="AG1075" i="11"/>
  <c r="AG837" i="11"/>
  <c r="AG1046" i="11"/>
  <c r="AG1269" i="11"/>
  <c r="AG562" i="11"/>
  <c r="AG909" i="11"/>
  <c r="AG1101" i="11"/>
  <c r="AG1293" i="11"/>
  <c r="AG1453" i="11"/>
  <c r="AG962" i="11"/>
  <c r="AG420" i="11"/>
  <c r="AG956" i="11"/>
  <c r="AG1039" i="11"/>
  <c r="AG820" i="11"/>
  <c r="AG369" i="11"/>
  <c r="AG570" i="11"/>
  <c r="AG525" i="11"/>
  <c r="AG993" i="11"/>
  <c r="AG947" i="11"/>
  <c r="AG1329" i="11"/>
  <c r="AG1481" i="11"/>
  <c r="AG1157" i="11"/>
  <c r="AG1110" i="11"/>
  <c r="AG495" i="11"/>
  <c r="AG220" i="11"/>
  <c r="AG371" i="11"/>
  <c r="AG499" i="11"/>
  <c r="AG119" i="11"/>
  <c r="AG364" i="11"/>
  <c r="AG1218" i="11"/>
  <c r="AG229" i="11"/>
  <c r="AG997" i="11"/>
  <c r="AG1372" i="11"/>
  <c r="AG1021" i="11"/>
  <c r="AG911" i="11"/>
  <c r="AG1466" i="11"/>
  <c r="AG572" i="11"/>
  <c r="AG1297" i="11"/>
  <c r="AG1491" i="11"/>
  <c r="AG1204" i="11"/>
  <c r="AG916" i="11"/>
  <c r="AG772" i="11"/>
  <c r="AG627" i="11"/>
  <c r="AG466" i="11"/>
  <c r="AG77" i="11"/>
  <c r="AG828" i="11"/>
  <c r="AG684" i="11"/>
  <c r="AG531" i="11"/>
  <c r="AG695" i="11"/>
  <c r="AG373" i="11"/>
  <c r="AG994" i="11"/>
  <c r="AG555" i="11"/>
  <c r="AG387" i="11"/>
  <c r="AG203" i="11"/>
  <c r="AG681" i="11"/>
  <c r="AG527" i="11"/>
  <c r="AG357" i="11"/>
  <c r="AG787" i="11"/>
  <c r="AG484" i="11"/>
  <c r="AG311" i="11"/>
  <c r="AG102" i="11"/>
  <c r="AG483" i="11"/>
  <c r="AG310" i="11"/>
  <c r="AG101" i="11"/>
  <c r="AG368" i="11"/>
  <c r="AG224" i="11"/>
  <c r="AG52" i="11"/>
  <c r="AG51" i="11"/>
  <c r="AG218" i="11"/>
  <c r="AG407" i="11"/>
  <c r="AG830" i="11"/>
  <c r="AG1041" i="11"/>
  <c r="AG1233" i="11"/>
  <c r="AG1408" i="11"/>
  <c r="AG277" i="11"/>
  <c r="AG758" i="11"/>
  <c r="AG995" i="11"/>
  <c r="AG1187" i="11"/>
  <c r="AG1371" i="11"/>
  <c r="AG1517" i="11"/>
  <c r="AG333" i="11"/>
  <c r="AG785" i="11"/>
  <c r="AG1013" i="11"/>
  <c r="AG1205" i="11"/>
  <c r="AG1385" i="11"/>
  <c r="AG1077" i="11"/>
  <c r="AG71" i="11"/>
  <c r="AG624" i="11"/>
  <c r="AG933" i="11"/>
  <c r="AG1158" i="11"/>
  <c r="AG1435" i="11"/>
  <c r="AG393" i="11"/>
  <c r="AG821" i="11"/>
  <c r="AG1037" i="11"/>
  <c r="AG1229" i="11"/>
  <c r="AG1404" i="11"/>
  <c r="AG35" i="11"/>
  <c r="AG601" i="11"/>
  <c r="AG926" i="11"/>
  <c r="AG1118" i="11"/>
  <c r="AG1310" i="11"/>
  <c r="AG1465" i="11"/>
  <c r="AG181" i="11"/>
  <c r="AG1469" i="11"/>
  <c r="AG138" i="11"/>
  <c r="AG23" i="11"/>
  <c r="AG881" i="11"/>
  <c r="AG143" i="11"/>
  <c r="AG511" i="11"/>
  <c r="AG784" i="11"/>
  <c r="AG696" i="11"/>
  <c r="AG401" i="11"/>
  <c r="AG806" i="11"/>
  <c r="AG979" i="11"/>
  <c r="AG1171" i="11"/>
  <c r="AG1189" i="11"/>
  <c r="AG1518" i="11"/>
  <c r="AG10" i="11"/>
  <c r="AG918" i="11"/>
  <c r="AG610" i="11"/>
  <c r="AG927" i="11"/>
  <c r="AG1478" i="11"/>
  <c r="AG53" i="11"/>
  <c r="AG1313" i="11"/>
  <c r="AG1503" i="11"/>
  <c r="AG613" i="11"/>
  <c r="AG451" i="11"/>
  <c r="AG816" i="11"/>
  <c r="AG672" i="11"/>
  <c r="AG517" i="11"/>
  <c r="AG346" i="11"/>
  <c r="AG683" i="11"/>
  <c r="AG529" i="11"/>
  <c r="AG169" i="11"/>
  <c r="AG1126" i="11"/>
  <c r="AG982" i="11"/>
  <c r="AG372" i="11"/>
  <c r="AG514" i="11"/>
  <c r="AG775" i="11"/>
  <c r="AG295" i="11"/>
  <c r="AG629" i="11"/>
  <c r="AG294" i="11"/>
  <c r="AG500" i="11"/>
  <c r="AG212" i="11"/>
  <c r="AG68" i="11"/>
  <c r="AG183" i="11"/>
  <c r="AG39" i="11"/>
  <c r="AG638" i="11"/>
  <c r="AG494" i="11"/>
  <c r="AG350" i="11"/>
  <c r="AG450" i="11"/>
  <c r="AG854" i="11"/>
  <c r="AG1058" i="11"/>
  <c r="AG1250" i="11"/>
  <c r="AG1420" i="11"/>
  <c r="AG323" i="11"/>
  <c r="AG1011" i="11"/>
  <c r="AG1384" i="11"/>
  <c r="AG1094" i="11"/>
  <c r="AG376" i="11"/>
  <c r="AG809" i="11"/>
  <c r="AG1028" i="11"/>
  <c r="AG1220" i="11"/>
  <c r="AG1398" i="11"/>
  <c r="AG133" i="11"/>
  <c r="AG662" i="11"/>
  <c r="AG950" i="11"/>
  <c r="AG1173" i="11"/>
  <c r="AG1471" i="11"/>
  <c r="AG436" i="11"/>
  <c r="AG845" i="11"/>
  <c r="AG1052" i="11"/>
  <c r="AG1244" i="11"/>
  <c r="AG1416" i="11"/>
  <c r="AG97" i="11"/>
  <c r="AG641" i="11"/>
  <c r="AG942" i="11"/>
  <c r="AG1134" i="11"/>
  <c r="AG1325" i="11"/>
  <c r="AG1477" i="11"/>
  <c r="AG607" i="11"/>
  <c r="AG711" i="11"/>
  <c r="AG1247" i="11"/>
  <c r="AG582" i="11"/>
  <c r="AG400" i="11"/>
  <c r="AG1512" i="11"/>
  <c r="AG513" i="11"/>
  <c r="AG340" i="11"/>
  <c r="AG248" i="11"/>
  <c r="AG1196" i="11"/>
  <c r="AG944" i="11"/>
  <c r="AG1327" i="11"/>
  <c r="AG1180" i="11"/>
  <c r="AG892" i="11"/>
  <c r="AG437" i="11"/>
  <c r="AG1380" i="11"/>
  <c r="AG1092" i="11"/>
  <c r="AG948" i="11"/>
  <c r="AG804" i="11"/>
  <c r="AG660" i="11"/>
  <c r="AG671" i="11"/>
  <c r="AG516" i="11"/>
  <c r="AG150" i="11"/>
  <c r="AG970" i="11"/>
  <c r="AG528" i="11"/>
  <c r="AG358" i="11"/>
  <c r="AG167" i="11"/>
  <c r="AG328" i="11"/>
  <c r="AG126" i="11"/>
  <c r="AG764" i="11"/>
  <c r="AG281" i="11"/>
  <c r="AG763" i="11"/>
  <c r="AG280" i="11"/>
  <c r="AG454" i="11"/>
  <c r="AG279" i="11"/>
  <c r="AG344" i="11"/>
  <c r="AG200" i="11"/>
  <c r="AG171" i="11"/>
  <c r="AG493" i="11"/>
  <c r="AG877" i="11"/>
  <c r="AG1074" i="11"/>
  <c r="AG1266" i="11"/>
  <c r="AG1432" i="11"/>
  <c r="AG366" i="11"/>
  <c r="AG807" i="11"/>
  <c r="AG1027" i="11"/>
  <c r="AG1219" i="11"/>
  <c r="AG1397" i="11"/>
  <c r="AG1317" i="11"/>
  <c r="AG419" i="11"/>
  <c r="AG833" i="11"/>
  <c r="AG1045" i="11"/>
  <c r="AG1237" i="11"/>
  <c r="AG1410" i="11"/>
  <c r="AG1373" i="11"/>
  <c r="AG193" i="11"/>
  <c r="AG698" i="11"/>
  <c r="AG966" i="11"/>
  <c r="AG1190" i="11"/>
  <c r="AG1507" i="11"/>
  <c r="AG479" i="11"/>
  <c r="AG869" i="11"/>
  <c r="AG1069" i="11"/>
  <c r="AG1261" i="11"/>
  <c r="AG1428" i="11"/>
  <c r="AG161" i="11"/>
  <c r="AG677" i="11"/>
  <c r="AG957" i="11"/>
  <c r="AG1149" i="11"/>
  <c r="AG1339" i="11"/>
  <c r="AG1489" i="11"/>
  <c r="AG583" i="11"/>
  <c r="AG438" i="11"/>
  <c r="AG567" i="11"/>
  <c r="AG355" i="11"/>
  <c r="AG481" i="11"/>
  <c r="AG1284" i="11"/>
  <c r="AG733" i="11"/>
  <c r="AG980" i="11"/>
  <c r="AG1086" i="11"/>
  <c r="AG307" i="11"/>
  <c r="AG1150" i="11"/>
  <c r="AG540" i="11"/>
  <c r="AG63" i="11"/>
  <c r="AG943" i="11"/>
  <c r="AG1135" i="11"/>
  <c r="AG959" i="11"/>
  <c r="AG1151" i="11"/>
  <c r="AG1340" i="11"/>
  <c r="AG1502" i="11"/>
  <c r="AG1341" i="11"/>
  <c r="AG1168" i="11"/>
  <c r="AG244" i="11"/>
  <c r="AG13" i="11"/>
  <c r="AG1368" i="11"/>
  <c r="AG1080" i="11"/>
  <c r="AG936" i="11"/>
  <c r="AG317" i="11"/>
  <c r="AG109" i="11"/>
  <c r="AG659" i="11"/>
  <c r="AG503" i="11"/>
  <c r="AG129" i="11"/>
  <c r="AG958" i="11"/>
  <c r="AG645" i="11"/>
  <c r="AG442" i="11"/>
  <c r="AG265" i="11"/>
  <c r="AG895" i="11"/>
  <c r="AG750" i="11"/>
  <c r="AG439" i="11"/>
  <c r="AG12" i="11"/>
  <c r="AG476" i="11"/>
  <c r="AG332" i="11"/>
  <c r="AG44" i="11"/>
  <c r="AG326" i="11"/>
  <c r="AG182" i="11"/>
  <c r="AG38" i="11"/>
  <c r="AG534" i="11"/>
  <c r="AG897" i="11"/>
  <c r="AG1089" i="11"/>
  <c r="AG1281" i="11"/>
  <c r="AG1444" i="11"/>
  <c r="AG409" i="11"/>
  <c r="AG831" i="11"/>
  <c r="AG1043" i="11"/>
  <c r="AG1235" i="11"/>
  <c r="AG1409" i="11"/>
  <c r="AG1347" i="11"/>
  <c r="AG462" i="11"/>
  <c r="AG857" i="11"/>
  <c r="AG1061" i="11"/>
  <c r="AG1253" i="11"/>
  <c r="AG1411" i="11"/>
  <c r="AG241" i="11"/>
  <c r="AG734" i="11"/>
  <c r="AG981" i="11"/>
  <c r="AG1206" i="11"/>
  <c r="AG521" i="11"/>
  <c r="AG890" i="11"/>
  <c r="AG1085" i="11"/>
  <c r="AG1277" i="11"/>
  <c r="AG1440" i="11"/>
  <c r="AG213" i="11"/>
  <c r="AG713" i="11"/>
  <c r="AG974" i="11"/>
  <c r="AG1166" i="11"/>
  <c r="AG1353" i="11"/>
  <c r="AG1501" i="11"/>
  <c r="AG1174" i="11"/>
  <c r="AG404" i="11"/>
  <c r="AG542" i="11"/>
  <c r="AG708" i="11"/>
  <c r="AG569" i="11"/>
  <c r="AG1155" i="11"/>
  <c r="AG1345" i="11"/>
  <c r="AG546" i="11"/>
  <c r="AG190" i="11"/>
  <c r="AG975" i="11"/>
  <c r="AG1167" i="11"/>
  <c r="AG1354" i="11"/>
  <c r="AG1169" i="11"/>
  <c r="AG1355" i="11"/>
  <c r="AG1300" i="11"/>
  <c r="AG1156" i="11"/>
  <c r="AG1012" i="11"/>
  <c r="AG574" i="11"/>
  <c r="AG408" i="11"/>
  <c r="AG227" i="11"/>
  <c r="AG1356" i="11"/>
  <c r="AG1212" i="11"/>
  <c r="AG1068" i="11"/>
  <c r="AG924" i="11"/>
  <c r="AG475" i="11"/>
  <c r="AG303" i="11"/>
  <c r="AG946" i="11"/>
  <c r="AG472" i="11"/>
  <c r="AG298" i="11"/>
  <c r="AG592" i="11"/>
  <c r="AG883" i="11"/>
  <c r="AG426" i="11"/>
  <c r="AG247" i="11"/>
  <c r="AG19" i="11"/>
  <c r="AG246" i="11"/>
  <c r="AG18" i="11"/>
  <c r="AG464" i="11"/>
  <c r="AG320" i="11"/>
  <c r="AG176" i="11"/>
  <c r="AG148" i="11"/>
  <c r="AG147" i="11"/>
  <c r="AG602" i="11"/>
  <c r="AG314" i="11"/>
  <c r="AG170" i="11"/>
  <c r="AG26" i="11"/>
  <c r="AG573" i="11"/>
  <c r="AG914" i="11"/>
  <c r="AG1106" i="11"/>
  <c r="AG1456" i="11"/>
  <c r="AG453" i="11"/>
  <c r="AG855" i="11"/>
  <c r="AG1059" i="11"/>
  <c r="AG1251" i="11"/>
  <c r="AG1421" i="11"/>
  <c r="AG1386" i="11"/>
  <c r="AG505" i="11"/>
  <c r="AG879" i="11"/>
  <c r="AG1268" i="11"/>
  <c r="AG1434" i="11"/>
  <c r="AG1447" i="11"/>
  <c r="AG289" i="11"/>
  <c r="AG761" i="11"/>
  <c r="AG998" i="11"/>
  <c r="AG1221" i="11"/>
  <c r="AG560" i="11"/>
  <c r="AG908" i="11"/>
  <c r="AG1100" i="11"/>
  <c r="AG1292" i="11"/>
  <c r="AG1452" i="11"/>
  <c r="AG261" i="11"/>
  <c r="AG747" i="11"/>
  <c r="AG990" i="11"/>
  <c r="AG1182" i="11"/>
  <c r="AG1366" i="11"/>
  <c r="AG1513" i="11"/>
  <c r="AG554" i="11"/>
  <c r="AG615" i="11"/>
  <c r="AG1181" i="11"/>
  <c r="AG1455" i="11"/>
  <c r="AG891" i="11"/>
  <c r="AG121" i="11"/>
  <c r="AG798" i="11"/>
  <c r="AG114" i="11"/>
  <c r="AG991" i="11"/>
  <c r="AG1183" i="11"/>
  <c r="AG1367" i="11"/>
  <c r="AG1431" i="11"/>
  <c r="AG273" i="11"/>
  <c r="AG992" i="11"/>
  <c r="AG1184" i="11"/>
  <c r="AG1369" i="11"/>
  <c r="AG1144" i="11"/>
  <c r="AG1000" i="11"/>
  <c r="AG561" i="11"/>
  <c r="AG1344" i="11"/>
  <c r="AG1200" i="11"/>
  <c r="AG1056" i="11"/>
  <c r="AG912" i="11"/>
  <c r="AG622" i="11"/>
  <c r="AG69" i="11"/>
  <c r="AG89" i="11"/>
  <c r="AG934" i="11"/>
  <c r="AG487" i="11"/>
  <c r="AG619" i="11"/>
  <c r="AG282" i="11"/>
  <c r="AG65" i="11"/>
  <c r="AG579" i="11"/>
  <c r="AG727" i="11"/>
  <c r="AG232" i="11"/>
  <c r="AG726" i="11"/>
  <c r="AG411" i="11"/>
  <c r="AG276" i="11"/>
  <c r="AG132" i="11"/>
  <c r="AG452" i="11"/>
  <c r="AG164" i="11"/>
  <c r="AG136" i="11"/>
  <c r="AG590" i="11"/>
  <c r="AG446" i="11"/>
  <c r="AG302" i="11"/>
  <c r="AG54" i="11"/>
  <c r="AG612" i="11"/>
  <c r="AG930" i="11"/>
  <c r="AG1122" i="11"/>
  <c r="AG1314" i="11"/>
  <c r="AG1468" i="11"/>
  <c r="AG496" i="11"/>
  <c r="AG878" i="11"/>
  <c r="AG1267" i="11"/>
  <c r="AG1433" i="11"/>
  <c r="AG1423" i="11"/>
  <c r="AG545" i="11"/>
  <c r="AG901" i="11"/>
  <c r="AG1093" i="11"/>
  <c r="AG1285" i="11"/>
  <c r="AG1446" i="11"/>
  <c r="AG1483" i="11"/>
  <c r="AG334" i="11"/>
  <c r="AG789" i="11"/>
  <c r="AG1014" i="11"/>
  <c r="AG1238" i="11"/>
  <c r="AG33" i="11"/>
  <c r="AG599" i="11"/>
  <c r="AG925" i="11"/>
  <c r="AG1117" i="11"/>
  <c r="AG1309" i="11"/>
  <c r="AG1464" i="11"/>
  <c r="AG309" i="11"/>
  <c r="AG777" i="11"/>
  <c r="AG1005" i="11"/>
  <c r="AG1197" i="11"/>
  <c r="AG1379" i="11"/>
  <c r="AG1454" i="11"/>
  <c r="AG1040" i="11"/>
  <c r="AG1357" i="11"/>
  <c r="AG931" i="11"/>
  <c r="AG731" i="11"/>
  <c r="AG507" i="11"/>
  <c r="AG940" i="11"/>
  <c r="AG341" i="11"/>
  <c r="AG893" i="11"/>
  <c r="AG840" i="11"/>
  <c r="AG375" i="11"/>
  <c r="AG718" i="11"/>
  <c r="AG568" i="11"/>
  <c r="AG1199" i="11"/>
  <c r="AG781" i="11"/>
  <c r="AG1009" i="11"/>
  <c r="AG1201" i="11"/>
  <c r="AG1382" i="11"/>
  <c r="AG1132" i="11"/>
  <c r="AG700" i="11"/>
  <c r="AG548" i="11"/>
  <c r="AG379" i="11"/>
  <c r="AG196" i="11"/>
  <c r="AG1332" i="11"/>
  <c r="AG1044" i="11"/>
  <c r="AG900" i="11"/>
  <c r="AG270" i="11"/>
  <c r="AG460" i="11"/>
  <c r="AG285" i="11"/>
  <c r="AG67" i="11"/>
  <c r="AG1210" i="11"/>
  <c r="AG922" i="11"/>
  <c r="AG778" i="11"/>
  <c r="AG633" i="11"/>
  <c r="AG43" i="11"/>
  <c r="AG860" i="11"/>
  <c r="AG716" i="11"/>
  <c r="AG565" i="11"/>
  <c r="AG217" i="11"/>
  <c r="AG564" i="11"/>
  <c r="AG397" i="11"/>
  <c r="AG714" i="11"/>
  <c r="AG563" i="11"/>
  <c r="AG396" i="11"/>
  <c r="AG214" i="11"/>
  <c r="AG264" i="11"/>
  <c r="AG120" i="11"/>
  <c r="AG152" i="11"/>
  <c r="AG8" i="11"/>
  <c r="AG123" i="11"/>
  <c r="AG578" i="11"/>
  <c r="AG434" i="11"/>
  <c r="AG115" i="11"/>
  <c r="AG651" i="11"/>
  <c r="AG945" i="11"/>
  <c r="AG1137" i="11"/>
  <c r="AG1328" i="11"/>
  <c r="AG1480" i="11"/>
  <c r="AG536" i="11"/>
  <c r="AG899" i="11"/>
  <c r="AG1091" i="11"/>
  <c r="AG1283" i="11"/>
  <c r="AG1445" i="11"/>
  <c r="AG1459" i="11"/>
  <c r="AG9" i="11"/>
  <c r="AG584" i="11"/>
  <c r="AG917" i="11"/>
  <c r="AG1109" i="11"/>
  <c r="AG1301" i="11"/>
  <c r="AG1458" i="11"/>
  <c r="AG1519" i="11"/>
  <c r="AG377" i="11"/>
  <c r="AG813" i="11"/>
  <c r="AG1029" i="11"/>
  <c r="AG1254" i="11"/>
  <c r="AG94" i="11"/>
  <c r="AG639" i="11"/>
  <c r="AG941" i="11"/>
  <c r="AG1133" i="11"/>
  <c r="AG1324" i="11"/>
  <c r="AG1476" i="11"/>
  <c r="AG352" i="11"/>
  <c r="AG801" i="11"/>
  <c r="AG1022" i="11"/>
  <c r="AG1214" i="11"/>
  <c r="AG1393" i="11"/>
  <c r="AG1443" i="11"/>
  <c r="U458" i="11"/>
  <c r="U466" i="11"/>
  <c r="U474" i="11"/>
  <c r="U482" i="11"/>
  <c r="U490" i="11"/>
  <c r="U498" i="11"/>
  <c r="U506" i="11"/>
  <c r="U514" i="11"/>
  <c r="U522" i="11"/>
  <c r="U530" i="11"/>
  <c r="U538" i="11"/>
  <c r="U546" i="11"/>
  <c r="U554" i="11"/>
  <c r="U562" i="11"/>
  <c r="U570" i="11"/>
  <c r="U578" i="11"/>
  <c r="U586" i="11"/>
  <c r="U594" i="11"/>
  <c r="U602" i="11"/>
  <c r="U610" i="11"/>
  <c r="U618" i="11"/>
  <c r="U626" i="11"/>
  <c r="U642" i="11"/>
  <c r="U650" i="11"/>
  <c r="U658" i="11"/>
  <c r="U674" i="11"/>
  <c r="U682" i="11"/>
  <c r="U690" i="11"/>
  <c r="U706" i="11"/>
  <c r="U722" i="11"/>
  <c r="U730" i="11"/>
  <c r="U738" i="11"/>
  <c r="AK738" i="11" s="1"/>
  <c r="U746" i="11"/>
  <c r="AK746" i="11" s="1"/>
  <c r="U754" i="11"/>
  <c r="AK754" i="11" s="1"/>
  <c r="U762" i="11"/>
  <c r="AK762" i="11" s="1"/>
  <c r="U770" i="11"/>
  <c r="AK770" i="11" s="1"/>
  <c r="U778" i="11"/>
  <c r="AK778" i="11" s="1"/>
  <c r="U786" i="11"/>
  <c r="AK786" i="11" s="1"/>
  <c r="U802" i="11"/>
  <c r="AK802" i="11" s="1"/>
  <c r="U810" i="11"/>
  <c r="AK810" i="11" s="1"/>
  <c r="U818" i="11"/>
  <c r="AK818" i="11" s="1"/>
  <c r="U826" i="11"/>
  <c r="AK826" i="11" s="1"/>
  <c r="U834" i="11"/>
  <c r="AK834" i="11" s="1"/>
  <c r="U842" i="11"/>
  <c r="AK842" i="11" s="1"/>
  <c r="U850" i="11"/>
  <c r="AK850" i="11" s="1"/>
  <c r="U866" i="11"/>
  <c r="AK866" i="11" s="1"/>
  <c r="U874" i="11"/>
  <c r="AK874" i="11" s="1"/>
  <c r="U882" i="11"/>
  <c r="AK882" i="11" s="1"/>
  <c r="U890" i="11"/>
  <c r="AK890" i="11" s="1"/>
  <c r="U898" i="11"/>
  <c r="AK898" i="11" s="1"/>
  <c r="U906" i="11"/>
  <c r="AK906" i="11" s="1"/>
  <c r="U914" i="11"/>
  <c r="AK914" i="11" s="1"/>
  <c r="U938" i="11"/>
  <c r="AK938" i="11" s="1"/>
  <c r="U946" i="11"/>
  <c r="AK946" i="11" s="1"/>
  <c r="U1264" i="11"/>
  <c r="U1272" i="11"/>
  <c r="U1280" i="11"/>
  <c r="U1288" i="11"/>
  <c r="U1296" i="11"/>
  <c r="U1304" i="11"/>
  <c r="U1312" i="11"/>
  <c r="U1320" i="11"/>
  <c r="U1328" i="11"/>
  <c r="U1336" i="11"/>
  <c r="U1344" i="11"/>
  <c r="U1352" i="11"/>
  <c r="U1360" i="11"/>
  <c r="U1368" i="11"/>
  <c r="U1376" i="11"/>
  <c r="U1384" i="11"/>
  <c r="U1392" i="11"/>
  <c r="U1400" i="11"/>
  <c r="U1408" i="11"/>
  <c r="U1416" i="11"/>
  <c r="U1424" i="11"/>
  <c r="U1432" i="11"/>
  <c r="U1440" i="11"/>
  <c r="U1448" i="11"/>
  <c r="U1456" i="11"/>
  <c r="U1464" i="11"/>
  <c r="U1472" i="11"/>
  <c r="U1480" i="11"/>
  <c r="U1488" i="11"/>
  <c r="U1496" i="11"/>
  <c r="U1504" i="11"/>
  <c r="U1512" i="11"/>
  <c r="U1520" i="11"/>
  <c r="U1198" i="11"/>
  <c r="U1206" i="11"/>
  <c r="U1214" i="11"/>
  <c r="U1222" i="11"/>
  <c r="U1230" i="11"/>
  <c r="U1238" i="11"/>
  <c r="U1246" i="11"/>
  <c r="U1254" i="11"/>
  <c r="W1047" i="11"/>
  <c r="AK1047" i="11"/>
  <c r="W1103" i="11"/>
  <c r="AK1103" i="11"/>
  <c r="W1119" i="11"/>
  <c r="AK1119" i="11"/>
  <c r="W1175" i="11"/>
  <c r="AK1175" i="11"/>
  <c r="W1191" i="11"/>
  <c r="AK1191" i="11"/>
  <c r="W20" i="11"/>
  <c r="AK20" i="11"/>
  <c r="W36" i="11"/>
  <c r="AK36" i="11"/>
  <c r="W60" i="11"/>
  <c r="AK60" i="11"/>
  <c r="W76" i="11"/>
  <c r="AK76" i="11"/>
  <c r="W124" i="11"/>
  <c r="AK124" i="11"/>
  <c r="W140" i="11"/>
  <c r="AK140" i="11"/>
  <c r="W332" i="11"/>
  <c r="AK332" i="11"/>
  <c r="W348" i="11"/>
  <c r="AK348" i="11"/>
  <c r="W364" i="11"/>
  <c r="AK364" i="11"/>
  <c r="W380" i="11"/>
  <c r="AK380" i="11"/>
  <c r="W396" i="11"/>
  <c r="AK396" i="11"/>
  <c r="W428" i="11"/>
  <c r="AK428" i="11"/>
  <c r="W452" i="11"/>
  <c r="AK452" i="11"/>
  <c r="W468" i="11"/>
  <c r="AK468" i="11"/>
  <c r="W548" i="11"/>
  <c r="AK548" i="11"/>
  <c r="W1090" i="11"/>
  <c r="AK1090" i="11"/>
  <c r="W1106" i="11"/>
  <c r="AK1106" i="11"/>
  <c r="W1162" i="11"/>
  <c r="AK1162" i="11"/>
  <c r="W1194" i="11"/>
  <c r="AK1194" i="11"/>
  <c r="W1226" i="11"/>
  <c r="AK1226" i="11"/>
  <c r="W1274" i="11"/>
  <c r="AK1274" i="11"/>
  <c r="W1290" i="11"/>
  <c r="AK1290" i="11"/>
  <c r="W1330" i="11"/>
  <c r="AK1330" i="11"/>
  <c r="W1346" i="11"/>
  <c r="AK1346" i="11"/>
  <c r="W1362" i="11"/>
  <c r="AK1362" i="11"/>
  <c r="W8" i="11"/>
  <c r="AK8" i="11"/>
  <c r="W1133" i="11"/>
  <c r="AK1133" i="11"/>
  <c r="W1189" i="11"/>
  <c r="AK1189" i="11"/>
  <c r="W1229" i="11"/>
  <c r="AK1229" i="11"/>
  <c r="W1253" i="11"/>
  <c r="AK1253" i="11"/>
  <c r="W1277" i="11"/>
  <c r="AK1277" i="11"/>
  <c r="W1293" i="11"/>
  <c r="AK1293" i="11"/>
  <c r="W1333" i="11"/>
  <c r="AK1333" i="11"/>
  <c r="W1349" i="11"/>
  <c r="AK1349" i="11"/>
  <c r="W1365" i="11"/>
  <c r="AK1365" i="11"/>
  <c r="W1381" i="11"/>
  <c r="AK1381" i="11"/>
  <c r="W1389" i="11"/>
  <c r="AK1389" i="11"/>
  <c r="W1405" i="11"/>
  <c r="AK1405" i="11"/>
  <c r="W42" i="11"/>
  <c r="AK42" i="11"/>
  <c r="W90" i="11"/>
  <c r="AK90" i="11"/>
  <c r="W98" i="11"/>
  <c r="AK98" i="11"/>
  <c r="W138" i="11"/>
  <c r="AK138" i="11"/>
  <c r="W154" i="11"/>
  <c r="AK154" i="11"/>
  <c r="W162" i="11"/>
  <c r="AK162" i="11"/>
  <c r="W202" i="11"/>
  <c r="AK202" i="11"/>
  <c r="W250" i="11"/>
  <c r="AK250" i="11"/>
  <c r="W258" i="11"/>
  <c r="AK258" i="11"/>
  <c r="W298" i="11"/>
  <c r="AK298" i="11"/>
  <c r="W322" i="11"/>
  <c r="AK322" i="11"/>
  <c r="W346" i="11"/>
  <c r="AK346" i="11"/>
  <c r="W7" i="11"/>
  <c r="AK7" i="11"/>
  <c r="W1020" i="11"/>
  <c r="AK1020" i="11"/>
  <c r="W1028" i="11"/>
  <c r="AK1028" i="11"/>
  <c r="W1036" i="11"/>
  <c r="AK1036" i="11"/>
  <c r="W1044" i="11"/>
  <c r="AK1044" i="11"/>
  <c r="W1052" i="11"/>
  <c r="AK1052" i="11"/>
  <c r="W1060" i="11"/>
  <c r="AK1060" i="11"/>
  <c r="W1068" i="11"/>
  <c r="AK1068" i="11"/>
  <c r="W1076" i="11"/>
  <c r="AK1076" i="11"/>
  <c r="W1084" i="11"/>
  <c r="AK1084" i="11"/>
  <c r="W1092" i="11"/>
  <c r="AK1092" i="11"/>
  <c r="W1100" i="11"/>
  <c r="AK1100" i="11"/>
  <c r="W1108" i="11"/>
  <c r="AK1108" i="11"/>
  <c r="W1116" i="11"/>
  <c r="AK1116" i="11"/>
  <c r="W1124" i="11"/>
  <c r="AK1124" i="11"/>
  <c r="W1132" i="11"/>
  <c r="AK1132" i="11"/>
  <c r="W1140" i="11"/>
  <c r="AK1140" i="11"/>
  <c r="W1148" i="11"/>
  <c r="AK1148" i="11"/>
  <c r="W1156" i="11"/>
  <c r="AK1156" i="11"/>
  <c r="W1164" i="11"/>
  <c r="AK1164" i="11"/>
  <c r="W1172" i="11"/>
  <c r="AK1172" i="11"/>
  <c r="W1180" i="11"/>
  <c r="AK1180" i="11"/>
  <c r="W1188" i="11"/>
  <c r="AK1188" i="11"/>
  <c r="W1196" i="11"/>
  <c r="AK1196" i="11"/>
  <c r="W1204" i="11"/>
  <c r="AK1204" i="11"/>
  <c r="W1212" i="11"/>
  <c r="AK1212" i="11"/>
  <c r="W1220" i="11"/>
  <c r="AK1220" i="11"/>
  <c r="W1228" i="11"/>
  <c r="AK1228" i="11"/>
  <c r="W1236" i="11"/>
  <c r="AK1236" i="11"/>
  <c r="W1244" i="11"/>
  <c r="AK1244" i="11"/>
  <c r="W1252" i="11"/>
  <c r="AK1252" i="11"/>
  <c r="W1260" i="11"/>
  <c r="AK1260" i="11"/>
  <c r="W1268" i="11"/>
  <c r="AK1268" i="11"/>
  <c r="W1276" i="11"/>
  <c r="AK1276" i="11"/>
  <c r="W1284" i="11"/>
  <c r="AK1284" i="11"/>
  <c r="W1292" i="11"/>
  <c r="AK1292" i="11"/>
  <c r="W1300" i="11"/>
  <c r="AK1300" i="11"/>
  <c r="W1308" i="11"/>
  <c r="AK1308" i="11"/>
  <c r="W1316" i="11"/>
  <c r="AK1316" i="11"/>
  <c r="W1324" i="11"/>
  <c r="AK1324" i="11"/>
  <c r="W1332" i="11"/>
  <c r="AK1332" i="11"/>
  <c r="W1340" i="11"/>
  <c r="AK1340" i="11"/>
  <c r="W1348" i="11"/>
  <c r="AK1348" i="11"/>
  <c r="W1356" i="11"/>
  <c r="AK1356" i="11"/>
  <c r="W1364" i="11"/>
  <c r="AK1364" i="11"/>
  <c r="W1372" i="11"/>
  <c r="AK1372" i="11"/>
  <c r="W1380" i="11"/>
  <c r="AK1380" i="11"/>
  <c r="W1388" i="11"/>
  <c r="AK1388" i="11"/>
  <c r="W1396" i="11"/>
  <c r="AK1396" i="11"/>
  <c r="W1404" i="11"/>
  <c r="AK1404" i="11"/>
  <c r="W1412" i="11"/>
  <c r="AK1412" i="11"/>
  <c r="W1420" i="11"/>
  <c r="AK1420" i="11"/>
  <c r="W1428" i="11"/>
  <c r="AK1428" i="11"/>
  <c r="W1436" i="11"/>
  <c r="AK1436" i="11"/>
  <c r="W1444" i="11"/>
  <c r="AK1444" i="11"/>
  <c r="W1452" i="11"/>
  <c r="AK1452" i="11"/>
  <c r="W1460" i="11"/>
  <c r="AK1460" i="11"/>
  <c r="W1468" i="11"/>
  <c r="AK1468" i="11"/>
  <c r="W1476" i="11"/>
  <c r="AK1476" i="11"/>
  <c r="W1484" i="11"/>
  <c r="AK1484" i="11"/>
  <c r="W1492" i="11"/>
  <c r="AK1492" i="11"/>
  <c r="W1500" i="11"/>
  <c r="AK1500" i="11"/>
  <c r="W17" i="11"/>
  <c r="AK17" i="11"/>
  <c r="W25" i="11"/>
  <c r="AK25" i="11"/>
  <c r="W33" i="11"/>
  <c r="AK33" i="11"/>
  <c r="W41" i="11"/>
  <c r="AK41" i="11"/>
  <c r="W49" i="11"/>
  <c r="AK49" i="11"/>
  <c r="W57" i="11"/>
  <c r="AK57" i="11"/>
  <c r="W65" i="11"/>
  <c r="AK65" i="11"/>
  <c r="W73" i="11"/>
  <c r="AK73" i="11"/>
  <c r="W81" i="11"/>
  <c r="AK81" i="11"/>
  <c r="W89" i="11"/>
  <c r="AK89" i="11"/>
  <c r="W97" i="11"/>
  <c r="AK97" i="11"/>
  <c r="W113" i="11"/>
  <c r="AK113" i="11"/>
  <c r="W121" i="11"/>
  <c r="AK121" i="11"/>
  <c r="W129" i="11"/>
  <c r="AK129" i="11"/>
  <c r="W145" i="11"/>
  <c r="AK145" i="11"/>
  <c r="W153" i="11"/>
  <c r="AK153" i="11"/>
  <c r="W169" i="11"/>
  <c r="AK169" i="11"/>
  <c r="W177" i="11"/>
  <c r="AK177" i="11"/>
  <c r="W193" i="11"/>
  <c r="AK193" i="11"/>
  <c r="W209" i="11"/>
  <c r="AK209" i="11"/>
  <c r="W217" i="11"/>
  <c r="AK217" i="11"/>
  <c r="W225" i="11"/>
  <c r="AK225" i="11"/>
  <c r="W233" i="11"/>
  <c r="AK233" i="11"/>
  <c r="W241" i="11"/>
  <c r="AK241" i="11"/>
  <c r="W249" i="11"/>
  <c r="AK249" i="11"/>
  <c r="W257" i="11"/>
  <c r="AK257" i="11"/>
  <c r="W273" i="11"/>
  <c r="AK273" i="11"/>
  <c r="W281" i="11"/>
  <c r="AK281" i="11"/>
  <c r="W289" i="11"/>
  <c r="AK289" i="11"/>
  <c r="W297" i="11"/>
  <c r="AK297" i="11"/>
  <c r="W305" i="11"/>
  <c r="AK305" i="11"/>
  <c r="W313" i="11"/>
  <c r="AK313" i="11"/>
  <c r="W329" i="11"/>
  <c r="AK329" i="11"/>
  <c r="W337" i="11"/>
  <c r="AK337" i="11"/>
  <c r="W345" i="11"/>
  <c r="AK345" i="11"/>
  <c r="W353" i="11"/>
  <c r="AK353" i="11"/>
  <c r="W361" i="11"/>
  <c r="AK361" i="11"/>
  <c r="W164" i="11"/>
  <c r="AK164" i="11"/>
  <c r="W220" i="11"/>
  <c r="AK220" i="11"/>
  <c r="W316" i="11"/>
  <c r="AK316" i="11"/>
  <c r="W668" i="11"/>
  <c r="AK668" i="11"/>
  <c r="W676" i="11"/>
  <c r="AK676" i="11"/>
  <c r="W684" i="11"/>
  <c r="AK684" i="11"/>
  <c r="W692" i="11"/>
  <c r="AK692" i="11"/>
  <c r="W748" i="11"/>
  <c r="AK748" i="11"/>
  <c r="W756" i="11"/>
  <c r="AK756" i="11"/>
  <c r="W764" i="11"/>
  <c r="AK764" i="11"/>
  <c r="W772" i="11"/>
  <c r="AK772" i="11"/>
  <c r="W780" i="11"/>
  <c r="AK780" i="11"/>
  <c r="W788" i="11"/>
  <c r="AK788" i="11"/>
  <c r="W796" i="11"/>
  <c r="AK796" i="11"/>
  <c r="W804" i="11"/>
  <c r="AK804" i="11"/>
  <c r="W812" i="11"/>
  <c r="AK812" i="11"/>
  <c r="W820" i="11"/>
  <c r="AK820" i="11"/>
  <c r="W828" i="11"/>
  <c r="AK828" i="11"/>
  <c r="W836" i="11"/>
  <c r="AK836" i="11"/>
  <c r="W844" i="11"/>
  <c r="AK844" i="11"/>
  <c r="W852" i="11"/>
  <c r="AK852" i="11"/>
  <c r="W1183" i="11"/>
  <c r="AK1183" i="11"/>
  <c r="W420" i="11"/>
  <c r="AK420" i="11"/>
  <c r="W508" i="11"/>
  <c r="AK508" i="11"/>
  <c r="W572" i="11"/>
  <c r="AK572" i="11"/>
  <c r="W644" i="11"/>
  <c r="AK644" i="11"/>
  <c r="W13" i="11"/>
  <c r="AK13" i="11"/>
  <c r="W1242" i="11"/>
  <c r="AK1242" i="11"/>
  <c r="W1370" i="11"/>
  <c r="AK1370" i="11"/>
  <c r="W1386" i="11"/>
  <c r="AK1386" i="11"/>
  <c r="W1394" i="11"/>
  <c r="AK1394" i="11"/>
  <c r="W1402" i="11"/>
  <c r="AK1402" i="11"/>
  <c r="W1410" i="11"/>
  <c r="AK1410" i="11"/>
  <c r="W1426" i="11"/>
  <c r="AK1426" i="11"/>
  <c r="W1434" i="11"/>
  <c r="AK1434" i="11"/>
  <c r="W1442" i="11"/>
  <c r="AK1442" i="11"/>
  <c r="W1450" i="11"/>
  <c r="AK1450" i="11"/>
  <c r="W1458" i="11"/>
  <c r="AK1458" i="11"/>
  <c r="W1474" i="11"/>
  <c r="AK1474" i="11"/>
  <c r="W1482" i="11"/>
  <c r="AK1482" i="11"/>
  <c r="W1490" i="11"/>
  <c r="AK1490" i="11"/>
  <c r="W1498" i="11"/>
  <c r="AK1498" i="11"/>
  <c r="W1506" i="11"/>
  <c r="AK1506" i="11"/>
  <c r="W1514" i="11"/>
  <c r="AK1514" i="11"/>
  <c r="W15" i="11"/>
  <c r="AK15" i="11"/>
  <c r="W23" i="11"/>
  <c r="AK23" i="11"/>
  <c r="W31" i="11"/>
  <c r="AK31" i="11"/>
  <c r="W39" i="11"/>
  <c r="AK39" i="11"/>
  <c r="W47" i="11"/>
  <c r="AK47" i="11"/>
  <c r="W55" i="11"/>
  <c r="AK55" i="11"/>
  <c r="W63" i="11"/>
  <c r="AK63" i="11"/>
  <c r="W71" i="11"/>
  <c r="AK71" i="11"/>
  <c r="W79" i="11"/>
  <c r="AK79" i="11"/>
  <c r="W87" i="11"/>
  <c r="AK87" i="11"/>
  <c r="W95" i="11"/>
  <c r="AK95" i="11"/>
  <c r="W103" i="11"/>
  <c r="AK103" i="11"/>
  <c r="W111" i="11"/>
  <c r="AK111" i="11"/>
  <c r="W119" i="11"/>
  <c r="AK119" i="11"/>
  <c r="W127" i="11"/>
  <c r="AK127" i="11"/>
  <c r="W135" i="11"/>
  <c r="AK135" i="11"/>
  <c r="W151" i="11"/>
  <c r="AK151" i="11"/>
  <c r="W159" i="11"/>
  <c r="AK159" i="11"/>
  <c r="W167" i="11"/>
  <c r="AK167" i="11"/>
  <c r="W183" i="11"/>
  <c r="AK183" i="11"/>
  <c r="W191" i="11"/>
  <c r="AK191" i="11"/>
  <c r="W199" i="11"/>
  <c r="AK199" i="11"/>
  <c r="W207" i="11"/>
  <c r="AK207" i="11"/>
  <c r="W215" i="11"/>
  <c r="AK215" i="11"/>
  <c r="W223" i="11"/>
  <c r="AK223" i="11"/>
  <c r="W239" i="11"/>
  <c r="AK239" i="11"/>
  <c r="W247" i="11"/>
  <c r="AK247" i="11"/>
  <c r="W255" i="11"/>
  <c r="AK255" i="11"/>
  <c r="W263" i="11"/>
  <c r="AK263" i="11"/>
  <c r="W271" i="11"/>
  <c r="AK271" i="11"/>
  <c r="W279" i="11"/>
  <c r="AK279" i="11"/>
  <c r="W287" i="11"/>
  <c r="AK287" i="11"/>
  <c r="W295" i="11"/>
  <c r="AK295" i="11"/>
  <c r="W303" i="11"/>
  <c r="AK303" i="11"/>
  <c r="W311" i="11"/>
  <c r="AK311" i="11"/>
  <c r="W319" i="11"/>
  <c r="AK319" i="11"/>
  <c r="W335" i="11"/>
  <c r="AK335" i="11"/>
  <c r="W343" i="11"/>
  <c r="AK343" i="11"/>
  <c r="W351" i="11"/>
  <c r="AK351" i="11"/>
  <c r="W359" i="11"/>
  <c r="AK359" i="11"/>
  <c r="W367" i="11"/>
  <c r="AK367" i="11"/>
  <c r="W375" i="11"/>
  <c r="AK375" i="11"/>
  <c r="W383" i="11"/>
  <c r="AK383" i="11"/>
  <c r="W391" i="11"/>
  <c r="AK391" i="11"/>
  <c r="W399" i="11"/>
  <c r="AK399" i="11"/>
  <c r="W407" i="11"/>
  <c r="AK407" i="11"/>
  <c r="W415" i="11"/>
  <c r="AK415" i="11"/>
  <c r="W423" i="11"/>
  <c r="AK423" i="11"/>
  <c r="W431" i="11"/>
  <c r="AK431" i="11"/>
  <c r="W439" i="11"/>
  <c r="AK439" i="11"/>
  <c r="W447" i="11"/>
  <c r="AK447" i="11"/>
  <c r="W455" i="11"/>
  <c r="AK455" i="11"/>
  <c r="W463" i="11"/>
  <c r="AK463" i="11"/>
  <c r="W471" i="11"/>
  <c r="AK471" i="11"/>
  <c r="W479" i="11"/>
  <c r="AK479" i="11"/>
  <c r="W487" i="11"/>
  <c r="AK487" i="11"/>
  <c r="W495" i="11"/>
  <c r="AK495" i="11"/>
  <c r="W503" i="11"/>
  <c r="AK503" i="11"/>
  <c r="W511" i="11"/>
  <c r="AK511" i="11"/>
  <c r="W519" i="11"/>
  <c r="AK519" i="11"/>
  <c r="W527" i="11"/>
  <c r="AK527" i="11"/>
  <c r="W535" i="11"/>
  <c r="AK535" i="11"/>
  <c r="W543" i="11"/>
  <c r="AK543" i="11"/>
  <c r="W551" i="11"/>
  <c r="AK551" i="11"/>
  <c r="W567" i="11"/>
  <c r="AK567" i="11"/>
  <c r="W583" i="11"/>
  <c r="AK583" i="11"/>
  <c r="W148" i="11"/>
  <c r="AK148" i="11"/>
  <c r="W204" i="11"/>
  <c r="AK204" i="11"/>
  <c r="W260" i="11"/>
  <c r="AK260" i="11"/>
  <c r="W444" i="11"/>
  <c r="AK444" i="11"/>
  <c r="W604" i="11"/>
  <c r="AK604" i="11"/>
  <c r="W660" i="11"/>
  <c r="AK660" i="11"/>
  <c r="W1258" i="11"/>
  <c r="AK1258" i="11"/>
  <c r="W1015" i="11"/>
  <c r="AK1015" i="11"/>
  <c r="W84" i="11"/>
  <c r="AK84" i="11"/>
  <c r="W180" i="11"/>
  <c r="AK180" i="11"/>
  <c r="W500" i="11"/>
  <c r="AK500" i="11"/>
  <c r="W596" i="11"/>
  <c r="AK596" i="11"/>
  <c r="W636" i="11"/>
  <c r="AK636" i="11"/>
  <c r="W652" i="11"/>
  <c r="AK652" i="11"/>
  <c r="W1029" i="11"/>
  <c r="AK1029" i="11"/>
  <c r="W1165" i="11"/>
  <c r="AK1165" i="11"/>
  <c r="W10" i="11"/>
  <c r="AK10" i="11"/>
  <c r="W1031" i="11"/>
  <c r="AK1031" i="11"/>
  <c r="W1087" i="11"/>
  <c r="AK1087" i="11"/>
  <c r="W1207" i="11"/>
  <c r="AK1207" i="11"/>
  <c r="W28" i="11"/>
  <c r="AK28" i="11"/>
  <c r="W52" i="11"/>
  <c r="AK52" i="11"/>
  <c r="W100" i="11"/>
  <c r="AK100" i="11"/>
  <c r="W116" i="11"/>
  <c r="AK116" i="11"/>
  <c r="W132" i="11"/>
  <c r="AK132" i="11"/>
  <c r="W196" i="11"/>
  <c r="AK196" i="11"/>
  <c r="W236" i="11"/>
  <c r="AK236" i="11"/>
  <c r="W268" i="11"/>
  <c r="AK268" i="11"/>
  <c r="W292" i="11"/>
  <c r="AK292" i="11"/>
  <c r="W308" i="11"/>
  <c r="AK308" i="11"/>
  <c r="W388" i="11"/>
  <c r="AK388" i="11"/>
  <c r="W412" i="11"/>
  <c r="AK412" i="11"/>
  <c r="W492" i="11"/>
  <c r="AK492" i="11"/>
  <c r="W1058" i="11"/>
  <c r="AK1058" i="11"/>
  <c r="W1074" i="11"/>
  <c r="AK1074" i="11"/>
  <c r="W1122" i="11"/>
  <c r="AK1122" i="11"/>
  <c r="W1138" i="11"/>
  <c r="AK1138" i="11"/>
  <c r="W1154" i="11"/>
  <c r="AK1154" i="11"/>
  <c r="W1170" i="11"/>
  <c r="AK1170" i="11"/>
  <c r="W1202" i="11"/>
  <c r="AK1202" i="11"/>
  <c r="W1218" i="11"/>
  <c r="AK1218" i="11"/>
  <c r="W1234" i="11"/>
  <c r="AK1234" i="11"/>
  <c r="W1250" i="11"/>
  <c r="AK1250" i="11"/>
  <c r="W1314" i="11"/>
  <c r="AK1314" i="11"/>
  <c r="W1013" i="11"/>
  <c r="AK1013" i="11"/>
  <c r="W1117" i="11"/>
  <c r="AK1117" i="11"/>
  <c r="W1205" i="11"/>
  <c r="AK1205" i="11"/>
  <c r="W1245" i="11"/>
  <c r="AK1245" i="11"/>
  <c r="W1309" i="11"/>
  <c r="AK1309" i="11"/>
  <c r="W1325" i="11"/>
  <c r="AK1325" i="11"/>
  <c r="W1357" i="11"/>
  <c r="AK1357" i="11"/>
  <c r="W26" i="11"/>
  <c r="AK26" i="11"/>
  <c r="W74" i="11"/>
  <c r="AK74" i="11"/>
  <c r="W122" i="11"/>
  <c r="AK122" i="11"/>
  <c r="W274" i="11"/>
  <c r="AK274" i="11"/>
  <c r="W290" i="11"/>
  <c r="AK290" i="11"/>
  <c r="W306" i="11"/>
  <c r="AK306" i="11"/>
  <c r="W330" i="11"/>
  <c r="AK330" i="11"/>
  <c r="W378" i="11"/>
  <c r="AK378" i="11"/>
  <c r="W402" i="11"/>
  <c r="AK402" i="11"/>
  <c r="W418" i="11"/>
  <c r="AK418" i="11"/>
  <c r="W466" i="11"/>
  <c r="AK466" i="11"/>
  <c r="W490" i="11"/>
  <c r="AK490" i="11"/>
  <c r="W506" i="11"/>
  <c r="AK506" i="11"/>
  <c r="W514" i="11"/>
  <c r="AK514" i="11"/>
  <c r="W538" i="11"/>
  <c r="AK538" i="11"/>
  <c r="W546" i="11"/>
  <c r="AK546" i="11"/>
  <c r="W570" i="11"/>
  <c r="AK570" i="11"/>
  <c r="W586" i="11"/>
  <c r="AK586" i="11"/>
  <c r="W610" i="11"/>
  <c r="AK610" i="11"/>
  <c r="W650" i="11"/>
  <c r="AK650" i="11"/>
  <c r="W674" i="11"/>
  <c r="AK674" i="11"/>
  <c r="W682" i="11"/>
  <c r="AK682" i="11"/>
  <c r="W730" i="11"/>
  <c r="AK730" i="11"/>
  <c r="W1056" i="11"/>
  <c r="AK1056" i="11"/>
  <c r="W1072" i="11"/>
  <c r="AK1072" i="11"/>
  <c r="W1088" i="11"/>
  <c r="AK1088" i="11"/>
  <c r="W1104" i="11"/>
  <c r="AK1104" i="11"/>
  <c r="W1112" i="11"/>
  <c r="AK1112" i="11"/>
  <c r="W1152" i="11"/>
  <c r="AK1152" i="11"/>
  <c r="W1200" i="11"/>
  <c r="AK1200" i="11"/>
  <c r="W1232" i="11"/>
  <c r="AK1232" i="11"/>
  <c r="W1256" i="11"/>
  <c r="AK1256" i="11"/>
  <c r="W1272" i="11"/>
  <c r="AK1272" i="11"/>
  <c r="W1288" i="11"/>
  <c r="AK1288" i="11"/>
  <c r="W1296" i="11"/>
  <c r="AK1296" i="11"/>
  <c r="W1312" i="11"/>
  <c r="AK1312" i="11"/>
  <c r="W1320" i="11"/>
  <c r="AK1320" i="11"/>
  <c r="W1360" i="11"/>
  <c r="AK1360" i="11"/>
  <c r="W1384" i="11"/>
  <c r="AK1384" i="11"/>
  <c r="W1416" i="11"/>
  <c r="AK1416" i="11"/>
  <c r="W1432" i="11"/>
  <c r="AK1432" i="11"/>
  <c r="W1440" i="11"/>
  <c r="AK1440" i="11"/>
  <c r="W1464" i="11"/>
  <c r="AK1464" i="11"/>
  <c r="W1480" i="11"/>
  <c r="AK1480" i="11"/>
  <c r="W1496" i="11"/>
  <c r="AK1496" i="11"/>
  <c r="W1520" i="11"/>
  <c r="AK1520" i="11"/>
  <c r="W173" i="11"/>
  <c r="AK173" i="11"/>
  <c r="W181" i="11"/>
  <c r="AK181" i="11"/>
  <c r="W197" i="11"/>
  <c r="AK197" i="11"/>
  <c r="W14" i="11"/>
  <c r="AK14" i="11"/>
  <c r="W1011" i="11"/>
  <c r="AK1011" i="11"/>
  <c r="W1019" i="11"/>
  <c r="AK1019" i="11"/>
  <c r="W1027" i="11"/>
  <c r="AK1027" i="11"/>
  <c r="W1043" i="11"/>
  <c r="AK1043" i="11"/>
  <c r="W1051" i="11"/>
  <c r="AK1051" i="11"/>
  <c r="W1059" i="11"/>
  <c r="AK1059" i="11"/>
  <c r="W1067" i="11"/>
  <c r="AK1067" i="11"/>
  <c r="W1075" i="11"/>
  <c r="AK1075" i="11"/>
  <c r="W1083" i="11"/>
  <c r="AK1083" i="11"/>
  <c r="W1091" i="11"/>
  <c r="AK1091" i="11"/>
  <c r="W1099" i="11"/>
  <c r="AK1099" i="11"/>
  <c r="W1107" i="11"/>
  <c r="AK1107" i="11"/>
  <c r="W1115" i="11"/>
  <c r="AK1115" i="11"/>
  <c r="W1123" i="11"/>
  <c r="AK1123" i="11"/>
  <c r="W1131" i="11"/>
  <c r="AK1131" i="11"/>
  <c r="W1139" i="11"/>
  <c r="AK1139" i="11"/>
  <c r="W1147" i="11"/>
  <c r="AK1147" i="11"/>
  <c r="W1155" i="11"/>
  <c r="AK1155" i="11"/>
  <c r="W1163" i="11"/>
  <c r="AK1163" i="11"/>
  <c r="W1171" i="11"/>
  <c r="AK1171" i="11"/>
  <c r="W1179" i="11"/>
  <c r="AK1179" i="11"/>
  <c r="W1187" i="11"/>
  <c r="AK1187" i="11"/>
  <c r="W1195" i="11"/>
  <c r="AK1195" i="11"/>
  <c r="W1203" i="11"/>
  <c r="AK1203" i="11"/>
  <c r="W1211" i="11"/>
  <c r="AK1211" i="11"/>
  <c r="W1219" i="11"/>
  <c r="AK1219" i="11"/>
  <c r="W1227" i="11"/>
  <c r="AK1227" i="11"/>
  <c r="W1235" i="11"/>
  <c r="AK1235" i="11"/>
  <c r="W1243" i="11"/>
  <c r="AK1243" i="11"/>
  <c r="W1251" i="11"/>
  <c r="AK1251" i="11"/>
  <c r="W1259" i="11"/>
  <c r="AK1259" i="11"/>
  <c r="W1267" i="11"/>
  <c r="AK1267" i="11"/>
  <c r="W1275" i="11"/>
  <c r="AK1275" i="11"/>
  <c r="W1283" i="11"/>
  <c r="AK1283" i="11"/>
  <c r="W1291" i="11"/>
  <c r="AK1291" i="11"/>
  <c r="W1299" i="11"/>
  <c r="AK1299" i="11"/>
  <c r="W1307" i="11"/>
  <c r="AK1307" i="11"/>
  <c r="W1315" i="11"/>
  <c r="AK1315" i="11"/>
  <c r="W1323" i="11"/>
  <c r="AK1323" i="11"/>
  <c r="W1331" i="11"/>
  <c r="AK1331" i="11"/>
  <c r="W1339" i="11"/>
  <c r="AK1339" i="11"/>
  <c r="W1347" i="11"/>
  <c r="AK1347" i="11"/>
  <c r="W1355" i="11"/>
  <c r="AK1355" i="11"/>
  <c r="W1363" i="11"/>
  <c r="AK1363" i="11"/>
  <c r="W1371" i="11"/>
  <c r="AK1371" i="11"/>
  <c r="W1379" i="11"/>
  <c r="AK1379" i="11"/>
  <c r="W1451" i="11"/>
  <c r="AK1451" i="11"/>
  <c r="W1459" i="11"/>
  <c r="AK1459" i="11"/>
  <c r="W1467" i="11"/>
  <c r="AK1467" i="11"/>
  <c r="W1475" i="11"/>
  <c r="AK1475" i="11"/>
  <c r="W1483" i="11"/>
  <c r="AK1483" i="11"/>
  <c r="W1491" i="11"/>
  <c r="AK1491" i="11"/>
  <c r="W1499" i="11"/>
  <c r="AK1499" i="11"/>
  <c r="W1507" i="11"/>
  <c r="AK1507" i="11"/>
  <c r="W1515" i="11"/>
  <c r="AK1515" i="11"/>
  <c r="W16" i="11"/>
  <c r="AK16" i="11"/>
  <c r="W24" i="11"/>
  <c r="AK24" i="11"/>
  <c r="W32" i="11"/>
  <c r="AK32" i="11"/>
  <c r="W40" i="11"/>
  <c r="AK40" i="11"/>
  <c r="W48" i="11"/>
  <c r="AK48" i="11"/>
  <c r="W56" i="11"/>
  <c r="AK56" i="11"/>
  <c r="W64" i="11"/>
  <c r="AK64" i="11"/>
  <c r="W72" i="11"/>
  <c r="AK72" i="11"/>
  <c r="W80" i="11"/>
  <c r="AK80" i="11"/>
  <c r="W88" i="11"/>
  <c r="AK88" i="11"/>
  <c r="W96" i="11"/>
  <c r="AK96" i="11"/>
  <c r="W104" i="11"/>
  <c r="AK104" i="11"/>
  <c r="W112" i="11"/>
  <c r="AK112" i="11"/>
  <c r="W120" i="11"/>
  <c r="AK120" i="11"/>
  <c r="W128" i="11"/>
  <c r="AK128" i="11"/>
  <c r="W136" i="11"/>
  <c r="AK136" i="11"/>
  <c r="W144" i="11"/>
  <c r="AK144" i="11"/>
  <c r="W152" i="11"/>
  <c r="AK152" i="11"/>
  <c r="W160" i="11"/>
  <c r="AK160" i="11"/>
  <c r="W168" i="11"/>
  <c r="AK168" i="11"/>
  <c r="W176" i="11"/>
  <c r="AK176" i="11"/>
  <c r="W184" i="11"/>
  <c r="AK184" i="11"/>
  <c r="W192" i="11"/>
  <c r="AK192" i="11"/>
  <c r="W200" i="11"/>
  <c r="AK200" i="11"/>
  <c r="W208" i="11"/>
  <c r="AK208" i="11"/>
  <c r="W216" i="11"/>
  <c r="AK216" i="11"/>
  <c r="W224" i="11"/>
  <c r="AK224" i="11"/>
  <c r="W232" i="11"/>
  <c r="AK232" i="11"/>
  <c r="W240" i="11"/>
  <c r="AK240" i="11"/>
  <c r="W248" i="11"/>
  <c r="AK248" i="11"/>
  <c r="W256" i="11"/>
  <c r="AK256" i="11"/>
  <c r="W264" i="11"/>
  <c r="AK264" i="11"/>
  <c r="W272" i="11"/>
  <c r="AK272" i="11"/>
  <c r="W280" i="11"/>
  <c r="AK280" i="11"/>
  <c r="W288" i="11"/>
  <c r="AK288" i="11"/>
  <c r="W296" i="11"/>
  <c r="AK296" i="11"/>
  <c r="W304" i="11"/>
  <c r="AK304" i="11"/>
  <c r="W312" i="11"/>
  <c r="AK312" i="11"/>
  <c r="W320" i="11"/>
  <c r="AK320" i="11"/>
  <c r="W328" i="11"/>
  <c r="AK328" i="11"/>
  <c r="W336" i="11"/>
  <c r="AK336" i="11"/>
  <c r="W344" i="11"/>
  <c r="AK344" i="11"/>
  <c r="W352" i="11"/>
  <c r="AK352" i="11"/>
  <c r="W360" i="11"/>
  <c r="AK360" i="11"/>
  <c r="W368" i="11"/>
  <c r="AK368" i="11"/>
  <c r="W384" i="11"/>
  <c r="AK384" i="11"/>
  <c r="W392" i="11"/>
  <c r="AK392" i="11"/>
  <c r="W400" i="11"/>
  <c r="AK400" i="11"/>
  <c r="W416" i="11"/>
  <c r="AK416" i="11"/>
  <c r="W424" i="11"/>
  <c r="AK424" i="11"/>
  <c r="W432" i="11"/>
  <c r="AK432" i="11"/>
  <c r="W440" i="11"/>
  <c r="AK440" i="11"/>
  <c r="W448" i="11"/>
  <c r="AK448" i="11"/>
  <c r="W456" i="11"/>
  <c r="AK456" i="11"/>
  <c r="W464" i="11"/>
  <c r="AK464" i="11"/>
  <c r="W472" i="11"/>
  <c r="AK472" i="11"/>
  <c r="W480" i="11"/>
  <c r="AK480" i="11"/>
  <c r="W1023" i="11"/>
  <c r="AK1023" i="11"/>
  <c r="W1063" i="11"/>
  <c r="AK1063" i="11"/>
  <c r="W1079" i="11"/>
  <c r="AK1079" i="11"/>
  <c r="W1135" i="11"/>
  <c r="AK1135" i="11"/>
  <c r="W1151" i="11"/>
  <c r="AK1151" i="11"/>
  <c r="W1167" i="11"/>
  <c r="AK1167" i="11"/>
  <c r="W44" i="11"/>
  <c r="AK44" i="11"/>
  <c r="W92" i="11"/>
  <c r="AK92" i="11"/>
  <c r="W108" i="11"/>
  <c r="AK108" i="11"/>
  <c r="W156" i="11"/>
  <c r="AK156" i="11"/>
  <c r="W188" i="11"/>
  <c r="AK188" i="11"/>
  <c r="W212" i="11"/>
  <c r="AK212" i="11"/>
  <c r="W228" i="11"/>
  <c r="AK228" i="11"/>
  <c r="W244" i="11"/>
  <c r="AK244" i="11"/>
  <c r="W276" i="11"/>
  <c r="AK276" i="11"/>
  <c r="W324" i="11"/>
  <c r="AK324" i="11"/>
  <c r="W340" i="11"/>
  <c r="AK340" i="11"/>
  <c r="W356" i="11"/>
  <c r="AK356" i="11"/>
  <c r="W372" i="11"/>
  <c r="AK372" i="11"/>
  <c r="W404" i="11"/>
  <c r="AK404" i="11"/>
  <c r="W476" i="11"/>
  <c r="AK476" i="11"/>
  <c r="W540" i="11"/>
  <c r="AK540" i="11"/>
  <c r="W556" i="11"/>
  <c r="AK556" i="11"/>
  <c r="W588" i="11"/>
  <c r="AK588" i="11"/>
  <c r="W1042" i="11"/>
  <c r="AK1042" i="11"/>
  <c r="W1130" i="11"/>
  <c r="AK1130" i="11"/>
  <c r="W1186" i="11"/>
  <c r="AK1186" i="11"/>
  <c r="W1298" i="11"/>
  <c r="AK1298" i="11"/>
  <c r="W1322" i="11"/>
  <c r="AK1322" i="11"/>
  <c r="W1221" i="11"/>
  <c r="AK1221" i="11"/>
  <c r="W1237" i="11"/>
  <c r="AK1237" i="11"/>
  <c r="W1261" i="11"/>
  <c r="AK1261" i="11"/>
  <c r="W1269" i="11"/>
  <c r="AK1269" i="11"/>
  <c r="W1285" i="11"/>
  <c r="AK1285" i="11"/>
  <c r="W1397" i="11"/>
  <c r="AK1397" i="11"/>
  <c r="W34" i="11"/>
  <c r="AK34" i="11"/>
  <c r="W50" i="11"/>
  <c r="AK50" i="11"/>
  <c r="W82" i="11"/>
  <c r="AK82" i="11"/>
  <c r="W114" i="11"/>
  <c r="AK114" i="11"/>
  <c r="W146" i="11"/>
  <c r="AK146" i="11"/>
  <c r="W186" i="11"/>
  <c r="AK186" i="11"/>
  <c r="W194" i="11"/>
  <c r="AK194" i="11"/>
  <c r="W210" i="11"/>
  <c r="AK210" i="11"/>
  <c r="W226" i="11"/>
  <c r="AK226" i="11"/>
  <c r="W282" i="11"/>
  <c r="AK282" i="11"/>
  <c r="W354" i="11"/>
  <c r="AK354" i="11"/>
  <c r="W362" i="11"/>
  <c r="AK362" i="11"/>
  <c r="W394" i="11"/>
  <c r="AK394" i="11"/>
  <c r="W426" i="11"/>
  <c r="AK426" i="11"/>
  <c r="W434" i="11"/>
  <c r="AK434" i="11"/>
  <c r="W442" i="11"/>
  <c r="AK442" i="11"/>
  <c r="W458" i="11"/>
  <c r="AK458" i="11"/>
  <c r="W474" i="11"/>
  <c r="AK474" i="11"/>
  <c r="W498" i="11"/>
  <c r="AK498" i="11"/>
  <c r="W522" i="11"/>
  <c r="AK522" i="11"/>
  <c r="W554" i="11"/>
  <c r="AK554" i="11"/>
  <c r="W562" i="11"/>
  <c r="AK562" i="11"/>
  <c r="W578" i="11"/>
  <c r="AK578" i="11"/>
  <c r="W602" i="11"/>
  <c r="AK602" i="11"/>
  <c r="W626" i="11"/>
  <c r="AK626" i="11"/>
  <c r="W642" i="11"/>
  <c r="AK642" i="11"/>
  <c r="W690" i="11"/>
  <c r="AK690" i="11"/>
  <c r="W706" i="11"/>
  <c r="AK706" i="11"/>
  <c r="W722" i="11"/>
  <c r="AK722" i="11"/>
  <c r="W1016" i="11"/>
  <c r="AK1016" i="11"/>
  <c r="W1032" i="11"/>
  <c r="AK1032" i="11"/>
  <c r="W1040" i="11"/>
  <c r="AK1040" i="11"/>
  <c r="W1064" i="11"/>
  <c r="AK1064" i="11"/>
  <c r="W1096" i="11"/>
  <c r="AK1096" i="11"/>
  <c r="W1136" i="11"/>
  <c r="AK1136" i="11"/>
  <c r="W1160" i="11"/>
  <c r="AK1160" i="11"/>
  <c r="W1168" i="11"/>
  <c r="AK1168" i="11"/>
  <c r="W1216" i="11"/>
  <c r="AK1216" i="11"/>
  <c r="W1224" i="11"/>
  <c r="AK1224" i="11"/>
  <c r="W1240" i="11"/>
  <c r="AK1240" i="11"/>
  <c r="W1280" i="11"/>
  <c r="AK1280" i="11"/>
  <c r="W1328" i="11"/>
  <c r="AK1328" i="11"/>
  <c r="W1336" i="11"/>
  <c r="AK1336" i="11"/>
  <c r="W1344" i="11"/>
  <c r="AK1344" i="11"/>
  <c r="W1352" i="11"/>
  <c r="AK1352" i="11"/>
  <c r="W1368" i="11"/>
  <c r="AK1368" i="11"/>
  <c r="W1376" i="11"/>
  <c r="AK1376" i="11"/>
  <c r="W1408" i="11"/>
  <c r="AK1408" i="11"/>
  <c r="W1448" i="11"/>
  <c r="AK1448" i="11"/>
  <c r="W165" i="11"/>
  <c r="AK165" i="11"/>
  <c r="W189" i="11"/>
  <c r="AK189" i="11"/>
  <c r="W205" i="11"/>
  <c r="AK205" i="11"/>
  <c r="W6" i="11"/>
  <c r="AK6" i="11"/>
  <c r="W9" i="11"/>
  <c r="AK9" i="11"/>
  <c r="W1014" i="11"/>
  <c r="AK1014" i="11"/>
  <c r="W1022" i="11"/>
  <c r="AK1022" i="11"/>
  <c r="W1038" i="11"/>
  <c r="AK1038" i="11"/>
  <c r="W1070" i="11"/>
  <c r="AK1070" i="11"/>
  <c r="W1078" i="11"/>
  <c r="AK1078" i="11"/>
  <c r="W1086" i="11"/>
  <c r="AK1086" i="11"/>
  <c r="W1094" i="11"/>
  <c r="AK1094" i="11"/>
  <c r="W1102" i="11"/>
  <c r="AK1102" i="11"/>
  <c r="W1110" i="11"/>
  <c r="AK1110" i="11"/>
  <c r="W1118" i="11"/>
  <c r="AK1118" i="11"/>
  <c r="W1126" i="11"/>
  <c r="AK1126" i="11"/>
  <c r="W1134" i="11"/>
  <c r="AK1134" i="11"/>
  <c r="W1142" i="11"/>
  <c r="AK1142" i="11"/>
  <c r="W1150" i="11"/>
  <c r="AK1150" i="11"/>
  <c r="W1158" i="11"/>
  <c r="AK1158" i="11"/>
  <c r="W1166" i="11"/>
  <c r="AK1166" i="11"/>
  <c r="W1174" i="11"/>
  <c r="AK1174" i="11"/>
  <c r="W1182" i="11"/>
  <c r="AK1182" i="11"/>
  <c r="W1190" i="11"/>
  <c r="AK1190" i="11"/>
  <c r="W1198" i="11"/>
  <c r="AK1198" i="11"/>
  <c r="W1206" i="11"/>
  <c r="AK1206" i="11"/>
  <c r="W1214" i="11"/>
  <c r="AK1214" i="11"/>
  <c r="W1222" i="11"/>
  <c r="AK1222" i="11"/>
  <c r="W1230" i="11"/>
  <c r="AK1230" i="11"/>
  <c r="W1238" i="11"/>
  <c r="AK1238" i="11"/>
  <c r="W1246" i="11"/>
  <c r="AK1246" i="11"/>
  <c r="W1254" i="11"/>
  <c r="AK1254" i="11"/>
  <c r="U1262" i="11"/>
  <c r="U1270" i="11"/>
  <c r="U1278" i="11"/>
  <c r="U1286" i="11"/>
  <c r="U1294" i="11"/>
  <c r="U1302" i="11"/>
  <c r="U1310" i="11"/>
  <c r="U1318" i="11"/>
  <c r="U1326" i="11"/>
  <c r="U1334" i="11"/>
  <c r="U1342" i="11"/>
  <c r="U1350" i="11"/>
  <c r="U1358" i="11"/>
  <c r="U1366" i="11"/>
  <c r="U1374" i="11"/>
  <c r="U1382" i="11"/>
  <c r="U1390" i="11"/>
  <c r="U1398" i="11"/>
  <c r="U1414" i="11"/>
  <c r="U1422" i="11"/>
  <c r="U1430" i="11"/>
  <c r="U1438" i="11"/>
  <c r="U1446" i="11"/>
  <c r="U1454" i="11"/>
  <c r="U1462" i="11"/>
  <c r="U1470" i="11"/>
  <c r="U1478" i="11"/>
  <c r="U1486" i="11"/>
  <c r="U1494" i="11"/>
  <c r="U1502" i="11"/>
  <c r="U1510" i="11"/>
  <c r="U1518" i="11"/>
  <c r="W19" i="11"/>
  <c r="AK19" i="11"/>
  <c r="W27" i="11"/>
  <c r="AK27" i="11"/>
  <c r="W35" i="11"/>
  <c r="AK35" i="11"/>
  <c r="W43" i="11"/>
  <c r="AK43" i="11"/>
  <c r="W59" i="11"/>
  <c r="AK59" i="11"/>
  <c r="W67" i="11"/>
  <c r="AK67" i="11"/>
  <c r="W75" i="11"/>
  <c r="AK75" i="11"/>
  <c r="W83" i="11"/>
  <c r="AK83" i="11"/>
  <c r="W91" i="11"/>
  <c r="AK91" i="11"/>
  <c r="W99" i="11"/>
  <c r="AK99" i="11"/>
  <c r="W107" i="11"/>
  <c r="AK107" i="11"/>
  <c r="W115" i="11"/>
  <c r="AK115" i="11"/>
  <c r="W123" i="11"/>
  <c r="AK123" i="11"/>
  <c r="W131" i="11"/>
  <c r="AK131" i="11"/>
  <c r="W139" i="11"/>
  <c r="AK139" i="11"/>
  <c r="W163" i="11"/>
  <c r="AK163" i="11"/>
  <c r="W179" i="11"/>
  <c r="AK179" i="11"/>
  <c r="W195" i="11"/>
  <c r="AK195" i="11"/>
  <c r="W203" i="11"/>
  <c r="AK203" i="11"/>
  <c r="W219" i="11"/>
  <c r="AK219" i="11"/>
  <c r="W227" i="11"/>
  <c r="AK227" i="11"/>
  <c r="W235" i="11"/>
  <c r="AK235" i="11"/>
  <c r="W243" i="11"/>
  <c r="AK243" i="11"/>
  <c r="W251" i="11"/>
  <c r="AK251" i="11"/>
  <c r="W259" i="11"/>
  <c r="AK259" i="11"/>
  <c r="W267" i="11"/>
  <c r="AK267" i="11"/>
  <c r="W275" i="11"/>
  <c r="AK275" i="11"/>
  <c r="W283" i="11"/>
  <c r="AK283" i="11"/>
  <c r="W291" i="11"/>
  <c r="AK291" i="11"/>
  <c r="W299" i="11"/>
  <c r="AK299" i="11"/>
  <c r="W323" i="11"/>
  <c r="AK323" i="11"/>
  <c r="W331" i="11"/>
  <c r="AK331" i="11"/>
  <c r="W339" i="11"/>
  <c r="AK339" i="11"/>
  <c r="W347" i="11"/>
  <c r="AK347" i="11"/>
  <c r="W355" i="11"/>
  <c r="AK355" i="11"/>
  <c r="W363" i="11"/>
  <c r="AK363" i="11"/>
  <c r="W371" i="11"/>
  <c r="AK371" i="11"/>
  <c r="W379" i="11"/>
  <c r="AK379" i="11"/>
  <c r="W387" i="11"/>
  <c r="AK387" i="11"/>
  <c r="W395" i="11"/>
  <c r="AK395" i="11"/>
  <c r="W403" i="11"/>
  <c r="AK403" i="11"/>
  <c r="W411" i="11"/>
  <c r="AK411" i="11"/>
  <c r="W419" i="11"/>
  <c r="AK419" i="11"/>
  <c r="W427" i="11"/>
  <c r="AK427" i="11"/>
  <c r="W435" i="11"/>
  <c r="AK435" i="11"/>
  <c r="W443" i="11"/>
  <c r="AK443" i="11"/>
  <c r="W451" i="11"/>
  <c r="AK451" i="11"/>
  <c r="W459" i="11"/>
  <c r="AK459" i="11"/>
  <c r="W467" i="11"/>
  <c r="AK467" i="11"/>
  <c r="W475" i="11"/>
  <c r="AK475" i="11"/>
  <c r="W483" i="11"/>
  <c r="AK483" i="11"/>
  <c r="W491" i="11"/>
  <c r="AK491" i="11"/>
  <c r="W499" i="11"/>
  <c r="AK499" i="11"/>
  <c r="W507" i="11"/>
  <c r="AK507" i="11"/>
  <c r="W515" i="11"/>
  <c r="AK515" i="11"/>
  <c r="W523" i="11"/>
  <c r="AK523" i="11"/>
  <c r="W531" i="11"/>
  <c r="AK531" i="11"/>
  <c r="W539" i="11"/>
  <c r="AK539" i="11"/>
  <c r="W547" i="11"/>
  <c r="AK547" i="11"/>
  <c r="W555" i="11"/>
  <c r="AK555" i="11"/>
  <c r="W571" i="11"/>
  <c r="AK571" i="11"/>
  <c r="W579" i="11"/>
  <c r="AK579" i="11"/>
  <c r="W587" i="11"/>
  <c r="AK587" i="11"/>
  <c r="W595" i="11"/>
  <c r="AK595" i="11"/>
  <c r="W603" i="11"/>
  <c r="AK603" i="11"/>
  <c r="W611" i="11"/>
  <c r="AK611" i="11"/>
  <c r="W619" i="11"/>
  <c r="AK619" i="11"/>
  <c r="W627" i="11"/>
  <c r="AK627" i="11"/>
  <c r="W635" i="11"/>
  <c r="AK635" i="11"/>
  <c r="W643" i="11"/>
  <c r="AK643" i="11"/>
  <c r="W651" i="11"/>
  <c r="AK651" i="11"/>
  <c r="W659" i="11"/>
  <c r="AK659" i="11"/>
  <c r="W667" i="11"/>
  <c r="AK667" i="11"/>
  <c r="W675" i="11"/>
  <c r="AK675" i="11"/>
  <c r="W683" i="11"/>
  <c r="AK683" i="11"/>
  <c r="W691" i="11"/>
  <c r="AK691" i="11"/>
  <c r="W699" i="11"/>
  <c r="AK699" i="11"/>
  <c r="W707" i="11"/>
  <c r="AK707" i="11"/>
  <c r="W715" i="11"/>
  <c r="AK715" i="11"/>
  <c r="W723" i="11"/>
  <c r="AK723" i="11"/>
  <c r="W731" i="11"/>
  <c r="AK731" i="11"/>
  <c r="W739" i="11"/>
  <c r="AK739" i="11"/>
  <c r="W747" i="11"/>
  <c r="AK747" i="11"/>
  <c r="W755" i="11"/>
  <c r="AK755" i="11"/>
  <c r="W763" i="11"/>
  <c r="AK763" i="11"/>
  <c r="W771" i="11"/>
  <c r="AK771" i="11"/>
  <c r="W779" i="11"/>
  <c r="AK779" i="11"/>
  <c r="W787" i="11"/>
  <c r="AK787" i="11"/>
  <c r="W795" i="11"/>
  <c r="AK795" i="11"/>
  <c r="W803" i="11"/>
  <c r="AK803" i="11"/>
  <c r="W811" i="11"/>
  <c r="AK811" i="11"/>
  <c r="W819" i="11"/>
  <c r="AK819" i="11"/>
  <c r="W827" i="11"/>
  <c r="AK827" i="11"/>
  <c r="W835" i="11"/>
  <c r="AK835" i="11"/>
  <c r="W843" i="11"/>
  <c r="AK843" i="11"/>
  <c r="W851" i="11"/>
  <c r="AK851" i="11"/>
  <c r="W859" i="11"/>
  <c r="AK859" i="11"/>
  <c r="W867" i="11"/>
  <c r="AK867" i="11"/>
  <c r="W875" i="11"/>
  <c r="AK875" i="11"/>
  <c r="W883" i="11"/>
  <c r="AK883" i="11"/>
  <c r="W891" i="11"/>
  <c r="AK891" i="11"/>
  <c r="W899" i="11"/>
  <c r="AK899" i="11"/>
  <c r="W907" i="11"/>
  <c r="AK907" i="11"/>
  <c r="W915" i="11"/>
  <c r="AK915" i="11"/>
  <c r="W923" i="11"/>
  <c r="AK923" i="11"/>
  <c r="W931" i="11"/>
  <c r="AK931" i="11"/>
  <c r="W939" i="11"/>
  <c r="AK939" i="11"/>
  <c r="W947" i="11"/>
  <c r="AK947" i="11"/>
  <c r="W955" i="11"/>
  <c r="AK955" i="11"/>
  <c r="W963" i="11"/>
  <c r="AK963" i="11"/>
  <c r="W971" i="11"/>
  <c r="AK971" i="11"/>
  <c r="W1055" i="11"/>
  <c r="AK1055" i="11"/>
  <c r="W1071" i="11"/>
  <c r="AK1071" i="11"/>
  <c r="W1095" i="11"/>
  <c r="AK1095" i="11"/>
  <c r="W1111" i="11"/>
  <c r="AK1111" i="11"/>
  <c r="W1127" i="11"/>
  <c r="AK1127" i="11"/>
  <c r="W1143" i="11"/>
  <c r="AK1143" i="11"/>
  <c r="W1159" i="11"/>
  <c r="AK1159" i="11"/>
  <c r="W1199" i="11"/>
  <c r="AK1199" i="11"/>
  <c r="W68" i="11"/>
  <c r="AK68" i="11"/>
  <c r="W172" i="11"/>
  <c r="AK172" i="11"/>
  <c r="W252" i="11"/>
  <c r="AK252" i="11"/>
  <c r="W284" i="11"/>
  <c r="AK284" i="11"/>
  <c r="W300" i="11"/>
  <c r="AK300" i="11"/>
  <c r="W436" i="11"/>
  <c r="AK436" i="11"/>
  <c r="W460" i="11"/>
  <c r="AK460" i="11"/>
  <c r="W484" i="11"/>
  <c r="AK484" i="11"/>
  <c r="W516" i="11"/>
  <c r="AK516" i="11"/>
  <c r="W532" i="11"/>
  <c r="AK532" i="11"/>
  <c r="W580" i="11"/>
  <c r="AK580" i="11"/>
  <c r="W5" i="11"/>
  <c r="AK5" i="11"/>
  <c r="W1082" i="11"/>
  <c r="AK1082" i="11"/>
  <c r="W1098" i="11"/>
  <c r="AK1098" i="11"/>
  <c r="W1114" i="11"/>
  <c r="AK1114" i="11"/>
  <c r="W1146" i="11"/>
  <c r="AK1146" i="11"/>
  <c r="W1178" i="11"/>
  <c r="AK1178" i="11"/>
  <c r="W1210" i="11"/>
  <c r="AK1210" i="11"/>
  <c r="W1266" i="11"/>
  <c r="AK1266" i="11"/>
  <c r="W1282" i="11"/>
  <c r="AK1282" i="11"/>
  <c r="W1306" i="11"/>
  <c r="AK1306" i="11"/>
  <c r="W1338" i="11"/>
  <c r="AK1338" i="11"/>
  <c r="W1354" i="11"/>
  <c r="AK1354" i="11"/>
  <c r="W1378" i="11"/>
  <c r="AK1378" i="11"/>
  <c r="W1021" i="11"/>
  <c r="AK1021" i="11"/>
  <c r="W1037" i="11"/>
  <c r="AK1037" i="11"/>
  <c r="W1053" i="11"/>
  <c r="AK1053" i="11"/>
  <c r="W1069" i="11"/>
  <c r="AK1069" i="11"/>
  <c r="W1101" i="11"/>
  <c r="AK1101" i="11"/>
  <c r="W1197" i="11"/>
  <c r="AK1197" i="11"/>
  <c r="W1213" i="11"/>
  <c r="AK1213" i="11"/>
  <c r="W1301" i="11"/>
  <c r="AK1301" i="11"/>
  <c r="W1317" i="11"/>
  <c r="AK1317" i="11"/>
  <c r="W1341" i="11"/>
  <c r="AK1341" i="11"/>
  <c r="W1373" i="11"/>
  <c r="AK1373" i="11"/>
  <c r="W18" i="11"/>
  <c r="AK18" i="11"/>
  <c r="W58" i="11"/>
  <c r="AK58" i="11"/>
  <c r="W66" i="11"/>
  <c r="AK66" i="11"/>
  <c r="W106" i="11"/>
  <c r="AK106" i="11"/>
  <c r="W170" i="11"/>
  <c r="AK170" i="11"/>
  <c r="W178" i="11"/>
  <c r="AK178" i="11"/>
  <c r="W218" i="11"/>
  <c r="AK218" i="11"/>
  <c r="W234" i="11"/>
  <c r="AK234" i="11"/>
  <c r="W314" i="11"/>
  <c r="AK314" i="11"/>
  <c r="W338" i="11"/>
  <c r="AK338" i="11"/>
  <c r="W370" i="11"/>
  <c r="AK370" i="11"/>
  <c r="W386" i="11"/>
  <c r="AK386" i="11"/>
  <c r="W410" i="11"/>
  <c r="AK410" i="11"/>
  <c r="W450" i="11"/>
  <c r="AK450" i="11"/>
  <c r="W482" i="11"/>
  <c r="AK482" i="11"/>
  <c r="W530" i="11"/>
  <c r="AK530" i="11"/>
  <c r="W594" i="11"/>
  <c r="AK594" i="11"/>
  <c r="W618" i="11"/>
  <c r="AK618" i="11"/>
  <c r="W658" i="11"/>
  <c r="AK658" i="11"/>
  <c r="W11" i="11"/>
  <c r="AK11" i="11"/>
  <c r="W1024" i="11"/>
  <c r="AK1024" i="11"/>
  <c r="W1048" i="11"/>
  <c r="AK1048" i="11"/>
  <c r="W1080" i="11"/>
  <c r="AK1080" i="11"/>
  <c r="W1120" i="11"/>
  <c r="AK1120" i="11"/>
  <c r="W1128" i="11"/>
  <c r="AK1128" i="11"/>
  <c r="W1144" i="11"/>
  <c r="AK1144" i="11"/>
  <c r="W1176" i="11"/>
  <c r="AK1176" i="11"/>
  <c r="W1184" i="11"/>
  <c r="AK1184" i="11"/>
  <c r="W1192" i="11"/>
  <c r="AK1192" i="11"/>
  <c r="W1208" i="11"/>
  <c r="AK1208" i="11"/>
  <c r="W1248" i="11"/>
  <c r="AK1248" i="11"/>
  <c r="W1264" i="11"/>
  <c r="AK1264" i="11"/>
  <c r="W1304" i="11"/>
  <c r="AK1304" i="11"/>
  <c r="W1392" i="11"/>
  <c r="AK1392" i="11"/>
  <c r="W1400" i="11"/>
  <c r="AK1400" i="11"/>
  <c r="W1424" i="11"/>
  <c r="AK1424" i="11"/>
  <c r="W1456" i="11"/>
  <c r="AK1456" i="11"/>
  <c r="W1472" i="11"/>
  <c r="AK1472" i="11"/>
  <c r="W1488" i="11"/>
  <c r="AK1488" i="11"/>
  <c r="W1504" i="11"/>
  <c r="AK1504" i="11"/>
  <c r="W1512" i="11"/>
  <c r="AK1512" i="11"/>
  <c r="W157" i="11"/>
  <c r="AK157" i="11"/>
  <c r="W4" i="11"/>
  <c r="AK4" i="11"/>
  <c r="W12" i="11"/>
  <c r="AK12" i="11"/>
  <c r="W1025" i="11"/>
  <c r="AK1025" i="11"/>
  <c r="W1033" i="11"/>
  <c r="AK1033" i="11"/>
  <c r="W1065" i="11"/>
  <c r="AK1065" i="11"/>
  <c r="W1073" i="11"/>
  <c r="AK1073" i="11"/>
  <c r="W1081" i="11"/>
  <c r="AK1081" i="11"/>
  <c r="W1089" i="11"/>
  <c r="AK1089" i="11"/>
  <c r="W1105" i="11"/>
  <c r="AK1105" i="11"/>
  <c r="W1113" i="11"/>
  <c r="AK1113" i="11"/>
  <c r="U1121" i="11"/>
  <c r="U1137" i="11"/>
  <c r="U1145" i="11"/>
  <c r="U1153" i="11"/>
  <c r="U1169" i="11"/>
  <c r="U1177" i="11"/>
  <c r="U1185" i="11"/>
  <c r="U1201" i="11"/>
  <c r="U1209" i="11"/>
  <c r="U1217" i="11"/>
  <c r="U1225" i="11"/>
  <c r="U1233" i="11"/>
  <c r="U1241" i="11"/>
  <c r="U1249" i="11"/>
  <c r="U1257" i="11"/>
  <c r="U1265" i="11"/>
  <c r="U1273" i="11"/>
  <c r="U1281" i="11"/>
  <c r="U1289" i="11"/>
  <c r="U1297" i="11"/>
  <c r="U1305" i="11"/>
  <c r="U1313" i="11"/>
  <c r="U1321" i="11"/>
  <c r="U1329" i="11"/>
  <c r="U1337" i="11"/>
  <c r="U1345" i="11"/>
  <c r="U1353" i="11"/>
  <c r="U1361" i="11"/>
  <c r="U1369" i="11"/>
  <c r="U1377" i="11"/>
  <c r="U1385" i="11"/>
  <c r="U1393" i="11"/>
  <c r="U1401" i="11"/>
  <c r="U1409" i="11"/>
  <c r="U1417" i="11"/>
  <c r="U1425" i="11"/>
  <c r="W22" i="11"/>
  <c r="AK22" i="11"/>
  <c r="W30" i="11"/>
  <c r="AK30" i="11"/>
  <c r="W38" i="11"/>
  <c r="AK38" i="11"/>
  <c r="W46" i="11"/>
  <c r="AK46" i="11"/>
  <c r="W54" i="11"/>
  <c r="AK54" i="11"/>
  <c r="W62" i="11"/>
  <c r="AK62" i="11"/>
  <c r="W70" i="11"/>
  <c r="AK70" i="11"/>
  <c r="W78" i="11"/>
  <c r="AK78" i="11"/>
  <c r="W86" i="11"/>
  <c r="AK86" i="11"/>
  <c r="W94" i="11"/>
  <c r="AK94" i="11"/>
  <c r="W102" i="11"/>
  <c r="AK102" i="11"/>
  <c r="W110" i="11"/>
  <c r="AK110" i="11"/>
  <c r="W118" i="11"/>
  <c r="AK118" i="11"/>
  <c r="W126" i="11"/>
  <c r="AK126" i="11"/>
  <c r="W134" i="11"/>
  <c r="AK134" i="11"/>
  <c r="W142" i="11"/>
  <c r="AK142" i="11"/>
  <c r="W150" i="11"/>
  <c r="AK150" i="11"/>
  <c r="W158" i="11"/>
  <c r="AK158" i="11"/>
  <c r="W166" i="11"/>
  <c r="AK166" i="11"/>
  <c r="W174" i="11"/>
  <c r="AK174" i="11"/>
  <c r="W182" i="11"/>
  <c r="AK182" i="11"/>
  <c r="W190" i="11"/>
  <c r="AK190" i="11"/>
  <c r="W198" i="11"/>
  <c r="AK198" i="11"/>
  <c r="W206" i="11"/>
  <c r="AK206" i="11"/>
  <c r="W214" i="11"/>
  <c r="AK214" i="11"/>
  <c r="W222" i="11"/>
  <c r="AK222" i="11"/>
  <c r="W230" i="11"/>
  <c r="AK230" i="11"/>
  <c r="W238" i="11"/>
  <c r="AK238" i="11"/>
  <c r="W246" i="11"/>
  <c r="AK246" i="11"/>
  <c r="W254" i="11"/>
  <c r="AK254" i="11"/>
  <c r="W262" i="11"/>
  <c r="AK262" i="11"/>
  <c r="W270" i="11"/>
  <c r="AK270" i="11"/>
  <c r="W278" i="11"/>
  <c r="AK278" i="11"/>
  <c r="W286" i="11"/>
  <c r="AK286" i="11"/>
  <c r="W294" i="11"/>
  <c r="AK294" i="11"/>
  <c r="W302" i="11"/>
  <c r="AK302" i="11"/>
  <c r="W310" i="11"/>
  <c r="AK310" i="11"/>
  <c r="W318" i="11"/>
  <c r="AK318" i="11"/>
  <c r="W326" i="11"/>
  <c r="AK326" i="11"/>
  <c r="W334" i="11"/>
  <c r="AK334" i="11"/>
  <c r="W342" i="11"/>
  <c r="AK342" i="11"/>
  <c r="W350" i="11"/>
  <c r="AK350" i="11"/>
  <c r="W358" i="11"/>
  <c r="AK358" i="11"/>
  <c r="W366" i="11"/>
  <c r="AK366" i="11"/>
  <c r="W374" i="11"/>
  <c r="AK374" i="11"/>
  <c r="W382" i="11"/>
  <c r="AK382" i="11"/>
  <c r="W390" i="11"/>
  <c r="AK390" i="11"/>
  <c r="W398" i="11"/>
  <c r="AK398" i="11"/>
  <c r="W406" i="11"/>
  <c r="AK406" i="11"/>
  <c r="W414" i="11"/>
  <c r="AK414" i="11"/>
  <c r="W422" i="11"/>
  <c r="AK422" i="11"/>
  <c r="W430" i="11"/>
  <c r="AK430" i="11"/>
  <c r="W438" i="11"/>
  <c r="AK438" i="11"/>
  <c r="W446" i="11"/>
  <c r="AK446" i="11"/>
  <c r="W454" i="11"/>
  <c r="AK454" i="11"/>
  <c r="W462" i="11"/>
  <c r="AK462" i="11"/>
  <c r="W470" i="11"/>
  <c r="AK470" i="11"/>
  <c r="W478" i="11"/>
  <c r="AK478" i="11"/>
  <c r="W486" i="11"/>
  <c r="AK486" i="11"/>
  <c r="W494" i="11"/>
  <c r="AK494" i="11"/>
  <c r="U1433" i="11"/>
  <c r="U1441" i="11"/>
  <c r="U1449" i="11"/>
  <c r="U1457" i="11"/>
  <c r="U1465" i="11"/>
  <c r="U1473" i="11"/>
  <c r="U1481" i="11"/>
  <c r="U1489" i="11"/>
  <c r="U1497" i="11"/>
  <c r="U1505" i="11"/>
  <c r="U1513" i="11"/>
  <c r="U1521" i="11"/>
  <c r="U1215" i="11"/>
  <c r="U1223" i="11"/>
  <c r="U1231" i="11"/>
  <c r="U1239" i="11"/>
  <c r="U1247" i="11"/>
  <c r="U1255" i="11"/>
  <c r="U1263" i="11"/>
  <c r="U1271" i="11"/>
  <c r="U1279" i="11"/>
  <c r="U1287" i="11"/>
  <c r="U1295" i="11"/>
  <c r="U1303" i="11"/>
  <c r="U1311" i="11"/>
  <c r="U1319" i="11"/>
  <c r="U1327" i="11"/>
  <c r="U1335" i="11"/>
  <c r="U1343" i="11"/>
  <c r="U1351" i="11"/>
  <c r="U1359" i="11"/>
  <c r="U1367" i="11"/>
  <c r="U1375" i="11"/>
  <c r="U1383" i="11"/>
  <c r="U1391" i="11"/>
  <c r="U1399" i="11"/>
  <c r="U1407" i="11"/>
  <c r="U1415" i="11"/>
  <c r="U1423" i="11"/>
  <c r="U1431" i="11"/>
  <c r="U1439" i="11"/>
  <c r="U1447" i="11"/>
  <c r="U1455" i="11"/>
  <c r="U1463" i="11"/>
  <c r="U1471" i="11"/>
  <c r="U1479" i="11"/>
  <c r="U1487" i="11"/>
  <c r="U1495" i="11"/>
  <c r="U1503" i="11"/>
  <c r="U1511" i="11"/>
  <c r="U1519" i="11"/>
  <c r="U970" i="11"/>
  <c r="AK970" i="11" s="1"/>
  <c r="U978" i="11"/>
  <c r="AK978" i="11" s="1"/>
  <c r="U1002" i="11"/>
  <c r="U1010" i="11"/>
  <c r="U590" i="11"/>
  <c r="AK590" i="11" s="1"/>
  <c r="U147" i="11"/>
  <c r="W738" i="11"/>
  <c r="W746" i="11"/>
  <c r="W754" i="11"/>
  <c r="W762" i="11"/>
  <c r="W770" i="11"/>
  <c r="W778" i="11"/>
  <c r="W786" i="11"/>
  <c r="W802" i="11"/>
  <c r="W810" i="11"/>
  <c r="W818" i="11"/>
  <c r="W826" i="11"/>
  <c r="W834" i="11"/>
  <c r="W842" i="11"/>
  <c r="W850" i="11"/>
  <c r="W866" i="11"/>
  <c r="W874" i="11"/>
  <c r="W882" i="11"/>
  <c r="W890" i="11"/>
  <c r="W898" i="11"/>
  <c r="W906" i="11"/>
  <c r="W914" i="11"/>
  <c r="W938" i="11"/>
  <c r="W946" i="11"/>
  <c r="U990" i="11"/>
  <c r="U1097" i="11"/>
  <c r="U369" i="11"/>
  <c r="U377" i="11"/>
  <c r="U385" i="11"/>
  <c r="U393" i="11"/>
  <c r="U401" i="11"/>
  <c r="U409" i="11"/>
  <c r="U417" i="11"/>
  <c r="U425" i="11"/>
  <c r="U433" i="11"/>
  <c r="U441" i="11"/>
  <c r="U449" i="11"/>
  <c r="U457" i="11"/>
  <c r="U465" i="11"/>
  <c r="U473" i="11"/>
  <c r="U481" i="11"/>
  <c r="U489" i="11"/>
  <c r="U497" i="11"/>
  <c r="U505" i="11"/>
  <c r="U513" i="11"/>
  <c r="U521" i="11"/>
  <c r="U537" i="11"/>
  <c r="U545" i="11"/>
  <c r="U553" i="11"/>
  <c r="U561" i="11"/>
  <c r="U569" i="11"/>
  <c r="U577" i="11"/>
  <c r="U585" i="11"/>
  <c r="U593" i="11"/>
  <c r="U601" i="11"/>
  <c r="U609" i="11"/>
  <c r="U617" i="11"/>
  <c r="U625" i="11"/>
  <c r="U633" i="11"/>
  <c r="U641" i="11"/>
  <c r="U649" i="11"/>
  <c r="U657" i="11"/>
  <c r="U665" i="11"/>
  <c r="U673" i="11"/>
  <c r="U681" i="11"/>
  <c r="U689" i="11"/>
  <c r="U697" i="11"/>
  <c r="U705" i="11"/>
  <c r="U713" i="11"/>
  <c r="U721" i="11"/>
  <c r="U729" i="11"/>
  <c r="U737" i="11"/>
  <c r="U745" i="11"/>
  <c r="U753" i="11"/>
  <c r="U761" i="11"/>
  <c r="U769" i="11"/>
  <c r="U801" i="11"/>
  <c r="U809" i="11"/>
  <c r="U817" i="11"/>
  <c r="U825" i="11"/>
  <c r="U833" i="11"/>
  <c r="U841" i="11"/>
  <c r="U849" i="11"/>
  <c r="U857" i="11"/>
  <c r="U865" i="11"/>
  <c r="U873" i="11"/>
  <c r="U881" i="11"/>
  <c r="U889" i="11"/>
  <c r="U897" i="11"/>
  <c r="U905" i="11"/>
  <c r="U913" i="11"/>
  <c r="U921" i="11"/>
  <c r="U953" i="11"/>
  <c r="U961" i="11"/>
  <c r="U969" i="11"/>
  <c r="U1001" i="11"/>
  <c r="U1009" i="11"/>
  <c r="U1421" i="11"/>
  <c r="U1429" i="11"/>
  <c r="U1437" i="11"/>
  <c r="U1445" i="11"/>
  <c r="U1453" i="11"/>
  <c r="U1461" i="11"/>
  <c r="U1469" i="11"/>
  <c r="U1477" i="11"/>
  <c r="U1485" i="11"/>
  <c r="U1493" i="11"/>
  <c r="U1501" i="11"/>
  <c r="U1517" i="11"/>
  <c r="U1046" i="11"/>
  <c r="U1508" i="11"/>
  <c r="U1516" i="11"/>
  <c r="U599" i="11"/>
  <c r="U615" i="11"/>
  <c r="U623" i="11"/>
  <c r="U631" i="11"/>
  <c r="U639" i="11"/>
  <c r="U647" i="11"/>
  <c r="U655" i="11"/>
  <c r="U663" i="11"/>
  <c r="U671" i="11"/>
  <c r="U679" i="11"/>
  <c r="U687" i="11"/>
  <c r="U695" i="11"/>
  <c r="U703" i="11"/>
  <c r="U711" i="11"/>
  <c r="U719" i="11"/>
  <c r="U727" i="11"/>
  <c r="U735" i="11"/>
  <c r="U743" i="11"/>
  <c r="U751" i="11"/>
  <c r="U759" i="11"/>
  <c r="U767" i="11"/>
  <c r="U775" i="11"/>
  <c r="U783" i="11"/>
  <c r="U791" i="11"/>
  <c r="U799" i="11"/>
  <c r="U807" i="11"/>
  <c r="U815" i="11"/>
  <c r="U823" i="11"/>
  <c r="U831" i="11"/>
  <c r="U983" i="11"/>
  <c r="U991" i="11"/>
  <c r="U1387" i="11"/>
  <c r="U1395" i="11"/>
  <c r="U1403" i="11"/>
  <c r="U1411" i="11"/>
  <c r="U1419" i="11"/>
  <c r="U1427" i="11"/>
  <c r="U1435" i="11"/>
  <c r="U1443" i="11"/>
  <c r="U187" i="11"/>
  <c r="U903" i="11"/>
  <c r="U911" i="11"/>
  <c r="U919" i="11"/>
  <c r="U927" i="11"/>
  <c r="W502" i="11"/>
  <c r="W510" i="11"/>
  <c r="W518" i="11"/>
  <c r="W526" i="11"/>
  <c r="W534" i="11"/>
  <c r="W550" i="11"/>
  <c r="W558" i="11"/>
  <c r="W566" i="11"/>
  <c r="W574" i="11"/>
  <c r="W582" i="11"/>
  <c r="W590" i="11"/>
  <c r="U598" i="11"/>
  <c r="U606" i="11"/>
  <c r="U614" i="11"/>
  <c r="U622" i="11"/>
  <c r="U638" i="11"/>
  <c r="U646" i="11"/>
  <c r="U654" i="11"/>
  <c r="U662" i="11"/>
  <c r="U694" i="11"/>
  <c r="U702" i="11"/>
  <c r="U710" i="11"/>
  <c r="U718" i="11"/>
  <c r="U726" i="11"/>
  <c r="U734" i="11"/>
  <c r="U742" i="11"/>
  <c r="U750" i="11"/>
  <c r="U758" i="11"/>
  <c r="U766" i="11"/>
  <c r="U926" i="11"/>
  <c r="U934" i="11"/>
  <c r="U974" i="11"/>
  <c r="U982" i="11"/>
  <c r="U21" i="11"/>
  <c r="U29" i="11"/>
  <c r="U37" i="11"/>
  <c r="U45" i="11"/>
  <c r="U53" i="11"/>
  <c r="U61" i="11"/>
  <c r="U69" i="11"/>
  <c r="U77" i="11"/>
  <c r="U85" i="11"/>
  <c r="U93" i="11"/>
  <c r="U101" i="11"/>
  <c r="U109" i="11"/>
  <c r="U133" i="11"/>
  <c r="U141" i="11"/>
  <c r="W213" i="11"/>
  <c r="W221" i="11"/>
  <c r="W229" i="11"/>
  <c r="W237" i="11"/>
  <c r="W245" i="11"/>
  <c r="W253" i="11"/>
  <c r="W261" i="11"/>
  <c r="W269" i="11"/>
  <c r="W277" i="11"/>
  <c r="W285" i="11"/>
  <c r="W293" i="11"/>
  <c r="W301" i="11"/>
  <c r="W309" i="11"/>
  <c r="W317" i="11"/>
  <c r="W325" i="11"/>
  <c r="W333" i="11"/>
  <c r="W341" i="11"/>
  <c r="W349" i="11"/>
  <c r="W357" i="11"/>
  <c r="W365" i="11"/>
  <c r="W373" i="11"/>
  <c r="W381" i="11"/>
  <c r="W389" i="11"/>
  <c r="W397" i="11"/>
  <c r="W405" i="11"/>
  <c r="W421" i="11"/>
  <c r="W429" i="11"/>
  <c r="W437" i="11"/>
  <c r="W453" i="11"/>
  <c r="W461" i="11"/>
  <c r="W469" i="11"/>
  <c r="W477" i="11"/>
  <c r="W485" i="11"/>
  <c r="W493" i="11"/>
  <c r="W501" i="11"/>
  <c r="W517" i="11"/>
  <c r="W525" i="11"/>
  <c r="W533" i="11"/>
  <c r="W541" i="11"/>
  <c r="W549" i="11"/>
  <c r="W557" i="11"/>
  <c r="W565" i="11"/>
  <c r="W573" i="11"/>
  <c r="W581" i="11"/>
  <c r="W589" i="11"/>
  <c r="W597" i="11"/>
  <c r="W605" i="11"/>
  <c r="W613" i="11"/>
  <c r="W629" i="11"/>
  <c r="W637" i="11"/>
  <c r="W653" i="11"/>
  <c r="W661" i="11"/>
  <c r="W669" i="11"/>
  <c r="W685" i="11"/>
  <c r="U693" i="11"/>
  <c r="U701" i="11"/>
  <c r="U709" i="11"/>
  <c r="U717" i="11"/>
  <c r="U725" i="11"/>
  <c r="U733" i="11"/>
  <c r="U749" i="11"/>
  <c r="U765" i="11"/>
  <c r="U781" i="11"/>
  <c r="U789" i="11"/>
  <c r="U797" i="11"/>
  <c r="U805" i="11"/>
  <c r="U813" i="11"/>
  <c r="U861" i="11"/>
  <c r="U869" i="11"/>
  <c r="U877" i="11"/>
  <c r="U925" i="11"/>
  <c r="U933" i="11"/>
  <c r="U957" i="11"/>
  <c r="U965" i="11"/>
  <c r="U989" i="11"/>
  <c r="W997" i="11"/>
  <c r="U376" i="11"/>
  <c r="U488" i="11"/>
  <c r="U496" i="11"/>
  <c r="U504" i="11"/>
  <c r="U512" i="11"/>
  <c r="U520" i="11"/>
  <c r="U528" i="11"/>
  <c r="U536" i="11"/>
  <c r="U544" i="11"/>
  <c r="U552" i="11"/>
  <c r="U560" i="11"/>
  <c r="U568" i="11"/>
  <c r="U576" i="11"/>
  <c r="U584" i="11"/>
  <c r="U592" i="11"/>
  <c r="U600" i="11"/>
  <c r="U608" i="11"/>
  <c r="U616" i="11"/>
  <c r="U624" i="11"/>
  <c r="U632" i="11"/>
  <c r="U640" i="11"/>
  <c r="U648" i="11"/>
  <c r="U656" i="11"/>
  <c r="U664" i="11"/>
  <c r="U672" i="11"/>
  <c r="U680" i="11"/>
  <c r="U688" i="11"/>
  <c r="U696" i="11"/>
  <c r="U704" i="11"/>
  <c r="U712" i="11"/>
  <c r="U720" i="11"/>
  <c r="U728" i="11"/>
  <c r="U736" i="11"/>
  <c r="U744" i="11"/>
  <c r="U752" i="11"/>
  <c r="U760" i="11"/>
  <c r="U768" i="11"/>
  <c r="U776" i="11"/>
  <c r="U784" i="11"/>
  <c r="U792" i="11"/>
  <c r="U800" i="11"/>
  <c r="U808" i="11"/>
  <c r="U816" i="11"/>
  <c r="U824" i="11"/>
  <c r="U832" i="11"/>
  <c r="U864" i="11"/>
  <c r="U872" i="11"/>
  <c r="U880" i="11"/>
  <c r="U888" i="11"/>
  <c r="U896" i="11"/>
  <c r="U904" i="11"/>
  <c r="U912" i="11"/>
  <c r="U952" i="11"/>
  <c r="U984" i="11"/>
  <c r="U979" i="11"/>
  <c r="U987" i="11"/>
  <c r="U995" i="11"/>
  <c r="U1003" i="11"/>
  <c r="U1093" i="11"/>
  <c r="U1413" i="11"/>
  <c r="U1034" i="11"/>
  <c r="U1466" i="11"/>
  <c r="U143" i="11"/>
  <c r="U175" i="11"/>
  <c r="U575" i="11"/>
  <c r="U591" i="11"/>
  <c r="U607" i="11"/>
  <c r="U863" i="11"/>
  <c r="U951" i="11"/>
  <c r="U959" i="11"/>
  <c r="U1045" i="11"/>
  <c r="U130" i="11"/>
  <c r="U242" i="11"/>
  <c r="U266" i="11"/>
  <c r="U666" i="11"/>
  <c r="U698" i="11"/>
  <c r="U794" i="11"/>
  <c r="U858" i="11"/>
  <c r="U117" i="11"/>
  <c r="U149" i="11"/>
  <c r="U413" i="11"/>
  <c r="U445" i="11"/>
  <c r="U509" i="11"/>
  <c r="U645" i="11"/>
  <c r="U741" i="11"/>
  <c r="U757" i="11"/>
  <c r="U773" i="11"/>
  <c r="U920" i="11"/>
  <c r="U1077" i="11"/>
  <c r="U1157" i="11"/>
  <c r="U408" i="11"/>
  <c r="U1030" i="11"/>
  <c r="U1406" i="11"/>
  <c r="U211" i="11"/>
  <c r="U1057" i="11"/>
  <c r="U1161" i="11"/>
  <c r="U1193" i="11"/>
  <c r="U542" i="11"/>
  <c r="U630" i="11"/>
  <c r="U670" i="11"/>
  <c r="U678" i="11"/>
  <c r="U686" i="11"/>
  <c r="U774" i="11"/>
  <c r="U782" i="11"/>
  <c r="U790" i="11"/>
  <c r="U798" i="11"/>
  <c r="U806" i="11"/>
  <c r="U814" i="11"/>
  <c r="U822" i="11"/>
  <c r="U830" i="11"/>
  <c r="U838" i="11"/>
  <c r="U846" i="11"/>
  <c r="U854" i="11"/>
  <c r="U862" i="11"/>
  <c r="U870" i="11"/>
  <c r="U878" i="11"/>
  <c r="U886" i="11"/>
  <c r="U894" i="11"/>
  <c r="U902" i="11"/>
  <c r="U910" i="11"/>
  <c r="U918" i="11"/>
  <c r="U942" i="11"/>
  <c r="U950" i="11"/>
  <c r="U958" i="11"/>
  <c r="U966" i="11"/>
  <c r="U998" i="11"/>
  <c r="U1006" i="11"/>
  <c r="U155" i="11"/>
  <c r="U171" i="11"/>
  <c r="U563" i="11"/>
  <c r="U1017" i="11"/>
  <c r="U137" i="11"/>
  <c r="U161" i="11"/>
  <c r="U185" i="11"/>
  <c r="U201" i="11"/>
  <c r="U265" i="11"/>
  <c r="U777" i="11"/>
  <c r="U785" i="11"/>
  <c r="U793" i="11"/>
  <c r="U929" i="11"/>
  <c r="U937" i="11"/>
  <c r="U945" i="11"/>
  <c r="U977" i="11"/>
  <c r="U985" i="11"/>
  <c r="U993" i="11"/>
  <c r="U1141" i="11"/>
  <c r="U1181" i="11"/>
  <c r="U51" i="11"/>
  <c r="U1039" i="11"/>
  <c r="U524" i="11"/>
  <c r="U612" i="11"/>
  <c r="U620" i="11"/>
  <c r="U700" i="11"/>
  <c r="U708" i="11"/>
  <c r="U716" i="11"/>
  <c r="U724" i="11"/>
  <c r="U732" i="11"/>
  <c r="U740" i="11"/>
  <c r="U860" i="11"/>
  <c r="U868" i="11"/>
  <c r="U876" i="11"/>
  <c r="U884" i="11"/>
  <c r="U892" i="11"/>
  <c r="U900" i="11"/>
  <c r="U908" i="11"/>
  <c r="U916" i="11"/>
  <c r="U932" i="11"/>
  <c r="U940" i="11"/>
  <c r="U964" i="11"/>
  <c r="U972" i="11"/>
  <c r="U996" i="11"/>
  <c r="U1004" i="11"/>
  <c r="U1062" i="11"/>
  <c r="U1049" i="11"/>
  <c r="U1035" i="11"/>
  <c r="U840" i="11"/>
  <c r="U848" i="11"/>
  <c r="U856" i="11"/>
  <c r="U928" i="11"/>
  <c r="AK928" i="11" s="1"/>
  <c r="U936" i="11"/>
  <c r="U944" i="11"/>
  <c r="U960" i="11"/>
  <c r="U968" i="11"/>
  <c r="U976" i="11"/>
  <c r="U992" i="11"/>
  <c r="U1000" i="11"/>
  <c r="U1008" i="11"/>
  <c r="U307" i="11"/>
  <c r="U315" i="11"/>
  <c r="U1054" i="11"/>
  <c r="U529" i="11"/>
  <c r="U924" i="11"/>
  <c r="U948" i="11"/>
  <c r="U956" i="11"/>
  <c r="AK956" i="11" s="1"/>
  <c r="U980" i="11"/>
  <c r="U988" i="11"/>
  <c r="U628" i="11"/>
  <c r="U1018" i="11"/>
  <c r="U1026" i="11"/>
  <c r="U1050" i="11"/>
  <c r="U1066" i="11"/>
  <c r="U1418" i="11"/>
  <c r="U231" i="11"/>
  <c r="AK231" i="11" s="1"/>
  <c r="U327" i="11"/>
  <c r="U559" i="11"/>
  <c r="U839" i="11"/>
  <c r="U847" i="11"/>
  <c r="U855" i="11"/>
  <c r="U871" i="11"/>
  <c r="U879" i="11"/>
  <c r="U887" i="11"/>
  <c r="U895" i="11"/>
  <c r="U935" i="11"/>
  <c r="U943" i="11"/>
  <c r="U967" i="11"/>
  <c r="U975" i="11"/>
  <c r="U999" i="11"/>
  <c r="U1007" i="11"/>
  <c r="U1129" i="11"/>
  <c r="U1012" i="11"/>
  <c r="U321" i="11"/>
  <c r="U564" i="11"/>
  <c r="U1061" i="11"/>
  <c r="U1085" i="11"/>
  <c r="U1109" i="11"/>
  <c r="U1125" i="11"/>
  <c r="U1149" i="11"/>
  <c r="U1173" i="11"/>
  <c r="U1509" i="11"/>
  <c r="U634" i="11"/>
  <c r="U714" i="11"/>
  <c r="U922" i="11"/>
  <c r="U930" i="11"/>
  <c r="U954" i="11"/>
  <c r="U962" i="11"/>
  <c r="U986" i="11"/>
  <c r="U994" i="11"/>
  <c r="U1041" i="11"/>
  <c r="U105" i="11"/>
  <c r="U125" i="11"/>
  <c r="U621" i="11"/>
  <c r="U677" i="11"/>
  <c r="U821" i="11"/>
  <c r="U829" i="11"/>
  <c r="U837" i="11"/>
  <c r="U845" i="11"/>
  <c r="U853" i="11"/>
  <c r="U885" i="11"/>
  <c r="U893" i="11"/>
  <c r="AK893" i="11" s="1"/>
  <c r="U901" i="11"/>
  <c r="U909" i="11"/>
  <c r="U917" i="11"/>
  <c r="U941" i="11"/>
  <c r="U949" i="11"/>
  <c r="U973" i="11"/>
  <c r="U981" i="11"/>
  <c r="U1005" i="11"/>
  <c r="P6" i="7"/>
  <c r="Q6" i="7"/>
  <c r="R6" i="7"/>
  <c r="AD6" i="7"/>
  <c r="V6" i="7" s="1"/>
  <c r="P8" i="7"/>
  <c r="Q8" i="7"/>
  <c r="R8" i="7"/>
  <c r="AD8" i="7"/>
  <c r="V8" i="7" s="1"/>
  <c r="P9" i="7"/>
  <c r="Q9" i="7"/>
  <c r="R9" i="7"/>
  <c r="AD9" i="7"/>
  <c r="V9" i="7" s="1"/>
  <c r="P10" i="7"/>
  <c r="Q10" i="7"/>
  <c r="R10" i="7"/>
  <c r="AD10" i="7"/>
  <c r="V10" i="7" s="1"/>
  <c r="P11" i="7"/>
  <c r="Q11" i="7"/>
  <c r="R11" i="7"/>
  <c r="AD11" i="7"/>
  <c r="V11" i="7" s="1"/>
  <c r="P12" i="7"/>
  <c r="Q12" i="7"/>
  <c r="R12" i="7"/>
  <c r="AD12" i="7"/>
  <c r="V12" i="7" s="1"/>
  <c r="P14" i="7"/>
  <c r="Q14" i="7"/>
  <c r="R14" i="7"/>
  <c r="AD14" i="7"/>
  <c r="V14" i="7" s="1"/>
  <c r="P15" i="7"/>
  <c r="Q15" i="7"/>
  <c r="R15" i="7"/>
  <c r="AD15" i="7"/>
  <c r="V15" i="7" s="1"/>
  <c r="P16" i="7"/>
  <c r="Q16" i="7"/>
  <c r="R16" i="7"/>
  <c r="AD16" i="7"/>
  <c r="V16" i="7" s="1"/>
  <c r="P17" i="7"/>
  <c r="Q17" i="7"/>
  <c r="R17" i="7"/>
  <c r="AD17" i="7"/>
  <c r="V17" i="7" s="1"/>
  <c r="P18" i="7"/>
  <c r="Q18" i="7"/>
  <c r="R18" i="7"/>
  <c r="AD18" i="7"/>
  <c r="V18" i="7" s="1"/>
  <c r="P19" i="7"/>
  <c r="Q19" i="7"/>
  <c r="R19" i="7"/>
  <c r="AD19" i="7"/>
  <c r="V19" i="7" s="1"/>
  <c r="P21" i="7"/>
  <c r="Q21" i="7"/>
  <c r="R21" i="7"/>
  <c r="AD21" i="7"/>
  <c r="V21" i="7" s="1"/>
  <c r="P22" i="7"/>
  <c r="Q22" i="7"/>
  <c r="R22" i="7"/>
  <c r="AD22" i="7"/>
  <c r="V22" i="7" s="1"/>
  <c r="P23" i="7"/>
  <c r="Q23" i="7"/>
  <c r="R23" i="7"/>
  <c r="AD23" i="7"/>
  <c r="V23" i="7" s="1"/>
  <c r="P24" i="7"/>
  <c r="Q24" i="7"/>
  <c r="R24" i="7"/>
  <c r="AD24" i="7"/>
  <c r="V24" i="7" s="1"/>
  <c r="P25" i="7"/>
  <c r="Q25" i="7"/>
  <c r="R25" i="7"/>
  <c r="AD25" i="7"/>
  <c r="V25" i="7" s="1"/>
  <c r="P27" i="7"/>
  <c r="Q27" i="7"/>
  <c r="R27" i="7"/>
  <c r="AD27" i="7"/>
  <c r="V27" i="7" s="1"/>
  <c r="P28" i="7"/>
  <c r="Q28" i="7"/>
  <c r="R28" i="7"/>
  <c r="AD28" i="7"/>
  <c r="V28" i="7" s="1"/>
  <c r="P29" i="7"/>
  <c r="Q29" i="7"/>
  <c r="R29" i="7"/>
  <c r="AD29" i="7"/>
  <c r="V29" i="7" s="1"/>
  <c r="P30" i="7"/>
  <c r="Q30" i="7"/>
  <c r="R30" i="7"/>
  <c r="AD30" i="7"/>
  <c r="V30" i="7" s="1"/>
  <c r="P31" i="7"/>
  <c r="Q31" i="7"/>
  <c r="R31" i="7"/>
  <c r="AD31" i="7"/>
  <c r="V31" i="7" s="1"/>
  <c r="P32" i="7"/>
  <c r="Q32" i="7"/>
  <c r="R32" i="7"/>
  <c r="AD32" i="7"/>
  <c r="V32" i="7" s="1"/>
  <c r="P34" i="7"/>
  <c r="Q34" i="7"/>
  <c r="R34" i="7"/>
  <c r="AD34" i="7"/>
  <c r="V34" i="7" s="1"/>
  <c r="P35" i="7"/>
  <c r="Q35" i="7"/>
  <c r="R35" i="7"/>
  <c r="AD35" i="7"/>
  <c r="V35" i="7" s="1"/>
  <c r="P36" i="7"/>
  <c r="Q36" i="7"/>
  <c r="R36" i="7"/>
  <c r="AD36" i="7"/>
  <c r="V36" i="7" s="1"/>
  <c r="P39" i="7"/>
  <c r="Q39" i="7"/>
  <c r="R39" i="7"/>
  <c r="AD39" i="7"/>
  <c r="V39" i="7" s="1"/>
  <c r="P42" i="7"/>
  <c r="Q42" i="7"/>
  <c r="R42" i="7"/>
  <c r="AD42" i="7"/>
  <c r="V42" i="7" s="1"/>
  <c r="P43" i="7"/>
  <c r="Q43" i="7"/>
  <c r="R43" i="7"/>
  <c r="AD43" i="7"/>
  <c r="V43" i="7" s="1"/>
  <c r="P44" i="7"/>
  <c r="Q44" i="7"/>
  <c r="R44" i="7"/>
  <c r="AD44" i="7"/>
  <c r="V44" i="7" s="1"/>
  <c r="P45" i="7"/>
  <c r="Q45" i="7"/>
  <c r="R45" i="7"/>
  <c r="AD45" i="7"/>
  <c r="V45" i="7" s="1"/>
  <c r="P46" i="7"/>
  <c r="Q46" i="7"/>
  <c r="R46" i="7"/>
  <c r="AD46" i="7"/>
  <c r="V46" i="7" s="1"/>
  <c r="P47" i="7"/>
  <c r="Q47" i="7"/>
  <c r="R47" i="7"/>
  <c r="AD47" i="7"/>
  <c r="V47" i="7" s="1"/>
  <c r="P48" i="7"/>
  <c r="Q48" i="7"/>
  <c r="R48" i="7"/>
  <c r="AD48" i="7"/>
  <c r="V48" i="7" s="1"/>
  <c r="P50" i="7"/>
  <c r="Q50" i="7"/>
  <c r="R50" i="7"/>
  <c r="AD50" i="7"/>
  <c r="V50" i="7" s="1"/>
  <c r="P51" i="7"/>
  <c r="Q51" i="7"/>
  <c r="R51" i="7"/>
  <c r="AD51" i="7"/>
  <c r="V51" i="7" s="1"/>
  <c r="P52" i="7"/>
  <c r="Q52" i="7"/>
  <c r="R52" i="7"/>
  <c r="AD52" i="7"/>
  <c r="V52" i="7" s="1"/>
  <c r="P54" i="7"/>
  <c r="Q54" i="7"/>
  <c r="R54" i="7"/>
  <c r="AD54" i="7"/>
  <c r="V54" i="7" s="1"/>
  <c r="P55" i="7"/>
  <c r="Q55" i="7"/>
  <c r="R55" i="7"/>
  <c r="AD55" i="7"/>
  <c r="V55" i="7" s="1"/>
  <c r="P56" i="7"/>
  <c r="Q56" i="7"/>
  <c r="R56" i="7"/>
  <c r="AD56" i="7"/>
  <c r="V56" i="7" s="1"/>
  <c r="P57" i="7"/>
  <c r="Q57" i="7"/>
  <c r="R57" i="7"/>
  <c r="AD57" i="7"/>
  <c r="V57" i="7" s="1"/>
  <c r="P58" i="7"/>
  <c r="Q58" i="7"/>
  <c r="R58" i="7"/>
  <c r="AD58" i="7"/>
  <c r="V58" i="7" s="1"/>
  <c r="P59" i="7"/>
  <c r="Q59" i="7"/>
  <c r="R59" i="7"/>
  <c r="AD59" i="7"/>
  <c r="V59" i="7" s="1"/>
  <c r="P60" i="7"/>
  <c r="Q60" i="7"/>
  <c r="R60" i="7"/>
  <c r="AD60" i="7"/>
  <c r="V60" i="7" s="1"/>
  <c r="P61" i="7"/>
  <c r="Q61" i="7"/>
  <c r="R61" i="7"/>
  <c r="AD61" i="7"/>
  <c r="V61" i="7" s="1"/>
  <c r="P63" i="7"/>
  <c r="Q63" i="7"/>
  <c r="R63" i="7"/>
  <c r="AD63" i="7"/>
  <c r="V63" i="7" s="1"/>
  <c r="P64" i="7"/>
  <c r="Q64" i="7"/>
  <c r="R64" i="7"/>
  <c r="AD64" i="7"/>
  <c r="V64" i="7" s="1"/>
  <c r="P65" i="7"/>
  <c r="Q65" i="7"/>
  <c r="R65" i="7"/>
  <c r="AD65" i="7"/>
  <c r="V65" i="7" s="1"/>
  <c r="P66" i="7"/>
  <c r="Q66" i="7"/>
  <c r="R66" i="7"/>
  <c r="AD66" i="7"/>
  <c r="V66" i="7" s="1"/>
  <c r="P67" i="7"/>
  <c r="Q67" i="7"/>
  <c r="R67" i="7"/>
  <c r="AD67" i="7"/>
  <c r="V67" i="7" s="1"/>
  <c r="P68" i="7"/>
  <c r="Q68" i="7"/>
  <c r="R68" i="7"/>
  <c r="AD68" i="7"/>
  <c r="V68" i="7" s="1"/>
  <c r="P69" i="7"/>
  <c r="Q69" i="7"/>
  <c r="R69" i="7"/>
  <c r="AD69" i="7"/>
  <c r="V69" i="7" s="1"/>
  <c r="P71" i="7"/>
  <c r="Q71" i="7"/>
  <c r="R71" i="7"/>
  <c r="AD71" i="7"/>
  <c r="V71" i="7" s="1"/>
  <c r="P72" i="7"/>
  <c r="Q72" i="7"/>
  <c r="R72" i="7"/>
  <c r="AD72" i="7"/>
  <c r="V72" i="7" s="1"/>
  <c r="P73" i="7"/>
  <c r="Q73" i="7"/>
  <c r="R73" i="7"/>
  <c r="AD73" i="7"/>
  <c r="V73" i="7" s="1"/>
  <c r="P74" i="7"/>
  <c r="Q74" i="7"/>
  <c r="R74" i="7"/>
  <c r="AD74" i="7"/>
  <c r="V74" i="7" s="1"/>
  <c r="P76" i="7"/>
  <c r="Q76" i="7"/>
  <c r="R76" i="7"/>
  <c r="AD76" i="7"/>
  <c r="V76" i="7" s="1"/>
  <c r="P79" i="7"/>
  <c r="Q79" i="7"/>
  <c r="R79" i="7"/>
  <c r="AD79" i="7"/>
  <c r="V79" i="7" s="1"/>
  <c r="P80" i="7"/>
  <c r="Q80" i="7"/>
  <c r="R80" i="7"/>
  <c r="AD80" i="7"/>
  <c r="V80" i="7" s="1"/>
  <c r="P82" i="7"/>
  <c r="Q82" i="7"/>
  <c r="R82" i="7"/>
  <c r="AD82" i="7"/>
  <c r="V82" i="7" s="1"/>
  <c r="P84" i="7"/>
  <c r="Q84" i="7"/>
  <c r="R84" i="7"/>
  <c r="AD84" i="7"/>
  <c r="V84" i="7" s="1"/>
  <c r="P85" i="7"/>
  <c r="Q85" i="7"/>
  <c r="R85" i="7"/>
  <c r="AD85" i="7"/>
  <c r="V85" i="7" s="1"/>
  <c r="P87" i="7"/>
  <c r="Q87" i="7"/>
  <c r="R87" i="7"/>
  <c r="AD87" i="7"/>
  <c r="V87" i="7" s="1"/>
  <c r="P89" i="7"/>
  <c r="Q89" i="7"/>
  <c r="R89" i="7"/>
  <c r="AD89" i="7"/>
  <c r="V89" i="7" s="1"/>
  <c r="P90" i="7"/>
  <c r="Q90" i="7"/>
  <c r="R90" i="7"/>
  <c r="AD90" i="7"/>
  <c r="V90" i="7" s="1"/>
  <c r="P91" i="7"/>
  <c r="Q91" i="7"/>
  <c r="R91" i="7"/>
  <c r="AD91" i="7"/>
  <c r="V91" i="7" s="1"/>
  <c r="P93" i="7"/>
  <c r="Q93" i="7"/>
  <c r="R93" i="7"/>
  <c r="AD93" i="7"/>
  <c r="V93" i="7" s="1"/>
  <c r="P94" i="7"/>
  <c r="Q94" i="7"/>
  <c r="R94" i="7"/>
  <c r="AD94" i="7"/>
  <c r="V94" i="7" s="1"/>
  <c r="P95" i="7"/>
  <c r="Q95" i="7"/>
  <c r="R95" i="7"/>
  <c r="AD95" i="7"/>
  <c r="V95" i="7" s="1"/>
  <c r="P96" i="7"/>
  <c r="Q96" i="7"/>
  <c r="R96" i="7"/>
  <c r="AD96" i="7"/>
  <c r="V96" i="7" s="1"/>
  <c r="P97" i="7"/>
  <c r="Q97" i="7"/>
  <c r="R97" i="7"/>
  <c r="AD97" i="7"/>
  <c r="V97" i="7" s="1"/>
  <c r="P98" i="7"/>
  <c r="Q98" i="7"/>
  <c r="R98" i="7"/>
  <c r="AD98" i="7"/>
  <c r="V98" i="7" s="1"/>
  <c r="P100" i="7"/>
  <c r="Q100" i="7"/>
  <c r="R100" i="7"/>
  <c r="AD100" i="7"/>
  <c r="V100" i="7" s="1"/>
  <c r="P102" i="7"/>
  <c r="Q102" i="7"/>
  <c r="R102" i="7"/>
  <c r="AD102" i="7"/>
  <c r="V102" i="7" s="1"/>
  <c r="P103" i="7"/>
  <c r="Q103" i="7"/>
  <c r="R103" i="7"/>
  <c r="AD103" i="7"/>
  <c r="V103" i="7" s="1"/>
  <c r="P104" i="7"/>
  <c r="Q104" i="7"/>
  <c r="R104" i="7"/>
  <c r="AD104" i="7"/>
  <c r="V104" i="7" s="1"/>
  <c r="P105" i="7"/>
  <c r="Q105" i="7"/>
  <c r="R105" i="7"/>
  <c r="AD105" i="7"/>
  <c r="V105" i="7" s="1"/>
  <c r="P107" i="7"/>
  <c r="Q107" i="7"/>
  <c r="R107" i="7"/>
  <c r="AD107" i="7"/>
  <c r="V107" i="7" s="1"/>
  <c r="P109" i="7"/>
  <c r="Q109" i="7"/>
  <c r="R109" i="7"/>
  <c r="AD109" i="7"/>
  <c r="V109" i="7" s="1"/>
  <c r="P110" i="7"/>
  <c r="Q110" i="7"/>
  <c r="R110" i="7"/>
  <c r="AD110" i="7"/>
  <c r="V110" i="7" s="1"/>
  <c r="P111" i="7"/>
  <c r="Q111" i="7"/>
  <c r="R111" i="7"/>
  <c r="AD111" i="7"/>
  <c r="V111" i="7" s="1"/>
  <c r="P112" i="7"/>
  <c r="Q112" i="7"/>
  <c r="R112" i="7"/>
  <c r="AD112" i="7"/>
  <c r="V112" i="7" s="1"/>
  <c r="P113" i="7"/>
  <c r="Q113" i="7"/>
  <c r="R113" i="7"/>
  <c r="AD113" i="7"/>
  <c r="V113" i="7" s="1"/>
  <c r="P115" i="7"/>
  <c r="Q115" i="7"/>
  <c r="R115" i="7"/>
  <c r="AD115" i="7"/>
  <c r="V115" i="7" s="1"/>
  <c r="P116" i="7"/>
  <c r="Q116" i="7"/>
  <c r="R116" i="7"/>
  <c r="AD116" i="7"/>
  <c r="V116" i="7" s="1"/>
  <c r="P118" i="7"/>
  <c r="Q118" i="7"/>
  <c r="R118" i="7"/>
  <c r="AD118" i="7"/>
  <c r="V118" i="7" s="1"/>
  <c r="P119" i="7"/>
  <c r="Q119" i="7"/>
  <c r="R119" i="7"/>
  <c r="AD119" i="7"/>
  <c r="V119" i="7" s="1"/>
  <c r="P120" i="7"/>
  <c r="Q120" i="7"/>
  <c r="R120" i="7"/>
  <c r="AD120" i="7"/>
  <c r="V120" i="7" s="1"/>
  <c r="P121" i="7"/>
  <c r="Q121" i="7"/>
  <c r="R121" i="7"/>
  <c r="AD121" i="7"/>
  <c r="V121" i="7" s="1"/>
  <c r="P123" i="7"/>
  <c r="Q123" i="7"/>
  <c r="R123" i="7"/>
  <c r="AD123" i="7"/>
  <c r="V123" i="7" s="1"/>
  <c r="P127" i="7"/>
  <c r="Q127" i="7"/>
  <c r="R127" i="7"/>
  <c r="AD127" i="7"/>
  <c r="V127" i="7" s="1"/>
  <c r="P128" i="7"/>
  <c r="Q128" i="7"/>
  <c r="R128" i="7"/>
  <c r="AD128" i="7"/>
  <c r="V128" i="7" s="1"/>
  <c r="P129" i="7"/>
  <c r="Q129" i="7"/>
  <c r="R129" i="7"/>
  <c r="AD129" i="7"/>
  <c r="V129" i="7" s="1"/>
  <c r="P132" i="7"/>
  <c r="Q132" i="7"/>
  <c r="R132" i="7"/>
  <c r="AD132" i="7"/>
  <c r="V132" i="7" s="1"/>
  <c r="P133" i="7"/>
  <c r="Q133" i="7"/>
  <c r="R133" i="7"/>
  <c r="AD133" i="7"/>
  <c r="V133" i="7" s="1"/>
  <c r="P134" i="7"/>
  <c r="Q134" i="7"/>
  <c r="R134" i="7"/>
  <c r="AD134" i="7"/>
  <c r="V134" i="7" s="1"/>
  <c r="P135" i="7"/>
  <c r="Q135" i="7"/>
  <c r="R135" i="7"/>
  <c r="AD135" i="7"/>
  <c r="V135" i="7" s="1"/>
  <c r="P136" i="7"/>
  <c r="Q136" i="7"/>
  <c r="R136" i="7"/>
  <c r="AD136" i="7"/>
  <c r="V136" i="7" s="1"/>
  <c r="P137" i="7"/>
  <c r="Q137" i="7"/>
  <c r="R137" i="7"/>
  <c r="AD137" i="7"/>
  <c r="V137" i="7" s="1"/>
  <c r="P139" i="7"/>
  <c r="Q139" i="7"/>
  <c r="R139" i="7"/>
  <c r="AD139" i="7"/>
  <c r="V139" i="7" s="1"/>
  <c r="P140" i="7"/>
  <c r="Q140" i="7"/>
  <c r="R140" i="7"/>
  <c r="AD140" i="7"/>
  <c r="V140" i="7" s="1"/>
  <c r="P141" i="7"/>
  <c r="Q141" i="7"/>
  <c r="R141" i="7"/>
  <c r="AD141" i="7"/>
  <c r="V141" i="7" s="1"/>
  <c r="P142" i="7"/>
  <c r="Q142" i="7"/>
  <c r="R142" i="7"/>
  <c r="AD142" i="7"/>
  <c r="V142" i="7" s="1"/>
  <c r="P143" i="7"/>
  <c r="Q143" i="7"/>
  <c r="R143" i="7"/>
  <c r="AD143" i="7"/>
  <c r="V143" i="7" s="1"/>
  <c r="P145" i="7"/>
  <c r="Q145" i="7"/>
  <c r="R145" i="7"/>
  <c r="AD145" i="7"/>
  <c r="V145" i="7" s="1"/>
  <c r="P146" i="7"/>
  <c r="U146" i="7" s="1"/>
  <c r="Q146" i="7"/>
  <c r="R146" i="7"/>
  <c r="AD146" i="7"/>
  <c r="V146" i="7" s="1"/>
  <c r="P147" i="7"/>
  <c r="Q147" i="7"/>
  <c r="R147" i="7"/>
  <c r="AD147" i="7"/>
  <c r="V147" i="7" s="1"/>
  <c r="P148" i="7"/>
  <c r="Q148" i="7"/>
  <c r="R148" i="7"/>
  <c r="AD148" i="7"/>
  <c r="V148" i="7" s="1"/>
  <c r="P149" i="7"/>
  <c r="Q149" i="7"/>
  <c r="R149" i="7"/>
  <c r="AD149" i="7"/>
  <c r="V149" i="7" s="1"/>
  <c r="P150" i="7"/>
  <c r="Q150" i="7"/>
  <c r="R150" i="7"/>
  <c r="AD150" i="7"/>
  <c r="V150" i="7" s="1"/>
  <c r="P151" i="7"/>
  <c r="Q151" i="7"/>
  <c r="R151" i="7"/>
  <c r="AD151" i="7"/>
  <c r="V151" i="7" s="1"/>
  <c r="P153" i="7"/>
  <c r="Q153" i="7"/>
  <c r="R153" i="7"/>
  <c r="AD153" i="7"/>
  <c r="V153" i="7" s="1"/>
  <c r="P154" i="7"/>
  <c r="Q154" i="7"/>
  <c r="R154" i="7"/>
  <c r="AD154" i="7"/>
  <c r="V154" i="7" s="1"/>
  <c r="P155" i="7"/>
  <c r="Q155" i="7"/>
  <c r="R155" i="7"/>
  <c r="AD155" i="7"/>
  <c r="V155" i="7" s="1"/>
  <c r="P156" i="7"/>
  <c r="Q156" i="7"/>
  <c r="R156" i="7"/>
  <c r="AD156" i="7"/>
  <c r="V156" i="7" s="1"/>
  <c r="P157" i="7"/>
  <c r="Q157" i="7"/>
  <c r="R157" i="7"/>
  <c r="AD157" i="7"/>
  <c r="V157" i="7" s="1"/>
  <c r="P158" i="7"/>
  <c r="Q158" i="7"/>
  <c r="R158" i="7"/>
  <c r="AD158" i="7"/>
  <c r="V158" i="7" s="1"/>
  <c r="P159" i="7"/>
  <c r="Q159" i="7"/>
  <c r="R159" i="7"/>
  <c r="AD159" i="7"/>
  <c r="V159" i="7" s="1"/>
  <c r="P160" i="7"/>
  <c r="Q160" i="7"/>
  <c r="R160" i="7"/>
  <c r="AD160" i="7"/>
  <c r="V160" i="7" s="1"/>
  <c r="P161" i="7"/>
  <c r="Q161" i="7"/>
  <c r="R161" i="7"/>
  <c r="AD161" i="7"/>
  <c r="V161" i="7" s="1"/>
  <c r="P163" i="7"/>
  <c r="Q163" i="7"/>
  <c r="R163" i="7"/>
  <c r="AD163" i="7"/>
  <c r="V163" i="7" s="1"/>
  <c r="P164" i="7"/>
  <c r="Q164" i="7"/>
  <c r="R164" i="7"/>
  <c r="AD164" i="7"/>
  <c r="V164" i="7" s="1"/>
  <c r="P166" i="7"/>
  <c r="Q166" i="7"/>
  <c r="R166" i="7"/>
  <c r="AD166" i="7"/>
  <c r="V166" i="7" s="1"/>
  <c r="P167" i="7"/>
  <c r="Q167" i="7"/>
  <c r="R167" i="7"/>
  <c r="AD167" i="7"/>
  <c r="V167" i="7" s="1"/>
  <c r="P169" i="7"/>
  <c r="Q169" i="7"/>
  <c r="R169" i="7"/>
  <c r="AD169" i="7"/>
  <c r="V169" i="7" s="1"/>
  <c r="P170" i="7"/>
  <c r="Q170" i="7"/>
  <c r="R170" i="7"/>
  <c r="AD170" i="7"/>
  <c r="V170" i="7" s="1"/>
  <c r="P172" i="7"/>
  <c r="Q172" i="7"/>
  <c r="R172" i="7"/>
  <c r="AD172" i="7"/>
  <c r="V172" i="7" s="1"/>
  <c r="P173" i="7"/>
  <c r="Q173" i="7"/>
  <c r="R173" i="7"/>
  <c r="AD173" i="7"/>
  <c r="V173" i="7" s="1"/>
  <c r="P174" i="7"/>
  <c r="Q174" i="7"/>
  <c r="R174" i="7"/>
  <c r="AD174" i="7"/>
  <c r="V174" i="7" s="1"/>
  <c r="P175" i="7"/>
  <c r="Q175" i="7"/>
  <c r="R175" i="7"/>
  <c r="AD175" i="7"/>
  <c r="V175" i="7" s="1"/>
  <c r="P178" i="7"/>
  <c r="Q178" i="7"/>
  <c r="R178" i="7"/>
  <c r="AD178" i="7"/>
  <c r="V178" i="7" s="1"/>
  <c r="P179" i="7"/>
  <c r="Q179" i="7"/>
  <c r="R179" i="7"/>
  <c r="AD179" i="7"/>
  <c r="V179" i="7" s="1"/>
  <c r="P181" i="7"/>
  <c r="Q181" i="7"/>
  <c r="R181" i="7"/>
  <c r="AD181" i="7"/>
  <c r="V181" i="7" s="1"/>
  <c r="P182" i="7"/>
  <c r="Q182" i="7"/>
  <c r="R182" i="7"/>
  <c r="AD182" i="7"/>
  <c r="V182" i="7" s="1"/>
  <c r="P183" i="7"/>
  <c r="Q183" i="7"/>
  <c r="R183" i="7"/>
  <c r="AD183" i="7"/>
  <c r="V183" i="7" s="1"/>
  <c r="P184" i="7"/>
  <c r="Q184" i="7"/>
  <c r="R184" i="7"/>
  <c r="AD184" i="7"/>
  <c r="V184" i="7" s="1"/>
  <c r="P185" i="7"/>
  <c r="Q185" i="7"/>
  <c r="R185" i="7"/>
  <c r="AD185" i="7"/>
  <c r="V185" i="7" s="1"/>
  <c r="P186" i="7"/>
  <c r="Q186" i="7"/>
  <c r="R186" i="7"/>
  <c r="AD186" i="7"/>
  <c r="V186" i="7" s="1"/>
  <c r="P187" i="7"/>
  <c r="Q187" i="7"/>
  <c r="R187" i="7"/>
  <c r="AD187" i="7"/>
  <c r="V187" i="7" s="1"/>
  <c r="P188" i="7"/>
  <c r="Q188" i="7"/>
  <c r="R188" i="7"/>
  <c r="AD188" i="7"/>
  <c r="V188" i="7" s="1"/>
  <c r="P189" i="7"/>
  <c r="Q189" i="7"/>
  <c r="R189" i="7"/>
  <c r="AD189" i="7"/>
  <c r="V189" i="7" s="1"/>
  <c r="P190" i="7"/>
  <c r="Q190" i="7"/>
  <c r="R190" i="7"/>
  <c r="AD190" i="7"/>
  <c r="V190" i="7" s="1"/>
  <c r="P191" i="7"/>
  <c r="Q191" i="7"/>
  <c r="R191" i="7"/>
  <c r="AD191" i="7"/>
  <c r="V191" i="7" s="1"/>
  <c r="P192" i="7"/>
  <c r="Q192" i="7"/>
  <c r="R192" i="7"/>
  <c r="AD192" i="7"/>
  <c r="V192" i="7" s="1"/>
  <c r="P193" i="7"/>
  <c r="Q193" i="7"/>
  <c r="R193" i="7"/>
  <c r="AD193" i="7"/>
  <c r="V193" i="7" s="1"/>
  <c r="P194" i="7"/>
  <c r="Q194" i="7"/>
  <c r="R194" i="7"/>
  <c r="AD194" i="7"/>
  <c r="V194" i="7" s="1"/>
  <c r="P195" i="7"/>
  <c r="Q195" i="7"/>
  <c r="R195" i="7"/>
  <c r="AD195" i="7"/>
  <c r="V195" i="7" s="1"/>
  <c r="P198" i="7"/>
  <c r="Q198" i="7"/>
  <c r="R198" i="7"/>
  <c r="AD198" i="7"/>
  <c r="V198" i="7" s="1"/>
  <c r="P199" i="7"/>
  <c r="Q199" i="7"/>
  <c r="R199" i="7"/>
  <c r="AD199" i="7"/>
  <c r="V199" i="7" s="1"/>
  <c r="P200" i="7"/>
  <c r="Q200" i="7"/>
  <c r="R200" i="7"/>
  <c r="AD200" i="7"/>
  <c r="V200" i="7" s="1"/>
  <c r="P201" i="7"/>
  <c r="Q201" i="7"/>
  <c r="R201" i="7"/>
  <c r="AD201" i="7"/>
  <c r="V201" i="7" s="1"/>
  <c r="P202" i="7"/>
  <c r="Q202" i="7"/>
  <c r="R202" i="7"/>
  <c r="AD202" i="7"/>
  <c r="V202" i="7" s="1"/>
  <c r="P203" i="7"/>
  <c r="Q203" i="7"/>
  <c r="R203" i="7"/>
  <c r="AD203" i="7"/>
  <c r="V203" i="7" s="1"/>
  <c r="P205" i="7"/>
  <c r="Q205" i="7"/>
  <c r="R205" i="7"/>
  <c r="AD205" i="7"/>
  <c r="V205" i="7" s="1"/>
  <c r="P206" i="7"/>
  <c r="Q206" i="7"/>
  <c r="R206" i="7"/>
  <c r="AD206" i="7"/>
  <c r="V206" i="7" s="1"/>
  <c r="P207" i="7"/>
  <c r="Q207" i="7"/>
  <c r="R207" i="7"/>
  <c r="AD207" i="7"/>
  <c r="V207" i="7" s="1"/>
  <c r="P208" i="7"/>
  <c r="Q208" i="7"/>
  <c r="R208" i="7"/>
  <c r="AD208" i="7"/>
  <c r="V208" i="7" s="1"/>
  <c r="P209" i="7"/>
  <c r="Q209" i="7"/>
  <c r="R209" i="7"/>
  <c r="AD209" i="7"/>
  <c r="V209" i="7" s="1"/>
  <c r="P210" i="7"/>
  <c r="Q210" i="7"/>
  <c r="R210" i="7"/>
  <c r="AD210" i="7"/>
  <c r="V210" i="7" s="1"/>
  <c r="P212" i="7"/>
  <c r="Q212" i="7"/>
  <c r="R212" i="7"/>
  <c r="AD212" i="7"/>
  <c r="V212" i="7" s="1"/>
  <c r="P215" i="7"/>
  <c r="Q215" i="7"/>
  <c r="R215" i="7"/>
  <c r="AD215" i="7"/>
  <c r="V215" i="7" s="1"/>
  <c r="P217" i="7"/>
  <c r="Q217" i="7"/>
  <c r="R217" i="7"/>
  <c r="AD217" i="7"/>
  <c r="V217" i="7" s="1"/>
  <c r="P218" i="7"/>
  <c r="Q218" i="7"/>
  <c r="R218" i="7"/>
  <c r="AD218" i="7"/>
  <c r="V218" i="7" s="1"/>
  <c r="P221" i="7"/>
  <c r="Q221" i="7"/>
  <c r="R221" i="7"/>
  <c r="AD221" i="7"/>
  <c r="V221" i="7" s="1"/>
  <c r="P222" i="7"/>
  <c r="Q222" i="7"/>
  <c r="R222" i="7"/>
  <c r="AD222" i="7"/>
  <c r="V222" i="7" s="1"/>
  <c r="P223" i="7"/>
  <c r="Q223" i="7"/>
  <c r="R223" i="7"/>
  <c r="AD223" i="7"/>
  <c r="V223" i="7" s="1"/>
  <c r="P224" i="7"/>
  <c r="Q224" i="7"/>
  <c r="R224" i="7"/>
  <c r="AD224" i="7"/>
  <c r="V224" i="7" s="1"/>
  <c r="P226" i="7"/>
  <c r="Q226" i="7"/>
  <c r="R226" i="7"/>
  <c r="AD226" i="7"/>
  <c r="V226" i="7" s="1"/>
  <c r="P227" i="7"/>
  <c r="Q227" i="7"/>
  <c r="R227" i="7"/>
  <c r="AD227" i="7"/>
  <c r="V227" i="7" s="1"/>
  <c r="P229" i="7"/>
  <c r="Q229" i="7"/>
  <c r="R229" i="7"/>
  <c r="AD229" i="7"/>
  <c r="V229" i="7" s="1"/>
  <c r="P230" i="7"/>
  <c r="Q230" i="7"/>
  <c r="R230" i="7"/>
  <c r="AD230" i="7"/>
  <c r="V230" i="7" s="1"/>
  <c r="P231" i="7"/>
  <c r="Q231" i="7"/>
  <c r="R231" i="7"/>
  <c r="AD231" i="7"/>
  <c r="V231" i="7" s="1"/>
  <c r="P232" i="7"/>
  <c r="Q232" i="7"/>
  <c r="R232" i="7"/>
  <c r="AD232" i="7"/>
  <c r="V232" i="7" s="1"/>
  <c r="P234" i="7"/>
  <c r="Q234" i="7"/>
  <c r="R234" i="7"/>
  <c r="AD234" i="7"/>
  <c r="V234" i="7" s="1"/>
  <c r="P235" i="7"/>
  <c r="Q235" i="7"/>
  <c r="R235" i="7"/>
  <c r="AD235" i="7"/>
  <c r="V235" i="7" s="1"/>
  <c r="P236" i="7"/>
  <c r="Q236" i="7"/>
  <c r="R236" i="7"/>
  <c r="AD236" i="7"/>
  <c r="V236" i="7" s="1"/>
  <c r="P237" i="7"/>
  <c r="Q237" i="7"/>
  <c r="R237" i="7"/>
  <c r="AD237" i="7"/>
  <c r="V237" i="7" s="1"/>
  <c r="P238" i="7"/>
  <c r="Q238" i="7"/>
  <c r="R238" i="7"/>
  <c r="AD238" i="7"/>
  <c r="V238" i="7" s="1"/>
  <c r="P240" i="7"/>
  <c r="Q240" i="7"/>
  <c r="R240" i="7"/>
  <c r="AD240" i="7"/>
  <c r="V240" i="7" s="1"/>
  <c r="P241" i="7"/>
  <c r="Q241" i="7"/>
  <c r="R241" i="7"/>
  <c r="AD241" i="7"/>
  <c r="V241" i="7" s="1"/>
  <c r="P242" i="7"/>
  <c r="Q242" i="7"/>
  <c r="R242" i="7"/>
  <c r="AD242" i="7"/>
  <c r="V242" i="7" s="1"/>
  <c r="P243" i="7"/>
  <c r="Q243" i="7"/>
  <c r="R243" i="7"/>
  <c r="AD243" i="7"/>
  <c r="V243" i="7" s="1"/>
  <c r="P244" i="7"/>
  <c r="Q244" i="7"/>
  <c r="R244" i="7"/>
  <c r="AD244" i="7"/>
  <c r="V244" i="7" s="1"/>
  <c r="P245" i="7"/>
  <c r="Q245" i="7"/>
  <c r="R245" i="7"/>
  <c r="AD245" i="7"/>
  <c r="V245" i="7" s="1"/>
  <c r="P246" i="7"/>
  <c r="Q246" i="7"/>
  <c r="R246" i="7"/>
  <c r="AD246" i="7"/>
  <c r="V246" i="7" s="1"/>
  <c r="P247" i="7"/>
  <c r="Q247" i="7"/>
  <c r="R247" i="7"/>
  <c r="AD247" i="7"/>
  <c r="V247" i="7" s="1"/>
  <c r="P250" i="7"/>
  <c r="Q250" i="7"/>
  <c r="R250" i="7"/>
  <c r="AD250" i="7"/>
  <c r="V250" i="7" s="1"/>
  <c r="P251" i="7"/>
  <c r="Q251" i="7"/>
  <c r="R251" i="7"/>
  <c r="AD251" i="7"/>
  <c r="V251" i="7" s="1"/>
  <c r="P252" i="7"/>
  <c r="Q252" i="7"/>
  <c r="R252" i="7"/>
  <c r="AD252" i="7"/>
  <c r="V252" i="7" s="1"/>
  <c r="P253" i="7"/>
  <c r="Q253" i="7"/>
  <c r="R253" i="7"/>
  <c r="AD253" i="7"/>
  <c r="V253" i="7" s="1"/>
  <c r="P254" i="7"/>
  <c r="Q254" i="7"/>
  <c r="R254" i="7"/>
  <c r="AD254" i="7"/>
  <c r="V254" i="7" s="1"/>
  <c r="P255" i="7"/>
  <c r="Q255" i="7"/>
  <c r="R255" i="7"/>
  <c r="AD255" i="7"/>
  <c r="V255" i="7" s="1"/>
  <c r="P257" i="7"/>
  <c r="Q257" i="7"/>
  <c r="R257" i="7"/>
  <c r="AD257" i="7"/>
  <c r="V257" i="7" s="1"/>
  <c r="P259" i="7"/>
  <c r="Q259" i="7"/>
  <c r="R259" i="7"/>
  <c r="AD259" i="7"/>
  <c r="V259" i="7" s="1"/>
  <c r="P260" i="7"/>
  <c r="Q260" i="7"/>
  <c r="R260" i="7"/>
  <c r="AD260" i="7"/>
  <c r="V260" i="7" s="1"/>
  <c r="P261" i="7"/>
  <c r="Q261" i="7"/>
  <c r="R261" i="7"/>
  <c r="AD261" i="7"/>
  <c r="V261" i="7" s="1"/>
  <c r="P262" i="7"/>
  <c r="Q262" i="7"/>
  <c r="R262" i="7"/>
  <c r="AD262" i="7"/>
  <c r="V262" i="7" s="1"/>
  <c r="P263" i="7"/>
  <c r="Q263" i="7"/>
  <c r="R263" i="7"/>
  <c r="AD263" i="7"/>
  <c r="V263" i="7" s="1"/>
  <c r="P265" i="7"/>
  <c r="Q265" i="7"/>
  <c r="R265" i="7"/>
  <c r="AD265" i="7"/>
  <c r="V265" i="7" s="1"/>
  <c r="P266" i="7"/>
  <c r="Q266" i="7"/>
  <c r="R266" i="7"/>
  <c r="AD266" i="7"/>
  <c r="V266" i="7" s="1"/>
  <c r="P267" i="7"/>
  <c r="U267" i="7" s="1"/>
  <c r="Q267" i="7"/>
  <c r="R267" i="7"/>
  <c r="AD267" i="7"/>
  <c r="V267" i="7" s="1"/>
  <c r="P268" i="7"/>
  <c r="Q268" i="7"/>
  <c r="R268" i="7"/>
  <c r="AD268" i="7"/>
  <c r="V268" i="7" s="1"/>
  <c r="P269" i="7"/>
  <c r="Q269" i="7"/>
  <c r="R269" i="7"/>
  <c r="AD269" i="7"/>
  <c r="V269" i="7" s="1"/>
  <c r="P271" i="7"/>
  <c r="Q271" i="7"/>
  <c r="R271" i="7"/>
  <c r="AD271" i="7"/>
  <c r="V271" i="7" s="1"/>
  <c r="P272" i="7"/>
  <c r="Q272" i="7"/>
  <c r="R272" i="7"/>
  <c r="AD272" i="7"/>
  <c r="V272" i="7" s="1"/>
  <c r="P273" i="7"/>
  <c r="Q273" i="7"/>
  <c r="R273" i="7"/>
  <c r="AD273" i="7"/>
  <c r="V273" i="7" s="1"/>
  <c r="P275" i="7"/>
  <c r="Q275" i="7"/>
  <c r="R275" i="7"/>
  <c r="AD275" i="7"/>
  <c r="V275" i="7" s="1"/>
  <c r="P276" i="7"/>
  <c r="Q276" i="7"/>
  <c r="R276" i="7"/>
  <c r="AD276" i="7"/>
  <c r="V276" i="7" s="1"/>
  <c r="P277" i="7"/>
  <c r="Q277" i="7"/>
  <c r="R277" i="7"/>
  <c r="AD277" i="7"/>
  <c r="V277" i="7" s="1"/>
  <c r="P278" i="7"/>
  <c r="Q278" i="7"/>
  <c r="R278" i="7"/>
  <c r="AD278" i="7"/>
  <c r="V278" i="7" s="1"/>
  <c r="P279" i="7"/>
  <c r="Q279" i="7"/>
  <c r="R279" i="7"/>
  <c r="AD279" i="7"/>
  <c r="V279" i="7" s="1"/>
  <c r="P280" i="7"/>
  <c r="Q280" i="7"/>
  <c r="R280" i="7"/>
  <c r="AD280" i="7"/>
  <c r="V280" i="7" s="1"/>
  <c r="P281" i="7"/>
  <c r="Q281" i="7"/>
  <c r="R281" i="7"/>
  <c r="AD281" i="7"/>
  <c r="V281" i="7" s="1"/>
  <c r="P283" i="7"/>
  <c r="Q283" i="7"/>
  <c r="R283" i="7"/>
  <c r="AD283" i="7"/>
  <c r="V283" i="7" s="1"/>
  <c r="P284" i="7"/>
  <c r="Q284" i="7"/>
  <c r="R284" i="7"/>
  <c r="AD284" i="7"/>
  <c r="V284" i="7" s="1"/>
  <c r="P285" i="7"/>
  <c r="Q285" i="7"/>
  <c r="R285" i="7"/>
  <c r="AD285" i="7"/>
  <c r="V285" i="7" s="1"/>
  <c r="P286" i="7"/>
  <c r="Q286" i="7"/>
  <c r="R286" i="7"/>
  <c r="AD286" i="7"/>
  <c r="V286" i="7" s="1"/>
  <c r="P287" i="7"/>
  <c r="Q287" i="7"/>
  <c r="R287" i="7"/>
  <c r="AD287" i="7"/>
  <c r="V287" i="7" s="1"/>
  <c r="P289" i="7"/>
  <c r="Q289" i="7"/>
  <c r="R289" i="7"/>
  <c r="AD289" i="7"/>
  <c r="V289" i="7" s="1"/>
  <c r="P290" i="7"/>
  <c r="Q290" i="7"/>
  <c r="R290" i="7"/>
  <c r="AD290" i="7"/>
  <c r="V290" i="7" s="1"/>
  <c r="P292" i="7"/>
  <c r="Q292" i="7"/>
  <c r="R292" i="7"/>
  <c r="AD292" i="7"/>
  <c r="V292" i="7" s="1"/>
  <c r="P294" i="7"/>
  <c r="Q294" i="7"/>
  <c r="R294" i="7"/>
  <c r="AD294" i="7"/>
  <c r="V294" i="7" s="1"/>
  <c r="P295" i="7"/>
  <c r="Q295" i="7"/>
  <c r="R295" i="7"/>
  <c r="AD295" i="7"/>
  <c r="V295" i="7" s="1"/>
  <c r="P297" i="7"/>
  <c r="Q297" i="7"/>
  <c r="R297" i="7"/>
  <c r="AD297" i="7"/>
  <c r="V297" i="7" s="1"/>
  <c r="P298" i="7"/>
  <c r="Q298" i="7"/>
  <c r="R298" i="7"/>
  <c r="AD298" i="7"/>
  <c r="V298" i="7" s="1"/>
  <c r="P299" i="7"/>
  <c r="Q299" i="7"/>
  <c r="R299" i="7"/>
  <c r="AD299" i="7"/>
  <c r="V299" i="7" s="1"/>
  <c r="P300" i="7"/>
  <c r="Q300" i="7"/>
  <c r="R300" i="7"/>
  <c r="AD300" i="7"/>
  <c r="V300" i="7" s="1"/>
  <c r="P302" i="7"/>
  <c r="Q302" i="7"/>
  <c r="R302" i="7"/>
  <c r="AD302" i="7"/>
  <c r="V302" i="7" s="1"/>
  <c r="P303" i="7"/>
  <c r="Q303" i="7"/>
  <c r="R303" i="7"/>
  <c r="AD303" i="7"/>
  <c r="V303" i="7" s="1"/>
  <c r="P306" i="7"/>
  <c r="Q306" i="7"/>
  <c r="R306" i="7"/>
  <c r="AD306" i="7"/>
  <c r="V306" i="7" s="1"/>
  <c r="P307" i="7"/>
  <c r="Q307" i="7"/>
  <c r="R307" i="7"/>
  <c r="AD307" i="7"/>
  <c r="V307" i="7" s="1"/>
  <c r="P308" i="7"/>
  <c r="Q308" i="7"/>
  <c r="R308" i="7"/>
  <c r="AD308" i="7"/>
  <c r="V308" i="7" s="1"/>
  <c r="P310" i="7"/>
  <c r="Q310" i="7"/>
  <c r="R310" i="7"/>
  <c r="AD310" i="7"/>
  <c r="V310" i="7" s="1"/>
  <c r="P311" i="7"/>
  <c r="Q311" i="7"/>
  <c r="R311" i="7"/>
  <c r="AD311" i="7"/>
  <c r="V311" i="7" s="1"/>
  <c r="P312" i="7"/>
  <c r="Q312" i="7"/>
  <c r="R312" i="7"/>
  <c r="AD312" i="7"/>
  <c r="V312" i="7" s="1"/>
  <c r="P313" i="7"/>
  <c r="Q313" i="7"/>
  <c r="R313" i="7"/>
  <c r="AD313" i="7"/>
  <c r="V313" i="7" s="1"/>
  <c r="P314" i="7"/>
  <c r="Q314" i="7"/>
  <c r="R314" i="7"/>
  <c r="AD314" i="7"/>
  <c r="V314" i="7" s="1"/>
  <c r="P315" i="7"/>
  <c r="Q315" i="7"/>
  <c r="R315" i="7"/>
  <c r="AD315" i="7"/>
  <c r="V315" i="7" s="1"/>
  <c r="P316" i="7"/>
  <c r="Q316" i="7"/>
  <c r="R316" i="7"/>
  <c r="AD316" i="7"/>
  <c r="V316" i="7" s="1"/>
  <c r="P318" i="7"/>
  <c r="Q318" i="7"/>
  <c r="R318" i="7"/>
  <c r="AD318" i="7"/>
  <c r="V318" i="7" s="1"/>
  <c r="P319" i="7"/>
  <c r="Q319" i="7"/>
  <c r="R319" i="7"/>
  <c r="AD319" i="7"/>
  <c r="V319" i="7" s="1"/>
  <c r="P320" i="7"/>
  <c r="Q320" i="7"/>
  <c r="R320" i="7"/>
  <c r="AD320" i="7"/>
  <c r="V320" i="7" s="1"/>
  <c r="P321" i="7"/>
  <c r="Q321" i="7"/>
  <c r="R321" i="7"/>
  <c r="AD321" i="7"/>
  <c r="V321" i="7" s="1"/>
  <c r="P322" i="7"/>
  <c r="Q322" i="7"/>
  <c r="R322" i="7"/>
  <c r="AD322" i="7"/>
  <c r="V322" i="7" s="1"/>
  <c r="P323" i="7"/>
  <c r="Q323" i="7"/>
  <c r="R323" i="7"/>
  <c r="AD323" i="7"/>
  <c r="V323" i="7" s="1"/>
  <c r="P324" i="7"/>
  <c r="Q324" i="7"/>
  <c r="R324" i="7"/>
  <c r="AD324" i="7"/>
  <c r="V324" i="7" s="1"/>
  <c r="P325" i="7"/>
  <c r="Q325" i="7"/>
  <c r="R325" i="7"/>
  <c r="AD325" i="7"/>
  <c r="V325" i="7" s="1"/>
  <c r="P326" i="7"/>
  <c r="Q326" i="7"/>
  <c r="R326" i="7"/>
  <c r="AD326" i="7"/>
  <c r="V326" i="7" s="1"/>
  <c r="P328" i="7"/>
  <c r="Q328" i="7"/>
  <c r="R328" i="7"/>
  <c r="AD328" i="7"/>
  <c r="V328" i="7" s="1"/>
  <c r="P330" i="7"/>
  <c r="Q330" i="7"/>
  <c r="R330" i="7"/>
  <c r="AD330" i="7"/>
  <c r="V330" i="7" s="1"/>
  <c r="P331" i="7"/>
  <c r="Q331" i="7"/>
  <c r="R331" i="7"/>
  <c r="AD331" i="7"/>
  <c r="V331" i="7" s="1"/>
  <c r="P333" i="7"/>
  <c r="Q333" i="7"/>
  <c r="R333" i="7"/>
  <c r="AD333" i="7"/>
  <c r="V333" i="7" s="1"/>
  <c r="P334" i="7"/>
  <c r="Q334" i="7"/>
  <c r="R334" i="7"/>
  <c r="AD334" i="7"/>
  <c r="V334" i="7" s="1"/>
  <c r="P335" i="7"/>
  <c r="Q335" i="7"/>
  <c r="R335" i="7"/>
  <c r="AD335" i="7"/>
  <c r="V335" i="7" s="1"/>
  <c r="P337" i="7"/>
  <c r="Q337" i="7"/>
  <c r="R337" i="7"/>
  <c r="AD337" i="7"/>
  <c r="V337" i="7" s="1"/>
  <c r="P338" i="7"/>
  <c r="Q338" i="7"/>
  <c r="R338" i="7"/>
  <c r="AD338" i="7"/>
  <c r="V338" i="7" s="1"/>
  <c r="P340" i="7"/>
  <c r="Q340" i="7"/>
  <c r="R340" i="7"/>
  <c r="AD340" i="7"/>
  <c r="V340" i="7" s="1"/>
  <c r="P341" i="7"/>
  <c r="Q341" i="7"/>
  <c r="R341" i="7"/>
  <c r="AD341" i="7"/>
  <c r="V341" i="7" s="1"/>
  <c r="P342" i="7"/>
  <c r="Q342" i="7"/>
  <c r="R342" i="7"/>
  <c r="AD342" i="7"/>
  <c r="V342" i="7" s="1"/>
  <c r="P343" i="7"/>
  <c r="Q343" i="7"/>
  <c r="R343" i="7"/>
  <c r="AD343" i="7"/>
  <c r="V343" i="7" s="1"/>
  <c r="P344" i="7"/>
  <c r="Q344" i="7"/>
  <c r="R344" i="7"/>
  <c r="AD344" i="7"/>
  <c r="V344" i="7" s="1"/>
  <c r="P347" i="7"/>
  <c r="Q347" i="7"/>
  <c r="R347" i="7"/>
  <c r="AD347" i="7"/>
  <c r="V347" i="7" s="1"/>
  <c r="P348" i="7"/>
  <c r="Q348" i="7"/>
  <c r="R348" i="7"/>
  <c r="AD348" i="7"/>
  <c r="V348" i="7" s="1"/>
  <c r="P350" i="7"/>
  <c r="Q350" i="7"/>
  <c r="R350" i="7"/>
  <c r="AD350" i="7"/>
  <c r="V350" i="7" s="1"/>
  <c r="P351" i="7"/>
  <c r="Q351" i="7"/>
  <c r="R351" i="7"/>
  <c r="AD351" i="7"/>
  <c r="V351" i="7" s="1"/>
  <c r="P352" i="7"/>
  <c r="Q352" i="7"/>
  <c r="R352" i="7"/>
  <c r="AD352" i="7"/>
  <c r="V352" i="7" s="1"/>
  <c r="P353" i="7"/>
  <c r="Q353" i="7"/>
  <c r="R353" i="7"/>
  <c r="AD353" i="7"/>
  <c r="V353" i="7" s="1"/>
  <c r="P355" i="7"/>
  <c r="Q355" i="7"/>
  <c r="R355" i="7"/>
  <c r="AD355" i="7"/>
  <c r="V355" i="7" s="1"/>
  <c r="P356" i="7"/>
  <c r="Q356" i="7"/>
  <c r="R356" i="7"/>
  <c r="AD356" i="7"/>
  <c r="V356" i="7" s="1"/>
  <c r="P357" i="7"/>
  <c r="Q357" i="7"/>
  <c r="R357" i="7"/>
  <c r="AD357" i="7"/>
  <c r="V357" i="7" s="1"/>
  <c r="P359" i="7"/>
  <c r="Q359" i="7"/>
  <c r="R359" i="7"/>
  <c r="AD359" i="7"/>
  <c r="V359" i="7" s="1"/>
  <c r="P360" i="7"/>
  <c r="Q360" i="7"/>
  <c r="R360" i="7"/>
  <c r="AD360" i="7"/>
  <c r="V360" i="7" s="1"/>
  <c r="P361" i="7"/>
  <c r="Q361" i="7"/>
  <c r="R361" i="7"/>
  <c r="AD361" i="7"/>
  <c r="V361" i="7" s="1"/>
  <c r="P362" i="7"/>
  <c r="Q362" i="7"/>
  <c r="R362" i="7"/>
  <c r="AD362" i="7"/>
  <c r="V362" i="7" s="1"/>
  <c r="P363" i="7"/>
  <c r="Q363" i="7"/>
  <c r="R363" i="7"/>
  <c r="AD363" i="7"/>
  <c r="V363" i="7" s="1"/>
  <c r="P365" i="7"/>
  <c r="Q365" i="7"/>
  <c r="R365" i="7"/>
  <c r="AD365" i="7"/>
  <c r="V365" i="7" s="1"/>
  <c r="P366" i="7"/>
  <c r="Q366" i="7"/>
  <c r="R366" i="7"/>
  <c r="AD366" i="7"/>
  <c r="V366" i="7" s="1"/>
  <c r="P367" i="7"/>
  <c r="Q367" i="7"/>
  <c r="R367" i="7"/>
  <c r="AD367" i="7"/>
  <c r="V367" i="7" s="1"/>
  <c r="P368" i="7"/>
  <c r="Q368" i="7"/>
  <c r="R368" i="7"/>
  <c r="AD368" i="7"/>
  <c r="V368" i="7" s="1"/>
  <c r="P369" i="7"/>
  <c r="Q369" i="7"/>
  <c r="R369" i="7"/>
  <c r="AD369" i="7"/>
  <c r="V369" i="7" s="1"/>
  <c r="P370" i="7"/>
  <c r="Q370" i="7"/>
  <c r="R370" i="7"/>
  <c r="AD370" i="7"/>
  <c r="V370" i="7" s="1"/>
  <c r="P371" i="7"/>
  <c r="Q371" i="7"/>
  <c r="R371" i="7"/>
  <c r="AD371" i="7"/>
  <c r="V371" i="7" s="1"/>
  <c r="P373" i="7"/>
  <c r="Q373" i="7"/>
  <c r="R373" i="7"/>
  <c r="AD373" i="7"/>
  <c r="V373" i="7" s="1"/>
  <c r="P374" i="7"/>
  <c r="Q374" i="7"/>
  <c r="R374" i="7"/>
  <c r="AD374" i="7"/>
  <c r="V374" i="7" s="1"/>
  <c r="P375" i="7"/>
  <c r="Q375" i="7"/>
  <c r="R375" i="7"/>
  <c r="AD375" i="7"/>
  <c r="V375" i="7" s="1"/>
  <c r="P376" i="7"/>
  <c r="Q376" i="7"/>
  <c r="R376" i="7"/>
  <c r="AD376" i="7"/>
  <c r="V376" i="7" s="1"/>
  <c r="P378" i="7"/>
  <c r="Q378" i="7"/>
  <c r="R378" i="7"/>
  <c r="AD378" i="7"/>
  <c r="V378" i="7" s="1"/>
  <c r="P379" i="7"/>
  <c r="Q379" i="7"/>
  <c r="R379" i="7"/>
  <c r="AD379" i="7"/>
  <c r="V379" i="7" s="1"/>
  <c r="P380" i="7"/>
  <c r="Q380" i="7"/>
  <c r="R380" i="7"/>
  <c r="AD380" i="7"/>
  <c r="V380" i="7" s="1"/>
  <c r="P381" i="7"/>
  <c r="Q381" i="7"/>
  <c r="R381" i="7"/>
  <c r="AD381" i="7"/>
  <c r="V381" i="7" s="1"/>
  <c r="P383" i="7"/>
  <c r="Q383" i="7"/>
  <c r="R383" i="7"/>
  <c r="AD383" i="7"/>
  <c r="V383" i="7" s="1"/>
  <c r="P385" i="7"/>
  <c r="Q385" i="7"/>
  <c r="R385" i="7"/>
  <c r="AD385" i="7"/>
  <c r="V385" i="7" s="1"/>
  <c r="P386" i="7"/>
  <c r="Q386" i="7"/>
  <c r="R386" i="7"/>
  <c r="AD386" i="7"/>
  <c r="V386" i="7" s="1"/>
  <c r="P387" i="7"/>
  <c r="Q387" i="7"/>
  <c r="R387" i="7"/>
  <c r="AD387" i="7"/>
  <c r="V387" i="7" s="1"/>
  <c r="P388" i="7"/>
  <c r="Q388" i="7"/>
  <c r="R388" i="7"/>
  <c r="AD388" i="7"/>
  <c r="V388" i="7" s="1"/>
  <c r="P391" i="7"/>
  <c r="Q391" i="7"/>
  <c r="R391" i="7"/>
  <c r="AD391" i="7"/>
  <c r="V391" i="7" s="1"/>
  <c r="P392" i="7"/>
  <c r="Q392" i="7"/>
  <c r="R392" i="7"/>
  <c r="AD392" i="7"/>
  <c r="V392" i="7" s="1"/>
  <c r="P393" i="7"/>
  <c r="Q393" i="7"/>
  <c r="R393" i="7"/>
  <c r="AD393" i="7"/>
  <c r="V393" i="7" s="1"/>
  <c r="P395" i="7"/>
  <c r="Q395" i="7"/>
  <c r="R395" i="7"/>
  <c r="AD395" i="7"/>
  <c r="V395" i="7" s="1"/>
  <c r="P396" i="7"/>
  <c r="Q396" i="7"/>
  <c r="R396" i="7"/>
  <c r="AD396" i="7"/>
  <c r="V396" i="7" s="1"/>
  <c r="P397" i="7"/>
  <c r="Q397" i="7"/>
  <c r="R397" i="7"/>
  <c r="AD397" i="7"/>
  <c r="V397" i="7" s="1"/>
  <c r="P398" i="7"/>
  <c r="Q398" i="7"/>
  <c r="R398" i="7"/>
  <c r="AD398" i="7"/>
  <c r="V398" i="7" s="1"/>
  <c r="P399" i="7"/>
  <c r="Q399" i="7"/>
  <c r="R399" i="7"/>
  <c r="AD399" i="7"/>
  <c r="V399" i="7" s="1"/>
  <c r="P400" i="7"/>
  <c r="Q400" i="7"/>
  <c r="R400" i="7"/>
  <c r="AD400" i="7"/>
  <c r="V400" i="7" s="1"/>
  <c r="P402" i="7"/>
  <c r="Q402" i="7"/>
  <c r="R402" i="7"/>
  <c r="AD402" i="7"/>
  <c r="V402" i="7" s="1"/>
  <c r="P403" i="7"/>
  <c r="Q403" i="7"/>
  <c r="R403" i="7"/>
  <c r="AD403" i="7"/>
  <c r="V403" i="7" s="1"/>
  <c r="P405" i="7"/>
  <c r="Q405" i="7"/>
  <c r="R405" i="7"/>
  <c r="AD405" i="7"/>
  <c r="V405" i="7" s="1"/>
  <c r="P407" i="7"/>
  <c r="Q407" i="7"/>
  <c r="R407" i="7"/>
  <c r="AD407" i="7"/>
  <c r="V407" i="7" s="1"/>
  <c r="P408" i="7"/>
  <c r="Q408" i="7"/>
  <c r="R408" i="7"/>
  <c r="AD408" i="7"/>
  <c r="V408" i="7" s="1"/>
  <c r="P409" i="7"/>
  <c r="Q409" i="7"/>
  <c r="R409" i="7"/>
  <c r="AD409" i="7"/>
  <c r="V409" i="7" s="1"/>
  <c r="P410" i="7"/>
  <c r="Q410" i="7"/>
  <c r="R410" i="7"/>
  <c r="AD410" i="7"/>
  <c r="V410" i="7" s="1"/>
  <c r="P411" i="7"/>
  <c r="Q411" i="7"/>
  <c r="R411" i="7"/>
  <c r="AD411" i="7"/>
  <c r="V411" i="7" s="1"/>
  <c r="P412" i="7"/>
  <c r="Q412" i="7"/>
  <c r="R412" i="7"/>
  <c r="AD412" i="7"/>
  <c r="V412" i="7" s="1"/>
  <c r="P413" i="7"/>
  <c r="Q413" i="7"/>
  <c r="R413" i="7"/>
  <c r="AD413" i="7"/>
  <c r="V413" i="7" s="1"/>
  <c r="P414" i="7"/>
  <c r="Q414" i="7"/>
  <c r="R414" i="7"/>
  <c r="AD414" i="7"/>
  <c r="V414" i="7" s="1"/>
  <c r="P415" i="7"/>
  <c r="Q415" i="7"/>
  <c r="R415" i="7"/>
  <c r="AD415" i="7"/>
  <c r="V415" i="7" s="1"/>
  <c r="P416" i="7"/>
  <c r="Q416" i="7"/>
  <c r="R416" i="7"/>
  <c r="AD416" i="7"/>
  <c r="V416" i="7" s="1"/>
  <c r="P418" i="7"/>
  <c r="Q418" i="7"/>
  <c r="R418" i="7"/>
  <c r="AD418" i="7"/>
  <c r="V418" i="7" s="1"/>
  <c r="P419" i="7"/>
  <c r="Q419" i="7"/>
  <c r="R419" i="7"/>
  <c r="AD419" i="7"/>
  <c r="V419" i="7" s="1"/>
  <c r="P420" i="7"/>
  <c r="Q420" i="7"/>
  <c r="R420" i="7"/>
  <c r="AD420" i="7"/>
  <c r="V420" i="7" s="1"/>
  <c r="P421" i="7"/>
  <c r="Q421" i="7"/>
  <c r="R421" i="7"/>
  <c r="AD421" i="7"/>
  <c r="V421" i="7" s="1"/>
  <c r="P423" i="7"/>
  <c r="Q423" i="7"/>
  <c r="R423" i="7"/>
  <c r="AD423" i="7"/>
  <c r="V423" i="7" s="1"/>
  <c r="P424" i="7"/>
  <c r="Q424" i="7"/>
  <c r="R424" i="7"/>
  <c r="AD424" i="7"/>
  <c r="V424" i="7" s="1"/>
  <c r="P425" i="7"/>
  <c r="Q425" i="7"/>
  <c r="R425" i="7"/>
  <c r="AD425" i="7"/>
  <c r="V425" i="7" s="1"/>
  <c r="P426" i="7"/>
  <c r="Q426" i="7"/>
  <c r="R426" i="7"/>
  <c r="AD426" i="7"/>
  <c r="V426" i="7" s="1"/>
  <c r="P428" i="7"/>
  <c r="Q428" i="7"/>
  <c r="R428" i="7"/>
  <c r="AD428" i="7"/>
  <c r="V428" i="7" s="1"/>
  <c r="P429" i="7"/>
  <c r="Q429" i="7"/>
  <c r="R429" i="7"/>
  <c r="AD429" i="7"/>
  <c r="V429" i="7" s="1"/>
  <c r="P430" i="7"/>
  <c r="Q430" i="7"/>
  <c r="R430" i="7"/>
  <c r="AD430" i="7"/>
  <c r="V430" i="7" s="1"/>
  <c r="P432" i="7"/>
  <c r="Q432" i="7"/>
  <c r="R432" i="7"/>
  <c r="AD432" i="7"/>
  <c r="V432" i="7" s="1"/>
  <c r="P433" i="7"/>
  <c r="Q433" i="7"/>
  <c r="R433" i="7"/>
  <c r="AD433" i="7"/>
  <c r="V433" i="7" s="1"/>
  <c r="P434" i="7"/>
  <c r="Q434" i="7"/>
  <c r="R434" i="7"/>
  <c r="AD434" i="7"/>
  <c r="V434" i="7" s="1"/>
  <c r="P435" i="7"/>
  <c r="Q435" i="7"/>
  <c r="R435" i="7"/>
  <c r="AD435" i="7"/>
  <c r="V435" i="7" s="1"/>
  <c r="P437" i="7"/>
  <c r="Q437" i="7"/>
  <c r="R437" i="7"/>
  <c r="AD437" i="7"/>
  <c r="V437" i="7" s="1"/>
  <c r="P438" i="7"/>
  <c r="Q438" i="7"/>
  <c r="R438" i="7"/>
  <c r="AD438" i="7"/>
  <c r="V438" i="7" s="1"/>
  <c r="P439" i="7"/>
  <c r="Q439" i="7"/>
  <c r="R439" i="7"/>
  <c r="AD439" i="7"/>
  <c r="V439" i="7" s="1"/>
  <c r="P441" i="7"/>
  <c r="Q441" i="7"/>
  <c r="R441" i="7"/>
  <c r="AD441" i="7"/>
  <c r="V441" i="7" s="1"/>
  <c r="P442" i="7"/>
  <c r="Q442" i="7"/>
  <c r="R442" i="7"/>
  <c r="AD442" i="7"/>
  <c r="V442" i="7" s="1"/>
  <c r="P446" i="7"/>
  <c r="Q446" i="7"/>
  <c r="R446" i="7"/>
  <c r="AD446" i="7"/>
  <c r="V446" i="7" s="1"/>
  <c r="P447" i="7"/>
  <c r="Q447" i="7"/>
  <c r="R447" i="7"/>
  <c r="AD447" i="7"/>
  <c r="V447" i="7" s="1"/>
  <c r="P448" i="7"/>
  <c r="Q448" i="7"/>
  <c r="R448" i="7"/>
  <c r="AD448" i="7"/>
  <c r="V448" i="7" s="1"/>
  <c r="P450" i="7"/>
  <c r="Q450" i="7"/>
  <c r="R450" i="7"/>
  <c r="AD450" i="7"/>
  <c r="V450" i="7" s="1"/>
  <c r="P451" i="7"/>
  <c r="Q451" i="7"/>
  <c r="R451" i="7"/>
  <c r="AD451" i="7"/>
  <c r="V451" i="7" s="1"/>
  <c r="P452" i="7"/>
  <c r="Q452" i="7"/>
  <c r="R452" i="7"/>
  <c r="AD452" i="7"/>
  <c r="V452" i="7" s="1"/>
  <c r="P453" i="7"/>
  <c r="Q453" i="7"/>
  <c r="R453" i="7"/>
  <c r="AD453" i="7"/>
  <c r="V453" i="7" s="1"/>
  <c r="P455" i="7"/>
  <c r="Q455" i="7"/>
  <c r="R455" i="7"/>
  <c r="AD455" i="7"/>
  <c r="V455" i="7" s="1"/>
  <c r="P457" i="7"/>
  <c r="Q457" i="7"/>
  <c r="R457" i="7"/>
  <c r="AD457" i="7"/>
  <c r="V457" i="7" s="1"/>
  <c r="P458" i="7"/>
  <c r="Q458" i="7"/>
  <c r="R458" i="7"/>
  <c r="AD458" i="7"/>
  <c r="V458" i="7" s="1"/>
  <c r="P459" i="7"/>
  <c r="Q459" i="7"/>
  <c r="R459" i="7"/>
  <c r="AD459" i="7"/>
  <c r="V459" i="7" s="1"/>
  <c r="P461" i="7"/>
  <c r="Q461" i="7"/>
  <c r="R461" i="7"/>
  <c r="AD461" i="7"/>
  <c r="V461" i="7" s="1"/>
  <c r="P462" i="7"/>
  <c r="Q462" i="7"/>
  <c r="R462" i="7"/>
  <c r="AD462" i="7"/>
  <c r="V462" i="7" s="1"/>
  <c r="P464" i="7"/>
  <c r="Q464" i="7"/>
  <c r="R464" i="7"/>
  <c r="AD464" i="7"/>
  <c r="V464" i="7" s="1"/>
  <c r="P465" i="7"/>
  <c r="Q465" i="7"/>
  <c r="R465" i="7"/>
  <c r="AD465" i="7"/>
  <c r="V465" i="7" s="1"/>
  <c r="P466" i="7"/>
  <c r="Q466" i="7"/>
  <c r="R466" i="7"/>
  <c r="AD466" i="7"/>
  <c r="V466" i="7" s="1"/>
  <c r="P467" i="7"/>
  <c r="Q467" i="7"/>
  <c r="R467" i="7"/>
  <c r="AD467" i="7"/>
  <c r="V467" i="7" s="1"/>
  <c r="P468" i="7"/>
  <c r="Q468" i="7"/>
  <c r="R468" i="7"/>
  <c r="AD468" i="7"/>
  <c r="V468" i="7" s="1"/>
  <c r="P470" i="7"/>
  <c r="Q470" i="7"/>
  <c r="R470" i="7"/>
  <c r="AD470" i="7"/>
  <c r="V470" i="7" s="1"/>
  <c r="P471" i="7"/>
  <c r="Q471" i="7"/>
  <c r="R471" i="7"/>
  <c r="AD471" i="7"/>
  <c r="V471" i="7" s="1"/>
  <c r="P472" i="7"/>
  <c r="Q472" i="7"/>
  <c r="R472" i="7"/>
  <c r="AD472" i="7"/>
  <c r="V472" i="7" s="1"/>
  <c r="P473" i="7"/>
  <c r="Q473" i="7"/>
  <c r="R473" i="7"/>
  <c r="AD473" i="7"/>
  <c r="V473" i="7" s="1"/>
  <c r="P474" i="7"/>
  <c r="Q474" i="7"/>
  <c r="R474" i="7"/>
  <c r="AD474" i="7"/>
  <c r="V474" i="7" s="1"/>
  <c r="P475" i="7"/>
  <c r="Q475" i="7"/>
  <c r="R475" i="7"/>
  <c r="AD475" i="7"/>
  <c r="V475" i="7" s="1"/>
  <c r="P477" i="7"/>
  <c r="Q477" i="7"/>
  <c r="R477" i="7"/>
  <c r="AD477" i="7"/>
  <c r="V477" i="7" s="1"/>
  <c r="P478" i="7"/>
  <c r="Q478" i="7"/>
  <c r="R478" i="7"/>
  <c r="AD478" i="7"/>
  <c r="V478" i="7" s="1"/>
  <c r="P479" i="7"/>
  <c r="Q479" i="7"/>
  <c r="R479" i="7"/>
  <c r="AD479" i="7"/>
  <c r="V479" i="7" s="1"/>
  <c r="P480" i="7"/>
  <c r="Q480" i="7"/>
  <c r="R480" i="7"/>
  <c r="AD480" i="7"/>
  <c r="V480" i="7" s="1"/>
  <c r="P481" i="7"/>
  <c r="Q481" i="7"/>
  <c r="R481" i="7"/>
  <c r="AD481" i="7"/>
  <c r="V481" i="7" s="1"/>
  <c r="P482" i="7"/>
  <c r="Q482" i="7"/>
  <c r="R482" i="7"/>
  <c r="AD482" i="7"/>
  <c r="V482" i="7" s="1"/>
  <c r="P484" i="7"/>
  <c r="Q484" i="7"/>
  <c r="R484" i="7"/>
  <c r="AD484" i="7"/>
  <c r="V484" i="7" s="1"/>
  <c r="P485" i="7"/>
  <c r="Q485" i="7"/>
  <c r="R485" i="7"/>
  <c r="AD485" i="7"/>
  <c r="V485" i="7" s="1"/>
  <c r="P488" i="7"/>
  <c r="Q488" i="7"/>
  <c r="R488" i="7"/>
  <c r="AD488" i="7"/>
  <c r="V488" i="7" s="1"/>
  <c r="P489" i="7"/>
  <c r="Q489" i="7"/>
  <c r="R489" i="7"/>
  <c r="AD489" i="7"/>
  <c r="V489" i="7" s="1"/>
  <c r="P490" i="7"/>
  <c r="Q490" i="7"/>
  <c r="R490" i="7"/>
  <c r="AD490" i="7"/>
  <c r="V490" i="7" s="1"/>
  <c r="P491" i="7"/>
  <c r="Q491" i="7"/>
  <c r="R491" i="7"/>
  <c r="AD491" i="7"/>
  <c r="V491" i="7" s="1"/>
  <c r="P492" i="7"/>
  <c r="Q492" i="7"/>
  <c r="R492" i="7"/>
  <c r="AD492" i="7"/>
  <c r="V492" i="7" s="1"/>
  <c r="P493" i="7"/>
  <c r="Q493" i="7"/>
  <c r="R493" i="7"/>
  <c r="AD493" i="7"/>
  <c r="V493" i="7" s="1"/>
  <c r="P494" i="7"/>
  <c r="Q494" i="7"/>
  <c r="R494" i="7"/>
  <c r="AD494" i="7"/>
  <c r="V494" i="7" s="1"/>
  <c r="P495" i="7"/>
  <c r="Q495" i="7"/>
  <c r="R495" i="7"/>
  <c r="AD495" i="7"/>
  <c r="V495" i="7" s="1"/>
  <c r="P497" i="7"/>
  <c r="Q497" i="7"/>
  <c r="R497" i="7"/>
  <c r="AD497" i="7"/>
  <c r="V497" i="7" s="1"/>
  <c r="P498" i="7"/>
  <c r="Q498" i="7"/>
  <c r="R498" i="7"/>
  <c r="AD498" i="7"/>
  <c r="V498" i="7" s="1"/>
  <c r="P499" i="7"/>
  <c r="Q499" i="7"/>
  <c r="R499" i="7"/>
  <c r="AD499" i="7"/>
  <c r="V499" i="7" s="1"/>
  <c r="P501" i="7"/>
  <c r="Q501" i="7"/>
  <c r="R501" i="7"/>
  <c r="AD501" i="7"/>
  <c r="V501" i="7" s="1"/>
  <c r="P502" i="7"/>
  <c r="Q502" i="7"/>
  <c r="R502" i="7"/>
  <c r="AD502" i="7"/>
  <c r="V502" i="7" s="1"/>
  <c r="P504" i="7"/>
  <c r="Q504" i="7"/>
  <c r="R504" i="7"/>
  <c r="AD504" i="7"/>
  <c r="V504" i="7" s="1"/>
  <c r="P505" i="7"/>
  <c r="Q505" i="7"/>
  <c r="R505" i="7"/>
  <c r="AD505" i="7"/>
  <c r="V505" i="7" s="1"/>
  <c r="P506" i="7"/>
  <c r="Q506" i="7"/>
  <c r="R506" i="7"/>
  <c r="AD506" i="7"/>
  <c r="V506" i="7" s="1"/>
  <c r="P508" i="7"/>
  <c r="Q508" i="7"/>
  <c r="R508" i="7"/>
  <c r="AD508" i="7"/>
  <c r="V508" i="7" s="1"/>
  <c r="P509" i="7"/>
  <c r="Q509" i="7"/>
  <c r="R509" i="7"/>
  <c r="AD509" i="7"/>
  <c r="V509" i="7" s="1"/>
  <c r="P510" i="7"/>
  <c r="Q510" i="7"/>
  <c r="R510" i="7"/>
  <c r="AD510" i="7"/>
  <c r="V510" i="7" s="1"/>
  <c r="P511" i="7"/>
  <c r="Q511" i="7"/>
  <c r="R511" i="7"/>
  <c r="AD511" i="7"/>
  <c r="V511" i="7" s="1"/>
  <c r="P512" i="7"/>
  <c r="Q512" i="7"/>
  <c r="R512" i="7"/>
  <c r="AD512" i="7"/>
  <c r="V512" i="7" s="1"/>
  <c r="P513" i="7"/>
  <c r="Q513" i="7"/>
  <c r="R513" i="7"/>
  <c r="AD513" i="7"/>
  <c r="V513" i="7" s="1"/>
  <c r="P514" i="7"/>
  <c r="Q514" i="7"/>
  <c r="R514" i="7"/>
  <c r="AD514" i="7"/>
  <c r="V514" i="7" s="1"/>
  <c r="P518" i="7"/>
  <c r="Q518" i="7"/>
  <c r="R518" i="7"/>
  <c r="AD518" i="7"/>
  <c r="V518" i="7" s="1"/>
  <c r="P519" i="7"/>
  <c r="Q519" i="7"/>
  <c r="R519" i="7"/>
  <c r="AD519" i="7"/>
  <c r="V519" i="7" s="1"/>
  <c r="P521" i="7"/>
  <c r="Q521" i="7"/>
  <c r="R521" i="7"/>
  <c r="U521" i="7"/>
  <c r="AD521" i="7"/>
  <c r="V521" i="7" s="1"/>
  <c r="P522" i="7"/>
  <c r="Q522" i="7"/>
  <c r="R522" i="7"/>
  <c r="AD522" i="7"/>
  <c r="V522" i="7" s="1"/>
  <c r="P523" i="7"/>
  <c r="Q523" i="7"/>
  <c r="R523" i="7"/>
  <c r="AD523" i="7"/>
  <c r="V523" i="7" s="1"/>
  <c r="P525" i="7"/>
  <c r="Q525" i="7"/>
  <c r="R525" i="7"/>
  <c r="U525" i="7"/>
  <c r="AD525" i="7"/>
  <c r="V525" i="7" s="1"/>
  <c r="P526" i="7"/>
  <c r="Q526" i="7"/>
  <c r="R526" i="7"/>
  <c r="AD526" i="7"/>
  <c r="V526" i="7" s="1"/>
  <c r="P528" i="7"/>
  <c r="Q528" i="7"/>
  <c r="R528" i="7"/>
  <c r="AD528" i="7"/>
  <c r="V528" i="7" s="1"/>
  <c r="P529" i="7"/>
  <c r="Q529" i="7"/>
  <c r="R529" i="7"/>
  <c r="U529" i="7" s="1"/>
  <c r="AD529" i="7"/>
  <c r="V529" i="7" s="1"/>
  <c r="P531" i="7"/>
  <c r="Q531" i="7"/>
  <c r="R531" i="7"/>
  <c r="AD531" i="7"/>
  <c r="V531" i="7" s="1"/>
  <c r="P532" i="7"/>
  <c r="Q532" i="7"/>
  <c r="R532" i="7"/>
  <c r="AD532" i="7"/>
  <c r="V532" i="7" s="1"/>
  <c r="P533" i="7"/>
  <c r="Q533" i="7"/>
  <c r="R533" i="7"/>
  <c r="AD533" i="7"/>
  <c r="V533" i="7" s="1"/>
  <c r="P535" i="7"/>
  <c r="Q535" i="7"/>
  <c r="R535" i="7"/>
  <c r="AD535" i="7"/>
  <c r="V535" i="7" s="1"/>
  <c r="P536" i="7"/>
  <c r="Q536" i="7"/>
  <c r="R536" i="7"/>
  <c r="AD536" i="7"/>
  <c r="V536" i="7" s="1"/>
  <c r="P537" i="7"/>
  <c r="Q537" i="7"/>
  <c r="R537" i="7"/>
  <c r="U537" i="7" s="1"/>
  <c r="AD537" i="7"/>
  <c r="V537" i="7" s="1"/>
  <c r="P538" i="7"/>
  <c r="Q538" i="7"/>
  <c r="R538" i="7"/>
  <c r="AD538" i="7"/>
  <c r="V538" i="7" s="1"/>
  <c r="P540" i="7"/>
  <c r="Q540" i="7"/>
  <c r="R540" i="7"/>
  <c r="AD540" i="7"/>
  <c r="V540" i="7" s="1"/>
  <c r="P541" i="7"/>
  <c r="Q541" i="7"/>
  <c r="R541" i="7"/>
  <c r="AD541" i="7"/>
  <c r="V541" i="7" s="1"/>
  <c r="P542" i="7"/>
  <c r="Q542" i="7"/>
  <c r="R542" i="7"/>
  <c r="AD542" i="7"/>
  <c r="V542" i="7" s="1"/>
  <c r="P543" i="7"/>
  <c r="Q543" i="7"/>
  <c r="R543" i="7"/>
  <c r="AD543" i="7"/>
  <c r="V543" i="7" s="1"/>
  <c r="P545" i="7"/>
  <c r="Q545" i="7"/>
  <c r="R545" i="7"/>
  <c r="AD545" i="7"/>
  <c r="V545" i="7" s="1"/>
  <c r="P546" i="7"/>
  <c r="Q546" i="7"/>
  <c r="R546" i="7"/>
  <c r="AD546" i="7"/>
  <c r="V546" i="7" s="1"/>
  <c r="P547" i="7"/>
  <c r="Q547" i="7"/>
  <c r="R547" i="7"/>
  <c r="AD547" i="7"/>
  <c r="V547" i="7" s="1"/>
  <c r="P548" i="7"/>
  <c r="Q548" i="7"/>
  <c r="R548" i="7"/>
  <c r="AD548" i="7"/>
  <c r="V548" i="7" s="1"/>
  <c r="P552" i="7"/>
  <c r="Q552" i="7"/>
  <c r="R552" i="7"/>
  <c r="AD552" i="7"/>
  <c r="V552" i="7" s="1"/>
  <c r="P553" i="7"/>
  <c r="Q553" i="7"/>
  <c r="R553" i="7"/>
  <c r="AD553" i="7"/>
  <c r="V553" i="7" s="1"/>
  <c r="P554" i="7"/>
  <c r="Q554" i="7"/>
  <c r="R554" i="7"/>
  <c r="AD554" i="7"/>
  <c r="V554" i="7" s="1"/>
  <c r="P555" i="7"/>
  <c r="Q555" i="7"/>
  <c r="R555" i="7"/>
  <c r="AD555" i="7"/>
  <c r="V555" i="7" s="1"/>
  <c r="P556" i="7"/>
  <c r="Q556" i="7"/>
  <c r="R556" i="7"/>
  <c r="AD556" i="7"/>
  <c r="V556" i="7" s="1"/>
  <c r="P557" i="7"/>
  <c r="Q557" i="7"/>
  <c r="R557" i="7"/>
  <c r="AD557" i="7"/>
  <c r="V557" i="7" s="1"/>
  <c r="P558" i="7"/>
  <c r="Q558" i="7"/>
  <c r="R558" i="7"/>
  <c r="AD558" i="7"/>
  <c r="V558" i="7" s="1"/>
  <c r="P559" i="7"/>
  <c r="Q559" i="7"/>
  <c r="R559" i="7"/>
  <c r="AD559" i="7"/>
  <c r="V559" i="7" s="1"/>
  <c r="P561" i="7"/>
  <c r="Q561" i="7"/>
  <c r="R561" i="7"/>
  <c r="AD561" i="7"/>
  <c r="V561" i="7" s="1"/>
  <c r="P562" i="7"/>
  <c r="Q562" i="7"/>
  <c r="R562" i="7"/>
  <c r="AD562" i="7"/>
  <c r="V562" i="7" s="1"/>
  <c r="P563" i="7"/>
  <c r="Q563" i="7"/>
  <c r="R563" i="7"/>
  <c r="AD563" i="7"/>
  <c r="V563" i="7" s="1"/>
  <c r="P564" i="7"/>
  <c r="Q564" i="7"/>
  <c r="R564" i="7"/>
  <c r="AD564" i="7"/>
  <c r="V564" i="7" s="1"/>
  <c r="P565" i="7"/>
  <c r="Q565" i="7"/>
  <c r="R565" i="7"/>
  <c r="AD565" i="7"/>
  <c r="V565" i="7" s="1"/>
  <c r="P567" i="7"/>
  <c r="Q567" i="7"/>
  <c r="R567" i="7"/>
  <c r="AD567" i="7"/>
  <c r="V567" i="7" s="1"/>
  <c r="P568" i="7"/>
  <c r="Q568" i="7"/>
  <c r="R568" i="7"/>
  <c r="AD568" i="7"/>
  <c r="V568" i="7" s="1"/>
  <c r="P569" i="7"/>
  <c r="Q569" i="7"/>
  <c r="R569" i="7"/>
  <c r="AD569" i="7"/>
  <c r="V569" i="7" s="1"/>
  <c r="P570" i="7"/>
  <c r="Q570" i="7"/>
  <c r="R570" i="7"/>
  <c r="AD570" i="7"/>
  <c r="V570" i="7" s="1"/>
  <c r="P571" i="7"/>
  <c r="Q571" i="7"/>
  <c r="R571" i="7"/>
  <c r="AD571" i="7"/>
  <c r="V571" i="7" s="1"/>
  <c r="P572" i="7"/>
  <c r="Q572" i="7"/>
  <c r="R572" i="7"/>
  <c r="AD572" i="7"/>
  <c r="V572" i="7" s="1"/>
  <c r="P575" i="7"/>
  <c r="Q575" i="7"/>
  <c r="R575" i="7"/>
  <c r="AD575" i="7"/>
  <c r="V575" i="7" s="1"/>
  <c r="P576" i="7"/>
  <c r="Q576" i="7"/>
  <c r="R576" i="7"/>
  <c r="AD576" i="7"/>
  <c r="V576" i="7" s="1"/>
  <c r="P577" i="7"/>
  <c r="Q577" i="7"/>
  <c r="R577" i="7"/>
  <c r="AD577" i="7"/>
  <c r="V577" i="7" s="1"/>
  <c r="P578" i="7"/>
  <c r="Q578" i="7"/>
  <c r="R578" i="7"/>
  <c r="AD578" i="7"/>
  <c r="V578" i="7" s="1"/>
  <c r="P580" i="7"/>
  <c r="Q580" i="7"/>
  <c r="R580" i="7"/>
  <c r="AD580" i="7"/>
  <c r="V580" i="7" s="1"/>
  <c r="P581" i="7"/>
  <c r="Q581" i="7"/>
  <c r="R581" i="7"/>
  <c r="AD581" i="7"/>
  <c r="V581" i="7" s="1"/>
  <c r="P583" i="7"/>
  <c r="Q583" i="7"/>
  <c r="R583" i="7"/>
  <c r="AD583" i="7"/>
  <c r="V583" i="7" s="1"/>
  <c r="P584" i="7"/>
  <c r="Q584" i="7"/>
  <c r="R584" i="7"/>
  <c r="AD584" i="7"/>
  <c r="V584" i="7" s="1"/>
  <c r="P585" i="7"/>
  <c r="Q585" i="7"/>
  <c r="R585" i="7"/>
  <c r="AD585" i="7"/>
  <c r="V585" i="7" s="1"/>
  <c r="P588" i="7"/>
  <c r="Q588" i="7"/>
  <c r="R588" i="7"/>
  <c r="AD588" i="7"/>
  <c r="V588" i="7" s="1"/>
  <c r="P590" i="7"/>
  <c r="Q590" i="7"/>
  <c r="R590" i="7"/>
  <c r="AD590" i="7"/>
  <c r="V590" i="7" s="1"/>
  <c r="P591" i="7"/>
  <c r="Q591" i="7"/>
  <c r="R591" i="7"/>
  <c r="AD591" i="7"/>
  <c r="V591" i="7" s="1"/>
  <c r="P592" i="7"/>
  <c r="Q592" i="7"/>
  <c r="R592" i="7"/>
  <c r="AD592" i="7"/>
  <c r="V592" i="7" s="1"/>
  <c r="P593" i="7"/>
  <c r="Q593" i="7"/>
  <c r="R593" i="7"/>
  <c r="AD593" i="7"/>
  <c r="V593" i="7" s="1"/>
  <c r="P594" i="7"/>
  <c r="Q594" i="7"/>
  <c r="R594" i="7"/>
  <c r="AD594" i="7"/>
  <c r="V594" i="7" s="1"/>
  <c r="P595" i="7"/>
  <c r="Q595" i="7"/>
  <c r="R595" i="7"/>
  <c r="AD595" i="7"/>
  <c r="V595" i="7" s="1"/>
  <c r="P599" i="7"/>
  <c r="Q599" i="7"/>
  <c r="R599" i="7"/>
  <c r="AD599" i="7"/>
  <c r="V599" i="7" s="1"/>
  <c r="P600" i="7"/>
  <c r="Q600" i="7"/>
  <c r="R600" i="7"/>
  <c r="AD600" i="7"/>
  <c r="V600" i="7" s="1"/>
  <c r="P601" i="7"/>
  <c r="Q601" i="7"/>
  <c r="R601" i="7"/>
  <c r="AD601" i="7"/>
  <c r="V601" i="7" s="1"/>
  <c r="P602" i="7"/>
  <c r="Q602" i="7"/>
  <c r="R602" i="7"/>
  <c r="AD602" i="7"/>
  <c r="V602" i="7" s="1"/>
  <c r="P603" i="7"/>
  <c r="Q603" i="7"/>
  <c r="R603" i="7"/>
  <c r="AD603" i="7"/>
  <c r="V603" i="7" s="1"/>
  <c r="P605" i="7"/>
  <c r="Q605" i="7"/>
  <c r="R605" i="7"/>
  <c r="AD605" i="7"/>
  <c r="V605" i="7" s="1"/>
  <c r="P606" i="7"/>
  <c r="Q606" i="7"/>
  <c r="R606" i="7"/>
  <c r="AD606" i="7"/>
  <c r="V606" i="7" s="1"/>
  <c r="P607" i="7"/>
  <c r="Q607" i="7"/>
  <c r="R607" i="7"/>
  <c r="AD607" i="7"/>
  <c r="V607" i="7" s="1"/>
  <c r="P608" i="7"/>
  <c r="Q608" i="7"/>
  <c r="R608" i="7"/>
  <c r="AD608" i="7"/>
  <c r="V608" i="7" s="1"/>
  <c r="P610" i="7"/>
  <c r="Q610" i="7"/>
  <c r="R610" i="7"/>
  <c r="AD610" i="7"/>
  <c r="V610" i="7" s="1"/>
  <c r="P611" i="7"/>
  <c r="Q611" i="7"/>
  <c r="R611" i="7"/>
  <c r="AD611" i="7"/>
  <c r="V611" i="7" s="1"/>
  <c r="P612" i="7"/>
  <c r="Q612" i="7"/>
  <c r="R612" i="7"/>
  <c r="AD612" i="7"/>
  <c r="V612" i="7" s="1"/>
  <c r="P613" i="7"/>
  <c r="Q613" i="7"/>
  <c r="R613" i="7"/>
  <c r="AD613" i="7"/>
  <c r="V613" i="7" s="1"/>
  <c r="P614" i="7"/>
  <c r="Q614" i="7"/>
  <c r="R614" i="7"/>
  <c r="AD614" i="7"/>
  <c r="V614" i="7" s="1"/>
  <c r="P615" i="7"/>
  <c r="Q615" i="7"/>
  <c r="R615" i="7"/>
  <c r="AD615" i="7"/>
  <c r="V615" i="7" s="1"/>
  <c r="P617" i="7"/>
  <c r="Q617" i="7"/>
  <c r="R617" i="7"/>
  <c r="AD617" i="7"/>
  <c r="V617" i="7" s="1"/>
  <c r="P619" i="7"/>
  <c r="Q619" i="7"/>
  <c r="R619" i="7"/>
  <c r="AD619" i="7"/>
  <c r="V619" i="7" s="1"/>
  <c r="P620" i="7"/>
  <c r="Q620" i="7"/>
  <c r="R620" i="7"/>
  <c r="AD620" i="7"/>
  <c r="V620" i="7" s="1"/>
  <c r="P621" i="7"/>
  <c r="Q621" i="7"/>
  <c r="R621" i="7"/>
  <c r="AD621" i="7"/>
  <c r="V621" i="7" s="1"/>
  <c r="P622" i="7"/>
  <c r="Q622" i="7"/>
  <c r="R622" i="7"/>
  <c r="AD622" i="7"/>
  <c r="V622" i="7" s="1"/>
  <c r="P623" i="7"/>
  <c r="Q623" i="7"/>
  <c r="R623" i="7"/>
  <c r="AD623" i="7"/>
  <c r="V623" i="7" s="1"/>
  <c r="P624" i="7"/>
  <c r="Q624" i="7"/>
  <c r="R624" i="7"/>
  <c r="AD624" i="7"/>
  <c r="V624" i="7" s="1"/>
  <c r="P625" i="7"/>
  <c r="Q625" i="7"/>
  <c r="R625" i="7"/>
  <c r="AD625" i="7"/>
  <c r="V625" i="7" s="1"/>
  <c r="P626" i="7"/>
  <c r="Q626" i="7"/>
  <c r="R626" i="7"/>
  <c r="AD626" i="7"/>
  <c r="V626" i="7" s="1"/>
  <c r="P627" i="7"/>
  <c r="Q627" i="7"/>
  <c r="R627" i="7"/>
  <c r="AD627" i="7"/>
  <c r="V627" i="7" s="1"/>
  <c r="P628" i="7"/>
  <c r="Q628" i="7"/>
  <c r="R628" i="7"/>
  <c r="AD628" i="7"/>
  <c r="V628" i="7" s="1"/>
  <c r="P629" i="7"/>
  <c r="Q629" i="7"/>
  <c r="R629" i="7"/>
  <c r="AD629" i="7"/>
  <c r="V629" i="7" s="1"/>
  <c r="P631" i="7"/>
  <c r="Q631" i="7"/>
  <c r="R631" i="7"/>
  <c r="AD631" i="7"/>
  <c r="V631" i="7" s="1"/>
  <c r="P632" i="7"/>
  <c r="Q632" i="7"/>
  <c r="R632" i="7"/>
  <c r="AD632" i="7"/>
  <c r="V632" i="7" s="1"/>
  <c r="P633" i="7"/>
  <c r="Q633" i="7"/>
  <c r="R633" i="7"/>
  <c r="AD633" i="7"/>
  <c r="V633" i="7" s="1"/>
  <c r="P634" i="7"/>
  <c r="Q634" i="7"/>
  <c r="R634" i="7"/>
  <c r="AD634" i="7"/>
  <c r="V634" i="7" s="1"/>
  <c r="P635" i="7"/>
  <c r="Q635" i="7"/>
  <c r="R635" i="7"/>
  <c r="AD635" i="7"/>
  <c r="V635" i="7" s="1"/>
  <c r="P636" i="7"/>
  <c r="Q636" i="7"/>
  <c r="R636" i="7"/>
  <c r="AD636" i="7"/>
  <c r="V636" i="7" s="1"/>
  <c r="P638" i="7"/>
  <c r="Q638" i="7"/>
  <c r="R638" i="7"/>
  <c r="AD638" i="7"/>
  <c r="V638" i="7" s="1"/>
  <c r="P639" i="7"/>
  <c r="Q639" i="7"/>
  <c r="R639" i="7"/>
  <c r="AD639" i="7"/>
  <c r="V639" i="7" s="1"/>
  <c r="P640" i="7"/>
  <c r="Q640" i="7"/>
  <c r="R640" i="7"/>
  <c r="AD640" i="7"/>
  <c r="V640" i="7" s="1"/>
  <c r="P641" i="7"/>
  <c r="Q641" i="7"/>
  <c r="R641" i="7"/>
  <c r="AD641" i="7"/>
  <c r="V641" i="7" s="1"/>
  <c r="P642" i="7"/>
  <c r="Q642" i="7"/>
  <c r="R642" i="7"/>
  <c r="AD642" i="7"/>
  <c r="V642" i="7" s="1"/>
  <c r="P643" i="7"/>
  <c r="Q643" i="7"/>
  <c r="R643" i="7"/>
  <c r="AD643" i="7"/>
  <c r="V643" i="7" s="1"/>
  <c r="P644" i="7"/>
  <c r="Q644" i="7"/>
  <c r="R644" i="7"/>
  <c r="AD644" i="7"/>
  <c r="V644" i="7" s="1"/>
  <c r="P645" i="7"/>
  <c r="Q645" i="7"/>
  <c r="R645" i="7"/>
  <c r="AD645" i="7"/>
  <c r="V645" i="7" s="1"/>
  <c r="P646" i="7"/>
  <c r="Q646" i="7"/>
  <c r="R646" i="7"/>
  <c r="AD646" i="7"/>
  <c r="V646" i="7" s="1"/>
  <c r="P647" i="7"/>
  <c r="Q647" i="7"/>
  <c r="R647" i="7"/>
  <c r="AD647" i="7"/>
  <c r="V647" i="7" s="1"/>
  <c r="P648" i="7"/>
  <c r="Q648" i="7"/>
  <c r="R648" i="7"/>
  <c r="AD648" i="7"/>
  <c r="V648" i="7" s="1"/>
  <c r="P649" i="7"/>
  <c r="Q649" i="7"/>
  <c r="R649" i="7"/>
  <c r="AD649" i="7"/>
  <c r="V649" i="7" s="1"/>
  <c r="P650" i="7"/>
  <c r="Q650" i="7"/>
  <c r="R650" i="7"/>
  <c r="AD650" i="7"/>
  <c r="V650" i="7" s="1"/>
  <c r="P652" i="7"/>
  <c r="Q652" i="7"/>
  <c r="R652" i="7"/>
  <c r="AD652" i="7"/>
  <c r="V652" i="7" s="1"/>
  <c r="P654" i="7"/>
  <c r="Q654" i="7"/>
  <c r="R654" i="7"/>
  <c r="AD654" i="7"/>
  <c r="V654" i="7" s="1"/>
  <c r="P655" i="7"/>
  <c r="Q655" i="7"/>
  <c r="R655" i="7"/>
  <c r="AD655" i="7"/>
  <c r="V655" i="7" s="1"/>
  <c r="P656" i="7"/>
  <c r="Q656" i="7"/>
  <c r="R656" i="7"/>
  <c r="AD656" i="7"/>
  <c r="V656" i="7" s="1"/>
  <c r="P657" i="7"/>
  <c r="Q657" i="7"/>
  <c r="R657" i="7"/>
  <c r="AD657" i="7"/>
  <c r="V657" i="7" s="1"/>
  <c r="P659" i="7"/>
  <c r="Q659" i="7"/>
  <c r="R659" i="7"/>
  <c r="AD659" i="7"/>
  <c r="V659" i="7" s="1"/>
  <c r="P660" i="7"/>
  <c r="Q660" i="7"/>
  <c r="R660" i="7"/>
  <c r="AD660" i="7"/>
  <c r="V660" i="7" s="1"/>
  <c r="P661" i="7"/>
  <c r="Q661" i="7"/>
  <c r="R661" i="7"/>
  <c r="AD661" i="7"/>
  <c r="V661" i="7" s="1"/>
  <c r="P664" i="7"/>
  <c r="Q664" i="7"/>
  <c r="R664" i="7"/>
  <c r="AD664" i="7"/>
  <c r="V664" i="7" s="1"/>
  <c r="P665" i="7"/>
  <c r="Q665" i="7"/>
  <c r="R665" i="7"/>
  <c r="AD665" i="7"/>
  <c r="V665" i="7" s="1"/>
  <c r="P667" i="7"/>
  <c r="Q667" i="7"/>
  <c r="R667" i="7"/>
  <c r="AD667" i="7"/>
  <c r="V667" i="7" s="1"/>
  <c r="P669" i="7"/>
  <c r="Q669" i="7"/>
  <c r="R669" i="7"/>
  <c r="AD669" i="7"/>
  <c r="V669" i="7" s="1"/>
  <c r="P671" i="7"/>
  <c r="Q671" i="7"/>
  <c r="R671" i="7"/>
  <c r="AD671" i="7"/>
  <c r="V671" i="7" s="1"/>
  <c r="P672" i="7"/>
  <c r="Q672" i="7"/>
  <c r="R672" i="7"/>
  <c r="AD672" i="7"/>
  <c r="V672" i="7" s="1"/>
  <c r="P673" i="7"/>
  <c r="Q673" i="7"/>
  <c r="R673" i="7"/>
  <c r="AD673" i="7"/>
  <c r="V673" i="7" s="1"/>
  <c r="P674" i="7"/>
  <c r="Q674" i="7"/>
  <c r="R674" i="7"/>
  <c r="AD674" i="7"/>
  <c r="V674" i="7" s="1"/>
  <c r="P675" i="7"/>
  <c r="Q675" i="7"/>
  <c r="R675" i="7"/>
  <c r="AD675" i="7"/>
  <c r="V675" i="7" s="1"/>
  <c r="P676" i="7"/>
  <c r="Q676" i="7"/>
  <c r="R676" i="7"/>
  <c r="AD676" i="7"/>
  <c r="V676" i="7" s="1"/>
  <c r="P678" i="7"/>
  <c r="Q678" i="7"/>
  <c r="R678" i="7"/>
  <c r="AD678" i="7"/>
  <c r="V678" i="7" s="1"/>
  <c r="P679" i="7"/>
  <c r="Q679" i="7"/>
  <c r="R679" i="7"/>
  <c r="AD679" i="7"/>
  <c r="V679" i="7" s="1"/>
  <c r="P680" i="7"/>
  <c r="Q680" i="7"/>
  <c r="R680" i="7"/>
  <c r="AD680" i="7"/>
  <c r="V680" i="7" s="1"/>
  <c r="P682" i="7"/>
  <c r="U682" i="7" s="1"/>
  <c r="Q682" i="7"/>
  <c r="R682" i="7"/>
  <c r="AD682" i="7"/>
  <c r="V682" i="7" s="1"/>
  <c r="P684" i="7"/>
  <c r="Q684" i="7"/>
  <c r="R684" i="7"/>
  <c r="AD684" i="7"/>
  <c r="V684" i="7" s="1"/>
  <c r="P685" i="7"/>
  <c r="Q685" i="7"/>
  <c r="R685" i="7"/>
  <c r="AD685" i="7"/>
  <c r="V685" i="7" s="1"/>
  <c r="P687" i="7"/>
  <c r="Q687" i="7"/>
  <c r="R687" i="7"/>
  <c r="AD687" i="7"/>
  <c r="V687" i="7" s="1"/>
  <c r="P688" i="7"/>
  <c r="Q688" i="7"/>
  <c r="R688" i="7"/>
  <c r="AD688" i="7"/>
  <c r="V688" i="7" s="1"/>
  <c r="P689" i="7"/>
  <c r="Q689" i="7"/>
  <c r="R689" i="7"/>
  <c r="AD689" i="7"/>
  <c r="V689" i="7" s="1"/>
  <c r="P691" i="7"/>
  <c r="Q691" i="7"/>
  <c r="R691" i="7"/>
  <c r="AD691" i="7"/>
  <c r="V691" i="7" s="1"/>
  <c r="P692" i="7"/>
  <c r="Q692" i="7"/>
  <c r="R692" i="7"/>
  <c r="AD692" i="7"/>
  <c r="V692" i="7" s="1"/>
  <c r="P693" i="7"/>
  <c r="Q693" i="7"/>
  <c r="R693" i="7"/>
  <c r="AD693" i="7"/>
  <c r="V693" i="7" s="1"/>
  <c r="P694" i="7"/>
  <c r="Q694" i="7"/>
  <c r="R694" i="7"/>
  <c r="AD694" i="7"/>
  <c r="V694" i="7" s="1"/>
  <c r="P695" i="7"/>
  <c r="Q695" i="7"/>
  <c r="R695" i="7"/>
  <c r="AD695" i="7"/>
  <c r="V695" i="7" s="1"/>
  <c r="P696" i="7"/>
  <c r="Q696" i="7"/>
  <c r="R696" i="7"/>
  <c r="AD696" i="7"/>
  <c r="V696" i="7" s="1"/>
  <c r="P698" i="7"/>
  <c r="Q698" i="7"/>
  <c r="R698" i="7"/>
  <c r="AD698" i="7"/>
  <c r="V698" i="7" s="1"/>
  <c r="P699" i="7"/>
  <c r="Q699" i="7"/>
  <c r="R699" i="7"/>
  <c r="AD699" i="7"/>
  <c r="V699" i="7" s="1"/>
  <c r="P700" i="7"/>
  <c r="Q700" i="7"/>
  <c r="R700" i="7"/>
  <c r="AD700" i="7"/>
  <c r="V700" i="7" s="1"/>
  <c r="P701" i="7"/>
  <c r="Q701" i="7"/>
  <c r="R701" i="7"/>
  <c r="AD701" i="7"/>
  <c r="V701" i="7" s="1"/>
  <c r="P702" i="7"/>
  <c r="Q702" i="7"/>
  <c r="R702" i="7"/>
  <c r="AD702" i="7"/>
  <c r="V702" i="7" s="1"/>
  <c r="P704" i="7"/>
  <c r="Q704" i="7"/>
  <c r="R704" i="7"/>
  <c r="AD704" i="7"/>
  <c r="V704" i="7" s="1"/>
  <c r="P705" i="7"/>
  <c r="Q705" i="7"/>
  <c r="R705" i="7"/>
  <c r="AD705" i="7"/>
  <c r="V705" i="7" s="1"/>
  <c r="P706" i="7"/>
  <c r="Q706" i="7"/>
  <c r="R706" i="7"/>
  <c r="AD706" i="7"/>
  <c r="V706" i="7" s="1"/>
  <c r="P707" i="7"/>
  <c r="Q707" i="7"/>
  <c r="R707" i="7"/>
  <c r="AD707" i="7"/>
  <c r="V707" i="7" s="1"/>
  <c r="P709" i="7"/>
  <c r="Q709" i="7"/>
  <c r="R709" i="7"/>
  <c r="AD709" i="7"/>
  <c r="V709" i="7" s="1"/>
  <c r="P710" i="7"/>
  <c r="Q710" i="7"/>
  <c r="R710" i="7"/>
  <c r="AD710" i="7"/>
  <c r="V710" i="7" s="1"/>
  <c r="P711" i="7"/>
  <c r="Q711" i="7"/>
  <c r="R711" i="7"/>
  <c r="AD711" i="7"/>
  <c r="V711" i="7" s="1"/>
  <c r="P712" i="7"/>
  <c r="Q712" i="7"/>
  <c r="R712" i="7"/>
  <c r="AD712" i="7"/>
  <c r="V712" i="7" s="1"/>
  <c r="P713" i="7"/>
  <c r="Q713" i="7"/>
  <c r="R713" i="7"/>
  <c r="AD713" i="7"/>
  <c r="V713" i="7" s="1"/>
  <c r="P714" i="7"/>
  <c r="Q714" i="7"/>
  <c r="R714" i="7"/>
  <c r="AD714" i="7"/>
  <c r="V714" i="7" s="1"/>
  <c r="P715" i="7"/>
  <c r="Q715" i="7"/>
  <c r="R715" i="7"/>
  <c r="AD715" i="7"/>
  <c r="V715" i="7" s="1"/>
  <c r="P717" i="7"/>
  <c r="Q717" i="7"/>
  <c r="R717" i="7"/>
  <c r="AD717" i="7"/>
  <c r="V717" i="7" s="1"/>
  <c r="P718" i="7"/>
  <c r="Q718" i="7"/>
  <c r="R718" i="7"/>
  <c r="AD718" i="7"/>
  <c r="V718" i="7" s="1"/>
  <c r="P719" i="7"/>
  <c r="Q719" i="7"/>
  <c r="R719" i="7"/>
  <c r="AD719" i="7"/>
  <c r="V719" i="7" s="1"/>
  <c r="P720" i="7"/>
  <c r="Q720" i="7"/>
  <c r="R720" i="7"/>
  <c r="AD720" i="7"/>
  <c r="V720" i="7" s="1"/>
  <c r="P721" i="7"/>
  <c r="Q721" i="7"/>
  <c r="R721" i="7"/>
  <c r="AD721" i="7"/>
  <c r="V721" i="7" s="1"/>
  <c r="P722" i="7"/>
  <c r="Q722" i="7"/>
  <c r="R722" i="7"/>
  <c r="AD722" i="7"/>
  <c r="V722" i="7" s="1"/>
  <c r="P723" i="7"/>
  <c r="Q723" i="7"/>
  <c r="R723" i="7"/>
  <c r="AD723" i="7"/>
  <c r="V723" i="7" s="1"/>
  <c r="P724" i="7"/>
  <c r="Q724" i="7"/>
  <c r="R724" i="7"/>
  <c r="AD724" i="7"/>
  <c r="V724" i="7" s="1"/>
  <c r="P725" i="7"/>
  <c r="Q725" i="7"/>
  <c r="R725" i="7"/>
  <c r="AD725" i="7"/>
  <c r="V725" i="7" s="1"/>
  <c r="P727" i="7"/>
  <c r="Q727" i="7"/>
  <c r="R727" i="7"/>
  <c r="AD727" i="7"/>
  <c r="V727" i="7" s="1"/>
  <c r="P729" i="7"/>
  <c r="Q729" i="7"/>
  <c r="R729" i="7"/>
  <c r="AD729" i="7"/>
  <c r="V729" i="7" s="1"/>
  <c r="P730" i="7"/>
  <c r="Q730" i="7"/>
  <c r="R730" i="7"/>
  <c r="AD730" i="7"/>
  <c r="V730" i="7" s="1"/>
  <c r="P731" i="7"/>
  <c r="Q731" i="7"/>
  <c r="R731" i="7"/>
  <c r="AD731" i="7"/>
  <c r="V731" i="7" s="1"/>
  <c r="P733" i="7"/>
  <c r="Q733" i="7"/>
  <c r="R733" i="7"/>
  <c r="AD733" i="7"/>
  <c r="V733" i="7" s="1"/>
  <c r="P734" i="7"/>
  <c r="Q734" i="7"/>
  <c r="R734" i="7"/>
  <c r="AD734" i="7"/>
  <c r="V734" i="7" s="1"/>
  <c r="P735" i="7"/>
  <c r="Q735" i="7"/>
  <c r="R735" i="7"/>
  <c r="AD735" i="7"/>
  <c r="V735" i="7" s="1"/>
  <c r="P736" i="7"/>
  <c r="Q736" i="7"/>
  <c r="R736" i="7"/>
  <c r="AD736" i="7"/>
  <c r="V736" i="7" s="1"/>
  <c r="P739" i="7"/>
  <c r="Q739" i="7"/>
  <c r="R739" i="7"/>
  <c r="AD739" i="7"/>
  <c r="V739" i="7" s="1"/>
  <c r="P740" i="7"/>
  <c r="Q740" i="7"/>
  <c r="R740" i="7"/>
  <c r="AD740" i="7"/>
  <c r="V740" i="7" s="1"/>
  <c r="P741" i="7"/>
  <c r="Q741" i="7"/>
  <c r="R741" i="7"/>
  <c r="AD741" i="7"/>
  <c r="V741" i="7" s="1"/>
  <c r="P742" i="7"/>
  <c r="Q742" i="7"/>
  <c r="R742" i="7"/>
  <c r="AD742" i="7"/>
  <c r="V742" i="7" s="1"/>
  <c r="P743" i="7"/>
  <c r="Q743" i="7"/>
  <c r="R743" i="7"/>
  <c r="AD743" i="7"/>
  <c r="V743" i="7" s="1"/>
  <c r="P744" i="7"/>
  <c r="Q744" i="7"/>
  <c r="R744" i="7"/>
  <c r="AD744" i="7"/>
  <c r="V744" i="7" s="1"/>
  <c r="P746" i="7"/>
  <c r="Q746" i="7"/>
  <c r="R746" i="7"/>
  <c r="AD746" i="7"/>
  <c r="V746" i="7" s="1"/>
  <c r="P747" i="7"/>
  <c r="Q747" i="7"/>
  <c r="R747" i="7"/>
  <c r="AD747" i="7"/>
  <c r="V747" i="7" s="1"/>
  <c r="P748" i="7"/>
  <c r="Q748" i="7"/>
  <c r="R748" i="7"/>
  <c r="AD748" i="7"/>
  <c r="V748" i="7" s="1"/>
  <c r="P749" i="7"/>
  <c r="Q749" i="7"/>
  <c r="R749" i="7"/>
  <c r="AD749" i="7"/>
  <c r="V749" i="7" s="1"/>
  <c r="P750" i="7"/>
  <c r="Q750" i="7"/>
  <c r="R750" i="7"/>
  <c r="AD750" i="7"/>
  <c r="V750" i="7" s="1"/>
  <c r="P751" i="7"/>
  <c r="Q751" i="7"/>
  <c r="R751" i="7"/>
  <c r="AD751" i="7"/>
  <c r="V751" i="7" s="1"/>
  <c r="P752" i="7"/>
  <c r="Q752" i="7"/>
  <c r="R752" i="7"/>
  <c r="AD752" i="7"/>
  <c r="V752" i="7" s="1"/>
  <c r="P753" i="7"/>
  <c r="Q753" i="7"/>
  <c r="R753" i="7"/>
  <c r="AD753" i="7"/>
  <c r="V753" i="7" s="1"/>
  <c r="P754" i="7"/>
  <c r="Q754" i="7"/>
  <c r="R754" i="7"/>
  <c r="AD754" i="7"/>
  <c r="V754" i="7" s="1"/>
  <c r="P755" i="7"/>
  <c r="Q755" i="7"/>
  <c r="R755" i="7"/>
  <c r="AD755" i="7"/>
  <c r="V755" i="7" s="1"/>
  <c r="P756" i="7"/>
  <c r="Q756" i="7"/>
  <c r="R756" i="7"/>
  <c r="AD756" i="7"/>
  <c r="V756" i="7" s="1"/>
  <c r="P757" i="7"/>
  <c r="Q757" i="7"/>
  <c r="R757" i="7"/>
  <c r="AD757" i="7"/>
  <c r="V757" i="7" s="1"/>
  <c r="P759" i="7"/>
  <c r="Q759" i="7"/>
  <c r="R759" i="7"/>
  <c r="AD759" i="7"/>
  <c r="V759" i="7" s="1"/>
  <c r="P762" i="7"/>
  <c r="Q762" i="7"/>
  <c r="R762" i="7"/>
  <c r="AD762" i="7"/>
  <c r="V762" i="7" s="1"/>
  <c r="P764" i="7"/>
  <c r="Q764" i="7"/>
  <c r="R764" i="7"/>
  <c r="AD764" i="7"/>
  <c r="V764" i="7" s="1"/>
  <c r="P765" i="7"/>
  <c r="Q765" i="7"/>
  <c r="R765" i="7"/>
  <c r="AD765" i="7"/>
  <c r="V765" i="7" s="1"/>
  <c r="P767" i="7"/>
  <c r="Q767" i="7"/>
  <c r="R767" i="7"/>
  <c r="AD767" i="7"/>
  <c r="V767" i="7" s="1"/>
  <c r="P768" i="7"/>
  <c r="Q768" i="7"/>
  <c r="R768" i="7"/>
  <c r="AD768" i="7"/>
  <c r="V768" i="7" s="1"/>
  <c r="P769" i="7"/>
  <c r="Q769" i="7"/>
  <c r="R769" i="7"/>
  <c r="AD769" i="7"/>
  <c r="V769" i="7" s="1"/>
  <c r="P770" i="7"/>
  <c r="Q770" i="7"/>
  <c r="R770" i="7"/>
  <c r="AD770" i="7"/>
  <c r="V770" i="7" s="1"/>
  <c r="P771" i="7"/>
  <c r="Q771" i="7"/>
  <c r="R771" i="7"/>
  <c r="AD771" i="7"/>
  <c r="V771" i="7" s="1"/>
  <c r="P772" i="7"/>
  <c r="Q772" i="7"/>
  <c r="R772" i="7"/>
  <c r="AD772" i="7"/>
  <c r="V772" i="7" s="1"/>
  <c r="P774" i="7"/>
  <c r="Q774" i="7"/>
  <c r="R774" i="7"/>
  <c r="AD774" i="7"/>
  <c r="V774" i="7" s="1"/>
  <c r="P776" i="7"/>
  <c r="Q776" i="7"/>
  <c r="R776" i="7"/>
  <c r="AD776" i="7"/>
  <c r="V776" i="7" s="1"/>
  <c r="P777" i="7"/>
  <c r="Q777" i="7"/>
  <c r="R777" i="7"/>
  <c r="AD777" i="7"/>
  <c r="V777" i="7" s="1"/>
  <c r="P779" i="7"/>
  <c r="Q779" i="7"/>
  <c r="R779" i="7"/>
  <c r="AD779" i="7"/>
  <c r="V779" i="7" s="1"/>
  <c r="P780" i="7"/>
  <c r="Q780" i="7"/>
  <c r="R780" i="7"/>
  <c r="AD780" i="7"/>
  <c r="V780" i="7" s="1"/>
  <c r="P781" i="7"/>
  <c r="Q781" i="7"/>
  <c r="R781" i="7"/>
  <c r="AD781" i="7"/>
  <c r="V781" i="7" s="1"/>
  <c r="P782" i="7"/>
  <c r="Q782" i="7"/>
  <c r="R782" i="7"/>
  <c r="AD782" i="7"/>
  <c r="V782" i="7" s="1"/>
  <c r="P783" i="7"/>
  <c r="Q783" i="7"/>
  <c r="R783" i="7"/>
  <c r="AD783" i="7"/>
  <c r="V783" i="7" s="1"/>
  <c r="P784" i="7"/>
  <c r="Q784" i="7"/>
  <c r="R784" i="7"/>
  <c r="AD784" i="7"/>
  <c r="V784" i="7" s="1"/>
  <c r="P785" i="7"/>
  <c r="Q785" i="7"/>
  <c r="R785" i="7"/>
  <c r="AD785" i="7"/>
  <c r="V785" i="7" s="1"/>
  <c r="P786" i="7"/>
  <c r="Q786" i="7"/>
  <c r="R786" i="7"/>
  <c r="AD786" i="7"/>
  <c r="V786" i="7" s="1"/>
  <c r="P787" i="7"/>
  <c r="Q787" i="7"/>
  <c r="R787" i="7"/>
  <c r="AD787" i="7"/>
  <c r="V787" i="7" s="1"/>
  <c r="P788" i="7"/>
  <c r="Q788" i="7"/>
  <c r="R788" i="7"/>
  <c r="AD788" i="7"/>
  <c r="V788" i="7" s="1"/>
  <c r="P789" i="7"/>
  <c r="Q789" i="7"/>
  <c r="R789" i="7"/>
  <c r="AD789" i="7"/>
  <c r="V789" i="7" s="1"/>
  <c r="P790" i="7"/>
  <c r="Q790" i="7"/>
  <c r="R790" i="7"/>
  <c r="AD790" i="7"/>
  <c r="V790" i="7" s="1"/>
  <c r="P792" i="7"/>
  <c r="Q792" i="7"/>
  <c r="R792" i="7"/>
  <c r="AD792" i="7"/>
  <c r="V792" i="7" s="1"/>
  <c r="P793" i="7"/>
  <c r="Q793" i="7"/>
  <c r="R793" i="7"/>
  <c r="AD793" i="7"/>
  <c r="V793" i="7" s="1"/>
  <c r="P794" i="7"/>
  <c r="Q794" i="7"/>
  <c r="R794" i="7"/>
  <c r="AD794" i="7"/>
  <c r="V794" i="7" s="1"/>
  <c r="P795" i="7"/>
  <c r="Q795" i="7"/>
  <c r="R795" i="7"/>
  <c r="AD795" i="7"/>
  <c r="V795" i="7" s="1"/>
  <c r="P796" i="7"/>
  <c r="Q796" i="7"/>
  <c r="R796" i="7"/>
  <c r="AD796" i="7"/>
  <c r="V796" i="7" s="1"/>
  <c r="P798" i="7"/>
  <c r="Q798" i="7"/>
  <c r="R798" i="7"/>
  <c r="AD798" i="7"/>
  <c r="V798" i="7" s="1"/>
  <c r="P800" i="7"/>
  <c r="Q800" i="7"/>
  <c r="R800" i="7"/>
  <c r="AD800" i="7"/>
  <c r="V800" i="7" s="1"/>
  <c r="P801" i="7"/>
  <c r="Q801" i="7"/>
  <c r="R801" i="7"/>
  <c r="AD801" i="7"/>
  <c r="V801" i="7" s="1"/>
  <c r="P802" i="7"/>
  <c r="Q802" i="7"/>
  <c r="R802" i="7"/>
  <c r="AD802" i="7"/>
  <c r="V802" i="7" s="1"/>
  <c r="P803" i="7"/>
  <c r="Q803" i="7"/>
  <c r="R803" i="7"/>
  <c r="AD803" i="7"/>
  <c r="V803" i="7" s="1"/>
  <c r="P804" i="7"/>
  <c r="Q804" i="7"/>
  <c r="R804" i="7"/>
  <c r="AD804" i="7"/>
  <c r="V804" i="7" s="1"/>
  <c r="P805" i="7"/>
  <c r="Q805" i="7"/>
  <c r="R805" i="7"/>
  <c r="AD805" i="7"/>
  <c r="V805" i="7" s="1"/>
  <c r="P806" i="7"/>
  <c r="Q806" i="7"/>
  <c r="R806" i="7"/>
  <c r="AD806" i="7"/>
  <c r="V806" i="7" s="1"/>
  <c r="P807" i="7"/>
  <c r="Q807" i="7"/>
  <c r="R807" i="7"/>
  <c r="AD807" i="7"/>
  <c r="V807" i="7" s="1"/>
  <c r="P808" i="7"/>
  <c r="Q808" i="7"/>
  <c r="R808" i="7"/>
  <c r="AD808" i="7"/>
  <c r="V808" i="7" s="1"/>
  <c r="P809" i="7"/>
  <c r="Q809" i="7"/>
  <c r="R809" i="7"/>
  <c r="AD809" i="7"/>
  <c r="V809" i="7" s="1"/>
  <c r="P810" i="7"/>
  <c r="Q810" i="7"/>
  <c r="R810" i="7"/>
  <c r="AD810" i="7"/>
  <c r="V810" i="7" s="1"/>
  <c r="P811" i="7"/>
  <c r="Q811" i="7"/>
  <c r="R811" i="7"/>
  <c r="AD811" i="7"/>
  <c r="V811" i="7" s="1"/>
  <c r="P813" i="7"/>
  <c r="Q813" i="7"/>
  <c r="R813" i="7"/>
  <c r="AD813" i="7"/>
  <c r="V813" i="7" s="1"/>
  <c r="P815" i="7"/>
  <c r="Q815" i="7"/>
  <c r="R815" i="7"/>
  <c r="AD815" i="7"/>
  <c r="V815" i="7" s="1"/>
  <c r="P816" i="7"/>
  <c r="Q816" i="7"/>
  <c r="R816" i="7"/>
  <c r="AD816" i="7"/>
  <c r="V816" i="7" s="1"/>
  <c r="P817" i="7"/>
  <c r="Q817" i="7"/>
  <c r="R817" i="7"/>
  <c r="AD817" i="7"/>
  <c r="V817" i="7" s="1"/>
  <c r="P819" i="7"/>
  <c r="Q819" i="7"/>
  <c r="R819" i="7"/>
  <c r="AD819" i="7"/>
  <c r="V819" i="7" s="1"/>
  <c r="P820" i="7"/>
  <c r="Q820" i="7"/>
  <c r="R820" i="7"/>
  <c r="AD820" i="7"/>
  <c r="V820" i="7" s="1"/>
  <c r="P821" i="7"/>
  <c r="Q821" i="7"/>
  <c r="R821" i="7"/>
  <c r="AD821" i="7"/>
  <c r="V821" i="7" s="1"/>
  <c r="P823" i="7"/>
  <c r="Q823" i="7"/>
  <c r="R823" i="7"/>
  <c r="AD823" i="7"/>
  <c r="V823" i="7" s="1"/>
  <c r="P824" i="7"/>
  <c r="Q824" i="7"/>
  <c r="R824" i="7"/>
  <c r="AD824" i="7"/>
  <c r="V824" i="7" s="1"/>
  <c r="P825" i="7"/>
  <c r="Q825" i="7"/>
  <c r="R825" i="7"/>
  <c r="AD825" i="7"/>
  <c r="V825" i="7" s="1"/>
  <c r="P826" i="7"/>
  <c r="Q826" i="7"/>
  <c r="R826" i="7"/>
  <c r="AD826" i="7"/>
  <c r="V826" i="7" s="1"/>
  <c r="P828" i="7"/>
  <c r="Q828" i="7"/>
  <c r="R828" i="7"/>
  <c r="AD828" i="7"/>
  <c r="V828" i="7" s="1"/>
  <c r="P829" i="7"/>
  <c r="Q829" i="7"/>
  <c r="R829" i="7"/>
  <c r="AD829" i="7"/>
  <c r="V829" i="7" s="1"/>
  <c r="P830" i="7"/>
  <c r="Q830" i="7"/>
  <c r="R830" i="7"/>
  <c r="AD830" i="7"/>
  <c r="V830" i="7" s="1"/>
  <c r="P832" i="7"/>
  <c r="Q832" i="7"/>
  <c r="R832" i="7"/>
  <c r="AD832" i="7"/>
  <c r="V832" i="7" s="1"/>
  <c r="P833" i="7"/>
  <c r="Q833" i="7"/>
  <c r="R833" i="7"/>
  <c r="AD833" i="7"/>
  <c r="V833" i="7" s="1"/>
  <c r="P834" i="7"/>
  <c r="Q834" i="7"/>
  <c r="R834" i="7"/>
  <c r="AD834" i="7"/>
  <c r="V834" i="7" s="1"/>
  <c r="P835" i="7"/>
  <c r="Q835" i="7"/>
  <c r="R835" i="7"/>
  <c r="AD835" i="7"/>
  <c r="V835" i="7" s="1"/>
  <c r="P836" i="7"/>
  <c r="Q836" i="7"/>
  <c r="R836" i="7"/>
  <c r="AD836" i="7"/>
  <c r="V836" i="7" s="1"/>
  <c r="P837" i="7"/>
  <c r="Q837" i="7"/>
  <c r="R837" i="7"/>
  <c r="AD837" i="7"/>
  <c r="V837" i="7" s="1"/>
  <c r="P838" i="7"/>
  <c r="Q838" i="7"/>
  <c r="R838" i="7"/>
  <c r="AD838" i="7"/>
  <c r="V838" i="7" s="1"/>
  <c r="P839" i="7"/>
  <c r="Q839" i="7"/>
  <c r="R839" i="7"/>
  <c r="AD839" i="7"/>
  <c r="V839" i="7" s="1"/>
  <c r="P841" i="7"/>
  <c r="Q841" i="7"/>
  <c r="R841" i="7"/>
  <c r="AD841" i="7"/>
  <c r="V841" i="7" s="1"/>
  <c r="P842" i="7"/>
  <c r="Q842" i="7"/>
  <c r="R842" i="7"/>
  <c r="AD842" i="7"/>
  <c r="V842" i="7" s="1"/>
  <c r="P844" i="7"/>
  <c r="Q844" i="7"/>
  <c r="R844" i="7"/>
  <c r="AD844" i="7"/>
  <c r="V844" i="7" s="1"/>
  <c r="P845" i="7"/>
  <c r="Q845" i="7"/>
  <c r="R845" i="7"/>
  <c r="AD845" i="7"/>
  <c r="V845" i="7" s="1"/>
  <c r="P846" i="7"/>
  <c r="Q846" i="7"/>
  <c r="R846" i="7"/>
  <c r="AD846" i="7"/>
  <c r="V846" i="7" s="1"/>
  <c r="P847" i="7"/>
  <c r="Q847" i="7"/>
  <c r="R847" i="7"/>
  <c r="AD847" i="7"/>
  <c r="V847" i="7" s="1"/>
  <c r="P848" i="7"/>
  <c r="Q848" i="7"/>
  <c r="R848" i="7"/>
  <c r="AD848" i="7"/>
  <c r="V848" i="7" s="1"/>
  <c r="P851" i="7"/>
  <c r="Q851" i="7"/>
  <c r="R851" i="7"/>
  <c r="AD851" i="7"/>
  <c r="V851" i="7" s="1"/>
  <c r="P852" i="7"/>
  <c r="Q852" i="7"/>
  <c r="R852" i="7"/>
  <c r="AD852" i="7"/>
  <c r="V852" i="7" s="1"/>
  <c r="P853" i="7"/>
  <c r="Q853" i="7"/>
  <c r="R853" i="7"/>
  <c r="AD853" i="7"/>
  <c r="V853" i="7" s="1"/>
  <c r="P854" i="7"/>
  <c r="Q854" i="7"/>
  <c r="R854" i="7"/>
  <c r="AD854" i="7"/>
  <c r="V854" i="7" s="1"/>
  <c r="P857" i="7"/>
  <c r="Q857" i="7"/>
  <c r="R857" i="7"/>
  <c r="AD857" i="7"/>
  <c r="V857" i="7" s="1"/>
  <c r="P858" i="7"/>
  <c r="Q858" i="7"/>
  <c r="R858" i="7"/>
  <c r="AD858" i="7"/>
  <c r="V858" i="7" s="1"/>
  <c r="P859" i="7"/>
  <c r="Q859" i="7"/>
  <c r="R859" i="7"/>
  <c r="AD859" i="7"/>
  <c r="V859" i="7" s="1"/>
  <c r="P860" i="7"/>
  <c r="Q860" i="7"/>
  <c r="R860" i="7"/>
  <c r="AD860" i="7"/>
  <c r="V860" i="7" s="1"/>
  <c r="P862" i="7"/>
  <c r="Q862" i="7"/>
  <c r="R862" i="7"/>
  <c r="AD862" i="7"/>
  <c r="V862" i="7" s="1"/>
  <c r="P863" i="7"/>
  <c r="Q863" i="7"/>
  <c r="R863" i="7"/>
  <c r="AD863" i="7"/>
  <c r="V863" i="7" s="1"/>
  <c r="P865" i="7"/>
  <c r="Q865" i="7"/>
  <c r="R865" i="7"/>
  <c r="AD865" i="7"/>
  <c r="V865" i="7" s="1"/>
  <c r="P867" i="7"/>
  <c r="Q867" i="7"/>
  <c r="R867" i="7"/>
  <c r="AD867" i="7"/>
  <c r="V867" i="7" s="1"/>
  <c r="P868" i="7"/>
  <c r="Q868" i="7"/>
  <c r="R868" i="7"/>
  <c r="AD868" i="7"/>
  <c r="V868" i="7" s="1"/>
  <c r="P869" i="7"/>
  <c r="Q869" i="7"/>
  <c r="R869" i="7"/>
  <c r="AD869" i="7"/>
  <c r="V869" i="7" s="1"/>
  <c r="P871" i="7"/>
  <c r="Q871" i="7"/>
  <c r="R871" i="7"/>
  <c r="AD871" i="7"/>
  <c r="V871" i="7" s="1"/>
  <c r="P872" i="7"/>
  <c r="Q872" i="7"/>
  <c r="R872" i="7"/>
  <c r="AD872" i="7"/>
  <c r="V872" i="7" s="1"/>
  <c r="P873" i="7"/>
  <c r="Q873" i="7"/>
  <c r="R873" i="7"/>
  <c r="AD873" i="7"/>
  <c r="V873" i="7" s="1"/>
  <c r="P874" i="7"/>
  <c r="Q874" i="7"/>
  <c r="R874" i="7"/>
  <c r="AD874" i="7"/>
  <c r="V874" i="7" s="1"/>
  <c r="P876" i="7"/>
  <c r="Q876" i="7"/>
  <c r="R876" i="7"/>
  <c r="AD876" i="7"/>
  <c r="V876" i="7" s="1"/>
  <c r="P877" i="7"/>
  <c r="Q877" i="7"/>
  <c r="R877" i="7"/>
  <c r="AD877" i="7"/>
  <c r="V877" i="7" s="1"/>
  <c r="P878" i="7"/>
  <c r="Q878" i="7"/>
  <c r="R878" i="7"/>
  <c r="AD878" i="7"/>
  <c r="V878" i="7" s="1"/>
  <c r="P879" i="7"/>
  <c r="Q879" i="7"/>
  <c r="R879" i="7"/>
  <c r="AD879" i="7"/>
  <c r="V879" i="7" s="1"/>
  <c r="P880" i="7"/>
  <c r="Q880" i="7"/>
  <c r="R880" i="7"/>
  <c r="AD880" i="7"/>
  <c r="V880" i="7" s="1"/>
  <c r="P881" i="7"/>
  <c r="Q881" i="7"/>
  <c r="R881" i="7"/>
  <c r="AD881" i="7"/>
  <c r="V881" i="7" s="1"/>
  <c r="P882" i="7"/>
  <c r="Q882" i="7"/>
  <c r="R882" i="7"/>
  <c r="AD882" i="7"/>
  <c r="V882" i="7" s="1"/>
  <c r="P883" i="7"/>
  <c r="Q883" i="7"/>
  <c r="R883" i="7"/>
  <c r="AD883" i="7"/>
  <c r="V883" i="7" s="1"/>
  <c r="P884" i="7"/>
  <c r="Q884" i="7"/>
  <c r="R884" i="7"/>
  <c r="AD884" i="7"/>
  <c r="V884" i="7" s="1"/>
  <c r="P885" i="7"/>
  <c r="Q885" i="7"/>
  <c r="R885" i="7"/>
  <c r="AD885" i="7"/>
  <c r="V885" i="7" s="1"/>
  <c r="P887" i="7"/>
  <c r="Q887" i="7"/>
  <c r="R887" i="7"/>
  <c r="AD887" i="7"/>
  <c r="V887" i="7" s="1"/>
  <c r="P888" i="7"/>
  <c r="Q888" i="7"/>
  <c r="R888" i="7"/>
  <c r="AD888" i="7"/>
  <c r="V888" i="7" s="1"/>
  <c r="P889" i="7"/>
  <c r="Q889" i="7"/>
  <c r="R889" i="7"/>
  <c r="AD889" i="7"/>
  <c r="V889" i="7" s="1"/>
  <c r="P890" i="7"/>
  <c r="Q890" i="7"/>
  <c r="R890" i="7"/>
  <c r="AD890" i="7"/>
  <c r="V890" i="7" s="1"/>
  <c r="P891" i="7"/>
  <c r="Q891" i="7"/>
  <c r="R891" i="7"/>
  <c r="AD891" i="7"/>
  <c r="V891" i="7" s="1"/>
  <c r="P892" i="7"/>
  <c r="Q892" i="7"/>
  <c r="R892" i="7"/>
  <c r="AD892" i="7"/>
  <c r="V892" i="7" s="1"/>
  <c r="P893" i="7"/>
  <c r="Q893" i="7"/>
  <c r="R893" i="7"/>
  <c r="AD893" i="7"/>
  <c r="V893" i="7" s="1"/>
  <c r="P894" i="7"/>
  <c r="Q894" i="7"/>
  <c r="R894" i="7"/>
  <c r="AD894" i="7"/>
  <c r="V894" i="7" s="1"/>
  <c r="P895" i="7"/>
  <c r="Q895" i="7"/>
  <c r="R895" i="7"/>
  <c r="AD895" i="7"/>
  <c r="V895" i="7" s="1"/>
  <c r="P896" i="7"/>
  <c r="Q896" i="7"/>
  <c r="R896" i="7"/>
  <c r="AD896" i="7"/>
  <c r="V896" i="7" s="1"/>
  <c r="P897" i="7"/>
  <c r="Q897" i="7"/>
  <c r="R897" i="7"/>
  <c r="AD897" i="7"/>
  <c r="V897" i="7" s="1"/>
  <c r="P898" i="7"/>
  <c r="Q898" i="7"/>
  <c r="R898" i="7"/>
  <c r="AD898" i="7"/>
  <c r="V898" i="7" s="1"/>
  <c r="P900" i="7"/>
  <c r="Q900" i="7"/>
  <c r="R900" i="7"/>
  <c r="AD900" i="7"/>
  <c r="V900" i="7" s="1"/>
  <c r="P901" i="7"/>
  <c r="Q901" i="7"/>
  <c r="R901" i="7"/>
  <c r="AD901" i="7"/>
  <c r="V901" i="7" s="1"/>
  <c r="P902" i="7"/>
  <c r="Q902" i="7"/>
  <c r="R902" i="7"/>
  <c r="AD902" i="7"/>
  <c r="V902" i="7" s="1"/>
  <c r="P903" i="7"/>
  <c r="Q903" i="7"/>
  <c r="R903" i="7"/>
  <c r="AD903" i="7"/>
  <c r="V903" i="7" s="1"/>
  <c r="P904" i="7"/>
  <c r="Q904" i="7"/>
  <c r="R904" i="7"/>
  <c r="AD904" i="7"/>
  <c r="V904" i="7" s="1"/>
  <c r="P905" i="7"/>
  <c r="Q905" i="7"/>
  <c r="R905" i="7"/>
  <c r="AD905" i="7"/>
  <c r="V905" i="7" s="1"/>
  <c r="P906" i="7"/>
  <c r="Q906" i="7"/>
  <c r="R906" i="7"/>
  <c r="AD906" i="7"/>
  <c r="V906" i="7" s="1"/>
  <c r="P908" i="7"/>
  <c r="Q908" i="7"/>
  <c r="R908" i="7"/>
  <c r="AD908" i="7"/>
  <c r="V908" i="7" s="1"/>
  <c r="P911" i="7"/>
  <c r="Q911" i="7"/>
  <c r="R911" i="7"/>
  <c r="AD911" i="7"/>
  <c r="V911" i="7" s="1"/>
  <c r="P912" i="7"/>
  <c r="Q912" i="7"/>
  <c r="R912" i="7"/>
  <c r="AD912" i="7"/>
  <c r="V912" i="7" s="1"/>
  <c r="P913" i="7"/>
  <c r="Q913" i="7"/>
  <c r="R913" i="7"/>
  <c r="AD913" i="7"/>
  <c r="V913" i="7" s="1"/>
  <c r="P916" i="7"/>
  <c r="Q916" i="7"/>
  <c r="R916" i="7"/>
  <c r="AD916" i="7"/>
  <c r="V916" i="7" s="1"/>
  <c r="P917" i="7"/>
  <c r="Q917" i="7"/>
  <c r="R917" i="7"/>
  <c r="AD917" i="7"/>
  <c r="V917" i="7" s="1"/>
  <c r="P919" i="7"/>
  <c r="Q919" i="7"/>
  <c r="R919" i="7"/>
  <c r="AD919" i="7"/>
  <c r="V919" i="7" s="1"/>
  <c r="P920" i="7"/>
  <c r="Q920" i="7"/>
  <c r="R920" i="7"/>
  <c r="AD920" i="7"/>
  <c r="V920" i="7" s="1"/>
  <c r="P921" i="7"/>
  <c r="Q921" i="7"/>
  <c r="R921" i="7"/>
  <c r="AD921" i="7"/>
  <c r="V921" i="7" s="1"/>
  <c r="P922" i="7"/>
  <c r="Q922" i="7"/>
  <c r="R922" i="7"/>
  <c r="AD922" i="7"/>
  <c r="V922" i="7" s="1"/>
  <c r="P923" i="7"/>
  <c r="Q923" i="7"/>
  <c r="R923" i="7"/>
  <c r="AD923" i="7"/>
  <c r="V923" i="7" s="1"/>
  <c r="P924" i="7"/>
  <c r="Q924" i="7"/>
  <c r="R924" i="7"/>
  <c r="AD924" i="7"/>
  <c r="V924" i="7" s="1"/>
  <c r="P925" i="7"/>
  <c r="Q925" i="7"/>
  <c r="R925" i="7"/>
  <c r="AD925" i="7"/>
  <c r="V925" i="7" s="1"/>
  <c r="P926" i="7"/>
  <c r="Q926" i="7"/>
  <c r="R926" i="7"/>
  <c r="AD926" i="7"/>
  <c r="V926" i="7" s="1"/>
  <c r="P927" i="7"/>
  <c r="Q927" i="7"/>
  <c r="R927" i="7"/>
  <c r="AD927" i="7"/>
  <c r="V927" i="7" s="1"/>
  <c r="P929" i="7"/>
  <c r="Q929" i="7"/>
  <c r="R929" i="7"/>
  <c r="AD929" i="7"/>
  <c r="V929" i="7" s="1"/>
  <c r="P930" i="7"/>
  <c r="Q930" i="7"/>
  <c r="R930" i="7"/>
  <c r="AD930" i="7"/>
  <c r="V930" i="7" s="1"/>
  <c r="P931" i="7"/>
  <c r="Q931" i="7"/>
  <c r="R931" i="7"/>
  <c r="AD931" i="7"/>
  <c r="V931" i="7" s="1"/>
  <c r="P932" i="7"/>
  <c r="Q932" i="7"/>
  <c r="R932" i="7"/>
  <c r="AD932" i="7"/>
  <c r="V932" i="7" s="1"/>
  <c r="P933" i="7"/>
  <c r="Q933" i="7"/>
  <c r="R933" i="7"/>
  <c r="AD933" i="7"/>
  <c r="V933" i="7" s="1"/>
  <c r="P935" i="7"/>
  <c r="Q935" i="7"/>
  <c r="R935" i="7"/>
  <c r="AD935" i="7"/>
  <c r="V935" i="7" s="1"/>
  <c r="P937" i="7"/>
  <c r="Q937" i="7"/>
  <c r="R937" i="7"/>
  <c r="U937" i="7" s="1"/>
  <c r="AD937" i="7"/>
  <c r="V937" i="7" s="1"/>
  <c r="P938" i="7"/>
  <c r="Q938" i="7"/>
  <c r="R938" i="7"/>
  <c r="AD938" i="7"/>
  <c r="V938" i="7" s="1"/>
  <c r="P939" i="7"/>
  <c r="Q939" i="7"/>
  <c r="R939" i="7"/>
  <c r="AD939" i="7"/>
  <c r="V939" i="7" s="1"/>
  <c r="P940" i="7"/>
  <c r="Q940" i="7"/>
  <c r="R940" i="7"/>
  <c r="AD940" i="7"/>
  <c r="V940" i="7" s="1"/>
  <c r="P942" i="7"/>
  <c r="Q942" i="7"/>
  <c r="R942" i="7"/>
  <c r="AD942" i="7"/>
  <c r="V942" i="7" s="1"/>
  <c r="P943" i="7"/>
  <c r="Q943" i="7"/>
  <c r="R943" i="7"/>
  <c r="AD943" i="7"/>
  <c r="V943" i="7" s="1"/>
  <c r="P944" i="7"/>
  <c r="Q944" i="7"/>
  <c r="R944" i="7"/>
  <c r="AD944" i="7"/>
  <c r="V944" i="7" s="1"/>
  <c r="P945" i="7"/>
  <c r="Q945" i="7"/>
  <c r="R945" i="7"/>
  <c r="AD945" i="7"/>
  <c r="V945" i="7" s="1"/>
  <c r="P946" i="7"/>
  <c r="Q946" i="7"/>
  <c r="R946" i="7"/>
  <c r="AD946" i="7"/>
  <c r="V946" i="7" s="1"/>
  <c r="P947" i="7"/>
  <c r="Q947" i="7"/>
  <c r="R947" i="7"/>
  <c r="AD947" i="7"/>
  <c r="V947" i="7" s="1"/>
  <c r="P951" i="7"/>
  <c r="Q951" i="7"/>
  <c r="R951" i="7"/>
  <c r="AD951" i="7"/>
  <c r="V951" i="7" s="1"/>
  <c r="P952" i="7"/>
  <c r="Q952" i="7"/>
  <c r="R952" i="7"/>
  <c r="AD952" i="7"/>
  <c r="V952" i="7" s="1"/>
  <c r="P953" i="7"/>
  <c r="Q953" i="7"/>
  <c r="R953" i="7"/>
  <c r="AD953" i="7"/>
  <c r="V953" i="7" s="1"/>
  <c r="P954" i="7"/>
  <c r="Q954" i="7"/>
  <c r="R954" i="7"/>
  <c r="AD954" i="7"/>
  <c r="V954" i="7" s="1"/>
  <c r="P955" i="7"/>
  <c r="Q955" i="7"/>
  <c r="R955" i="7"/>
  <c r="AD955" i="7"/>
  <c r="V955" i="7" s="1"/>
  <c r="P956" i="7"/>
  <c r="Q956" i="7"/>
  <c r="R956" i="7"/>
  <c r="AD956" i="7"/>
  <c r="V956" i="7" s="1"/>
  <c r="P957" i="7"/>
  <c r="Q957" i="7"/>
  <c r="R957" i="7"/>
  <c r="AD957" i="7"/>
  <c r="V957" i="7" s="1"/>
  <c r="P958" i="7"/>
  <c r="Q958" i="7"/>
  <c r="R958" i="7"/>
  <c r="AD958" i="7"/>
  <c r="V958" i="7" s="1"/>
  <c r="P959" i="7"/>
  <c r="Q959" i="7"/>
  <c r="R959" i="7"/>
  <c r="AD959" i="7"/>
  <c r="V959" i="7" s="1"/>
  <c r="P961" i="7"/>
  <c r="Q961" i="7"/>
  <c r="R961" i="7"/>
  <c r="AD961" i="7"/>
  <c r="V961" i="7" s="1"/>
  <c r="P963" i="7"/>
  <c r="Q963" i="7"/>
  <c r="R963" i="7"/>
  <c r="AD963" i="7"/>
  <c r="V963" i="7" s="1"/>
  <c r="P964" i="7"/>
  <c r="Q964" i="7"/>
  <c r="R964" i="7"/>
  <c r="AD964" i="7"/>
  <c r="V964" i="7" s="1"/>
  <c r="P965" i="7"/>
  <c r="Q965" i="7"/>
  <c r="R965" i="7"/>
  <c r="AD965" i="7"/>
  <c r="V965" i="7" s="1"/>
  <c r="P967" i="7"/>
  <c r="Q967" i="7"/>
  <c r="R967" i="7"/>
  <c r="AD967" i="7"/>
  <c r="V967" i="7" s="1"/>
  <c r="P970" i="7"/>
  <c r="Q970" i="7"/>
  <c r="R970" i="7"/>
  <c r="AD970" i="7"/>
  <c r="V970" i="7" s="1"/>
  <c r="P971" i="7"/>
  <c r="Q971" i="7"/>
  <c r="R971" i="7"/>
  <c r="AD971" i="7"/>
  <c r="V971" i="7" s="1"/>
  <c r="P972" i="7"/>
  <c r="Q972" i="7"/>
  <c r="R972" i="7"/>
  <c r="AD972" i="7"/>
  <c r="V972" i="7" s="1"/>
  <c r="P973" i="7"/>
  <c r="Q973" i="7"/>
  <c r="R973" i="7"/>
  <c r="AD973" i="7"/>
  <c r="V973" i="7" s="1"/>
  <c r="P974" i="7"/>
  <c r="Q974" i="7"/>
  <c r="R974" i="7"/>
  <c r="AD974" i="7"/>
  <c r="V974" i="7" s="1"/>
  <c r="P976" i="7"/>
  <c r="Q976" i="7"/>
  <c r="R976" i="7"/>
  <c r="AD976" i="7"/>
  <c r="V976" i="7" s="1"/>
  <c r="P977" i="7"/>
  <c r="Q977" i="7"/>
  <c r="R977" i="7"/>
  <c r="AD977" i="7"/>
  <c r="V977" i="7" s="1"/>
  <c r="P978" i="7"/>
  <c r="Q978" i="7"/>
  <c r="R978" i="7"/>
  <c r="AD978" i="7"/>
  <c r="V978" i="7" s="1"/>
  <c r="P979" i="7"/>
  <c r="Q979" i="7"/>
  <c r="R979" i="7"/>
  <c r="AD979" i="7"/>
  <c r="V979" i="7" s="1"/>
  <c r="P980" i="7"/>
  <c r="Q980" i="7"/>
  <c r="R980" i="7"/>
  <c r="AD980" i="7"/>
  <c r="V980" i="7" s="1"/>
  <c r="P981" i="7"/>
  <c r="Q981" i="7"/>
  <c r="R981" i="7"/>
  <c r="AD981" i="7"/>
  <c r="V981" i="7" s="1"/>
  <c r="P982" i="7"/>
  <c r="Q982" i="7"/>
  <c r="R982" i="7"/>
  <c r="AD982" i="7"/>
  <c r="V982" i="7" s="1"/>
  <c r="P983" i="7"/>
  <c r="Q983" i="7"/>
  <c r="R983" i="7"/>
  <c r="AD983" i="7"/>
  <c r="V983" i="7" s="1"/>
  <c r="P984" i="7"/>
  <c r="Q984" i="7"/>
  <c r="R984" i="7"/>
  <c r="AD984" i="7"/>
  <c r="V984" i="7" s="1"/>
  <c r="P985" i="7"/>
  <c r="Q985" i="7"/>
  <c r="R985" i="7"/>
  <c r="AD985" i="7"/>
  <c r="V985" i="7" s="1"/>
  <c r="P986" i="7"/>
  <c r="Q986" i="7"/>
  <c r="R986" i="7"/>
  <c r="AD986" i="7"/>
  <c r="V986" i="7" s="1"/>
  <c r="P989" i="7"/>
  <c r="Q989" i="7"/>
  <c r="R989" i="7"/>
  <c r="AD989" i="7"/>
  <c r="V989" i="7" s="1"/>
  <c r="P990" i="7"/>
  <c r="Q990" i="7"/>
  <c r="R990" i="7"/>
  <c r="AD990" i="7"/>
  <c r="V990" i="7" s="1"/>
  <c r="P991" i="7"/>
  <c r="Q991" i="7"/>
  <c r="R991" i="7"/>
  <c r="AD991" i="7"/>
  <c r="V991" i="7" s="1"/>
  <c r="P992" i="7"/>
  <c r="Q992" i="7"/>
  <c r="R992" i="7"/>
  <c r="AD992" i="7"/>
  <c r="V992" i="7" s="1"/>
  <c r="P993" i="7"/>
  <c r="Q993" i="7"/>
  <c r="R993" i="7"/>
  <c r="AD993" i="7"/>
  <c r="V993" i="7" s="1"/>
  <c r="P994" i="7"/>
  <c r="Q994" i="7"/>
  <c r="R994" i="7"/>
  <c r="AD994" i="7"/>
  <c r="V994" i="7" s="1"/>
  <c r="P995" i="7"/>
  <c r="Q995" i="7"/>
  <c r="R995" i="7"/>
  <c r="AD995" i="7"/>
  <c r="V995" i="7" s="1"/>
  <c r="P997" i="7"/>
  <c r="Q997" i="7"/>
  <c r="R997" i="7"/>
  <c r="AD997" i="7"/>
  <c r="V997" i="7" s="1"/>
  <c r="P998" i="7"/>
  <c r="Q998" i="7"/>
  <c r="R998" i="7"/>
  <c r="AD998" i="7"/>
  <c r="V998" i="7" s="1"/>
  <c r="P1000" i="7"/>
  <c r="Q1000" i="7"/>
  <c r="R1000" i="7"/>
  <c r="AD1000" i="7"/>
  <c r="V1000" i="7" s="1"/>
  <c r="P1001" i="7"/>
  <c r="Q1001" i="7"/>
  <c r="R1001" i="7"/>
  <c r="AD1001" i="7"/>
  <c r="V1001" i="7" s="1"/>
  <c r="P1003" i="7"/>
  <c r="Q1003" i="7"/>
  <c r="R1003" i="7"/>
  <c r="AD1003" i="7"/>
  <c r="V1003" i="7" s="1"/>
  <c r="P1006" i="7"/>
  <c r="Q1006" i="7"/>
  <c r="R1006" i="7"/>
  <c r="AD1006" i="7"/>
  <c r="V1006" i="7" s="1"/>
  <c r="P1007" i="7"/>
  <c r="Q1007" i="7"/>
  <c r="R1007" i="7"/>
  <c r="AD1007" i="7"/>
  <c r="V1007" i="7" s="1"/>
  <c r="P1009" i="7"/>
  <c r="Q1009" i="7"/>
  <c r="R1009" i="7"/>
  <c r="AD1009" i="7"/>
  <c r="V1009" i="7" s="1"/>
  <c r="P1010" i="7"/>
  <c r="Q1010" i="7"/>
  <c r="R1010" i="7"/>
  <c r="AD1010" i="7"/>
  <c r="V1010" i="7" s="1"/>
  <c r="P1011" i="7"/>
  <c r="Q1011" i="7"/>
  <c r="R1011" i="7"/>
  <c r="AD1011" i="7"/>
  <c r="V1011" i="7" s="1"/>
  <c r="P1012" i="7"/>
  <c r="Q1012" i="7"/>
  <c r="R1012" i="7"/>
  <c r="AD1012" i="7"/>
  <c r="V1012" i="7" s="1"/>
  <c r="P1013" i="7"/>
  <c r="Q1013" i="7"/>
  <c r="R1013" i="7"/>
  <c r="AD1013" i="7"/>
  <c r="V1013" i="7" s="1"/>
  <c r="P1017" i="7"/>
  <c r="Q1017" i="7"/>
  <c r="R1017" i="7"/>
  <c r="AD1017" i="7"/>
  <c r="V1017" i="7" s="1"/>
  <c r="P1018" i="7"/>
  <c r="Q1018" i="7"/>
  <c r="R1018" i="7"/>
  <c r="AD1018" i="7"/>
  <c r="V1018" i="7" s="1"/>
  <c r="P1019" i="7"/>
  <c r="Q1019" i="7"/>
  <c r="R1019" i="7"/>
  <c r="AD1019" i="7"/>
  <c r="V1019" i="7" s="1"/>
  <c r="P1020" i="7"/>
  <c r="Q1020" i="7"/>
  <c r="R1020" i="7"/>
  <c r="AD1020" i="7"/>
  <c r="V1020" i="7" s="1"/>
  <c r="P1022" i="7"/>
  <c r="Q1022" i="7"/>
  <c r="R1022" i="7"/>
  <c r="AD1022" i="7"/>
  <c r="V1022" i="7" s="1"/>
  <c r="P1025" i="7"/>
  <c r="Q1025" i="7"/>
  <c r="R1025" i="7"/>
  <c r="AD1025" i="7"/>
  <c r="V1025" i="7" s="1"/>
  <c r="P1026" i="7"/>
  <c r="Q1026" i="7"/>
  <c r="R1026" i="7"/>
  <c r="AD1026" i="7"/>
  <c r="V1026" i="7" s="1"/>
  <c r="P1027" i="7"/>
  <c r="Q1027" i="7"/>
  <c r="R1027" i="7"/>
  <c r="AD1027" i="7"/>
  <c r="V1027" i="7" s="1"/>
  <c r="P1028" i="7"/>
  <c r="Q1028" i="7"/>
  <c r="R1028" i="7"/>
  <c r="AD1028" i="7"/>
  <c r="V1028" i="7" s="1"/>
  <c r="P1029" i="7"/>
  <c r="Q1029" i="7"/>
  <c r="R1029" i="7"/>
  <c r="AD1029" i="7"/>
  <c r="V1029" i="7" s="1"/>
  <c r="P1030" i="7"/>
  <c r="Q1030" i="7"/>
  <c r="R1030" i="7"/>
  <c r="AD1030" i="7"/>
  <c r="V1030" i="7" s="1"/>
  <c r="P1031" i="7"/>
  <c r="Q1031" i="7"/>
  <c r="R1031" i="7"/>
  <c r="AD1031" i="7"/>
  <c r="V1031" i="7" s="1"/>
  <c r="P1032" i="7"/>
  <c r="Q1032" i="7"/>
  <c r="R1032" i="7"/>
  <c r="AD1032" i="7"/>
  <c r="V1032" i="7" s="1"/>
  <c r="P1033" i="7"/>
  <c r="Q1033" i="7"/>
  <c r="R1033" i="7"/>
  <c r="AD1033" i="7"/>
  <c r="V1033" i="7" s="1"/>
  <c r="P1034" i="7"/>
  <c r="Q1034" i="7"/>
  <c r="R1034" i="7"/>
  <c r="AD1034" i="7"/>
  <c r="V1034" i="7" s="1"/>
  <c r="P1035" i="7"/>
  <c r="Q1035" i="7"/>
  <c r="R1035" i="7"/>
  <c r="AD1035" i="7"/>
  <c r="V1035" i="7" s="1"/>
  <c r="P1036" i="7"/>
  <c r="Q1036" i="7"/>
  <c r="R1036" i="7"/>
  <c r="AD1036" i="7"/>
  <c r="V1036" i="7" s="1"/>
  <c r="P1037" i="7"/>
  <c r="Q1037" i="7"/>
  <c r="R1037" i="7"/>
  <c r="AD1037" i="7"/>
  <c r="V1037" i="7" s="1"/>
  <c r="P1039" i="7"/>
  <c r="Q1039" i="7"/>
  <c r="R1039" i="7"/>
  <c r="AD1039" i="7"/>
  <c r="V1039" i="7" s="1"/>
  <c r="P1040" i="7"/>
  <c r="Q1040" i="7"/>
  <c r="R1040" i="7"/>
  <c r="AD1040" i="7"/>
  <c r="V1040" i="7" s="1"/>
  <c r="P1042" i="7"/>
  <c r="Q1042" i="7"/>
  <c r="R1042" i="7"/>
  <c r="AD1042" i="7"/>
  <c r="V1042" i="7" s="1"/>
  <c r="P1043" i="7"/>
  <c r="Q1043" i="7"/>
  <c r="R1043" i="7"/>
  <c r="AD1043" i="7"/>
  <c r="V1043" i="7" s="1"/>
  <c r="P1045" i="7"/>
  <c r="Q1045" i="7"/>
  <c r="R1045" i="7"/>
  <c r="U1045" i="7" s="1"/>
  <c r="AD1045" i="7"/>
  <c r="V1045" i="7" s="1"/>
  <c r="P1046" i="7"/>
  <c r="Q1046" i="7"/>
  <c r="R1046" i="7"/>
  <c r="AD1046" i="7"/>
  <c r="V1046" i="7" s="1"/>
  <c r="P1047" i="7"/>
  <c r="Q1047" i="7"/>
  <c r="R1047" i="7"/>
  <c r="AD1047" i="7"/>
  <c r="V1047" i="7" s="1"/>
  <c r="P1048" i="7"/>
  <c r="Q1048" i="7"/>
  <c r="R1048" i="7"/>
  <c r="AD1048" i="7"/>
  <c r="V1048" i="7" s="1"/>
  <c r="P1049" i="7"/>
  <c r="Q1049" i="7"/>
  <c r="R1049" i="7"/>
  <c r="AD1049" i="7"/>
  <c r="V1049" i="7" s="1"/>
  <c r="P1050" i="7"/>
  <c r="Q1050" i="7"/>
  <c r="R1050" i="7"/>
  <c r="AD1050" i="7"/>
  <c r="V1050" i="7" s="1"/>
  <c r="P1051" i="7"/>
  <c r="Q1051" i="7"/>
  <c r="R1051" i="7"/>
  <c r="AD1051" i="7"/>
  <c r="V1051" i="7" s="1"/>
  <c r="P1052" i="7"/>
  <c r="Q1052" i="7"/>
  <c r="R1052" i="7"/>
  <c r="AD1052" i="7"/>
  <c r="V1052" i="7" s="1"/>
  <c r="P1053" i="7"/>
  <c r="Q1053" i="7"/>
  <c r="R1053" i="7"/>
  <c r="AD1053" i="7"/>
  <c r="V1053" i="7" s="1"/>
  <c r="P1054" i="7"/>
  <c r="Q1054" i="7"/>
  <c r="R1054" i="7"/>
  <c r="AD1054" i="7"/>
  <c r="V1054" i="7" s="1"/>
  <c r="P1055" i="7"/>
  <c r="Q1055" i="7"/>
  <c r="R1055" i="7"/>
  <c r="AD1055" i="7"/>
  <c r="V1055" i="7" s="1"/>
  <c r="P1056" i="7"/>
  <c r="Q1056" i="7"/>
  <c r="R1056" i="7"/>
  <c r="AD1056" i="7"/>
  <c r="V1056" i="7" s="1"/>
  <c r="P1058" i="7"/>
  <c r="Q1058" i="7"/>
  <c r="R1058" i="7"/>
  <c r="AD1058" i="7"/>
  <c r="V1058" i="7" s="1"/>
  <c r="P1059" i="7"/>
  <c r="Q1059" i="7"/>
  <c r="R1059" i="7"/>
  <c r="AD1059" i="7"/>
  <c r="V1059" i="7" s="1"/>
  <c r="P1060" i="7"/>
  <c r="Q1060" i="7"/>
  <c r="R1060" i="7"/>
  <c r="AD1060" i="7"/>
  <c r="V1060" i="7" s="1"/>
  <c r="P1061" i="7"/>
  <c r="Q1061" i="7"/>
  <c r="R1061" i="7"/>
  <c r="AD1061" i="7"/>
  <c r="V1061" i="7" s="1"/>
  <c r="P1062" i="7"/>
  <c r="Q1062" i="7"/>
  <c r="R1062" i="7"/>
  <c r="AD1062" i="7"/>
  <c r="V1062" i="7" s="1"/>
  <c r="P1063" i="7"/>
  <c r="Q1063" i="7"/>
  <c r="R1063" i="7"/>
  <c r="AD1063" i="7"/>
  <c r="V1063" i="7" s="1"/>
  <c r="P1064" i="7"/>
  <c r="Q1064" i="7"/>
  <c r="R1064" i="7"/>
  <c r="AD1064" i="7"/>
  <c r="V1064" i="7" s="1"/>
  <c r="P1065" i="7"/>
  <c r="Q1065" i="7"/>
  <c r="R1065" i="7"/>
  <c r="AD1065" i="7"/>
  <c r="V1065" i="7" s="1"/>
  <c r="P1067" i="7"/>
  <c r="Q1067" i="7"/>
  <c r="R1067" i="7"/>
  <c r="AD1067" i="7"/>
  <c r="V1067" i="7" s="1"/>
  <c r="P1068" i="7"/>
  <c r="Q1068" i="7"/>
  <c r="R1068" i="7"/>
  <c r="AD1068" i="7"/>
  <c r="V1068" i="7" s="1"/>
  <c r="P1070" i="7"/>
  <c r="Q1070" i="7"/>
  <c r="R1070" i="7"/>
  <c r="AD1070" i="7"/>
  <c r="V1070" i="7" s="1"/>
  <c r="P1072" i="7"/>
  <c r="Q1072" i="7"/>
  <c r="R1072" i="7"/>
  <c r="AD1072" i="7"/>
  <c r="V1072" i="7" s="1"/>
  <c r="P1073" i="7"/>
  <c r="Q1073" i="7"/>
  <c r="R1073" i="7"/>
  <c r="AD1073" i="7"/>
  <c r="V1073" i="7" s="1"/>
  <c r="P1074" i="7"/>
  <c r="Q1074" i="7"/>
  <c r="R1074" i="7"/>
  <c r="AD1074" i="7"/>
  <c r="V1074" i="7" s="1"/>
  <c r="P1075" i="7"/>
  <c r="Q1075" i="7"/>
  <c r="R1075" i="7"/>
  <c r="AD1075" i="7"/>
  <c r="V1075" i="7" s="1"/>
  <c r="P1076" i="7"/>
  <c r="Q1076" i="7"/>
  <c r="R1076" i="7"/>
  <c r="AD1076" i="7"/>
  <c r="V1076" i="7" s="1"/>
  <c r="P1078" i="7"/>
  <c r="Q1078" i="7"/>
  <c r="R1078" i="7"/>
  <c r="AD1078" i="7"/>
  <c r="V1078" i="7" s="1"/>
  <c r="P1079" i="7"/>
  <c r="Q1079" i="7"/>
  <c r="R1079" i="7"/>
  <c r="AD1079" i="7"/>
  <c r="V1079" i="7" s="1"/>
  <c r="P1080" i="7"/>
  <c r="Q1080" i="7"/>
  <c r="R1080" i="7"/>
  <c r="AD1080" i="7"/>
  <c r="V1080" i="7" s="1"/>
  <c r="P1082" i="7"/>
  <c r="Q1082" i="7"/>
  <c r="R1082" i="7"/>
  <c r="AD1082" i="7"/>
  <c r="V1082" i="7" s="1"/>
  <c r="P1083" i="7"/>
  <c r="Q1083" i="7"/>
  <c r="R1083" i="7"/>
  <c r="AD1083" i="7"/>
  <c r="V1083" i="7" s="1"/>
  <c r="P1084" i="7"/>
  <c r="Q1084" i="7"/>
  <c r="R1084" i="7"/>
  <c r="AD1084" i="7"/>
  <c r="V1084" i="7" s="1"/>
  <c r="P1085" i="7"/>
  <c r="Q1085" i="7"/>
  <c r="R1085" i="7"/>
  <c r="AD1085" i="7"/>
  <c r="V1085" i="7" s="1"/>
  <c r="P1086" i="7"/>
  <c r="Q1086" i="7"/>
  <c r="R1086" i="7"/>
  <c r="AD1086" i="7"/>
  <c r="V1086" i="7" s="1"/>
  <c r="P1087" i="7"/>
  <c r="Q1087" i="7"/>
  <c r="R1087" i="7"/>
  <c r="AD1087" i="7"/>
  <c r="V1087" i="7" s="1"/>
  <c r="P1090" i="7"/>
  <c r="Q1090" i="7"/>
  <c r="R1090" i="7"/>
  <c r="AD1090" i="7"/>
  <c r="V1090" i="7" s="1"/>
  <c r="P1091" i="7"/>
  <c r="Q1091" i="7"/>
  <c r="R1091" i="7"/>
  <c r="AD1091" i="7"/>
  <c r="V1091" i="7" s="1"/>
  <c r="P1093" i="7"/>
  <c r="Q1093" i="7"/>
  <c r="R1093" i="7"/>
  <c r="AD1093" i="7"/>
  <c r="V1093" i="7" s="1"/>
  <c r="P1094" i="7"/>
  <c r="Q1094" i="7"/>
  <c r="R1094" i="7"/>
  <c r="AD1094" i="7"/>
  <c r="V1094" i="7" s="1"/>
  <c r="P1095" i="7"/>
  <c r="Q1095" i="7"/>
  <c r="R1095" i="7"/>
  <c r="AD1095" i="7"/>
  <c r="V1095" i="7" s="1"/>
  <c r="P1097" i="7"/>
  <c r="Q1097" i="7"/>
  <c r="R1097" i="7"/>
  <c r="AD1097" i="7"/>
  <c r="V1097" i="7" s="1"/>
  <c r="P1098" i="7"/>
  <c r="Q1098" i="7"/>
  <c r="R1098" i="7"/>
  <c r="AD1098" i="7"/>
  <c r="V1098" i="7" s="1"/>
  <c r="P1099" i="7"/>
  <c r="Q1099" i="7"/>
  <c r="R1099" i="7"/>
  <c r="AD1099" i="7"/>
  <c r="V1099" i="7" s="1"/>
  <c r="P1100" i="7"/>
  <c r="Q1100" i="7"/>
  <c r="R1100" i="7"/>
  <c r="AD1100" i="7"/>
  <c r="V1100" i="7" s="1"/>
  <c r="P1101" i="7"/>
  <c r="Q1101" i="7"/>
  <c r="R1101" i="7"/>
  <c r="AD1101" i="7"/>
  <c r="V1101" i="7" s="1"/>
  <c r="P1102" i="7"/>
  <c r="Q1102" i="7"/>
  <c r="R1102" i="7"/>
  <c r="AD1102" i="7"/>
  <c r="V1102" i="7" s="1"/>
  <c r="P1103" i="7"/>
  <c r="Q1103" i="7"/>
  <c r="R1103" i="7"/>
  <c r="AD1103" i="7"/>
  <c r="V1103" i="7" s="1"/>
  <c r="P1105" i="7"/>
  <c r="Q1105" i="7"/>
  <c r="R1105" i="7"/>
  <c r="AD1105" i="7"/>
  <c r="V1105" i="7" s="1"/>
  <c r="P1106" i="7"/>
  <c r="Q1106" i="7"/>
  <c r="R1106" i="7"/>
  <c r="AD1106" i="7"/>
  <c r="V1106" i="7" s="1"/>
  <c r="P1108" i="7"/>
  <c r="Q1108" i="7"/>
  <c r="R1108" i="7"/>
  <c r="AD1108" i="7"/>
  <c r="V1108" i="7" s="1"/>
  <c r="P1109" i="7"/>
  <c r="Q1109" i="7"/>
  <c r="R1109" i="7"/>
  <c r="AD1109" i="7"/>
  <c r="V1109" i="7" s="1"/>
  <c r="P1110" i="7"/>
  <c r="Q1110" i="7"/>
  <c r="R1110" i="7"/>
  <c r="AD1110" i="7"/>
  <c r="V1110" i="7" s="1"/>
  <c r="P1111" i="7"/>
  <c r="Q1111" i="7"/>
  <c r="R1111" i="7"/>
  <c r="AD1111" i="7"/>
  <c r="V1111" i="7" s="1"/>
  <c r="P1112" i="7"/>
  <c r="Q1112" i="7"/>
  <c r="R1112" i="7"/>
  <c r="AD1112" i="7"/>
  <c r="V1112" i="7" s="1"/>
  <c r="P1113" i="7"/>
  <c r="Q1113" i="7"/>
  <c r="R1113" i="7"/>
  <c r="AD1113" i="7"/>
  <c r="V1113" i="7" s="1"/>
  <c r="P1114" i="7"/>
  <c r="Q1114" i="7"/>
  <c r="R1114" i="7"/>
  <c r="AD1114" i="7"/>
  <c r="V1114" i="7" s="1"/>
  <c r="P1115" i="7"/>
  <c r="Q1115" i="7"/>
  <c r="R1115" i="7"/>
  <c r="AD1115" i="7"/>
  <c r="V1115" i="7" s="1"/>
  <c r="P1116" i="7"/>
  <c r="Q1116" i="7"/>
  <c r="R1116" i="7"/>
  <c r="AD1116" i="7"/>
  <c r="V1116" i="7" s="1"/>
  <c r="P1117" i="7"/>
  <c r="Q1117" i="7"/>
  <c r="R1117" i="7"/>
  <c r="AD1117" i="7"/>
  <c r="V1117" i="7" s="1"/>
  <c r="P1118" i="7"/>
  <c r="Q1118" i="7"/>
  <c r="R1118" i="7"/>
  <c r="AD1118" i="7"/>
  <c r="V1118" i="7" s="1"/>
  <c r="P1119" i="7"/>
  <c r="Q1119" i="7"/>
  <c r="R1119" i="7"/>
  <c r="AD1119" i="7"/>
  <c r="V1119" i="7" s="1"/>
  <c r="P1120" i="7"/>
  <c r="Q1120" i="7"/>
  <c r="R1120" i="7"/>
  <c r="AD1120" i="7"/>
  <c r="V1120" i="7" s="1"/>
  <c r="P1121" i="7"/>
  <c r="Q1121" i="7"/>
  <c r="R1121" i="7"/>
  <c r="AD1121" i="7"/>
  <c r="V1121" i="7" s="1"/>
  <c r="P1122" i="7"/>
  <c r="Q1122" i="7"/>
  <c r="R1122" i="7"/>
  <c r="AD1122" i="7"/>
  <c r="V1122" i="7" s="1"/>
  <c r="P1123" i="7"/>
  <c r="Q1123" i="7"/>
  <c r="R1123" i="7"/>
  <c r="AD1123" i="7"/>
  <c r="V1123" i="7" s="1"/>
  <c r="P1124" i="7"/>
  <c r="Q1124" i="7"/>
  <c r="R1124" i="7"/>
  <c r="AD1124" i="7"/>
  <c r="V1124" i="7" s="1"/>
  <c r="P1125" i="7"/>
  <c r="Q1125" i="7"/>
  <c r="R1125" i="7"/>
  <c r="AD1125" i="7"/>
  <c r="V1125" i="7" s="1"/>
  <c r="P1126" i="7"/>
  <c r="Q1126" i="7"/>
  <c r="R1126" i="7"/>
  <c r="AD1126" i="7"/>
  <c r="V1126" i="7" s="1"/>
  <c r="P1127" i="7"/>
  <c r="Q1127" i="7"/>
  <c r="R1127" i="7"/>
  <c r="AD1127" i="7"/>
  <c r="V1127" i="7" s="1"/>
  <c r="P1128" i="7"/>
  <c r="Q1128" i="7"/>
  <c r="R1128" i="7"/>
  <c r="AD1128" i="7"/>
  <c r="V1128" i="7" s="1"/>
  <c r="P1129" i="7"/>
  <c r="Q1129" i="7"/>
  <c r="R1129" i="7"/>
  <c r="AD1129" i="7"/>
  <c r="V1129" i="7" s="1"/>
  <c r="P1131" i="7"/>
  <c r="Q1131" i="7"/>
  <c r="R1131" i="7"/>
  <c r="AD1131" i="7"/>
  <c r="V1131" i="7" s="1"/>
  <c r="P1132" i="7"/>
  <c r="Q1132" i="7"/>
  <c r="R1132" i="7"/>
  <c r="AD1132" i="7"/>
  <c r="V1132" i="7" s="1"/>
  <c r="P1133" i="7"/>
  <c r="Q1133" i="7"/>
  <c r="R1133" i="7"/>
  <c r="AD1133" i="7"/>
  <c r="V1133" i="7" s="1"/>
  <c r="P1135" i="7"/>
  <c r="Q1135" i="7"/>
  <c r="R1135" i="7"/>
  <c r="AD1135" i="7"/>
  <c r="V1135" i="7" s="1"/>
  <c r="P1136" i="7"/>
  <c r="Q1136" i="7"/>
  <c r="R1136" i="7"/>
  <c r="AD1136" i="7"/>
  <c r="V1136" i="7" s="1"/>
  <c r="P1137" i="7"/>
  <c r="Q1137" i="7"/>
  <c r="R1137" i="7"/>
  <c r="AD1137" i="7"/>
  <c r="V1137" i="7" s="1"/>
  <c r="P1138" i="7"/>
  <c r="Q1138" i="7"/>
  <c r="R1138" i="7"/>
  <c r="AD1138" i="7"/>
  <c r="V1138" i="7" s="1"/>
  <c r="P1139" i="7"/>
  <c r="Q1139" i="7"/>
  <c r="R1139" i="7"/>
  <c r="AD1139" i="7"/>
  <c r="V1139" i="7" s="1"/>
  <c r="P1141" i="7"/>
  <c r="Q1141" i="7"/>
  <c r="R1141" i="7"/>
  <c r="AD1141" i="7"/>
  <c r="V1141" i="7" s="1"/>
  <c r="P1142" i="7"/>
  <c r="Q1142" i="7"/>
  <c r="R1142" i="7"/>
  <c r="AD1142" i="7"/>
  <c r="V1142" i="7" s="1"/>
  <c r="P1143" i="7"/>
  <c r="Q1143" i="7"/>
  <c r="R1143" i="7"/>
  <c r="AD1143" i="7"/>
  <c r="V1143" i="7" s="1"/>
  <c r="P1144" i="7"/>
  <c r="Q1144" i="7"/>
  <c r="R1144" i="7"/>
  <c r="AD1144" i="7"/>
  <c r="V1144" i="7" s="1"/>
  <c r="P1146" i="7"/>
  <c r="Q1146" i="7"/>
  <c r="R1146" i="7"/>
  <c r="AD1146" i="7"/>
  <c r="V1146" i="7" s="1"/>
  <c r="P1147" i="7"/>
  <c r="Q1147" i="7"/>
  <c r="R1147" i="7"/>
  <c r="AD1147" i="7"/>
  <c r="V1147" i="7" s="1"/>
  <c r="P1148" i="7"/>
  <c r="Q1148" i="7"/>
  <c r="R1148" i="7"/>
  <c r="U1148" i="7" s="1"/>
  <c r="AD1148" i="7"/>
  <c r="V1148" i="7" s="1"/>
  <c r="P1149" i="7"/>
  <c r="Q1149" i="7"/>
  <c r="R1149" i="7"/>
  <c r="AD1149" i="7"/>
  <c r="V1149" i="7" s="1"/>
  <c r="P1150" i="7"/>
  <c r="Q1150" i="7"/>
  <c r="R1150" i="7"/>
  <c r="AD1150" i="7"/>
  <c r="V1150" i="7" s="1"/>
  <c r="P1151" i="7"/>
  <c r="Q1151" i="7"/>
  <c r="R1151" i="7"/>
  <c r="AD1151" i="7"/>
  <c r="V1151" i="7" s="1"/>
  <c r="P1153" i="7"/>
  <c r="Q1153" i="7"/>
  <c r="R1153" i="7"/>
  <c r="AD1153" i="7"/>
  <c r="V1153" i="7" s="1"/>
  <c r="P1154" i="7"/>
  <c r="Q1154" i="7"/>
  <c r="R1154" i="7"/>
  <c r="AD1154" i="7"/>
  <c r="V1154" i="7" s="1"/>
  <c r="P1156" i="7"/>
  <c r="Q1156" i="7"/>
  <c r="R1156" i="7"/>
  <c r="AD1156" i="7"/>
  <c r="V1156" i="7" s="1"/>
  <c r="P1158" i="7"/>
  <c r="Q1158" i="7"/>
  <c r="R1158" i="7"/>
  <c r="AD1158" i="7"/>
  <c r="V1158" i="7" s="1"/>
  <c r="P1159" i="7"/>
  <c r="Q1159" i="7"/>
  <c r="R1159" i="7"/>
  <c r="AD1159" i="7"/>
  <c r="V1159" i="7" s="1"/>
  <c r="P1161" i="7"/>
  <c r="Q1161" i="7"/>
  <c r="R1161" i="7"/>
  <c r="U1161" i="7" s="1"/>
  <c r="AD1161" i="7"/>
  <c r="V1161" i="7" s="1"/>
  <c r="P1162" i="7"/>
  <c r="Q1162" i="7"/>
  <c r="R1162" i="7"/>
  <c r="AD1162" i="7"/>
  <c r="V1162" i="7" s="1"/>
  <c r="P1163" i="7"/>
  <c r="Q1163" i="7"/>
  <c r="R1163" i="7"/>
  <c r="AD1163" i="7"/>
  <c r="V1163" i="7" s="1"/>
  <c r="P1165" i="7"/>
  <c r="Q1165" i="7"/>
  <c r="R1165" i="7"/>
  <c r="AD1165" i="7"/>
  <c r="V1165" i="7" s="1"/>
  <c r="P1166" i="7"/>
  <c r="Q1166" i="7"/>
  <c r="R1166" i="7"/>
  <c r="AD1166" i="7"/>
  <c r="V1166" i="7" s="1"/>
  <c r="P1167" i="7"/>
  <c r="Q1167" i="7"/>
  <c r="R1167" i="7"/>
  <c r="AD1167" i="7"/>
  <c r="V1167" i="7" s="1"/>
  <c r="P1168" i="7"/>
  <c r="Q1168" i="7"/>
  <c r="R1168" i="7"/>
  <c r="AD1168" i="7"/>
  <c r="V1168" i="7" s="1"/>
  <c r="P1169" i="7"/>
  <c r="Q1169" i="7"/>
  <c r="R1169" i="7"/>
  <c r="AD1169" i="7"/>
  <c r="V1169" i="7" s="1"/>
  <c r="P1170" i="7"/>
  <c r="Q1170" i="7"/>
  <c r="R1170" i="7"/>
  <c r="AD1170" i="7"/>
  <c r="V1170" i="7" s="1"/>
  <c r="P1172" i="7"/>
  <c r="Q1172" i="7"/>
  <c r="R1172" i="7"/>
  <c r="AD1172" i="7"/>
  <c r="V1172" i="7" s="1"/>
  <c r="P1174" i="7"/>
  <c r="Q1174" i="7"/>
  <c r="R1174" i="7"/>
  <c r="AD1174" i="7"/>
  <c r="V1174" i="7" s="1"/>
  <c r="P1175" i="7"/>
  <c r="Q1175" i="7"/>
  <c r="R1175" i="7"/>
  <c r="AD1175" i="7"/>
  <c r="V1175" i="7" s="1"/>
  <c r="P1176" i="7"/>
  <c r="Q1176" i="7"/>
  <c r="R1176" i="7"/>
  <c r="AD1176" i="7"/>
  <c r="V1176" i="7" s="1"/>
  <c r="P1177" i="7"/>
  <c r="Q1177" i="7"/>
  <c r="R1177" i="7"/>
  <c r="AD1177" i="7"/>
  <c r="V1177" i="7" s="1"/>
  <c r="P1178" i="7"/>
  <c r="Q1178" i="7"/>
  <c r="R1178" i="7"/>
  <c r="AD1178" i="7"/>
  <c r="V1178" i="7" s="1"/>
  <c r="P1179" i="7"/>
  <c r="Q1179" i="7"/>
  <c r="R1179" i="7"/>
  <c r="AD1179" i="7"/>
  <c r="V1179" i="7" s="1"/>
  <c r="P1180" i="7"/>
  <c r="Q1180" i="7"/>
  <c r="R1180" i="7"/>
  <c r="AD1180" i="7"/>
  <c r="V1180" i="7" s="1"/>
  <c r="P1181" i="7"/>
  <c r="Q1181" i="7"/>
  <c r="R1181" i="7"/>
  <c r="AD1181" i="7"/>
  <c r="V1181" i="7" s="1"/>
  <c r="P1183" i="7"/>
  <c r="Q1183" i="7"/>
  <c r="R1183" i="7"/>
  <c r="AD1183" i="7"/>
  <c r="V1183" i="7" s="1"/>
  <c r="P1184" i="7"/>
  <c r="Q1184" i="7"/>
  <c r="R1184" i="7"/>
  <c r="AD1184" i="7"/>
  <c r="V1184" i="7" s="1"/>
  <c r="P1185" i="7"/>
  <c r="Q1185" i="7"/>
  <c r="R1185" i="7"/>
  <c r="AD1185" i="7"/>
  <c r="V1185" i="7" s="1"/>
  <c r="P1186" i="7"/>
  <c r="Q1186" i="7"/>
  <c r="R1186" i="7"/>
  <c r="AD1186" i="7"/>
  <c r="V1186" i="7" s="1"/>
  <c r="P1187" i="7"/>
  <c r="Q1187" i="7"/>
  <c r="R1187" i="7"/>
  <c r="AD1187" i="7"/>
  <c r="V1187" i="7" s="1"/>
  <c r="P1188" i="7"/>
  <c r="Q1188" i="7"/>
  <c r="R1188" i="7"/>
  <c r="AD1188" i="7"/>
  <c r="V1188" i="7" s="1"/>
  <c r="P1189" i="7"/>
  <c r="Q1189" i="7"/>
  <c r="R1189" i="7"/>
  <c r="U1189" i="7" s="1"/>
  <c r="AD1189" i="7"/>
  <c r="V1189" i="7" s="1"/>
  <c r="P1191" i="7"/>
  <c r="Q1191" i="7"/>
  <c r="R1191" i="7"/>
  <c r="AD1191" i="7"/>
  <c r="V1191" i="7" s="1"/>
  <c r="P1192" i="7"/>
  <c r="Q1192" i="7"/>
  <c r="R1192" i="7"/>
  <c r="AD1192" i="7"/>
  <c r="V1192" i="7" s="1"/>
  <c r="P1194" i="7"/>
  <c r="Q1194" i="7"/>
  <c r="R1194" i="7"/>
  <c r="AD1194" i="7"/>
  <c r="V1194" i="7" s="1"/>
  <c r="P1195" i="7"/>
  <c r="Q1195" i="7"/>
  <c r="R1195" i="7"/>
  <c r="AD1195" i="7"/>
  <c r="V1195" i="7" s="1"/>
  <c r="P1196" i="7"/>
  <c r="Q1196" i="7"/>
  <c r="R1196" i="7"/>
  <c r="AD1196" i="7"/>
  <c r="V1196" i="7" s="1"/>
  <c r="P1198" i="7"/>
  <c r="Q1198" i="7"/>
  <c r="R1198" i="7"/>
  <c r="AD1198" i="7"/>
  <c r="V1198" i="7" s="1"/>
  <c r="P1199" i="7"/>
  <c r="Q1199" i="7"/>
  <c r="R1199" i="7"/>
  <c r="AD1199" i="7"/>
  <c r="V1199" i="7" s="1"/>
  <c r="P1200" i="7"/>
  <c r="Q1200" i="7"/>
  <c r="R1200" i="7"/>
  <c r="AD1200" i="7"/>
  <c r="V1200" i="7" s="1"/>
  <c r="P1201" i="7"/>
  <c r="Q1201" i="7"/>
  <c r="R1201" i="7"/>
  <c r="AD1201" i="7"/>
  <c r="V1201" i="7" s="1"/>
  <c r="P1202" i="7"/>
  <c r="Q1202" i="7"/>
  <c r="R1202" i="7"/>
  <c r="AD1202" i="7"/>
  <c r="V1202" i="7" s="1"/>
  <c r="P1203" i="7"/>
  <c r="Q1203" i="7"/>
  <c r="R1203" i="7"/>
  <c r="AD1203" i="7"/>
  <c r="V1203" i="7" s="1"/>
  <c r="P1204" i="7"/>
  <c r="Q1204" i="7"/>
  <c r="R1204" i="7"/>
  <c r="AD1204" i="7"/>
  <c r="V1204" i="7" s="1"/>
  <c r="P1205" i="7"/>
  <c r="Q1205" i="7"/>
  <c r="R1205" i="7"/>
  <c r="AD1205" i="7"/>
  <c r="V1205" i="7" s="1"/>
  <c r="P1206" i="7"/>
  <c r="Q1206" i="7"/>
  <c r="R1206" i="7"/>
  <c r="AD1206" i="7"/>
  <c r="V1206" i="7" s="1"/>
  <c r="P1207" i="7"/>
  <c r="Q1207" i="7"/>
  <c r="R1207" i="7"/>
  <c r="AD1207" i="7"/>
  <c r="V1207" i="7" s="1"/>
  <c r="P1208" i="7"/>
  <c r="Q1208" i="7"/>
  <c r="R1208" i="7"/>
  <c r="AD1208" i="7"/>
  <c r="V1208" i="7" s="1"/>
  <c r="P1210" i="7"/>
  <c r="Q1210" i="7"/>
  <c r="R1210" i="7"/>
  <c r="AD1210" i="7"/>
  <c r="V1210" i="7" s="1"/>
  <c r="P1211" i="7"/>
  <c r="Q1211" i="7"/>
  <c r="R1211" i="7"/>
  <c r="AD1211" i="7"/>
  <c r="V1211" i="7" s="1"/>
  <c r="P1213" i="7"/>
  <c r="Q1213" i="7"/>
  <c r="R1213" i="7"/>
  <c r="AD1213" i="7"/>
  <c r="V1213" i="7" s="1"/>
  <c r="P1215" i="7"/>
  <c r="Q1215" i="7"/>
  <c r="R1215" i="7"/>
  <c r="AD1215" i="7"/>
  <c r="V1215" i="7" s="1"/>
  <c r="P1216" i="7"/>
  <c r="Q1216" i="7"/>
  <c r="R1216" i="7"/>
  <c r="AD1216" i="7"/>
  <c r="V1216" i="7" s="1"/>
  <c r="P1217" i="7"/>
  <c r="Q1217" i="7"/>
  <c r="R1217" i="7"/>
  <c r="AD1217" i="7"/>
  <c r="V1217" i="7" s="1"/>
  <c r="P1218" i="7"/>
  <c r="Q1218" i="7"/>
  <c r="R1218" i="7"/>
  <c r="AD1218" i="7"/>
  <c r="V1218" i="7" s="1"/>
  <c r="P1220" i="7"/>
  <c r="Q1220" i="7"/>
  <c r="R1220" i="7"/>
  <c r="U1220" i="7" s="1"/>
  <c r="AD1220" i="7"/>
  <c r="V1220" i="7" s="1"/>
  <c r="P1221" i="7"/>
  <c r="Q1221" i="7"/>
  <c r="R1221" i="7"/>
  <c r="AD1221" i="7"/>
  <c r="V1221" i="7" s="1"/>
  <c r="P1222" i="7"/>
  <c r="Q1222" i="7"/>
  <c r="R1222" i="7"/>
  <c r="AD1222" i="7"/>
  <c r="V1222" i="7" s="1"/>
  <c r="P1224" i="7"/>
  <c r="Q1224" i="7"/>
  <c r="R1224" i="7"/>
  <c r="AD1224" i="7"/>
  <c r="V1224" i="7" s="1"/>
  <c r="P1225" i="7"/>
  <c r="Q1225" i="7"/>
  <c r="R1225" i="7"/>
  <c r="AD1225" i="7"/>
  <c r="V1225" i="7" s="1"/>
  <c r="P1227" i="7"/>
  <c r="Q1227" i="7"/>
  <c r="R1227" i="7"/>
  <c r="AD1227" i="7"/>
  <c r="V1227" i="7" s="1"/>
  <c r="P1228" i="7"/>
  <c r="Q1228" i="7"/>
  <c r="R1228" i="7"/>
  <c r="AD1228" i="7"/>
  <c r="V1228" i="7" s="1"/>
  <c r="P1229" i="7"/>
  <c r="Q1229" i="7"/>
  <c r="R1229" i="7"/>
  <c r="AD1229" i="7"/>
  <c r="V1229" i="7" s="1"/>
  <c r="P1230" i="7"/>
  <c r="Q1230" i="7"/>
  <c r="R1230" i="7"/>
  <c r="AD1230" i="7"/>
  <c r="V1230" i="7" s="1"/>
  <c r="P1231" i="7"/>
  <c r="Q1231" i="7"/>
  <c r="R1231" i="7"/>
  <c r="AD1231" i="7"/>
  <c r="V1231" i="7" s="1"/>
  <c r="P1232" i="7"/>
  <c r="Q1232" i="7"/>
  <c r="R1232" i="7"/>
  <c r="AD1232" i="7"/>
  <c r="V1232" i="7" s="1"/>
  <c r="P1233" i="7"/>
  <c r="Q1233" i="7"/>
  <c r="R1233" i="7"/>
  <c r="AD1233" i="7"/>
  <c r="V1233" i="7" s="1"/>
  <c r="P1234" i="7"/>
  <c r="Q1234" i="7"/>
  <c r="R1234" i="7"/>
  <c r="AD1234" i="7"/>
  <c r="V1234" i="7" s="1"/>
  <c r="P1236" i="7"/>
  <c r="Q1236" i="7"/>
  <c r="R1236" i="7"/>
  <c r="AD1236" i="7"/>
  <c r="V1236" i="7" s="1"/>
  <c r="P1238" i="7"/>
  <c r="Q1238" i="7"/>
  <c r="R1238" i="7"/>
  <c r="AD1238" i="7"/>
  <c r="V1238" i="7" s="1"/>
  <c r="P1239" i="7"/>
  <c r="Q1239" i="7"/>
  <c r="R1239" i="7"/>
  <c r="AD1239" i="7"/>
  <c r="V1239" i="7" s="1"/>
  <c r="P1241" i="7"/>
  <c r="Q1241" i="7"/>
  <c r="R1241" i="7"/>
  <c r="AD1241" i="7"/>
  <c r="V1241" i="7" s="1"/>
  <c r="P1242" i="7"/>
  <c r="Q1242" i="7"/>
  <c r="R1242" i="7"/>
  <c r="AD1242" i="7"/>
  <c r="V1242" i="7" s="1"/>
  <c r="P1244" i="7"/>
  <c r="Q1244" i="7"/>
  <c r="R1244" i="7"/>
  <c r="AD1244" i="7"/>
  <c r="V1244" i="7" s="1"/>
  <c r="P1245" i="7"/>
  <c r="Q1245" i="7"/>
  <c r="R1245" i="7"/>
  <c r="AD1245" i="7"/>
  <c r="V1245" i="7" s="1"/>
  <c r="P1246" i="7"/>
  <c r="Q1246" i="7"/>
  <c r="R1246" i="7"/>
  <c r="AD1246" i="7"/>
  <c r="V1246" i="7" s="1"/>
  <c r="P1247" i="7"/>
  <c r="Q1247" i="7"/>
  <c r="R1247" i="7"/>
  <c r="AD1247" i="7"/>
  <c r="V1247" i="7" s="1"/>
  <c r="P1248" i="7"/>
  <c r="Q1248" i="7"/>
  <c r="R1248" i="7"/>
  <c r="AD1248" i="7"/>
  <c r="V1248" i="7" s="1"/>
  <c r="P1249" i="7"/>
  <c r="Q1249" i="7"/>
  <c r="R1249" i="7"/>
  <c r="AD1249" i="7"/>
  <c r="V1249" i="7" s="1"/>
  <c r="P1250" i="7"/>
  <c r="Q1250" i="7"/>
  <c r="R1250" i="7"/>
  <c r="AD1250" i="7"/>
  <c r="V1250" i="7" s="1"/>
  <c r="P1251" i="7"/>
  <c r="Q1251" i="7"/>
  <c r="R1251" i="7"/>
  <c r="AD1251" i="7"/>
  <c r="V1251" i="7" s="1"/>
  <c r="P1252" i="7"/>
  <c r="Q1252" i="7"/>
  <c r="R1252" i="7"/>
  <c r="AD1252" i="7"/>
  <c r="V1252" i="7" s="1"/>
  <c r="P1253" i="7"/>
  <c r="Q1253" i="7"/>
  <c r="R1253" i="7"/>
  <c r="AD1253" i="7"/>
  <c r="V1253" i="7" s="1"/>
  <c r="P1254" i="7"/>
  <c r="Q1254" i="7"/>
  <c r="R1254" i="7"/>
  <c r="AD1254" i="7"/>
  <c r="V1254" i="7" s="1"/>
  <c r="P1255" i="7"/>
  <c r="Q1255" i="7"/>
  <c r="R1255" i="7"/>
  <c r="AD1255" i="7"/>
  <c r="V1255" i="7" s="1"/>
  <c r="P1256" i="7"/>
  <c r="Q1256" i="7"/>
  <c r="R1256" i="7"/>
  <c r="AD1256" i="7"/>
  <c r="V1256" i="7" s="1"/>
  <c r="P1257" i="7"/>
  <c r="Q1257" i="7"/>
  <c r="R1257" i="7"/>
  <c r="AD1257" i="7"/>
  <c r="V1257" i="7" s="1"/>
  <c r="P1258" i="7"/>
  <c r="Q1258" i="7"/>
  <c r="R1258" i="7"/>
  <c r="AD1258" i="7"/>
  <c r="V1258" i="7" s="1"/>
  <c r="P1259" i="7"/>
  <c r="Q1259" i="7"/>
  <c r="R1259" i="7"/>
  <c r="AD1259" i="7"/>
  <c r="V1259" i="7" s="1"/>
  <c r="P1260" i="7"/>
  <c r="Q1260" i="7"/>
  <c r="R1260" i="7"/>
  <c r="AD1260" i="7"/>
  <c r="V1260" i="7" s="1"/>
  <c r="P1261" i="7"/>
  <c r="Q1261" i="7"/>
  <c r="R1261" i="7"/>
  <c r="AD1261" i="7"/>
  <c r="V1261" i="7" s="1"/>
  <c r="P1263" i="7"/>
  <c r="Q1263" i="7"/>
  <c r="R1263" i="7"/>
  <c r="AD1263" i="7"/>
  <c r="V1263" i="7" s="1"/>
  <c r="P1265" i="7"/>
  <c r="Q1265" i="7"/>
  <c r="R1265" i="7"/>
  <c r="AD1265" i="7"/>
  <c r="V1265" i="7" s="1"/>
  <c r="P1267" i="7"/>
  <c r="Q1267" i="7"/>
  <c r="R1267" i="7"/>
  <c r="AD1267" i="7"/>
  <c r="V1267" i="7" s="1"/>
  <c r="P1268" i="7"/>
  <c r="Q1268" i="7"/>
  <c r="R1268" i="7"/>
  <c r="AD1268" i="7"/>
  <c r="V1268" i="7" s="1"/>
  <c r="P1269" i="7"/>
  <c r="Q1269" i="7"/>
  <c r="R1269" i="7"/>
  <c r="AD1269" i="7"/>
  <c r="V1269" i="7" s="1"/>
  <c r="P1270" i="7"/>
  <c r="Q1270" i="7"/>
  <c r="R1270" i="7"/>
  <c r="AD1270" i="7"/>
  <c r="V1270" i="7" s="1"/>
  <c r="P1273" i="7"/>
  <c r="Q1273" i="7"/>
  <c r="R1273" i="7"/>
  <c r="AD1273" i="7"/>
  <c r="V1273" i="7" s="1"/>
  <c r="P1274" i="7"/>
  <c r="Q1274" i="7"/>
  <c r="R1274" i="7"/>
  <c r="AD1274" i="7"/>
  <c r="V1274" i="7" s="1"/>
  <c r="P1275" i="7"/>
  <c r="Q1275" i="7"/>
  <c r="R1275" i="7"/>
  <c r="AD1275" i="7"/>
  <c r="V1275" i="7" s="1"/>
  <c r="P1276" i="7"/>
  <c r="Q1276" i="7"/>
  <c r="R1276" i="7"/>
  <c r="AD1276" i="7"/>
  <c r="V1276" i="7" s="1"/>
  <c r="P1277" i="7"/>
  <c r="Q1277" i="7"/>
  <c r="R1277" i="7"/>
  <c r="AD1277" i="7"/>
  <c r="V1277" i="7" s="1"/>
  <c r="P1279" i="7"/>
  <c r="Q1279" i="7"/>
  <c r="R1279" i="7"/>
  <c r="AD1279" i="7"/>
  <c r="V1279" i="7" s="1"/>
  <c r="P1280" i="7"/>
  <c r="Q1280" i="7"/>
  <c r="R1280" i="7"/>
  <c r="AD1280" i="7"/>
  <c r="V1280" i="7" s="1"/>
  <c r="P1281" i="7"/>
  <c r="Q1281" i="7"/>
  <c r="R1281" i="7"/>
  <c r="AD1281" i="7"/>
  <c r="V1281" i="7" s="1"/>
  <c r="P1282" i="7"/>
  <c r="Q1282" i="7"/>
  <c r="R1282" i="7"/>
  <c r="AD1282" i="7"/>
  <c r="V1282" i="7" s="1"/>
  <c r="P1283" i="7"/>
  <c r="Q1283" i="7"/>
  <c r="R1283" i="7"/>
  <c r="AD1283" i="7"/>
  <c r="V1283" i="7" s="1"/>
  <c r="P1284" i="7"/>
  <c r="Q1284" i="7"/>
  <c r="R1284" i="7"/>
  <c r="AD1284" i="7"/>
  <c r="V1284" i="7" s="1"/>
  <c r="P1285" i="7"/>
  <c r="Q1285" i="7"/>
  <c r="R1285" i="7"/>
  <c r="AD1285" i="7"/>
  <c r="V1285" i="7" s="1"/>
  <c r="P1286" i="7"/>
  <c r="Q1286" i="7"/>
  <c r="R1286" i="7"/>
  <c r="AD1286" i="7"/>
  <c r="V1286" i="7" s="1"/>
  <c r="P1288" i="7"/>
  <c r="Q1288" i="7"/>
  <c r="R1288" i="7"/>
  <c r="AD1288" i="7"/>
  <c r="V1288" i="7" s="1"/>
  <c r="P1289" i="7"/>
  <c r="Q1289" i="7"/>
  <c r="R1289" i="7"/>
  <c r="AD1289" i="7"/>
  <c r="V1289" i="7" s="1"/>
  <c r="P1290" i="7"/>
  <c r="Q1290" i="7"/>
  <c r="R1290" i="7"/>
  <c r="AD1290" i="7"/>
  <c r="V1290" i="7" s="1"/>
  <c r="P1291" i="7"/>
  <c r="Q1291" i="7"/>
  <c r="R1291" i="7"/>
  <c r="AD1291" i="7"/>
  <c r="V1291" i="7" s="1"/>
  <c r="P1292" i="7"/>
  <c r="Q1292" i="7"/>
  <c r="R1292" i="7"/>
  <c r="AD1292" i="7"/>
  <c r="V1292" i="7" s="1"/>
  <c r="P1293" i="7"/>
  <c r="Q1293" i="7"/>
  <c r="R1293" i="7"/>
  <c r="AD1293" i="7"/>
  <c r="V1293" i="7" s="1"/>
  <c r="P1294" i="7"/>
  <c r="Q1294" i="7"/>
  <c r="R1294" i="7"/>
  <c r="AD1294" i="7"/>
  <c r="V1294" i="7" s="1"/>
  <c r="P1295" i="7"/>
  <c r="Q1295" i="7"/>
  <c r="R1295" i="7"/>
  <c r="AD1295" i="7"/>
  <c r="V1295" i="7" s="1"/>
  <c r="P1296" i="7"/>
  <c r="Q1296" i="7"/>
  <c r="R1296" i="7"/>
  <c r="AD1296" i="7"/>
  <c r="V1296" i="7" s="1"/>
  <c r="P1297" i="7"/>
  <c r="Q1297" i="7"/>
  <c r="R1297" i="7"/>
  <c r="AD1297" i="7"/>
  <c r="V1297" i="7" s="1"/>
  <c r="P1299" i="7"/>
  <c r="Q1299" i="7"/>
  <c r="R1299" i="7"/>
  <c r="AD1299" i="7"/>
  <c r="V1299" i="7" s="1"/>
  <c r="P1300" i="7"/>
  <c r="Q1300" i="7"/>
  <c r="R1300" i="7"/>
  <c r="AD1300" i="7"/>
  <c r="V1300" i="7" s="1"/>
  <c r="P1301" i="7"/>
  <c r="Q1301" i="7"/>
  <c r="R1301" i="7"/>
  <c r="AD1301" i="7"/>
  <c r="V1301" i="7" s="1"/>
  <c r="P1303" i="7"/>
  <c r="Q1303" i="7"/>
  <c r="R1303" i="7"/>
  <c r="AD1303" i="7"/>
  <c r="V1303" i="7" s="1"/>
  <c r="P1304" i="7"/>
  <c r="Q1304" i="7"/>
  <c r="R1304" i="7"/>
  <c r="AD1304" i="7"/>
  <c r="V1304" i="7" s="1"/>
  <c r="P1306" i="7"/>
  <c r="Q1306" i="7"/>
  <c r="R1306" i="7"/>
  <c r="AD1306" i="7"/>
  <c r="V1306" i="7" s="1"/>
  <c r="P1307" i="7"/>
  <c r="Q1307" i="7"/>
  <c r="R1307" i="7"/>
  <c r="AD1307" i="7"/>
  <c r="V1307" i="7" s="1"/>
  <c r="P1308" i="7"/>
  <c r="Q1308" i="7"/>
  <c r="R1308" i="7"/>
  <c r="AD1308" i="7"/>
  <c r="V1308" i="7" s="1"/>
  <c r="P1309" i="7"/>
  <c r="Q1309" i="7"/>
  <c r="R1309" i="7"/>
  <c r="AD1309" i="7"/>
  <c r="V1309" i="7" s="1"/>
  <c r="P1310" i="7"/>
  <c r="Q1310" i="7"/>
  <c r="R1310" i="7"/>
  <c r="AD1310" i="7"/>
  <c r="V1310" i="7" s="1"/>
  <c r="P1311" i="7"/>
  <c r="Q1311" i="7"/>
  <c r="R1311" i="7"/>
  <c r="AD1311" i="7"/>
  <c r="V1311" i="7" s="1"/>
  <c r="P1312" i="7"/>
  <c r="Q1312" i="7"/>
  <c r="R1312" i="7"/>
  <c r="AD1312" i="7"/>
  <c r="V1312" i="7" s="1"/>
  <c r="P1313" i="7"/>
  <c r="Q1313" i="7"/>
  <c r="R1313" i="7"/>
  <c r="AD1313" i="7"/>
  <c r="V1313" i="7" s="1"/>
  <c r="P1314" i="7"/>
  <c r="Q1314" i="7"/>
  <c r="R1314" i="7"/>
  <c r="AD1314" i="7"/>
  <c r="V1314" i="7" s="1"/>
  <c r="P1317" i="7"/>
  <c r="Q1317" i="7"/>
  <c r="R1317" i="7"/>
  <c r="AD1317" i="7"/>
  <c r="V1317" i="7" s="1"/>
  <c r="P1318" i="7"/>
  <c r="Q1318" i="7"/>
  <c r="R1318" i="7"/>
  <c r="AD1318" i="7"/>
  <c r="V1318" i="7" s="1"/>
  <c r="P1319" i="7"/>
  <c r="Q1319" i="7"/>
  <c r="R1319" i="7"/>
  <c r="AD1319" i="7"/>
  <c r="V1319" i="7" s="1"/>
  <c r="P1320" i="7"/>
  <c r="Q1320" i="7"/>
  <c r="R1320" i="7"/>
  <c r="AD1320" i="7"/>
  <c r="V1320" i="7" s="1"/>
  <c r="P1321" i="7"/>
  <c r="Q1321" i="7"/>
  <c r="R1321" i="7"/>
  <c r="AD1321" i="7"/>
  <c r="V1321" i="7" s="1"/>
  <c r="P1322" i="7"/>
  <c r="Q1322" i="7"/>
  <c r="R1322" i="7"/>
  <c r="AD1322" i="7"/>
  <c r="V1322" i="7" s="1"/>
  <c r="P1323" i="7"/>
  <c r="Q1323" i="7"/>
  <c r="R1323" i="7"/>
  <c r="AD1323" i="7"/>
  <c r="V1323" i="7" s="1"/>
  <c r="P1324" i="7"/>
  <c r="Q1324" i="7"/>
  <c r="R1324" i="7"/>
  <c r="AD1324" i="7"/>
  <c r="V1324" i="7" s="1"/>
  <c r="P1325" i="7"/>
  <c r="Q1325" i="7"/>
  <c r="R1325" i="7"/>
  <c r="AD1325" i="7"/>
  <c r="V1325" i="7" s="1"/>
  <c r="P1326" i="7"/>
  <c r="Q1326" i="7"/>
  <c r="R1326" i="7"/>
  <c r="AD1326" i="7"/>
  <c r="V1326" i="7" s="1"/>
  <c r="P1327" i="7"/>
  <c r="Q1327" i="7"/>
  <c r="R1327" i="7"/>
  <c r="AD1327" i="7"/>
  <c r="V1327" i="7" s="1"/>
  <c r="P1328" i="7"/>
  <c r="Q1328" i="7"/>
  <c r="R1328" i="7"/>
  <c r="AD1328" i="7"/>
  <c r="V1328" i="7" s="1"/>
  <c r="P1329" i="7"/>
  <c r="Q1329" i="7"/>
  <c r="R1329" i="7"/>
  <c r="AD1329" i="7"/>
  <c r="V1329" i="7" s="1"/>
  <c r="P1330" i="7"/>
  <c r="Q1330" i="7"/>
  <c r="R1330" i="7"/>
  <c r="AD1330" i="7"/>
  <c r="V1330" i="7" s="1"/>
  <c r="P1332" i="7"/>
  <c r="Q1332" i="7"/>
  <c r="R1332" i="7"/>
  <c r="AD1332" i="7"/>
  <c r="V1332" i="7" s="1"/>
  <c r="P1333" i="7"/>
  <c r="Q1333" i="7"/>
  <c r="R1333" i="7"/>
  <c r="AD1333" i="7"/>
  <c r="V1333" i="7" s="1"/>
  <c r="P1334" i="7"/>
  <c r="Q1334" i="7"/>
  <c r="R1334" i="7"/>
  <c r="AD1334" i="7"/>
  <c r="V1334" i="7" s="1"/>
  <c r="P1335" i="7"/>
  <c r="Q1335" i="7"/>
  <c r="R1335" i="7"/>
  <c r="AD1335" i="7"/>
  <c r="V1335" i="7" s="1"/>
  <c r="P1336" i="7"/>
  <c r="Q1336" i="7"/>
  <c r="R1336" i="7"/>
  <c r="AD1336" i="7"/>
  <c r="V1336" i="7" s="1"/>
  <c r="P1337" i="7"/>
  <c r="Q1337" i="7"/>
  <c r="R1337" i="7"/>
  <c r="AD1337" i="7"/>
  <c r="V1337" i="7" s="1"/>
  <c r="P1338" i="7"/>
  <c r="Q1338" i="7"/>
  <c r="R1338" i="7"/>
  <c r="AD1338" i="7"/>
  <c r="V1338" i="7" s="1"/>
  <c r="P1339" i="7"/>
  <c r="Q1339" i="7"/>
  <c r="R1339" i="7"/>
  <c r="AD1339" i="7"/>
  <c r="V1339" i="7" s="1"/>
  <c r="P1340" i="7"/>
  <c r="Q1340" i="7"/>
  <c r="R1340" i="7"/>
  <c r="AD1340" i="7"/>
  <c r="V1340" i="7" s="1"/>
  <c r="P1341" i="7"/>
  <c r="Q1341" i="7"/>
  <c r="R1341" i="7"/>
  <c r="AD1341" i="7"/>
  <c r="V1341" i="7" s="1"/>
  <c r="P1342" i="7"/>
  <c r="Q1342" i="7"/>
  <c r="R1342" i="7"/>
  <c r="AD1342" i="7"/>
  <c r="V1342" i="7" s="1"/>
  <c r="P1343" i="7"/>
  <c r="Q1343" i="7"/>
  <c r="R1343" i="7"/>
  <c r="AD1343" i="7"/>
  <c r="V1343" i="7" s="1"/>
  <c r="P1344" i="7"/>
  <c r="Q1344" i="7"/>
  <c r="R1344" i="7"/>
  <c r="AD1344" i="7"/>
  <c r="V1344" i="7" s="1"/>
  <c r="P1346" i="7"/>
  <c r="Q1346" i="7"/>
  <c r="R1346" i="7"/>
  <c r="AD1346" i="7"/>
  <c r="V1346" i="7" s="1"/>
  <c r="P1347" i="7"/>
  <c r="Q1347" i="7"/>
  <c r="R1347" i="7"/>
  <c r="AD1347" i="7"/>
  <c r="V1347" i="7" s="1"/>
  <c r="P1349" i="7"/>
  <c r="Q1349" i="7"/>
  <c r="R1349" i="7"/>
  <c r="AD1349" i="7"/>
  <c r="V1349" i="7" s="1"/>
  <c r="P1350" i="7"/>
  <c r="Q1350" i="7"/>
  <c r="R1350" i="7"/>
  <c r="AD1350" i="7"/>
  <c r="V1350" i="7" s="1"/>
  <c r="P1352" i="7"/>
  <c r="Q1352" i="7"/>
  <c r="R1352" i="7"/>
  <c r="AD1352" i="7"/>
  <c r="V1352" i="7" s="1"/>
  <c r="P1353" i="7"/>
  <c r="Q1353" i="7"/>
  <c r="R1353" i="7"/>
  <c r="AD1353" i="7"/>
  <c r="V1353" i="7" s="1"/>
  <c r="P1354" i="7"/>
  <c r="Q1354" i="7"/>
  <c r="R1354" i="7"/>
  <c r="AD1354" i="7"/>
  <c r="V1354" i="7" s="1"/>
  <c r="P1356" i="7"/>
  <c r="Q1356" i="7"/>
  <c r="R1356" i="7"/>
  <c r="AD1356" i="7"/>
  <c r="V1356" i="7" s="1"/>
  <c r="P1357" i="7"/>
  <c r="Q1357" i="7"/>
  <c r="R1357" i="7"/>
  <c r="AD1357" i="7"/>
  <c r="V1357" i="7" s="1"/>
  <c r="P1358" i="7"/>
  <c r="Q1358" i="7"/>
  <c r="R1358" i="7"/>
  <c r="AD1358" i="7"/>
  <c r="V1358" i="7" s="1"/>
  <c r="P1360" i="7"/>
  <c r="Q1360" i="7"/>
  <c r="R1360" i="7"/>
  <c r="AD1360" i="7"/>
  <c r="V1360" i="7" s="1"/>
  <c r="P1361" i="7"/>
  <c r="Q1361" i="7"/>
  <c r="R1361" i="7"/>
  <c r="AD1361" i="7"/>
  <c r="V1361" i="7" s="1"/>
  <c r="P1362" i="7"/>
  <c r="Q1362" i="7"/>
  <c r="R1362" i="7"/>
  <c r="AD1362" i="7"/>
  <c r="V1362" i="7" s="1"/>
  <c r="P1363" i="7"/>
  <c r="Q1363" i="7"/>
  <c r="R1363" i="7"/>
  <c r="AD1363" i="7"/>
  <c r="V1363" i="7" s="1"/>
  <c r="P1364" i="7"/>
  <c r="Q1364" i="7"/>
  <c r="R1364" i="7"/>
  <c r="AD1364" i="7"/>
  <c r="V1364" i="7" s="1"/>
  <c r="P1365" i="7"/>
  <c r="Q1365" i="7"/>
  <c r="R1365" i="7"/>
  <c r="AD1365" i="7"/>
  <c r="V1365" i="7" s="1"/>
  <c r="P1366" i="7"/>
  <c r="Q1366" i="7"/>
  <c r="R1366" i="7"/>
  <c r="AD1366" i="7"/>
  <c r="V1366" i="7" s="1"/>
  <c r="P1367" i="7"/>
  <c r="Q1367" i="7"/>
  <c r="R1367" i="7"/>
  <c r="AD1367" i="7"/>
  <c r="V1367" i="7" s="1"/>
  <c r="P1368" i="7"/>
  <c r="Q1368" i="7"/>
  <c r="R1368" i="7"/>
  <c r="AD1368" i="7"/>
  <c r="V1368" i="7" s="1"/>
  <c r="P1369" i="7"/>
  <c r="Q1369" i="7"/>
  <c r="R1369" i="7"/>
  <c r="AD1369" i="7"/>
  <c r="V1369" i="7" s="1"/>
  <c r="P1370" i="7"/>
  <c r="Q1370" i="7"/>
  <c r="R1370" i="7"/>
  <c r="AD1370" i="7"/>
  <c r="V1370" i="7" s="1"/>
  <c r="P1371" i="7"/>
  <c r="Q1371" i="7"/>
  <c r="R1371" i="7"/>
  <c r="AD1371" i="7"/>
  <c r="V1371" i="7" s="1"/>
  <c r="P1372" i="7"/>
  <c r="Q1372" i="7"/>
  <c r="R1372" i="7"/>
  <c r="AD1372" i="7"/>
  <c r="V1372" i="7" s="1"/>
  <c r="P1373" i="7"/>
  <c r="Q1373" i="7"/>
  <c r="R1373" i="7"/>
  <c r="AD1373" i="7"/>
  <c r="V1373" i="7" s="1"/>
  <c r="P1374" i="7"/>
  <c r="Q1374" i="7"/>
  <c r="R1374" i="7"/>
  <c r="AD1374" i="7"/>
  <c r="V1374" i="7" s="1"/>
  <c r="P1376" i="7"/>
  <c r="Q1376" i="7"/>
  <c r="R1376" i="7"/>
  <c r="AD1376" i="7"/>
  <c r="V1376" i="7" s="1"/>
  <c r="P1377" i="7"/>
  <c r="Q1377" i="7"/>
  <c r="R1377" i="7"/>
  <c r="AD1377" i="7"/>
  <c r="V1377" i="7" s="1"/>
  <c r="P1380" i="7"/>
  <c r="Q1380" i="7"/>
  <c r="R1380" i="7"/>
  <c r="AD1380" i="7"/>
  <c r="V1380" i="7" s="1"/>
  <c r="P1381" i="7"/>
  <c r="Q1381" i="7"/>
  <c r="R1381" i="7"/>
  <c r="AD1381" i="7"/>
  <c r="V1381" i="7" s="1"/>
  <c r="P1382" i="7"/>
  <c r="Q1382" i="7"/>
  <c r="R1382" i="7"/>
  <c r="AD1382" i="7"/>
  <c r="V1382" i="7" s="1"/>
  <c r="P1383" i="7"/>
  <c r="Q1383" i="7"/>
  <c r="R1383" i="7"/>
  <c r="AD1383" i="7"/>
  <c r="V1383" i="7" s="1"/>
  <c r="P1384" i="7"/>
  <c r="Q1384" i="7"/>
  <c r="R1384" i="7"/>
  <c r="AD1384" i="7"/>
  <c r="V1384" i="7" s="1"/>
  <c r="P1385" i="7"/>
  <c r="Q1385" i="7"/>
  <c r="R1385" i="7"/>
  <c r="AD1385" i="7"/>
  <c r="V1385" i="7" s="1"/>
  <c r="P1386" i="7"/>
  <c r="Q1386" i="7"/>
  <c r="R1386" i="7"/>
  <c r="AD1386" i="7"/>
  <c r="V1386" i="7" s="1"/>
  <c r="P1387" i="7"/>
  <c r="Q1387" i="7"/>
  <c r="R1387" i="7"/>
  <c r="AD1387" i="7"/>
  <c r="V1387" i="7" s="1"/>
  <c r="P1388" i="7"/>
  <c r="Q1388" i="7"/>
  <c r="R1388" i="7"/>
  <c r="AD1388" i="7"/>
  <c r="V1388" i="7" s="1"/>
  <c r="P1389" i="7"/>
  <c r="Q1389" i="7"/>
  <c r="R1389" i="7"/>
  <c r="AD1389" i="7"/>
  <c r="V1389" i="7" s="1"/>
  <c r="P1390" i="7"/>
  <c r="Q1390" i="7"/>
  <c r="R1390" i="7"/>
  <c r="AD1390" i="7"/>
  <c r="V1390" i="7" s="1"/>
  <c r="P1391" i="7"/>
  <c r="Q1391" i="7"/>
  <c r="R1391" i="7"/>
  <c r="AD1391" i="7"/>
  <c r="V1391" i="7" s="1"/>
  <c r="P1392" i="7"/>
  <c r="Q1392" i="7"/>
  <c r="R1392" i="7"/>
  <c r="AD1392" i="7"/>
  <c r="V1392" i="7" s="1"/>
  <c r="P1393" i="7"/>
  <c r="Q1393" i="7"/>
  <c r="R1393" i="7"/>
  <c r="AD1393" i="7"/>
  <c r="V1393" i="7" s="1"/>
  <c r="P1394" i="7"/>
  <c r="Q1394" i="7"/>
  <c r="R1394" i="7"/>
  <c r="AD1394" i="7"/>
  <c r="V1394" i="7" s="1"/>
  <c r="P1395" i="7"/>
  <c r="Q1395" i="7"/>
  <c r="R1395" i="7"/>
  <c r="AD1395" i="7"/>
  <c r="V1395" i="7" s="1"/>
  <c r="P1396" i="7"/>
  <c r="Q1396" i="7"/>
  <c r="R1396" i="7"/>
  <c r="AD1396" i="7"/>
  <c r="V1396" i="7" s="1"/>
  <c r="P1397" i="7"/>
  <c r="Q1397" i="7"/>
  <c r="R1397" i="7"/>
  <c r="AD1397" i="7"/>
  <c r="V1397" i="7" s="1"/>
  <c r="P1398" i="7"/>
  <c r="Q1398" i="7"/>
  <c r="R1398" i="7"/>
  <c r="AD1398" i="7"/>
  <c r="V1398" i="7" s="1"/>
  <c r="P1399" i="7"/>
  <c r="Q1399" i="7"/>
  <c r="R1399" i="7"/>
  <c r="AD1399" i="7"/>
  <c r="V1399" i="7" s="1"/>
  <c r="P1400" i="7"/>
  <c r="Q1400" i="7"/>
  <c r="R1400" i="7"/>
  <c r="AD1400" i="7"/>
  <c r="V1400" i="7" s="1"/>
  <c r="P1401" i="7"/>
  <c r="Q1401" i="7"/>
  <c r="R1401" i="7"/>
  <c r="AD1401" i="7"/>
  <c r="V1401" i="7" s="1"/>
  <c r="P1402" i="7"/>
  <c r="Q1402" i="7"/>
  <c r="R1402" i="7"/>
  <c r="AD1402" i="7"/>
  <c r="V1402" i="7" s="1"/>
  <c r="P1403" i="7"/>
  <c r="Q1403" i="7"/>
  <c r="R1403" i="7"/>
  <c r="AD1403" i="7"/>
  <c r="V1403" i="7" s="1"/>
  <c r="P1404" i="7"/>
  <c r="Q1404" i="7"/>
  <c r="R1404" i="7"/>
  <c r="AD1404" i="7"/>
  <c r="V1404" i="7" s="1"/>
  <c r="P1405" i="7"/>
  <c r="Q1405" i="7"/>
  <c r="R1405" i="7"/>
  <c r="AD1405" i="7"/>
  <c r="V1405" i="7" s="1"/>
  <c r="P1406" i="7"/>
  <c r="Q1406" i="7"/>
  <c r="R1406" i="7"/>
  <c r="AD1406" i="7"/>
  <c r="V1406" i="7" s="1"/>
  <c r="P1407" i="7"/>
  <c r="Q1407" i="7"/>
  <c r="R1407" i="7"/>
  <c r="AD1407" i="7"/>
  <c r="V1407" i="7" s="1"/>
  <c r="P1408" i="7"/>
  <c r="Q1408" i="7"/>
  <c r="R1408" i="7"/>
  <c r="AD1408" i="7"/>
  <c r="V1408" i="7" s="1"/>
  <c r="P1409" i="7"/>
  <c r="Q1409" i="7"/>
  <c r="R1409" i="7"/>
  <c r="AD1409" i="7"/>
  <c r="V1409" i="7" s="1"/>
  <c r="P1412" i="7"/>
  <c r="Q1412" i="7"/>
  <c r="R1412" i="7"/>
  <c r="AD1412" i="7"/>
  <c r="V1412" i="7" s="1"/>
  <c r="P1413" i="7"/>
  <c r="Q1413" i="7"/>
  <c r="R1413" i="7"/>
  <c r="AD1413" i="7"/>
  <c r="V1413" i="7" s="1"/>
  <c r="P1414" i="7"/>
  <c r="Q1414" i="7"/>
  <c r="R1414" i="7"/>
  <c r="AD1414" i="7"/>
  <c r="V1414" i="7" s="1"/>
  <c r="P1415" i="7"/>
  <c r="Q1415" i="7"/>
  <c r="R1415" i="7"/>
  <c r="AD1415" i="7"/>
  <c r="V1415" i="7" s="1"/>
  <c r="P1416" i="7"/>
  <c r="Q1416" i="7"/>
  <c r="R1416" i="7"/>
  <c r="AD1416" i="7"/>
  <c r="V1416" i="7" s="1"/>
  <c r="P1417" i="7"/>
  <c r="Q1417" i="7"/>
  <c r="R1417" i="7"/>
  <c r="AD1417" i="7"/>
  <c r="V1417" i="7" s="1"/>
  <c r="P1418" i="7"/>
  <c r="Q1418" i="7"/>
  <c r="R1418" i="7"/>
  <c r="AD1418" i="7"/>
  <c r="V1418" i="7" s="1"/>
  <c r="P1419" i="7"/>
  <c r="Q1419" i="7"/>
  <c r="R1419" i="7"/>
  <c r="AD1419" i="7"/>
  <c r="V1419" i="7" s="1"/>
  <c r="P1420" i="7"/>
  <c r="Q1420" i="7"/>
  <c r="R1420" i="7"/>
  <c r="AD1420" i="7"/>
  <c r="V1420" i="7" s="1"/>
  <c r="P1421" i="7"/>
  <c r="Q1421" i="7"/>
  <c r="R1421" i="7"/>
  <c r="AD1421" i="7"/>
  <c r="V1421" i="7" s="1"/>
  <c r="P1422" i="7"/>
  <c r="Q1422" i="7"/>
  <c r="R1422" i="7"/>
  <c r="AD1422" i="7"/>
  <c r="V1422" i="7" s="1"/>
  <c r="P1423" i="7"/>
  <c r="Q1423" i="7"/>
  <c r="R1423" i="7"/>
  <c r="AD1423" i="7"/>
  <c r="V1423" i="7" s="1"/>
  <c r="P1424" i="7"/>
  <c r="Q1424" i="7"/>
  <c r="R1424" i="7"/>
  <c r="AD1424" i="7"/>
  <c r="V1424" i="7" s="1"/>
  <c r="P1426" i="7"/>
  <c r="Q1426" i="7"/>
  <c r="R1426" i="7"/>
  <c r="AD1426" i="7"/>
  <c r="V1426" i="7" s="1"/>
  <c r="P1427" i="7"/>
  <c r="Q1427" i="7"/>
  <c r="R1427" i="7"/>
  <c r="AD1427" i="7"/>
  <c r="V1427" i="7" s="1"/>
  <c r="P1428" i="7"/>
  <c r="Q1428" i="7"/>
  <c r="R1428" i="7"/>
  <c r="AD1428" i="7"/>
  <c r="V1428" i="7" s="1"/>
  <c r="P1429" i="7"/>
  <c r="Q1429" i="7"/>
  <c r="R1429" i="7"/>
  <c r="AD1429" i="7"/>
  <c r="V1429" i="7" s="1"/>
  <c r="P1430" i="7"/>
  <c r="Q1430" i="7"/>
  <c r="R1430" i="7"/>
  <c r="AD1430" i="7"/>
  <c r="V1430" i="7" s="1"/>
  <c r="P1431" i="7"/>
  <c r="Q1431" i="7"/>
  <c r="R1431" i="7"/>
  <c r="AD1431" i="7"/>
  <c r="V1431" i="7" s="1"/>
  <c r="P1432" i="7"/>
  <c r="Q1432" i="7"/>
  <c r="R1432" i="7"/>
  <c r="AD1432" i="7"/>
  <c r="V1432" i="7" s="1"/>
  <c r="P1433" i="7"/>
  <c r="Q1433" i="7"/>
  <c r="R1433" i="7"/>
  <c r="AD1433" i="7"/>
  <c r="V1433" i="7" s="1"/>
  <c r="P1434" i="7"/>
  <c r="Q1434" i="7"/>
  <c r="R1434" i="7"/>
  <c r="AD1434" i="7"/>
  <c r="V1434" i="7" s="1"/>
  <c r="P1435" i="7"/>
  <c r="Q1435" i="7"/>
  <c r="R1435" i="7"/>
  <c r="AD1435" i="7"/>
  <c r="V1435" i="7" s="1"/>
  <c r="P1436" i="7"/>
  <c r="Q1436" i="7"/>
  <c r="R1436" i="7"/>
  <c r="AD1436" i="7"/>
  <c r="V1436" i="7" s="1"/>
  <c r="P1437" i="7"/>
  <c r="Q1437" i="7"/>
  <c r="R1437" i="7"/>
  <c r="AD1437" i="7"/>
  <c r="V1437" i="7" s="1"/>
  <c r="P1438" i="7"/>
  <c r="Q1438" i="7"/>
  <c r="R1438" i="7"/>
  <c r="AD1438" i="7"/>
  <c r="V1438" i="7" s="1"/>
  <c r="P1439" i="7"/>
  <c r="Q1439" i="7"/>
  <c r="R1439" i="7"/>
  <c r="AD1439" i="7"/>
  <c r="V1439" i="7" s="1"/>
  <c r="P1440" i="7"/>
  <c r="Q1440" i="7"/>
  <c r="R1440" i="7"/>
  <c r="AD1440" i="7"/>
  <c r="V1440" i="7" s="1"/>
  <c r="P1442" i="7"/>
  <c r="Q1442" i="7"/>
  <c r="R1442" i="7"/>
  <c r="AD1442" i="7"/>
  <c r="V1442" i="7" s="1"/>
  <c r="P1443" i="7"/>
  <c r="Q1443" i="7"/>
  <c r="R1443" i="7"/>
  <c r="AD1443" i="7"/>
  <c r="V1443" i="7" s="1"/>
  <c r="P1444" i="7"/>
  <c r="Q1444" i="7"/>
  <c r="R1444" i="7"/>
  <c r="AD1444" i="7"/>
  <c r="V1444" i="7" s="1"/>
  <c r="P1445" i="7"/>
  <c r="Q1445" i="7"/>
  <c r="R1445" i="7"/>
  <c r="AD1445" i="7"/>
  <c r="V1445" i="7" s="1"/>
  <c r="P1446" i="7"/>
  <c r="Q1446" i="7"/>
  <c r="R1446" i="7"/>
  <c r="AD1446" i="7"/>
  <c r="V1446" i="7" s="1"/>
  <c r="P1447" i="7"/>
  <c r="Q1447" i="7"/>
  <c r="R1447" i="7"/>
  <c r="AD1447" i="7"/>
  <c r="V1447" i="7" s="1"/>
  <c r="P1448" i="7"/>
  <c r="Q1448" i="7"/>
  <c r="R1448" i="7"/>
  <c r="AD1448" i="7"/>
  <c r="V1448" i="7" s="1"/>
  <c r="P1449" i="7"/>
  <c r="Q1449" i="7"/>
  <c r="R1449" i="7"/>
  <c r="AD1449" i="7"/>
  <c r="V1449" i="7" s="1"/>
  <c r="P1451" i="7"/>
  <c r="Q1451" i="7"/>
  <c r="R1451" i="7"/>
  <c r="AD1451" i="7"/>
  <c r="V1451" i="7" s="1"/>
  <c r="P1452" i="7"/>
  <c r="Q1452" i="7"/>
  <c r="R1452" i="7"/>
  <c r="AD1452" i="7"/>
  <c r="V1452" i="7" s="1"/>
  <c r="P1453" i="7"/>
  <c r="Q1453" i="7"/>
  <c r="R1453" i="7"/>
  <c r="AD1453" i="7"/>
  <c r="V1453" i="7" s="1"/>
  <c r="P1454" i="7"/>
  <c r="Q1454" i="7"/>
  <c r="R1454" i="7"/>
  <c r="AD1454" i="7"/>
  <c r="V1454" i="7" s="1"/>
  <c r="P1455" i="7"/>
  <c r="Q1455" i="7"/>
  <c r="R1455" i="7"/>
  <c r="AD1455" i="7"/>
  <c r="V1455" i="7" s="1"/>
  <c r="P1456" i="7"/>
  <c r="Q1456" i="7"/>
  <c r="R1456" i="7"/>
  <c r="AD1456" i="7"/>
  <c r="V1456" i="7" s="1"/>
  <c r="P1457" i="7"/>
  <c r="Q1457" i="7"/>
  <c r="R1457" i="7"/>
  <c r="AD1457" i="7"/>
  <c r="V1457" i="7" s="1"/>
  <c r="P1459" i="7"/>
  <c r="Q1459" i="7"/>
  <c r="R1459" i="7"/>
  <c r="AD1459" i="7"/>
  <c r="V1459" i="7" s="1"/>
  <c r="P1460" i="7"/>
  <c r="Q1460" i="7"/>
  <c r="R1460" i="7"/>
  <c r="AD1460" i="7"/>
  <c r="V1460" i="7" s="1"/>
  <c r="P1461" i="7"/>
  <c r="Q1461" i="7"/>
  <c r="R1461" i="7"/>
  <c r="AD1461" i="7"/>
  <c r="V1461" i="7" s="1"/>
  <c r="P1462" i="7"/>
  <c r="Q1462" i="7"/>
  <c r="R1462" i="7"/>
  <c r="AD1462" i="7"/>
  <c r="V1462" i="7" s="1"/>
  <c r="P1463" i="7"/>
  <c r="Q1463" i="7"/>
  <c r="R1463" i="7"/>
  <c r="AD1463" i="7"/>
  <c r="V1463" i="7" s="1"/>
  <c r="P1464" i="7"/>
  <c r="Q1464" i="7"/>
  <c r="R1464" i="7"/>
  <c r="AD1464" i="7"/>
  <c r="V1464" i="7" s="1"/>
  <c r="P1465" i="7"/>
  <c r="Q1465" i="7"/>
  <c r="R1465" i="7"/>
  <c r="AD1465" i="7"/>
  <c r="V1465" i="7" s="1"/>
  <c r="P1466" i="7"/>
  <c r="Q1466" i="7"/>
  <c r="R1466" i="7"/>
  <c r="AD1466" i="7"/>
  <c r="V1466" i="7" s="1"/>
  <c r="P1467" i="7"/>
  <c r="Q1467" i="7"/>
  <c r="R1467" i="7"/>
  <c r="AD1467" i="7"/>
  <c r="V1467" i="7" s="1"/>
  <c r="P1471" i="7"/>
  <c r="Q1471" i="7"/>
  <c r="R1471" i="7"/>
  <c r="AD1471" i="7"/>
  <c r="V1471" i="7" s="1"/>
  <c r="P1472" i="7"/>
  <c r="Q1472" i="7"/>
  <c r="R1472" i="7"/>
  <c r="AD1472" i="7"/>
  <c r="V1472" i="7" s="1"/>
  <c r="P1473" i="7"/>
  <c r="Q1473" i="7"/>
  <c r="R1473" i="7"/>
  <c r="AD1473" i="7"/>
  <c r="V1473" i="7" s="1"/>
  <c r="P1474" i="7"/>
  <c r="Q1474" i="7"/>
  <c r="R1474" i="7"/>
  <c r="AD1474" i="7"/>
  <c r="V1474" i="7" s="1"/>
  <c r="P1475" i="7"/>
  <c r="Q1475" i="7"/>
  <c r="R1475" i="7"/>
  <c r="AD1475" i="7"/>
  <c r="V1475" i="7" s="1"/>
  <c r="P1476" i="7"/>
  <c r="Q1476" i="7"/>
  <c r="R1476" i="7"/>
  <c r="AD1476" i="7"/>
  <c r="V1476" i="7" s="1"/>
  <c r="P1478" i="7"/>
  <c r="Q1478" i="7"/>
  <c r="R1478" i="7"/>
  <c r="AD1478" i="7"/>
  <c r="V1478" i="7" s="1"/>
  <c r="P1479" i="7"/>
  <c r="Q1479" i="7"/>
  <c r="R1479" i="7"/>
  <c r="AD1479" i="7"/>
  <c r="V1479" i="7" s="1"/>
  <c r="P1480" i="7"/>
  <c r="Q1480" i="7"/>
  <c r="R1480" i="7"/>
  <c r="AD1480" i="7"/>
  <c r="V1480" i="7" s="1"/>
  <c r="P1481" i="7"/>
  <c r="Q1481" i="7"/>
  <c r="R1481" i="7"/>
  <c r="AD1481" i="7"/>
  <c r="V1481" i="7" s="1"/>
  <c r="P1482" i="7"/>
  <c r="Q1482" i="7"/>
  <c r="R1482" i="7"/>
  <c r="AD1482" i="7"/>
  <c r="V1482" i="7" s="1"/>
  <c r="P1484" i="7"/>
  <c r="Q1484" i="7"/>
  <c r="R1484" i="7"/>
  <c r="AD1484" i="7"/>
  <c r="V1484" i="7" s="1"/>
  <c r="P1486" i="7"/>
  <c r="Q1486" i="7"/>
  <c r="R1486" i="7"/>
  <c r="AD1486" i="7"/>
  <c r="V1486" i="7" s="1"/>
  <c r="P1487" i="7"/>
  <c r="Q1487" i="7"/>
  <c r="R1487" i="7"/>
  <c r="AD1487" i="7"/>
  <c r="V1487" i="7" s="1"/>
  <c r="P1488" i="7"/>
  <c r="Q1488" i="7"/>
  <c r="R1488" i="7"/>
  <c r="AD1488" i="7"/>
  <c r="V1488" i="7" s="1"/>
  <c r="P1489" i="7"/>
  <c r="Q1489" i="7"/>
  <c r="R1489" i="7"/>
  <c r="AD1489" i="7"/>
  <c r="V1489" i="7" s="1"/>
  <c r="P1490" i="7"/>
  <c r="Q1490" i="7"/>
  <c r="R1490" i="7"/>
  <c r="AD1490" i="7"/>
  <c r="V1490" i="7" s="1"/>
  <c r="P1491" i="7"/>
  <c r="U1491" i="7" s="1"/>
  <c r="Q1491" i="7"/>
  <c r="R1491" i="7"/>
  <c r="AD1491" i="7"/>
  <c r="V1491" i="7" s="1"/>
  <c r="P1492" i="7"/>
  <c r="Q1492" i="7"/>
  <c r="R1492" i="7"/>
  <c r="AD1492" i="7"/>
  <c r="V1492" i="7" s="1"/>
  <c r="P1494" i="7"/>
  <c r="Q1494" i="7"/>
  <c r="R1494" i="7"/>
  <c r="AD1494" i="7"/>
  <c r="V1494" i="7" s="1"/>
  <c r="P1495" i="7"/>
  <c r="Q1495" i="7"/>
  <c r="R1495" i="7"/>
  <c r="AD1495" i="7"/>
  <c r="V1495" i="7" s="1"/>
  <c r="P1496" i="7"/>
  <c r="Q1496" i="7"/>
  <c r="R1496" i="7"/>
  <c r="AD1496" i="7"/>
  <c r="V1496" i="7" s="1"/>
  <c r="P1497" i="7"/>
  <c r="Q1497" i="7"/>
  <c r="R1497" i="7"/>
  <c r="AD1497" i="7"/>
  <c r="V1497" i="7" s="1"/>
  <c r="P1498" i="7"/>
  <c r="Q1498" i="7"/>
  <c r="R1498" i="7"/>
  <c r="AD1498" i="7"/>
  <c r="V1498" i="7" s="1"/>
  <c r="P1499" i="7"/>
  <c r="Q1499" i="7"/>
  <c r="R1499" i="7"/>
  <c r="AD1499" i="7"/>
  <c r="V1499" i="7" s="1"/>
  <c r="P1501" i="7"/>
  <c r="Q1501" i="7"/>
  <c r="R1501" i="7"/>
  <c r="AD1501" i="7"/>
  <c r="V1501" i="7" s="1"/>
  <c r="P1502" i="7"/>
  <c r="Q1502" i="7"/>
  <c r="R1502" i="7"/>
  <c r="AD1502" i="7"/>
  <c r="V1502" i="7" s="1"/>
  <c r="P1504" i="7"/>
  <c r="Q1504" i="7"/>
  <c r="R1504" i="7"/>
  <c r="AD1504" i="7"/>
  <c r="V1504" i="7" s="1"/>
  <c r="P1505" i="7"/>
  <c r="Q1505" i="7"/>
  <c r="R1505" i="7"/>
  <c r="AD1505" i="7"/>
  <c r="V1505" i="7" s="1"/>
  <c r="P1506" i="7"/>
  <c r="Q1506" i="7"/>
  <c r="R1506" i="7"/>
  <c r="AD1506" i="7"/>
  <c r="V1506" i="7" s="1"/>
  <c r="P1507" i="7"/>
  <c r="Q1507" i="7"/>
  <c r="R1507" i="7"/>
  <c r="AD1507" i="7"/>
  <c r="V1507" i="7" s="1"/>
  <c r="P1508" i="7"/>
  <c r="Q1508" i="7"/>
  <c r="R1508" i="7"/>
  <c r="AD1508" i="7"/>
  <c r="V1508" i="7" s="1"/>
  <c r="P1509" i="7"/>
  <c r="Q1509" i="7"/>
  <c r="R1509" i="7"/>
  <c r="AD1509" i="7"/>
  <c r="V1509" i="7" s="1"/>
  <c r="P1510" i="7"/>
  <c r="Q1510" i="7"/>
  <c r="R1510" i="7"/>
  <c r="AD1510" i="7"/>
  <c r="V1510" i="7" s="1"/>
  <c r="P1511" i="7"/>
  <c r="Q1511" i="7"/>
  <c r="R1511" i="7"/>
  <c r="AD1511" i="7"/>
  <c r="V1511" i="7" s="1"/>
  <c r="P1512" i="7"/>
  <c r="Q1512" i="7"/>
  <c r="R1512" i="7"/>
  <c r="AD1512" i="7"/>
  <c r="V1512" i="7" s="1"/>
  <c r="P1513" i="7"/>
  <c r="Q1513" i="7"/>
  <c r="R1513" i="7"/>
  <c r="AD1513" i="7"/>
  <c r="V1513" i="7" s="1"/>
  <c r="P1514" i="7"/>
  <c r="Q1514" i="7"/>
  <c r="R1514" i="7"/>
  <c r="AD1514" i="7"/>
  <c r="V1514" i="7" s="1"/>
  <c r="P1515" i="7"/>
  <c r="Q1515" i="7"/>
  <c r="R1515" i="7"/>
  <c r="AD1515" i="7"/>
  <c r="V1515" i="7" s="1"/>
  <c r="P1517" i="7"/>
  <c r="Q1517" i="7"/>
  <c r="R1517" i="7"/>
  <c r="AD1517" i="7"/>
  <c r="V1517" i="7" s="1"/>
  <c r="P1519" i="7"/>
  <c r="Q1519" i="7"/>
  <c r="R1519" i="7"/>
  <c r="AD1519" i="7"/>
  <c r="V1519" i="7" s="1"/>
  <c r="P1520" i="7"/>
  <c r="Q1520" i="7"/>
  <c r="R1520" i="7"/>
  <c r="AD1520" i="7"/>
  <c r="V1520" i="7" s="1"/>
  <c r="P1521" i="7"/>
  <c r="Q1521" i="7"/>
  <c r="R1521" i="7"/>
  <c r="AD1521" i="7"/>
  <c r="V1521" i="7" s="1"/>
  <c r="P1522" i="7"/>
  <c r="Q1522" i="7"/>
  <c r="R1522" i="7"/>
  <c r="AD1522" i="7"/>
  <c r="V1522" i="7" s="1"/>
  <c r="P1523" i="7"/>
  <c r="Q1523" i="7"/>
  <c r="R1523" i="7"/>
  <c r="AD1523" i="7"/>
  <c r="V1523" i="7" s="1"/>
  <c r="P1526" i="7"/>
  <c r="Q1526" i="7"/>
  <c r="R1526" i="7"/>
  <c r="AD1526" i="7"/>
  <c r="V1526" i="7" s="1"/>
  <c r="P1527" i="7"/>
  <c r="Q1527" i="7"/>
  <c r="R1527" i="7"/>
  <c r="AD1527" i="7"/>
  <c r="V1527" i="7" s="1"/>
  <c r="P1529" i="7"/>
  <c r="Q1529" i="7"/>
  <c r="R1529" i="7"/>
  <c r="AD1529" i="7"/>
  <c r="V1529" i="7" s="1"/>
  <c r="P1530" i="7"/>
  <c r="Q1530" i="7"/>
  <c r="R1530" i="7"/>
  <c r="AD1530" i="7"/>
  <c r="V1530" i="7" s="1"/>
  <c r="P1532" i="7"/>
  <c r="Q1532" i="7"/>
  <c r="R1532" i="7"/>
  <c r="AD1532" i="7"/>
  <c r="V1532" i="7" s="1"/>
  <c r="P1533" i="7"/>
  <c r="Q1533" i="7"/>
  <c r="R1533" i="7"/>
  <c r="AD1533" i="7"/>
  <c r="V1533" i="7" s="1"/>
  <c r="P1534" i="7"/>
  <c r="Q1534" i="7"/>
  <c r="R1534" i="7"/>
  <c r="AD1534" i="7"/>
  <c r="V1534" i="7" s="1"/>
  <c r="P1535" i="7"/>
  <c r="Q1535" i="7"/>
  <c r="R1535" i="7"/>
  <c r="AD1535" i="7"/>
  <c r="V1535" i="7" s="1"/>
  <c r="P1536" i="7"/>
  <c r="Q1536" i="7"/>
  <c r="R1536" i="7"/>
  <c r="AD1536" i="7"/>
  <c r="V1536" i="7" s="1"/>
  <c r="P1537" i="7"/>
  <c r="Q1537" i="7"/>
  <c r="R1537" i="7"/>
  <c r="AD1537" i="7"/>
  <c r="V1537" i="7" s="1"/>
  <c r="P1538" i="7"/>
  <c r="Q1538" i="7"/>
  <c r="R1538" i="7"/>
  <c r="AD1538" i="7"/>
  <c r="V1538" i="7" s="1"/>
  <c r="P1540" i="7"/>
  <c r="Q1540" i="7"/>
  <c r="R1540" i="7"/>
  <c r="AD1540" i="7"/>
  <c r="V1540" i="7" s="1"/>
  <c r="P1541" i="7"/>
  <c r="Q1541" i="7"/>
  <c r="R1541" i="7"/>
  <c r="AD1541" i="7"/>
  <c r="V1541" i="7" s="1"/>
  <c r="P1542" i="7"/>
  <c r="Q1542" i="7"/>
  <c r="R1542" i="7"/>
  <c r="AD1542" i="7"/>
  <c r="V1542" i="7" s="1"/>
  <c r="P1543" i="7"/>
  <c r="Q1543" i="7"/>
  <c r="R1543" i="7"/>
  <c r="AD1543" i="7"/>
  <c r="V1543" i="7" s="1"/>
  <c r="P1544" i="7"/>
  <c r="Q1544" i="7"/>
  <c r="R1544" i="7"/>
  <c r="AD1544" i="7"/>
  <c r="V1544" i="7" s="1"/>
  <c r="P1545" i="7"/>
  <c r="Q1545" i="7"/>
  <c r="R1545" i="7"/>
  <c r="AD1545" i="7"/>
  <c r="V1545" i="7" s="1"/>
  <c r="P1547" i="7"/>
  <c r="Q1547" i="7"/>
  <c r="R1547" i="7"/>
  <c r="AD1547" i="7"/>
  <c r="V1547" i="7" s="1"/>
  <c r="P1548" i="7"/>
  <c r="Q1548" i="7"/>
  <c r="R1548" i="7"/>
  <c r="AD1548" i="7"/>
  <c r="V1548" i="7" s="1"/>
  <c r="P1549" i="7"/>
  <c r="Q1549" i="7"/>
  <c r="R1549" i="7"/>
  <c r="AD1549" i="7"/>
  <c r="V1549" i="7" s="1"/>
  <c r="P1550" i="7"/>
  <c r="Q1550" i="7"/>
  <c r="R1550" i="7"/>
  <c r="AD1550" i="7"/>
  <c r="V1550" i="7" s="1"/>
  <c r="P1551" i="7"/>
  <c r="Q1551" i="7"/>
  <c r="R1551" i="7"/>
  <c r="AD1551" i="7"/>
  <c r="V1551" i="7" s="1"/>
  <c r="P1552" i="7"/>
  <c r="Q1552" i="7"/>
  <c r="R1552" i="7"/>
  <c r="AD1552" i="7"/>
  <c r="V1552" i="7" s="1"/>
  <c r="P1553" i="7"/>
  <c r="Q1553" i="7"/>
  <c r="R1553" i="7"/>
  <c r="AD1553" i="7"/>
  <c r="V1553" i="7" s="1"/>
  <c r="P1554" i="7"/>
  <c r="Q1554" i="7"/>
  <c r="R1554" i="7"/>
  <c r="AD1554" i="7"/>
  <c r="V1554" i="7" s="1"/>
  <c r="P1555" i="7"/>
  <c r="Q1555" i="7"/>
  <c r="R1555" i="7"/>
  <c r="AD1555" i="7"/>
  <c r="V1555" i="7" s="1"/>
  <c r="P1556" i="7"/>
  <c r="Q1556" i="7"/>
  <c r="R1556" i="7"/>
  <c r="AD1556" i="7"/>
  <c r="V1556" i="7" s="1"/>
  <c r="P1558" i="7"/>
  <c r="Q1558" i="7"/>
  <c r="R1558" i="7"/>
  <c r="AD1558" i="7"/>
  <c r="V1558" i="7" s="1"/>
  <c r="P1559" i="7"/>
  <c r="Q1559" i="7"/>
  <c r="R1559" i="7"/>
  <c r="AD1559" i="7"/>
  <c r="V1559" i="7" s="1"/>
  <c r="P1561" i="7"/>
  <c r="Q1561" i="7"/>
  <c r="R1561" i="7"/>
  <c r="AD1561" i="7"/>
  <c r="V1561" i="7" s="1"/>
  <c r="P1562" i="7"/>
  <c r="Q1562" i="7"/>
  <c r="R1562" i="7"/>
  <c r="AD1562" i="7"/>
  <c r="V1562" i="7" s="1"/>
  <c r="P1564" i="7"/>
  <c r="Q1564" i="7"/>
  <c r="R1564" i="7"/>
  <c r="AD1564" i="7"/>
  <c r="V1564" i="7" s="1"/>
  <c r="P1565" i="7"/>
  <c r="Q1565" i="7"/>
  <c r="R1565" i="7"/>
  <c r="AD1565" i="7"/>
  <c r="V1565" i="7" s="1"/>
  <c r="P1566" i="7"/>
  <c r="Q1566" i="7"/>
  <c r="R1566" i="7"/>
  <c r="AD1566" i="7"/>
  <c r="V1566" i="7" s="1"/>
  <c r="P1568" i="7"/>
  <c r="Q1568" i="7"/>
  <c r="R1568" i="7"/>
  <c r="AD1568" i="7"/>
  <c r="V1568" i="7" s="1"/>
  <c r="P1569" i="7"/>
  <c r="Q1569" i="7"/>
  <c r="R1569" i="7"/>
  <c r="AD1569" i="7"/>
  <c r="V1569" i="7" s="1"/>
  <c r="P1570" i="7"/>
  <c r="Q1570" i="7"/>
  <c r="R1570" i="7"/>
  <c r="AD1570" i="7"/>
  <c r="V1570" i="7" s="1"/>
  <c r="P1571" i="7"/>
  <c r="Q1571" i="7"/>
  <c r="R1571" i="7"/>
  <c r="AD1571" i="7"/>
  <c r="V1571" i="7" s="1"/>
  <c r="P1572" i="7"/>
  <c r="Q1572" i="7"/>
  <c r="R1572" i="7"/>
  <c r="AD1572" i="7"/>
  <c r="V1572" i="7" s="1"/>
  <c r="P1573" i="7"/>
  <c r="Q1573" i="7"/>
  <c r="R1573" i="7"/>
  <c r="AD1573" i="7"/>
  <c r="V1573" i="7" s="1"/>
  <c r="P1574" i="7"/>
  <c r="Q1574" i="7"/>
  <c r="R1574" i="7"/>
  <c r="AD1574" i="7"/>
  <c r="V1574" i="7" s="1"/>
  <c r="P1575" i="7"/>
  <c r="Q1575" i="7"/>
  <c r="R1575" i="7"/>
  <c r="AD1575" i="7"/>
  <c r="V1575" i="7" s="1"/>
  <c r="P1576" i="7"/>
  <c r="Q1576" i="7"/>
  <c r="R1576" i="7"/>
  <c r="AD1576" i="7"/>
  <c r="V1576" i="7" s="1"/>
  <c r="P1577" i="7"/>
  <c r="Q1577" i="7"/>
  <c r="R1577" i="7"/>
  <c r="AD1577" i="7"/>
  <c r="V1577" i="7" s="1"/>
  <c r="P1578" i="7"/>
  <c r="Q1578" i="7"/>
  <c r="R1578" i="7"/>
  <c r="AD1578" i="7"/>
  <c r="V1578" i="7" s="1"/>
  <c r="P1579" i="7"/>
  <c r="Q1579" i="7"/>
  <c r="R1579" i="7"/>
  <c r="AD1579" i="7"/>
  <c r="V1579" i="7" s="1"/>
  <c r="P1580" i="7"/>
  <c r="Q1580" i="7"/>
  <c r="R1580" i="7"/>
  <c r="AD1580" i="7"/>
  <c r="V1580" i="7" s="1"/>
  <c r="P1581" i="7"/>
  <c r="Q1581" i="7"/>
  <c r="R1581" i="7"/>
  <c r="AD1581" i="7"/>
  <c r="V1581" i="7" s="1"/>
  <c r="P1582" i="7"/>
  <c r="Q1582" i="7"/>
  <c r="R1582" i="7"/>
  <c r="AD1582" i="7"/>
  <c r="V1582" i="7" s="1"/>
  <c r="P1583" i="7"/>
  <c r="Q1583" i="7"/>
  <c r="R1583" i="7"/>
  <c r="AD1583" i="7"/>
  <c r="V1583" i="7" s="1"/>
  <c r="P1584" i="7"/>
  <c r="Q1584" i="7"/>
  <c r="R1584" i="7"/>
  <c r="AD1584" i="7"/>
  <c r="V1584" i="7" s="1"/>
  <c r="P1585" i="7"/>
  <c r="Q1585" i="7"/>
  <c r="R1585" i="7"/>
  <c r="AD1585" i="7"/>
  <c r="V1585" i="7" s="1"/>
  <c r="P1586" i="7"/>
  <c r="Q1586" i="7"/>
  <c r="R1586" i="7"/>
  <c r="AD1586" i="7"/>
  <c r="V1586" i="7" s="1"/>
  <c r="P1588" i="7"/>
  <c r="Q1588" i="7"/>
  <c r="R1588" i="7"/>
  <c r="AD1588" i="7"/>
  <c r="V1588" i="7" s="1"/>
  <c r="P1589" i="7"/>
  <c r="Q1589" i="7"/>
  <c r="R1589" i="7"/>
  <c r="AD1589" i="7"/>
  <c r="V1589" i="7" s="1"/>
  <c r="P1592" i="7"/>
  <c r="Q1592" i="7"/>
  <c r="R1592" i="7"/>
  <c r="AD1592" i="7"/>
  <c r="V1592" i="7" s="1"/>
  <c r="P1593" i="7"/>
  <c r="Q1593" i="7"/>
  <c r="R1593" i="7"/>
  <c r="AD1593" i="7"/>
  <c r="V1593" i="7" s="1"/>
  <c r="P1595" i="7"/>
  <c r="Q1595" i="7"/>
  <c r="R1595" i="7"/>
  <c r="AD1595" i="7"/>
  <c r="V1595" i="7" s="1"/>
  <c r="P1596" i="7"/>
  <c r="Q1596" i="7"/>
  <c r="R1596" i="7"/>
  <c r="AD1596" i="7"/>
  <c r="V1596" i="7" s="1"/>
  <c r="P1597" i="7"/>
  <c r="Q1597" i="7"/>
  <c r="R1597" i="7"/>
  <c r="AD1597" i="7"/>
  <c r="V1597" i="7" s="1"/>
  <c r="P1600" i="7"/>
  <c r="Q1600" i="7"/>
  <c r="R1600" i="7"/>
  <c r="AD1600" i="7"/>
  <c r="V1600" i="7" s="1"/>
  <c r="P1601" i="7"/>
  <c r="Q1601" i="7"/>
  <c r="R1601" i="7"/>
  <c r="AD1601" i="7"/>
  <c r="V1601" i="7" s="1"/>
  <c r="P1602" i="7"/>
  <c r="Q1602" i="7"/>
  <c r="R1602" i="7"/>
  <c r="AD1602" i="7"/>
  <c r="V1602" i="7" s="1"/>
  <c r="P1604" i="7"/>
  <c r="Q1604" i="7"/>
  <c r="R1604" i="7"/>
  <c r="AD1604" i="7"/>
  <c r="V1604" i="7" s="1"/>
  <c r="P1605" i="7"/>
  <c r="Q1605" i="7"/>
  <c r="R1605" i="7"/>
  <c r="AD1605" i="7"/>
  <c r="V1605" i="7" s="1"/>
  <c r="P1607" i="7"/>
  <c r="Q1607" i="7"/>
  <c r="R1607" i="7"/>
  <c r="AD1607" i="7"/>
  <c r="V1607" i="7" s="1"/>
  <c r="P1608" i="7"/>
  <c r="Q1608" i="7"/>
  <c r="R1608" i="7"/>
  <c r="AD1608" i="7"/>
  <c r="V1608" i="7" s="1"/>
  <c r="P1609" i="7"/>
  <c r="Q1609" i="7"/>
  <c r="R1609" i="7"/>
  <c r="AD1609" i="7"/>
  <c r="V1609" i="7" s="1"/>
  <c r="P1610" i="7"/>
  <c r="Q1610" i="7"/>
  <c r="R1610" i="7"/>
  <c r="AD1610" i="7"/>
  <c r="V1610" i="7" s="1"/>
  <c r="P1613" i="7"/>
  <c r="Q1613" i="7"/>
  <c r="R1613" i="7"/>
  <c r="AD1613" i="7"/>
  <c r="V1613" i="7" s="1"/>
  <c r="P1614" i="7"/>
  <c r="Q1614" i="7"/>
  <c r="R1614" i="7"/>
  <c r="AD1614" i="7"/>
  <c r="V1614" i="7" s="1"/>
  <c r="P1615" i="7"/>
  <c r="Q1615" i="7"/>
  <c r="R1615" i="7"/>
  <c r="AD1615" i="7"/>
  <c r="V1615" i="7" s="1"/>
  <c r="P1616" i="7"/>
  <c r="Q1616" i="7"/>
  <c r="R1616" i="7"/>
  <c r="AD1616" i="7"/>
  <c r="V1616" i="7" s="1"/>
  <c r="P1617" i="7"/>
  <c r="Q1617" i="7"/>
  <c r="R1617" i="7"/>
  <c r="AD1617" i="7"/>
  <c r="V1617" i="7" s="1"/>
  <c r="P1618" i="7"/>
  <c r="Q1618" i="7"/>
  <c r="R1618" i="7"/>
  <c r="AD1618" i="7"/>
  <c r="V1618" i="7" s="1"/>
  <c r="P1620" i="7"/>
  <c r="Q1620" i="7"/>
  <c r="R1620" i="7"/>
  <c r="AD1620" i="7"/>
  <c r="V1620" i="7" s="1"/>
  <c r="P1621" i="7"/>
  <c r="Q1621" i="7"/>
  <c r="R1621" i="7"/>
  <c r="AD1621" i="7"/>
  <c r="V1621" i="7" s="1"/>
  <c r="P1624" i="7"/>
  <c r="Q1624" i="7"/>
  <c r="R1624" i="7"/>
  <c r="AD1624" i="7"/>
  <c r="V1624" i="7" s="1"/>
  <c r="P1626" i="7"/>
  <c r="Q1626" i="7"/>
  <c r="R1626" i="7"/>
  <c r="AD1626" i="7"/>
  <c r="V1626" i="7" s="1"/>
  <c r="P1627" i="7"/>
  <c r="Q1627" i="7"/>
  <c r="R1627" i="7"/>
  <c r="AD1627" i="7"/>
  <c r="V1627" i="7" s="1"/>
  <c r="P1628" i="7"/>
  <c r="Q1628" i="7"/>
  <c r="R1628" i="7"/>
  <c r="AD1628" i="7"/>
  <c r="V1628" i="7" s="1"/>
  <c r="P1630" i="7"/>
  <c r="Q1630" i="7"/>
  <c r="R1630" i="7"/>
  <c r="AD1630" i="7"/>
  <c r="V1630" i="7" s="1"/>
  <c r="P1631" i="7"/>
  <c r="Q1631" i="7"/>
  <c r="R1631" i="7"/>
  <c r="AD1631" i="7"/>
  <c r="V1631" i="7" s="1"/>
  <c r="P1632" i="7"/>
  <c r="Q1632" i="7"/>
  <c r="R1632" i="7"/>
  <c r="AD1632" i="7"/>
  <c r="V1632" i="7" s="1"/>
  <c r="P1633" i="7"/>
  <c r="Q1633" i="7"/>
  <c r="R1633" i="7"/>
  <c r="AD1633" i="7"/>
  <c r="V1633" i="7" s="1"/>
  <c r="P1635" i="7"/>
  <c r="Q1635" i="7"/>
  <c r="R1635" i="7"/>
  <c r="AD1635" i="7"/>
  <c r="V1635" i="7" s="1"/>
  <c r="P1636" i="7"/>
  <c r="Q1636" i="7"/>
  <c r="R1636" i="7"/>
  <c r="AD1636" i="7"/>
  <c r="V1636" i="7" s="1"/>
  <c r="P1638" i="7"/>
  <c r="Q1638" i="7"/>
  <c r="R1638" i="7"/>
  <c r="AD1638" i="7"/>
  <c r="V1638" i="7" s="1"/>
  <c r="P1639" i="7"/>
  <c r="Q1639" i="7"/>
  <c r="R1639" i="7"/>
  <c r="AD1639" i="7"/>
  <c r="V1639" i="7" s="1"/>
  <c r="P1640" i="7"/>
  <c r="Q1640" i="7"/>
  <c r="R1640" i="7"/>
  <c r="AD1640" i="7"/>
  <c r="V1640" i="7" s="1"/>
  <c r="P1641" i="7"/>
  <c r="Q1641" i="7"/>
  <c r="R1641" i="7"/>
  <c r="AD1641" i="7"/>
  <c r="V1641" i="7" s="1"/>
  <c r="P1642" i="7"/>
  <c r="Q1642" i="7"/>
  <c r="R1642" i="7"/>
  <c r="AD1642" i="7"/>
  <c r="V1642" i="7" s="1"/>
  <c r="P1643" i="7"/>
  <c r="Q1643" i="7"/>
  <c r="R1643" i="7"/>
  <c r="AD1643" i="7"/>
  <c r="V1643" i="7" s="1"/>
  <c r="P1645" i="7"/>
  <c r="Q1645" i="7"/>
  <c r="R1645" i="7"/>
  <c r="AD1645" i="7"/>
  <c r="V1645" i="7" s="1"/>
  <c r="P1646" i="7"/>
  <c r="Q1646" i="7"/>
  <c r="R1646" i="7"/>
  <c r="AD1646" i="7"/>
  <c r="V1646" i="7" s="1"/>
  <c r="P1647" i="7"/>
  <c r="Q1647" i="7"/>
  <c r="R1647" i="7"/>
  <c r="AD1647" i="7"/>
  <c r="V1647" i="7" s="1"/>
  <c r="P1648" i="7"/>
  <c r="Q1648" i="7"/>
  <c r="R1648" i="7"/>
  <c r="AD1648" i="7"/>
  <c r="V1648" i="7" s="1"/>
  <c r="P1649" i="7"/>
  <c r="Q1649" i="7"/>
  <c r="R1649" i="7"/>
  <c r="AD1649" i="7"/>
  <c r="V1649" i="7" s="1"/>
  <c r="P1650" i="7"/>
  <c r="Q1650" i="7"/>
  <c r="R1650" i="7"/>
  <c r="AD1650" i="7"/>
  <c r="V1650" i="7" s="1"/>
  <c r="P1651" i="7"/>
  <c r="Q1651" i="7"/>
  <c r="R1651" i="7"/>
  <c r="AD1651" i="7"/>
  <c r="V1651" i="7" s="1"/>
  <c r="P1652" i="7"/>
  <c r="Q1652" i="7"/>
  <c r="R1652" i="7"/>
  <c r="AD1652" i="7"/>
  <c r="V1652" i="7" s="1"/>
  <c r="P1653" i="7"/>
  <c r="Q1653" i="7"/>
  <c r="R1653" i="7"/>
  <c r="AD1653" i="7"/>
  <c r="V1653" i="7" s="1"/>
  <c r="P1654" i="7"/>
  <c r="Q1654" i="7"/>
  <c r="R1654" i="7"/>
  <c r="AD1654" i="7"/>
  <c r="V1654" i="7" s="1"/>
  <c r="P1655" i="7"/>
  <c r="Q1655" i="7"/>
  <c r="R1655" i="7"/>
  <c r="AD1655" i="7"/>
  <c r="V1655" i="7" s="1"/>
  <c r="P1656" i="7"/>
  <c r="Q1656" i="7"/>
  <c r="R1656" i="7"/>
  <c r="AD1656" i="7"/>
  <c r="V1656" i="7" s="1"/>
  <c r="P1658" i="7"/>
  <c r="Q1658" i="7"/>
  <c r="R1658" i="7"/>
  <c r="AD1658" i="7"/>
  <c r="V1658" i="7" s="1"/>
  <c r="P1659" i="7"/>
  <c r="Q1659" i="7"/>
  <c r="R1659" i="7"/>
  <c r="AD1659" i="7"/>
  <c r="V1659" i="7" s="1"/>
  <c r="P1660" i="7"/>
  <c r="Q1660" i="7"/>
  <c r="R1660" i="7"/>
  <c r="AD1660" i="7"/>
  <c r="V1660" i="7" s="1"/>
  <c r="P1662" i="7"/>
  <c r="Q1662" i="7"/>
  <c r="R1662" i="7"/>
  <c r="AD1662" i="7"/>
  <c r="V1662" i="7" s="1"/>
  <c r="P1663" i="7"/>
  <c r="Q1663" i="7"/>
  <c r="R1663" i="7"/>
  <c r="AD1663" i="7"/>
  <c r="V1663" i="7" s="1"/>
  <c r="P1664" i="7"/>
  <c r="Q1664" i="7"/>
  <c r="R1664" i="7"/>
  <c r="AD1664" i="7"/>
  <c r="V1664" i="7" s="1"/>
  <c r="P1665" i="7"/>
  <c r="Q1665" i="7"/>
  <c r="R1665" i="7"/>
  <c r="AD1665" i="7"/>
  <c r="V1665" i="7" s="1"/>
  <c r="P1667" i="7"/>
  <c r="Q1667" i="7"/>
  <c r="R1667" i="7"/>
  <c r="AD1667" i="7"/>
  <c r="V1667" i="7" s="1"/>
  <c r="P1668" i="7"/>
  <c r="Q1668" i="7"/>
  <c r="R1668" i="7"/>
  <c r="AD1668" i="7"/>
  <c r="V1668" i="7" s="1"/>
  <c r="P1669" i="7"/>
  <c r="Q1669" i="7"/>
  <c r="R1669" i="7"/>
  <c r="AD1669" i="7"/>
  <c r="V1669" i="7" s="1"/>
  <c r="P1670" i="7"/>
  <c r="Q1670" i="7"/>
  <c r="R1670" i="7"/>
  <c r="AD1670" i="7"/>
  <c r="V1670" i="7" s="1"/>
  <c r="P1671" i="7"/>
  <c r="Q1671" i="7"/>
  <c r="R1671" i="7"/>
  <c r="AD1671" i="7"/>
  <c r="V1671" i="7" s="1"/>
  <c r="P1672" i="7"/>
  <c r="Q1672" i="7"/>
  <c r="R1672" i="7"/>
  <c r="AD1672" i="7"/>
  <c r="V1672" i="7" s="1"/>
  <c r="P1673" i="7"/>
  <c r="Q1673" i="7"/>
  <c r="R1673" i="7"/>
  <c r="AD1673" i="7"/>
  <c r="V1673" i="7" s="1"/>
  <c r="P1674" i="7"/>
  <c r="Q1674" i="7"/>
  <c r="R1674" i="7"/>
  <c r="AD1674" i="7"/>
  <c r="V1674" i="7" s="1"/>
  <c r="P1675" i="7"/>
  <c r="Q1675" i="7"/>
  <c r="R1675" i="7"/>
  <c r="AD1675" i="7"/>
  <c r="V1675" i="7" s="1"/>
  <c r="P1676" i="7"/>
  <c r="Q1676" i="7"/>
  <c r="R1676" i="7"/>
  <c r="AD1676" i="7"/>
  <c r="V1676" i="7" s="1"/>
  <c r="P1677" i="7"/>
  <c r="Q1677" i="7"/>
  <c r="R1677" i="7"/>
  <c r="AD1677" i="7"/>
  <c r="V1677" i="7" s="1"/>
  <c r="P1678" i="7"/>
  <c r="Q1678" i="7"/>
  <c r="R1678" i="7"/>
  <c r="AD1678" i="7"/>
  <c r="V1678" i="7" s="1"/>
  <c r="P1680" i="7"/>
  <c r="Q1680" i="7"/>
  <c r="R1680" i="7"/>
  <c r="AD1680" i="7"/>
  <c r="V1680" i="7" s="1"/>
  <c r="P1683" i="7"/>
  <c r="Q1683" i="7"/>
  <c r="R1683" i="7"/>
  <c r="AD1683" i="7"/>
  <c r="V1683" i="7" s="1"/>
  <c r="P1684" i="7"/>
  <c r="Q1684" i="7"/>
  <c r="R1684" i="7"/>
  <c r="AD1684" i="7"/>
  <c r="V1684" i="7" s="1"/>
  <c r="P1685" i="7"/>
  <c r="Q1685" i="7"/>
  <c r="R1685" i="7"/>
  <c r="AD1685" i="7"/>
  <c r="V1685" i="7" s="1"/>
  <c r="P1686" i="7"/>
  <c r="Q1686" i="7"/>
  <c r="R1686" i="7"/>
  <c r="AD1686" i="7"/>
  <c r="V1686" i="7" s="1"/>
  <c r="P1687" i="7"/>
  <c r="Q1687" i="7"/>
  <c r="R1687" i="7"/>
  <c r="AD1687" i="7"/>
  <c r="V1687" i="7" s="1"/>
  <c r="P1688" i="7"/>
  <c r="Q1688" i="7"/>
  <c r="R1688" i="7"/>
  <c r="AD1688" i="7"/>
  <c r="V1688" i="7" s="1"/>
  <c r="P1690" i="7"/>
  <c r="Q1690" i="7"/>
  <c r="R1690" i="7"/>
  <c r="AD1690" i="7"/>
  <c r="V1690" i="7" s="1"/>
  <c r="P1691" i="7"/>
  <c r="Q1691" i="7"/>
  <c r="R1691" i="7"/>
  <c r="AD1691" i="7"/>
  <c r="V1691" i="7" s="1"/>
  <c r="P1693" i="7"/>
  <c r="Q1693" i="7"/>
  <c r="R1693" i="7"/>
  <c r="AD1693" i="7"/>
  <c r="V1693" i="7" s="1"/>
  <c r="P1694" i="7"/>
  <c r="Q1694" i="7"/>
  <c r="R1694" i="7"/>
  <c r="AD1694" i="7"/>
  <c r="V1694" i="7" s="1"/>
  <c r="P1695" i="7"/>
  <c r="Q1695" i="7"/>
  <c r="R1695" i="7"/>
  <c r="AD1695" i="7"/>
  <c r="V1695" i="7" s="1"/>
  <c r="P1696" i="7"/>
  <c r="Q1696" i="7"/>
  <c r="R1696" i="7"/>
  <c r="AD1696" i="7"/>
  <c r="V1696" i="7" s="1"/>
  <c r="P1697" i="7"/>
  <c r="Q1697" i="7"/>
  <c r="R1697" i="7"/>
  <c r="AD1697" i="7"/>
  <c r="V1697" i="7" s="1"/>
  <c r="P1698" i="7"/>
  <c r="Q1698" i="7"/>
  <c r="R1698" i="7"/>
  <c r="AD1698" i="7"/>
  <c r="V1698" i="7" s="1"/>
  <c r="P1700" i="7"/>
  <c r="Q1700" i="7"/>
  <c r="R1700" i="7"/>
  <c r="AD1700" i="7"/>
  <c r="V1700" i="7" s="1"/>
  <c r="P1701" i="7"/>
  <c r="Q1701" i="7"/>
  <c r="R1701" i="7"/>
  <c r="AD1701" i="7"/>
  <c r="V1701" i="7" s="1"/>
  <c r="P1703" i="7"/>
  <c r="Q1703" i="7"/>
  <c r="R1703" i="7"/>
  <c r="AD1703" i="7"/>
  <c r="V1703" i="7" s="1"/>
  <c r="P1704" i="7"/>
  <c r="Q1704" i="7"/>
  <c r="R1704" i="7"/>
  <c r="AD1704" i="7"/>
  <c r="V1704" i="7" s="1"/>
  <c r="P1706" i="7"/>
  <c r="Q1706" i="7"/>
  <c r="R1706" i="7"/>
  <c r="AD1706" i="7"/>
  <c r="V1706" i="7" s="1"/>
  <c r="P1707" i="7"/>
  <c r="Q1707" i="7"/>
  <c r="R1707" i="7"/>
  <c r="AD1707" i="7"/>
  <c r="V1707" i="7" s="1"/>
  <c r="P1708" i="7"/>
  <c r="Q1708" i="7"/>
  <c r="R1708" i="7"/>
  <c r="AD1708" i="7"/>
  <c r="V1708" i="7" s="1"/>
  <c r="P1709" i="7"/>
  <c r="Q1709" i="7"/>
  <c r="R1709" i="7"/>
  <c r="AD1709" i="7"/>
  <c r="V1709" i="7" s="1"/>
  <c r="P1710" i="7"/>
  <c r="Q1710" i="7"/>
  <c r="R1710" i="7"/>
  <c r="AD1710" i="7"/>
  <c r="V1710" i="7" s="1"/>
  <c r="P1711" i="7"/>
  <c r="Q1711" i="7"/>
  <c r="R1711" i="7"/>
  <c r="AD1711" i="7"/>
  <c r="V1711" i="7" s="1"/>
  <c r="P1712" i="7"/>
  <c r="Q1712" i="7"/>
  <c r="R1712" i="7"/>
  <c r="AD1712" i="7"/>
  <c r="V1712" i="7" s="1"/>
  <c r="P1714" i="7"/>
  <c r="Q1714" i="7"/>
  <c r="R1714" i="7"/>
  <c r="AD1714" i="7"/>
  <c r="V1714" i="7" s="1"/>
  <c r="P1715" i="7"/>
  <c r="Q1715" i="7"/>
  <c r="R1715" i="7"/>
  <c r="AD1715" i="7"/>
  <c r="V1715" i="7" s="1"/>
  <c r="P1716" i="7"/>
  <c r="Q1716" i="7"/>
  <c r="R1716" i="7"/>
  <c r="AD1716" i="7"/>
  <c r="V1716" i="7" s="1"/>
  <c r="P1717" i="7"/>
  <c r="Q1717" i="7"/>
  <c r="R1717" i="7"/>
  <c r="AD1717" i="7"/>
  <c r="V1717" i="7" s="1"/>
  <c r="P1718" i="7"/>
  <c r="Q1718" i="7"/>
  <c r="R1718" i="7"/>
  <c r="AD1718" i="7"/>
  <c r="V1718" i="7" s="1"/>
  <c r="P1720" i="7"/>
  <c r="Q1720" i="7"/>
  <c r="R1720" i="7"/>
  <c r="AD1720" i="7"/>
  <c r="V1720" i="7" s="1"/>
  <c r="P1721" i="7"/>
  <c r="Q1721" i="7"/>
  <c r="R1721" i="7"/>
  <c r="AD1721" i="7"/>
  <c r="V1721" i="7" s="1"/>
  <c r="P1722" i="7"/>
  <c r="Q1722" i="7"/>
  <c r="R1722" i="7"/>
  <c r="AD1722" i="7"/>
  <c r="V1722" i="7" s="1"/>
  <c r="P1723" i="7"/>
  <c r="Q1723" i="7"/>
  <c r="R1723" i="7"/>
  <c r="AD1723" i="7"/>
  <c r="V1723" i="7" s="1"/>
  <c r="P1724" i="7"/>
  <c r="Q1724" i="7"/>
  <c r="R1724" i="7"/>
  <c r="AD1724" i="7"/>
  <c r="V1724" i="7" s="1"/>
  <c r="P1725" i="7"/>
  <c r="Q1725" i="7"/>
  <c r="R1725" i="7"/>
  <c r="AD1725" i="7"/>
  <c r="V1725" i="7" s="1"/>
  <c r="P1727" i="7"/>
  <c r="Q1727" i="7"/>
  <c r="R1727" i="7"/>
  <c r="AD1727" i="7"/>
  <c r="V1727" i="7" s="1"/>
  <c r="P1729" i="7"/>
  <c r="Q1729" i="7"/>
  <c r="R1729" i="7"/>
  <c r="AD1729" i="7"/>
  <c r="V1729" i="7" s="1"/>
  <c r="P1730" i="7"/>
  <c r="Q1730" i="7"/>
  <c r="R1730" i="7"/>
  <c r="AD1730" i="7"/>
  <c r="V1730" i="7" s="1"/>
  <c r="P1731" i="7"/>
  <c r="Q1731" i="7"/>
  <c r="R1731" i="7"/>
  <c r="AD1731" i="7"/>
  <c r="V1731" i="7" s="1"/>
  <c r="P1732" i="7"/>
  <c r="Q1732" i="7"/>
  <c r="R1732" i="7"/>
  <c r="AD1732" i="7"/>
  <c r="V1732" i="7" s="1"/>
  <c r="P1733" i="7"/>
  <c r="Q1733" i="7"/>
  <c r="R1733" i="7"/>
  <c r="AD1733" i="7"/>
  <c r="V1733" i="7" s="1"/>
  <c r="P1734" i="7"/>
  <c r="Q1734" i="7"/>
  <c r="R1734" i="7"/>
  <c r="AD1734" i="7"/>
  <c r="V1734" i="7" s="1"/>
  <c r="P1735" i="7"/>
  <c r="Q1735" i="7"/>
  <c r="R1735" i="7"/>
  <c r="AD1735" i="7"/>
  <c r="V1735" i="7" s="1"/>
  <c r="P1736" i="7"/>
  <c r="Q1736" i="7"/>
  <c r="R1736" i="7"/>
  <c r="AD1736" i="7"/>
  <c r="V1736" i="7" s="1"/>
  <c r="P1737" i="7"/>
  <c r="Q1737" i="7"/>
  <c r="R1737" i="7"/>
  <c r="AD1737" i="7"/>
  <c r="V1737" i="7" s="1"/>
  <c r="P1739" i="7"/>
  <c r="Q1739" i="7"/>
  <c r="R1739" i="7"/>
  <c r="AD1739" i="7"/>
  <c r="V1739" i="7" s="1"/>
  <c r="P1740" i="7"/>
  <c r="Q1740" i="7"/>
  <c r="R1740" i="7"/>
  <c r="AD1740" i="7"/>
  <c r="V1740" i="7" s="1"/>
  <c r="P1742" i="7"/>
  <c r="Q1742" i="7"/>
  <c r="R1742" i="7"/>
  <c r="AD1742" i="7"/>
  <c r="V1742" i="7" s="1"/>
  <c r="P1743" i="7"/>
  <c r="Q1743" i="7"/>
  <c r="R1743" i="7"/>
  <c r="AD1743" i="7"/>
  <c r="V1743" i="7" s="1"/>
  <c r="P1744" i="7"/>
  <c r="Q1744" i="7"/>
  <c r="R1744" i="7"/>
  <c r="AD1744" i="7"/>
  <c r="V1744" i="7" s="1"/>
  <c r="P1745" i="7"/>
  <c r="Q1745" i="7"/>
  <c r="R1745" i="7"/>
  <c r="AD1745" i="7"/>
  <c r="V1745" i="7" s="1"/>
  <c r="P1746" i="7"/>
  <c r="Q1746" i="7"/>
  <c r="R1746" i="7"/>
  <c r="AD1746" i="7"/>
  <c r="V1746" i="7" s="1"/>
  <c r="P1747" i="7"/>
  <c r="Q1747" i="7"/>
  <c r="R1747" i="7"/>
  <c r="AD1747" i="7"/>
  <c r="V1747" i="7" s="1"/>
  <c r="P1748" i="7"/>
  <c r="Q1748" i="7"/>
  <c r="R1748" i="7"/>
  <c r="AD1748" i="7"/>
  <c r="V1748" i="7" s="1"/>
  <c r="P1749" i="7"/>
  <c r="Q1749" i="7"/>
  <c r="R1749" i="7"/>
  <c r="AD1749" i="7"/>
  <c r="V1749" i="7" s="1"/>
  <c r="P1750" i="7"/>
  <c r="Q1750" i="7"/>
  <c r="R1750" i="7"/>
  <c r="AD1750" i="7"/>
  <c r="V1750" i="7" s="1"/>
  <c r="P1751" i="7"/>
  <c r="Q1751" i="7"/>
  <c r="R1751" i="7"/>
  <c r="AD1751" i="7"/>
  <c r="V1751" i="7" s="1"/>
  <c r="P1752" i="7"/>
  <c r="Q1752" i="7"/>
  <c r="R1752" i="7"/>
  <c r="AD1752" i="7"/>
  <c r="V1752" i="7" s="1"/>
  <c r="P1754" i="7"/>
  <c r="Q1754" i="7"/>
  <c r="R1754" i="7"/>
  <c r="AD1754" i="7"/>
  <c r="V1754" i="7" s="1"/>
  <c r="P1756" i="7"/>
  <c r="Q1756" i="7"/>
  <c r="R1756" i="7"/>
  <c r="AD1756" i="7"/>
  <c r="V1756" i="7" s="1"/>
  <c r="P1757" i="7"/>
  <c r="Q1757" i="7"/>
  <c r="R1757" i="7"/>
  <c r="AD1757" i="7"/>
  <c r="V1757" i="7" s="1"/>
  <c r="P1758" i="7"/>
  <c r="Q1758" i="7"/>
  <c r="R1758" i="7"/>
  <c r="AD1758" i="7"/>
  <c r="V1758" i="7" s="1"/>
  <c r="P1759" i="7"/>
  <c r="Q1759" i="7"/>
  <c r="R1759" i="7"/>
  <c r="AD1759" i="7"/>
  <c r="V1759" i="7" s="1"/>
  <c r="P1760" i="7"/>
  <c r="Q1760" i="7"/>
  <c r="R1760" i="7"/>
  <c r="AD1760" i="7"/>
  <c r="V1760" i="7" s="1"/>
  <c r="P1761" i="7"/>
  <c r="Q1761" i="7"/>
  <c r="R1761" i="7"/>
  <c r="AD1761" i="7"/>
  <c r="V1761" i="7" s="1"/>
  <c r="P1762" i="7"/>
  <c r="Q1762" i="7"/>
  <c r="R1762" i="7"/>
  <c r="AD1762" i="7"/>
  <c r="V1762" i="7" s="1"/>
  <c r="Z1914" i="7"/>
  <c r="AA1914" i="7" s="1"/>
  <c r="Z1915" i="7"/>
  <c r="AA1915" i="7" s="1"/>
  <c r="Z1916" i="7"/>
  <c r="AA1916" i="7" s="1"/>
  <c r="Z1917" i="7"/>
  <c r="AA1917" i="7" s="1"/>
  <c r="Z1918" i="7"/>
  <c r="AA1918" i="7" s="1"/>
  <c r="Z1919" i="7"/>
  <c r="AA1919" i="7" s="1"/>
  <c r="Z1920" i="7"/>
  <c r="AA1920" i="7" s="1"/>
  <c r="Z1921" i="7"/>
  <c r="AA1921" i="7" s="1"/>
  <c r="Z1922" i="7"/>
  <c r="AA1922" i="7" s="1"/>
  <c r="Z1923" i="7"/>
  <c r="AA1923" i="7" s="1"/>
  <c r="Z1924" i="7"/>
  <c r="AA1924" i="7" s="1"/>
  <c r="Z1925" i="7"/>
  <c r="AA1925" i="7" s="1"/>
  <c r="Z1926" i="7"/>
  <c r="AA1926" i="7" s="1"/>
  <c r="Z1927" i="7"/>
  <c r="AA1927" i="7" s="1"/>
  <c r="Z1928" i="7"/>
  <c r="AA1928" i="7" s="1"/>
  <c r="Z1929" i="7"/>
  <c r="AA1929" i="7" s="1"/>
  <c r="Z1930" i="7"/>
  <c r="AA1930" i="7" s="1"/>
  <c r="Z1931" i="7"/>
  <c r="AA1931" i="7" s="1"/>
  <c r="Z1932" i="7"/>
  <c r="AA1932" i="7" s="1"/>
  <c r="Z1933" i="7"/>
  <c r="AA1933" i="7" s="1"/>
  <c r="Z1934" i="7"/>
  <c r="AA1934" i="7" s="1"/>
  <c r="Z1935" i="7"/>
  <c r="AA1935" i="7" s="1"/>
  <c r="Z1936" i="7"/>
  <c r="AA1936" i="7" s="1"/>
  <c r="Z1937" i="7"/>
  <c r="AA1937" i="7" s="1"/>
  <c r="Z1938" i="7"/>
  <c r="AA1938" i="7" s="1"/>
  <c r="Z1939" i="7"/>
  <c r="AA1939" i="7" s="1"/>
  <c r="Z1940" i="7"/>
  <c r="AA1940" i="7" s="1"/>
  <c r="Z1941" i="7"/>
  <c r="AA1941" i="7" s="1"/>
  <c r="Z1942" i="7"/>
  <c r="AA1942" i="7" s="1"/>
  <c r="Z1943" i="7"/>
  <c r="AA1943" i="7" s="1"/>
  <c r="Z1944" i="7"/>
  <c r="AA1944" i="7" s="1"/>
  <c r="Z1945" i="7"/>
  <c r="AA1945" i="7" s="1"/>
  <c r="Z1946" i="7"/>
  <c r="AA1946" i="7" s="1"/>
  <c r="Z1947" i="7"/>
  <c r="AA1947" i="7" s="1"/>
  <c r="Z1948" i="7"/>
  <c r="AA1948" i="7" s="1"/>
  <c r="Z1949" i="7"/>
  <c r="AA1949" i="7" s="1"/>
  <c r="Z1950" i="7"/>
  <c r="AA1950" i="7" s="1"/>
  <c r="J2" i="2"/>
  <c r="F42" i="2"/>
  <c r="D3" i="8"/>
  <c r="D16" i="8"/>
  <c r="D6" i="8"/>
  <c r="D10" i="8"/>
  <c r="D5" i="8"/>
  <c r="D4" i="8"/>
  <c r="C9" i="1"/>
  <c r="Q3" i="7"/>
  <c r="R3" i="7"/>
  <c r="AD3" i="7"/>
  <c r="Q4" i="7"/>
  <c r="R4" i="7"/>
  <c r="AD4" i="7"/>
  <c r="V4" i="7" s="1"/>
  <c r="P1764" i="7"/>
  <c r="Q1764" i="7"/>
  <c r="R1764" i="7"/>
  <c r="AD1764" i="7"/>
  <c r="P1765" i="7"/>
  <c r="Q1765" i="7"/>
  <c r="R1765" i="7"/>
  <c r="AD1765" i="7"/>
  <c r="P1766" i="7"/>
  <c r="Q1766" i="7"/>
  <c r="R1766" i="7"/>
  <c r="AD1766" i="7"/>
  <c r="P1767" i="7"/>
  <c r="Q1767" i="7"/>
  <c r="R1767" i="7"/>
  <c r="AD1767" i="7"/>
  <c r="P1768" i="7"/>
  <c r="Q1768" i="7"/>
  <c r="R1768" i="7"/>
  <c r="AD1768" i="7"/>
  <c r="P1769" i="7"/>
  <c r="Q1769" i="7"/>
  <c r="R1769" i="7"/>
  <c r="AD1769" i="7"/>
  <c r="P1770" i="7"/>
  <c r="Q1770" i="7"/>
  <c r="R1770" i="7"/>
  <c r="AD1770" i="7"/>
  <c r="V1770" i="7" s="1"/>
  <c r="P1771" i="7"/>
  <c r="Q1771" i="7"/>
  <c r="R1771" i="7"/>
  <c r="AD1771" i="7"/>
  <c r="P1772" i="7"/>
  <c r="Q1772" i="7"/>
  <c r="R1772" i="7"/>
  <c r="AD1772" i="7"/>
  <c r="V1772" i="7" s="1"/>
  <c r="P1773" i="7"/>
  <c r="Q1773" i="7"/>
  <c r="R1773" i="7"/>
  <c r="AD1773" i="7"/>
  <c r="V1773" i="7" s="1"/>
  <c r="P1774" i="7"/>
  <c r="Q1774" i="7"/>
  <c r="R1774" i="7"/>
  <c r="AD1774" i="7"/>
  <c r="P1775" i="7"/>
  <c r="Q1775" i="7"/>
  <c r="R1775" i="7"/>
  <c r="AD1775" i="7"/>
  <c r="V1775" i="7" s="1"/>
  <c r="P1776" i="7"/>
  <c r="Q1776" i="7"/>
  <c r="R1776" i="7"/>
  <c r="AD1776" i="7"/>
  <c r="P1777" i="7"/>
  <c r="Q1777" i="7"/>
  <c r="R1777" i="7"/>
  <c r="AD1777" i="7"/>
  <c r="P1778" i="7"/>
  <c r="Q1778" i="7"/>
  <c r="R1778" i="7"/>
  <c r="AD1778" i="7"/>
  <c r="P1779" i="7"/>
  <c r="Q1779" i="7"/>
  <c r="R1779" i="7"/>
  <c r="AD1779" i="7"/>
  <c r="P1780" i="7"/>
  <c r="Q1780" i="7"/>
  <c r="R1780" i="7"/>
  <c r="AD1780" i="7"/>
  <c r="P1781" i="7"/>
  <c r="Q1781" i="7"/>
  <c r="R1781" i="7"/>
  <c r="AD1781" i="7"/>
  <c r="P1782" i="7"/>
  <c r="Q1782" i="7"/>
  <c r="R1782" i="7"/>
  <c r="AD1782" i="7"/>
  <c r="P1783" i="7"/>
  <c r="Q1783" i="7"/>
  <c r="R1783" i="7"/>
  <c r="AD1783" i="7"/>
  <c r="P1784" i="7"/>
  <c r="Q1784" i="7"/>
  <c r="R1784" i="7"/>
  <c r="AD1784" i="7"/>
  <c r="V1784" i="7" s="1"/>
  <c r="P1785" i="7"/>
  <c r="Q1785" i="7"/>
  <c r="R1785" i="7"/>
  <c r="AD1785" i="7"/>
  <c r="P1786" i="7"/>
  <c r="Q1786" i="7"/>
  <c r="R1786" i="7"/>
  <c r="AD1786" i="7"/>
  <c r="P1787" i="7"/>
  <c r="Q1787" i="7"/>
  <c r="R1787" i="7"/>
  <c r="AD1787" i="7"/>
  <c r="V1787" i="7" s="1"/>
  <c r="P1788" i="7"/>
  <c r="Q1788" i="7"/>
  <c r="R1788" i="7"/>
  <c r="AD1788" i="7"/>
  <c r="V1788" i="7" s="1"/>
  <c r="P1789" i="7"/>
  <c r="Q1789" i="7"/>
  <c r="R1789" i="7"/>
  <c r="AD1789" i="7"/>
  <c r="V1789" i="7" s="1"/>
  <c r="P1790" i="7"/>
  <c r="Q1790" i="7"/>
  <c r="R1790" i="7"/>
  <c r="AD1790" i="7"/>
  <c r="P1791" i="7"/>
  <c r="Q1791" i="7"/>
  <c r="R1791" i="7"/>
  <c r="AD1791" i="7"/>
  <c r="P1792" i="7"/>
  <c r="Q1792" i="7"/>
  <c r="R1792" i="7"/>
  <c r="AD1792" i="7"/>
  <c r="P1793" i="7"/>
  <c r="Q1793" i="7"/>
  <c r="R1793" i="7"/>
  <c r="AD1793" i="7"/>
  <c r="P1794" i="7"/>
  <c r="Q1794" i="7"/>
  <c r="R1794" i="7"/>
  <c r="AD1794" i="7"/>
  <c r="V1794" i="7" s="1"/>
  <c r="P1795" i="7"/>
  <c r="Q1795" i="7"/>
  <c r="R1795" i="7"/>
  <c r="AD1795" i="7"/>
  <c r="P1796" i="7"/>
  <c r="Q1796" i="7"/>
  <c r="R1796" i="7"/>
  <c r="AD1796" i="7"/>
  <c r="V1796" i="7" s="1"/>
  <c r="P1797" i="7"/>
  <c r="Q1797" i="7"/>
  <c r="R1797" i="7"/>
  <c r="AD1797" i="7"/>
  <c r="P1798" i="7"/>
  <c r="Q1798" i="7"/>
  <c r="R1798" i="7"/>
  <c r="AD1798" i="7"/>
  <c r="P1799" i="7"/>
  <c r="Q1799" i="7"/>
  <c r="R1799" i="7"/>
  <c r="AD1799" i="7"/>
  <c r="V1799" i="7" s="1"/>
  <c r="P1800" i="7"/>
  <c r="Q1800" i="7"/>
  <c r="R1800" i="7"/>
  <c r="AD1800" i="7"/>
  <c r="P1801" i="7"/>
  <c r="Q1801" i="7"/>
  <c r="R1801" i="7"/>
  <c r="AD1801" i="7"/>
  <c r="P1802" i="7"/>
  <c r="Q1802" i="7"/>
  <c r="R1802" i="7"/>
  <c r="AD1802" i="7"/>
  <c r="P1803" i="7"/>
  <c r="Q1803" i="7"/>
  <c r="R1803" i="7"/>
  <c r="AD1803" i="7"/>
  <c r="P1804" i="7"/>
  <c r="Q1804" i="7"/>
  <c r="R1804" i="7"/>
  <c r="AD1804" i="7"/>
  <c r="P1805" i="7"/>
  <c r="Q1805" i="7"/>
  <c r="R1805" i="7"/>
  <c r="AD1805" i="7"/>
  <c r="P1806" i="7"/>
  <c r="Q1806" i="7"/>
  <c r="R1806" i="7"/>
  <c r="AD1806" i="7"/>
  <c r="V1806" i="7" s="1"/>
  <c r="P1807" i="7"/>
  <c r="Q1807" i="7"/>
  <c r="R1807" i="7"/>
  <c r="AD1807" i="7"/>
  <c r="P1808" i="7"/>
  <c r="Q1808" i="7"/>
  <c r="R1808" i="7"/>
  <c r="AD1808" i="7"/>
  <c r="V1808" i="7" s="1"/>
  <c r="P1809" i="7"/>
  <c r="Q1809" i="7"/>
  <c r="R1809" i="7"/>
  <c r="AD1809" i="7"/>
  <c r="V1809" i="7" s="1"/>
  <c r="P1810" i="7"/>
  <c r="Q1810" i="7"/>
  <c r="R1810" i="7"/>
  <c r="AD1810" i="7"/>
  <c r="P1811" i="7"/>
  <c r="Q1811" i="7"/>
  <c r="R1811" i="7"/>
  <c r="AD1811" i="7"/>
  <c r="V1811" i="7" s="1"/>
  <c r="P1812" i="7"/>
  <c r="Q1812" i="7"/>
  <c r="R1812" i="7"/>
  <c r="AD1812" i="7"/>
  <c r="P1813" i="7"/>
  <c r="Q1813" i="7"/>
  <c r="R1813" i="7"/>
  <c r="AD1813" i="7"/>
  <c r="P1814" i="7"/>
  <c r="Q1814" i="7"/>
  <c r="R1814" i="7"/>
  <c r="AD1814" i="7"/>
  <c r="P1815" i="7"/>
  <c r="Q1815" i="7"/>
  <c r="R1815" i="7"/>
  <c r="AD1815" i="7"/>
  <c r="P1816" i="7"/>
  <c r="Q1816" i="7"/>
  <c r="R1816" i="7"/>
  <c r="AD1816" i="7"/>
  <c r="P1817" i="7"/>
  <c r="Q1817" i="7"/>
  <c r="R1817" i="7"/>
  <c r="AD1817" i="7"/>
  <c r="P1818" i="7"/>
  <c r="Q1818" i="7"/>
  <c r="R1818" i="7"/>
  <c r="AD1818" i="7"/>
  <c r="P1819" i="7"/>
  <c r="Q1819" i="7"/>
  <c r="R1819" i="7"/>
  <c r="AD1819" i="7"/>
  <c r="P1820" i="7"/>
  <c r="Q1820" i="7"/>
  <c r="R1820" i="7"/>
  <c r="AD1820" i="7"/>
  <c r="V1820" i="7" s="1"/>
  <c r="P1821" i="7"/>
  <c r="Q1821" i="7"/>
  <c r="R1821" i="7"/>
  <c r="AD1821" i="7"/>
  <c r="P1822" i="7"/>
  <c r="Q1822" i="7"/>
  <c r="R1822" i="7"/>
  <c r="AD1822" i="7"/>
  <c r="P1823" i="7"/>
  <c r="Q1823" i="7"/>
  <c r="R1823" i="7"/>
  <c r="AD1823" i="7"/>
  <c r="V1823" i="7" s="1"/>
  <c r="P1824" i="7"/>
  <c r="Q1824" i="7"/>
  <c r="R1824" i="7"/>
  <c r="AD1824" i="7"/>
  <c r="V1824" i="7" s="1"/>
  <c r="P1825" i="7"/>
  <c r="Q1825" i="7"/>
  <c r="R1825" i="7"/>
  <c r="AD1825" i="7"/>
  <c r="P1826" i="7"/>
  <c r="Q1826" i="7"/>
  <c r="R1826" i="7"/>
  <c r="AD1826" i="7"/>
  <c r="P1827" i="7"/>
  <c r="Q1827" i="7"/>
  <c r="R1827" i="7"/>
  <c r="AD1827" i="7"/>
  <c r="P1828" i="7"/>
  <c r="Q1828" i="7"/>
  <c r="R1828" i="7"/>
  <c r="AD1828" i="7"/>
  <c r="P1829" i="7"/>
  <c r="Q1829" i="7"/>
  <c r="R1829" i="7"/>
  <c r="AD1829" i="7"/>
  <c r="P1830" i="7"/>
  <c r="Q1830" i="7"/>
  <c r="R1830" i="7"/>
  <c r="AD1830" i="7"/>
  <c r="V1830" i="7" s="1"/>
  <c r="P1831" i="7"/>
  <c r="Q1831" i="7"/>
  <c r="R1831" i="7"/>
  <c r="AD1831" i="7"/>
  <c r="P1832" i="7"/>
  <c r="Q1832" i="7"/>
  <c r="R1832" i="7"/>
  <c r="AD1832" i="7"/>
  <c r="V1832" i="7" s="1"/>
  <c r="P1833" i="7"/>
  <c r="Q1833" i="7"/>
  <c r="R1833" i="7"/>
  <c r="AD1833" i="7"/>
  <c r="P1834" i="7"/>
  <c r="Q1834" i="7"/>
  <c r="R1834" i="7"/>
  <c r="AD1834" i="7"/>
  <c r="P1835" i="7"/>
  <c r="Q1835" i="7"/>
  <c r="R1835" i="7"/>
  <c r="AD1835" i="7"/>
  <c r="V1835" i="7" s="1"/>
  <c r="P1836" i="7"/>
  <c r="Q1836" i="7"/>
  <c r="R1836" i="7"/>
  <c r="AD1836" i="7"/>
  <c r="P1837" i="7"/>
  <c r="Q1837" i="7"/>
  <c r="R1837" i="7"/>
  <c r="AD1837" i="7"/>
  <c r="P1838" i="7"/>
  <c r="Q1838" i="7"/>
  <c r="R1838" i="7"/>
  <c r="AD1838" i="7"/>
  <c r="P1839" i="7"/>
  <c r="Q1839" i="7"/>
  <c r="R1839" i="7"/>
  <c r="AD1839" i="7"/>
  <c r="P1840" i="7"/>
  <c r="Q1840" i="7"/>
  <c r="R1840" i="7"/>
  <c r="AD1840" i="7"/>
  <c r="P1841" i="7"/>
  <c r="Q1841" i="7"/>
  <c r="R1841" i="7"/>
  <c r="AD1841" i="7"/>
  <c r="P1842" i="7"/>
  <c r="Q1842" i="7"/>
  <c r="R1842" i="7"/>
  <c r="AD1842" i="7"/>
  <c r="V1842" i="7" s="1"/>
  <c r="P1843" i="7"/>
  <c r="Q1843" i="7"/>
  <c r="R1843" i="7"/>
  <c r="AD1843" i="7"/>
  <c r="V1843" i="7" s="1"/>
  <c r="P1844" i="7"/>
  <c r="Q1844" i="7"/>
  <c r="R1844" i="7"/>
  <c r="AD1844" i="7"/>
  <c r="V1844" i="7" s="1"/>
  <c r="P1845" i="7"/>
  <c r="Q1845" i="7"/>
  <c r="R1845" i="7"/>
  <c r="AD1845" i="7"/>
  <c r="V1845" i="7" s="1"/>
  <c r="P1846" i="7"/>
  <c r="Q1846" i="7"/>
  <c r="R1846" i="7"/>
  <c r="AD1846" i="7"/>
  <c r="P1847" i="7"/>
  <c r="Q1847" i="7"/>
  <c r="R1847" i="7"/>
  <c r="AD1847" i="7"/>
  <c r="V1847" i="7" s="1"/>
  <c r="P1848" i="7"/>
  <c r="Q1848" i="7"/>
  <c r="R1848" i="7"/>
  <c r="AD1848" i="7"/>
  <c r="P1849" i="7"/>
  <c r="Q1849" i="7"/>
  <c r="R1849" i="7"/>
  <c r="AD1849" i="7"/>
  <c r="P1850" i="7"/>
  <c r="Q1850" i="7"/>
  <c r="R1850" i="7"/>
  <c r="AD1850" i="7"/>
  <c r="P1851" i="7"/>
  <c r="Q1851" i="7"/>
  <c r="R1851" i="7"/>
  <c r="AD1851" i="7"/>
  <c r="P1852" i="7"/>
  <c r="Q1852" i="7"/>
  <c r="R1852" i="7"/>
  <c r="AD1852" i="7"/>
  <c r="P1853" i="7"/>
  <c r="Q1853" i="7"/>
  <c r="R1853" i="7"/>
  <c r="AD1853" i="7"/>
  <c r="P1854" i="7"/>
  <c r="Q1854" i="7"/>
  <c r="R1854" i="7"/>
  <c r="AD1854" i="7"/>
  <c r="P1855" i="7"/>
  <c r="Q1855" i="7"/>
  <c r="R1855" i="7"/>
  <c r="AD1855" i="7"/>
  <c r="P1856" i="7"/>
  <c r="Q1856" i="7"/>
  <c r="R1856" i="7"/>
  <c r="AD1856" i="7"/>
  <c r="V1856" i="7" s="1"/>
  <c r="P1857" i="7"/>
  <c r="Q1857" i="7"/>
  <c r="R1857" i="7"/>
  <c r="AD1857" i="7"/>
  <c r="P1858" i="7"/>
  <c r="Q1858" i="7"/>
  <c r="R1858" i="7"/>
  <c r="AD1858" i="7"/>
  <c r="P1859" i="7"/>
  <c r="Q1859" i="7"/>
  <c r="R1859" i="7"/>
  <c r="AD1859" i="7"/>
  <c r="P1860" i="7"/>
  <c r="Q1860" i="7"/>
  <c r="R1860" i="7"/>
  <c r="AD1860" i="7"/>
  <c r="V1860" i="7" s="1"/>
  <c r="P1861" i="7"/>
  <c r="Q1861" i="7"/>
  <c r="R1861" i="7"/>
  <c r="AD1861" i="7"/>
  <c r="P1862" i="7"/>
  <c r="Q1862" i="7"/>
  <c r="R1862" i="7"/>
  <c r="AD1862" i="7"/>
  <c r="P1863" i="7"/>
  <c r="Q1863" i="7"/>
  <c r="R1863" i="7"/>
  <c r="AD1863" i="7"/>
  <c r="P1864" i="7"/>
  <c r="Q1864" i="7"/>
  <c r="R1864" i="7"/>
  <c r="AD1864" i="7"/>
  <c r="P1865" i="7"/>
  <c r="Q1865" i="7"/>
  <c r="R1865" i="7"/>
  <c r="AD1865" i="7"/>
  <c r="P1866" i="7"/>
  <c r="Q1866" i="7"/>
  <c r="R1866" i="7"/>
  <c r="AD1866" i="7"/>
  <c r="V1866" i="7" s="1"/>
  <c r="P1867" i="7"/>
  <c r="Q1867" i="7"/>
  <c r="R1867" i="7"/>
  <c r="AD1867" i="7"/>
  <c r="P1868" i="7"/>
  <c r="Q1868" i="7"/>
  <c r="R1868" i="7"/>
  <c r="AD1868" i="7"/>
  <c r="V1868" i="7" s="1"/>
  <c r="P1869" i="7"/>
  <c r="Q1869" i="7"/>
  <c r="R1869" i="7"/>
  <c r="AD1869" i="7"/>
  <c r="P1870" i="7"/>
  <c r="Q1870" i="7"/>
  <c r="R1870" i="7"/>
  <c r="AD1870" i="7"/>
  <c r="P1871" i="7"/>
  <c r="Q1871" i="7"/>
  <c r="R1871" i="7"/>
  <c r="AD1871" i="7"/>
  <c r="V1871" i="7" s="1"/>
  <c r="P1872" i="7"/>
  <c r="Q1872" i="7"/>
  <c r="R1872" i="7"/>
  <c r="AD1872" i="7"/>
  <c r="P1873" i="7"/>
  <c r="Q1873" i="7"/>
  <c r="R1873" i="7"/>
  <c r="AD1873" i="7"/>
  <c r="P1874" i="7"/>
  <c r="Q1874" i="7"/>
  <c r="R1874" i="7"/>
  <c r="AD1874" i="7"/>
  <c r="P1875" i="7"/>
  <c r="Q1875" i="7"/>
  <c r="R1875" i="7"/>
  <c r="AD1875" i="7"/>
  <c r="P1876" i="7"/>
  <c r="Q1876" i="7"/>
  <c r="R1876" i="7"/>
  <c r="AD1876" i="7"/>
  <c r="P1877" i="7"/>
  <c r="Q1877" i="7"/>
  <c r="R1877" i="7"/>
  <c r="AD1877" i="7"/>
  <c r="P1878" i="7"/>
  <c r="Q1878" i="7"/>
  <c r="R1878" i="7"/>
  <c r="AD1878" i="7"/>
  <c r="V1878" i="7" s="1"/>
  <c r="P1879" i="7"/>
  <c r="Q1879" i="7"/>
  <c r="R1879" i="7"/>
  <c r="AD1879" i="7"/>
  <c r="P1880" i="7"/>
  <c r="Q1880" i="7"/>
  <c r="R1880" i="7"/>
  <c r="AD1880" i="7"/>
  <c r="V1880" i="7" s="1"/>
  <c r="P1881" i="7"/>
  <c r="Q1881" i="7"/>
  <c r="R1881" i="7"/>
  <c r="AD1881" i="7"/>
  <c r="V1881" i="7" s="1"/>
  <c r="P1882" i="7"/>
  <c r="Q1882" i="7"/>
  <c r="R1882" i="7"/>
  <c r="AD1882" i="7"/>
  <c r="V1882" i="7" s="1"/>
  <c r="P1883" i="7"/>
  <c r="Q1883" i="7"/>
  <c r="R1883" i="7"/>
  <c r="AD1883" i="7"/>
  <c r="V1883" i="7" s="1"/>
  <c r="P1884" i="7"/>
  <c r="Q1884" i="7"/>
  <c r="R1884" i="7"/>
  <c r="AD1884" i="7"/>
  <c r="P1885" i="7"/>
  <c r="Q1885" i="7"/>
  <c r="R1885" i="7"/>
  <c r="AD1885" i="7"/>
  <c r="P1886" i="7"/>
  <c r="Q1886" i="7"/>
  <c r="R1886" i="7"/>
  <c r="AD1886" i="7"/>
  <c r="P1887" i="7"/>
  <c r="Q1887" i="7"/>
  <c r="R1887" i="7"/>
  <c r="AD1887" i="7"/>
  <c r="P1888" i="7"/>
  <c r="Q1888" i="7"/>
  <c r="R1888" i="7"/>
  <c r="AD1888" i="7"/>
  <c r="P1889" i="7"/>
  <c r="Q1889" i="7"/>
  <c r="R1889" i="7"/>
  <c r="AD1889" i="7"/>
  <c r="P1890" i="7"/>
  <c r="Q1890" i="7"/>
  <c r="R1890" i="7"/>
  <c r="AD1890" i="7"/>
  <c r="P1891" i="7"/>
  <c r="Q1891" i="7"/>
  <c r="R1891" i="7"/>
  <c r="AD1891" i="7"/>
  <c r="P1892" i="7"/>
  <c r="Q1892" i="7"/>
  <c r="R1892" i="7"/>
  <c r="AD1892" i="7"/>
  <c r="V1892" i="7" s="1"/>
  <c r="P1893" i="7"/>
  <c r="Q1893" i="7"/>
  <c r="R1893" i="7"/>
  <c r="AD1893" i="7"/>
  <c r="P1894" i="7"/>
  <c r="Q1894" i="7"/>
  <c r="R1894" i="7"/>
  <c r="AD1894" i="7"/>
  <c r="P1895" i="7"/>
  <c r="Q1895" i="7"/>
  <c r="R1895" i="7"/>
  <c r="AD1895" i="7"/>
  <c r="P1896" i="7"/>
  <c r="Q1896" i="7"/>
  <c r="R1896" i="7"/>
  <c r="AD1896" i="7"/>
  <c r="V1896" i="7" s="1"/>
  <c r="P1897" i="7"/>
  <c r="Q1897" i="7"/>
  <c r="R1897" i="7"/>
  <c r="AD1897" i="7"/>
  <c r="P1898" i="7"/>
  <c r="Q1898" i="7"/>
  <c r="R1898" i="7"/>
  <c r="AD1898" i="7"/>
  <c r="P1899" i="7"/>
  <c r="Q1899" i="7"/>
  <c r="R1899" i="7"/>
  <c r="AD1899" i="7"/>
  <c r="P1900" i="7"/>
  <c r="Q1900" i="7"/>
  <c r="R1900" i="7"/>
  <c r="AD1900" i="7"/>
  <c r="P1901" i="7"/>
  <c r="Q1901" i="7"/>
  <c r="R1901" i="7"/>
  <c r="AD1901" i="7"/>
  <c r="P1902" i="7"/>
  <c r="Q1902" i="7"/>
  <c r="R1902" i="7"/>
  <c r="AD1902" i="7"/>
  <c r="V1902" i="7" s="1"/>
  <c r="P1903" i="7"/>
  <c r="Q1903" i="7"/>
  <c r="R1903" i="7"/>
  <c r="AD1903" i="7"/>
  <c r="P1904" i="7"/>
  <c r="Q1904" i="7"/>
  <c r="R1904" i="7"/>
  <c r="AD1904" i="7"/>
  <c r="V1904" i="7" s="1"/>
  <c r="P1905" i="7"/>
  <c r="Q1905" i="7"/>
  <c r="R1905" i="7"/>
  <c r="AD1905" i="7"/>
  <c r="P1906" i="7"/>
  <c r="Q1906" i="7"/>
  <c r="R1906" i="7"/>
  <c r="AD1906" i="7"/>
  <c r="P1907" i="7"/>
  <c r="Q1907" i="7"/>
  <c r="R1907" i="7"/>
  <c r="AD1907" i="7"/>
  <c r="V1907" i="7" s="1"/>
  <c r="P1908" i="7"/>
  <c r="Q1908" i="7"/>
  <c r="R1908" i="7"/>
  <c r="AD1908" i="7"/>
  <c r="P1909" i="7"/>
  <c r="Q1909" i="7"/>
  <c r="R1909" i="7"/>
  <c r="AD1909" i="7"/>
  <c r="P1910" i="7"/>
  <c r="Q1910" i="7"/>
  <c r="R1910" i="7"/>
  <c r="AD1910" i="7"/>
  <c r="P1911" i="7"/>
  <c r="Q1911" i="7"/>
  <c r="R1911" i="7"/>
  <c r="AD1911" i="7"/>
  <c r="P1912" i="7"/>
  <c r="Q1912" i="7"/>
  <c r="R1912" i="7"/>
  <c r="AD1912" i="7"/>
  <c r="P1913" i="7"/>
  <c r="Q1913" i="7"/>
  <c r="R1913" i="7"/>
  <c r="AD1913" i="7"/>
  <c r="D21" i="15" l="1"/>
  <c r="D9" i="15"/>
  <c r="D4" i="3"/>
  <c r="G4" i="3" s="1"/>
  <c r="D16" i="3"/>
  <c r="G16" i="3" s="1"/>
  <c r="D20" i="15"/>
  <c r="D8" i="15"/>
  <c r="D17" i="3"/>
  <c r="G17" i="3" s="1"/>
  <c r="D13" i="15"/>
  <c r="D13" i="3"/>
  <c r="G13" i="3" s="1"/>
  <c r="D12" i="3"/>
  <c r="G12" i="3" s="1"/>
  <c r="D19" i="15"/>
  <c r="D7" i="15"/>
  <c r="D6" i="3"/>
  <c r="G6" i="3" s="1"/>
  <c r="D18" i="3"/>
  <c r="G18" i="3" s="1"/>
  <c r="D17" i="15"/>
  <c r="D8" i="3"/>
  <c r="G8" i="3" s="1"/>
  <c r="D16" i="15"/>
  <c r="D2" i="3"/>
  <c r="G2" i="3" s="1"/>
  <c r="D18" i="15"/>
  <c r="D6" i="15"/>
  <c r="D7" i="3"/>
  <c r="G7" i="3" s="1"/>
  <c r="D19" i="3"/>
  <c r="G19" i="3" s="1"/>
  <c r="D5" i="15"/>
  <c r="D20" i="3"/>
  <c r="G20" i="3" s="1"/>
  <c r="D4" i="15"/>
  <c r="D9" i="3"/>
  <c r="G9" i="3" s="1"/>
  <c r="D15" i="15"/>
  <c r="D3" i="15"/>
  <c r="D2" i="15"/>
  <c r="D12" i="15"/>
  <c r="D14" i="15"/>
  <c r="D10" i="3"/>
  <c r="G10" i="3" s="1"/>
  <c r="D11" i="3"/>
  <c r="G11" i="3" s="1"/>
  <c r="D11" i="15"/>
  <c r="D21" i="3"/>
  <c r="G21" i="3" s="1"/>
  <c r="D14" i="3"/>
  <c r="G14" i="3" s="1"/>
  <c r="D10" i="15"/>
  <c r="D3" i="3"/>
  <c r="G3" i="3" s="1"/>
  <c r="D15" i="3"/>
  <c r="G15" i="3" s="1"/>
  <c r="D5" i="3"/>
  <c r="G5" i="3" s="1"/>
  <c r="W978" i="11"/>
  <c r="W970" i="11"/>
  <c r="W1005" i="11"/>
  <c r="AK1005" i="11"/>
  <c r="W621" i="11"/>
  <c r="AK621" i="11"/>
  <c r="W930" i="11"/>
  <c r="AK930" i="11"/>
  <c r="W1109" i="11"/>
  <c r="AK1109" i="11"/>
  <c r="W999" i="11"/>
  <c r="AK999" i="11"/>
  <c r="W871" i="11"/>
  <c r="AK871" i="11"/>
  <c r="W1066" i="11"/>
  <c r="AK1066" i="11"/>
  <c r="W948" i="11"/>
  <c r="AK948" i="11"/>
  <c r="W992" i="11"/>
  <c r="AK992" i="11"/>
  <c r="W848" i="11"/>
  <c r="AK848" i="11"/>
  <c r="W964" i="11"/>
  <c r="AK964" i="11"/>
  <c r="W876" i="11"/>
  <c r="AK876" i="11"/>
  <c r="W700" i="11"/>
  <c r="AK700" i="11"/>
  <c r="W993" i="11"/>
  <c r="AK993" i="11"/>
  <c r="W777" i="11"/>
  <c r="AK777" i="11"/>
  <c r="W171" i="11"/>
  <c r="AK171" i="11"/>
  <c r="W918" i="11"/>
  <c r="AK918" i="11"/>
  <c r="W854" i="11"/>
  <c r="AK854" i="11"/>
  <c r="W790" i="11"/>
  <c r="AK790" i="11"/>
  <c r="W1193" i="11"/>
  <c r="AK1193" i="11"/>
  <c r="W957" i="11"/>
  <c r="AK957" i="11"/>
  <c r="W797" i="11"/>
  <c r="AK797" i="11"/>
  <c r="W709" i="11"/>
  <c r="AK709" i="11"/>
  <c r="X629" i="11"/>
  <c r="AL629" i="11"/>
  <c r="X557" i="11"/>
  <c r="AL557" i="11"/>
  <c r="X485" i="11"/>
  <c r="AL485" i="11"/>
  <c r="X405" i="11"/>
  <c r="AL405" i="11"/>
  <c r="X341" i="11"/>
  <c r="AL341" i="11"/>
  <c r="X277" i="11"/>
  <c r="AL277" i="11"/>
  <c r="X213" i="11"/>
  <c r="AL213" i="11"/>
  <c r="W101" i="11"/>
  <c r="AK101" i="11"/>
  <c r="W37" i="11"/>
  <c r="AK37" i="11"/>
  <c r="W981" i="11"/>
  <c r="AK981" i="11"/>
  <c r="W885" i="11"/>
  <c r="AK885" i="11"/>
  <c r="W125" i="11"/>
  <c r="AK125" i="11"/>
  <c r="W922" i="11"/>
  <c r="AK922" i="11"/>
  <c r="W1085" i="11"/>
  <c r="AK1085" i="11"/>
  <c r="W975" i="11"/>
  <c r="AK975" i="11"/>
  <c r="W855" i="11"/>
  <c r="AK855" i="11"/>
  <c r="W1050" i="11"/>
  <c r="AK1050" i="11"/>
  <c r="W924" i="11"/>
  <c r="AK924" i="11"/>
  <c r="W976" i="11"/>
  <c r="AK976" i="11"/>
  <c r="W840" i="11"/>
  <c r="AK840" i="11"/>
  <c r="W940" i="11"/>
  <c r="AK940" i="11"/>
  <c r="W868" i="11"/>
  <c r="AK868" i="11"/>
  <c r="W620" i="11"/>
  <c r="AK620" i="11"/>
  <c r="W985" i="11"/>
  <c r="AK985" i="11"/>
  <c r="W265" i="11"/>
  <c r="AK265" i="11"/>
  <c r="W155" i="11"/>
  <c r="AK155" i="11"/>
  <c r="W910" i="11"/>
  <c r="AK910" i="11"/>
  <c r="W846" i="11"/>
  <c r="AK846" i="11"/>
  <c r="W782" i="11"/>
  <c r="AK782" i="11"/>
  <c r="W1161" i="11"/>
  <c r="AK1161" i="11"/>
  <c r="W920" i="11"/>
  <c r="AK920" i="11"/>
  <c r="W149" i="11"/>
  <c r="AK149" i="11"/>
  <c r="W130" i="11"/>
  <c r="AK130" i="11"/>
  <c r="W175" i="11"/>
  <c r="AK175" i="11"/>
  <c r="W987" i="11"/>
  <c r="AK987" i="11"/>
  <c r="W880" i="11"/>
  <c r="AK880" i="11"/>
  <c r="W792" i="11"/>
  <c r="AK792" i="11"/>
  <c r="W728" i="11"/>
  <c r="AK728" i="11"/>
  <c r="W664" i="11"/>
  <c r="AK664" i="11"/>
  <c r="W600" i="11"/>
  <c r="AK600" i="11"/>
  <c r="W536" i="11"/>
  <c r="AK536" i="11"/>
  <c r="W927" i="11"/>
  <c r="AK927" i="11"/>
  <c r="W973" i="11"/>
  <c r="AK973" i="11"/>
  <c r="W853" i="11"/>
  <c r="AK853" i="11"/>
  <c r="W105" i="11"/>
  <c r="AK105" i="11"/>
  <c r="W714" i="11"/>
  <c r="AK714" i="11"/>
  <c r="W1061" i="11"/>
  <c r="AK1061" i="11"/>
  <c r="W967" i="11"/>
  <c r="AK967" i="11"/>
  <c r="W847" i="11"/>
  <c r="AK847" i="11"/>
  <c r="W1026" i="11"/>
  <c r="AK1026" i="11"/>
  <c r="W529" i="11"/>
  <c r="AK529" i="11"/>
  <c r="W968" i="11"/>
  <c r="AK968" i="11"/>
  <c r="W1035" i="11"/>
  <c r="AK1035" i="11"/>
  <c r="W932" i="11"/>
  <c r="AK932" i="11"/>
  <c r="W860" i="11"/>
  <c r="AK860" i="11"/>
  <c r="W612" i="11"/>
  <c r="AK612" i="11"/>
  <c r="W977" i="11"/>
  <c r="AK977" i="11"/>
  <c r="W201" i="11"/>
  <c r="AK201" i="11"/>
  <c r="W1006" i="11"/>
  <c r="AK1006" i="11"/>
  <c r="W902" i="11"/>
  <c r="AK902" i="11"/>
  <c r="W838" i="11"/>
  <c r="AK838" i="11"/>
  <c r="W774" i="11"/>
  <c r="AK774" i="11"/>
  <c r="W1057" i="11"/>
  <c r="AK1057" i="11"/>
  <c r="W773" i="11"/>
  <c r="AK773" i="11"/>
  <c r="W117" i="11"/>
  <c r="AK117" i="11"/>
  <c r="W1045" i="11"/>
  <c r="AK1045" i="11"/>
  <c r="W143" i="11"/>
  <c r="AK143" i="11"/>
  <c r="W979" i="11"/>
  <c r="AK979" i="11"/>
  <c r="W872" i="11"/>
  <c r="AK872" i="11"/>
  <c r="W784" i="11"/>
  <c r="AK784" i="11"/>
  <c r="W720" i="11"/>
  <c r="AK720" i="11"/>
  <c r="W656" i="11"/>
  <c r="AK656" i="11"/>
  <c r="W592" i="11"/>
  <c r="AK592" i="11"/>
  <c r="W528" i="11"/>
  <c r="AK528" i="11"/>
  <c r="W85" i="11"/>
  <c r="AK85" i="11"/>
  <c r="W21" i="11"/>
  <c r="AK21" i="11"/>
  <c r="W919" i="11"/>
  <c r="AK919" i="11"/>
  <c r="W949" i="11"/>
  <c r="AK949" i="11"/>
  <c r="W845" i="11"/>
  <c r="AK845" i="11"/>
  <c r="W1041" i="11"/>
  <c r="AK1041" i="11"/>
  <c r="W634" i="11"/>
  <c r="AK634" i="11"/>
  <c r="W564" i="11"/>
  <c r="AK564" i="11"/>
  <c r="W943" i="11"/>
  <c r="AK943" i="11"/>
  <c r="W839" i="11"/>
  <c r="AK839" i="11"/>
  <c r="W1018" i="11"/>
  <c r="AK1018" i="11"/>
  <c r="W1054" i="11"/>
  <c r="AK1054" i="11"/>
  <c r="W960" i="11"/>
  <c r="AK960" i="11"/>
  <c r="W1049" i="11"/>
  <c r="AK1049" i="11"/>
  <c r="W916" i="11"/>
  <c r="AK916" i="11"/>
  <c r="W740" i="11"/>
  <c r="AK740" i="11"/>
  <c r="W524" i="11"/>
  <c r="AK524" i="11"/>
  <c r="W945" i="11"/>
  <c r="AK945" i="11"/>
  <c r="W185" i="11"/>
  <c r="AK185" i="11"/>
  <c r="W998" i="11"/>
  <c r="AK998" i="11"/>
  <c r="W894" i="11"/>
  <c r="AK894" i="11"/>
  <c r="W830" i="11"/>
  <c r="AK830" i="11"/>
  <c r="W686" i="11"/>
  <c r="AK686" i="11"/>
  <c r="W211" i="11"/>
  <c r="AK211" i="11"/>
  <c r="W757" i="11"/>
  <c r="AK757" i="11"/>
  <c r="W858" i="11"/>
  <c r="AK858" i="11"/>
  <c r="W959" i="11"/>
  <c r="AK959" i="11"/>
  <c r="W1466" i="11"/>
  <c r="AK1466" i="11"/>
  <c r="W984" i="11"/>
  <c r="AK984" i="11"/>
  <c r="W864" i="11"/>
  <c r="AK864" i="11"/>
  <c r="W776" i="11"/>
  <c r="AK776" i="11"/>
  <c r="W712" i="11"/>
  <c r="AK712" i="11"/>
  <c r="W648" i="11"/>
  <c r="AK648" i="11"/>
  <c r="W584" i="11"/>
  <c r="AK584" i="11"/>
  <c r="W520" i="11"/>
  <c r="AK520" i="11"/>
  <c r="W911" i="11"/>
  <c r="AK911" i="11"/>
  <c r="X997" i="11"/>
  <c r="AL997" i="11"/>
  <c r="W861" i="11"/>
  <c r="AK861" i="11"/>
  <c r="W733" i="11"/>
  <c r="AK733" i="11"/>
  <c r="X661" i="11"/>
  <c r="AL661" i="11"/>
  <c r="X581" i="11"/>
  <c r="AL581" i="11"/>
  <c r="X517" i="11"/>
  <c r="AL517" i="11"/>
  <c r="X437" i="11"/>
  <c r="AL437" i="11"/>
  <c r="X365" i="11"/>
  <c r="AL365" i="11"/>
  <c r="X301" i="11"/>
  <c r="AL301" i="11"/>
  <c r="X237" i="11"/>
  <c r="AL237" i="11"/>
  <c r="W934" i="11"/>
  <c r="AK934" i="11"/>
  <c r="W718" i="11"/>
  <c r="AK718" i="11"/>
  <c r="W622" i="11"/>
  <c r="AK622" i="11"/>
  <c r="X558" i="11"/>
  <c r="AL558" i="11"/>
  <c r="W989" i="11"/>
  <c r="AK989" i="11"/>
  <c r="W813" i="11"/>
  <c r="AK813" i="11"/>
  <c r="W725" i="11"/>
  <c r="AK725" i="11"/>
  <c r="X653" i="11"/>
  <c r="AL653" i="11"/>
  <c r="X573" i="11"/>
  <c r="AL573" i="11"/>
  <c r="X501" i="11"/>
  <c r="AL501" i="11"/>
  <c r="X429" i="11"/>
  <c r="AL429" i="11"/>
  <c r="X357" i="11"/>
  <c r="AL357" i="11"/>
  <c r="X293" i="11"/>
  <c r="AL293" i="11"/>
  <c r="X229" i="11"/>
  <c r="AL229" i="11"/>
  <c r="W965" i="11"/>
  <c r="AK965" i="11"/>
  <c r="W805" i="11"/>
  <c r="AK805" i="11"/>
  <c r="W717" i="11"/>
  <c r="AK717" i="11"/>
  <c r="X637" i="11"/>
  <c r="AL637" i="11"/>
  <c r="X565" i="11"/>
  <c r="AL565" i="11"/>
  <c r="X493" i="11"/>
  <c r="AL493" i="11"/>
  <c r="X421" i="11"/>
  <c r="AL421" i="11"/>
  <c r="X349" i="11"/>
  <c r="AL349" i="11"/>
  <c r="X285" i="11"/>
  <c r="AL285" i="11"/>
  <c r="X221" i="11"/>
  <c r="AL221" i="11"/>
  <c r="W766" i="11"/>
  <c r="AK766" i="11"/>
  <c r="W702" i="11"/>
  <c r="AK702" i="11"/>
  <c r="W606" i="11"/>
  <c r="AK606" i="11"/>
  <c r="X534" i="11"/>
  <c r="AL534" i="11"/>
  <c r="W901" i="11"/>
  <c r="AK901" i="11"/>
  <c r="W677" i="11"/>
  <c r="AK677" i="11"/>
  <c r="W954" i="11"/>
  <c r="AK954" i="11"/>
  <c r="W1125" i="11"/>
  <c r="AK1125" i="11"/>
  <c r="W1007" i="11"/>
  <c r="AK1007" i="11"/>
  <c r="W879" i="11"/>
  <c r="AK879" i="11"/>
  <c r="W1418" i="11"/>
  <c r="AK1418" i="11"/>
  <c r="W1000" i="11"/>
  <c r="AK1000" i="11"/>
  <c r="W856" i="11"/>
  <c r="AK856" i="11"/>
  <c r="W972" i="11"/>
  <c r="AK972" i="11"/>
  <c r="W884" i="11"/>
  <c r="AK884" i="11"/>
  <c r="W708" i="11"/>
  <c r="AK708" i="11"/>
  <c r="W1141" i="11"/>
  <c r="AK1141" i="11"/>
  <c r="W785" i="11"/>
  <c r="AK785" i="11"/>
  <c r="W563" i="11"/>
  <c r="AK563" i="11"/>
  <c r="W942" i="11"/>
  <c r="AK942" i="11"/>
  <c r="W862" i="11"/>
  <c r="AK862" i="11"/>
  <c r="W798" i="11"/>
  <c r="AK798" i="11"/>
  <c r="W542" i="11"/>
  <c r="AK542" i="11"/>
  <c r="W1157" i="11"/>
  <c r="AK1157" i="11"/>
  <c r="W445" i="11"/>
  <c r="AK445" i="11"/>
  <c r="W266" i="11"/>
  <c r="AK266" i="11"/>
  <c r="W591" i="11"/>
  <c r="AK591" i="11"/>
  <c r="W1003" i="11"/>
  <c r="AK1003" i="11"/>
  <c r="W896" i="11"/>
  <c r="AK896" i="11"/>
  <c r="W808" i="11"/>
  <c r="AK808" i="11"/>
  <c r="W744" i="11"/>
  <c r="AK744" i="11"/>
  <c r="W680" i="11"/>
  <c r="AK680" i="11"/>
  <c r="W616" i="11"/>
  <c r="AK616" i="11"/>
  <c r="W552" i="11"/>
  <c r="AK552" i="11"/>
  <c r="W488" i="11"/>
  <c r="AK488" i="11"/>
  <c r="W869" i="11"/>
  <c r="AK869" i="11"/>
  <c r="W749" i="11"/>
  <c r="AK749" i="11"/>
  <c r="X669" i="11"/>
  <c r="AL669" i="11"/>
  <c r="X589" i="11"/>
  <c r="AL589" i="11"/>
  <c r="X525" i="11"/>
  <c r="AL525" i="11"/>
  <c r="X453" i="11"/>
  <c r="AL453" i="11"/>
  <c r="X373" i="11"/>
  <c r="AL373" i="11"/>
  <c r="X309" i="11"/>
  <c r="AL309" i="11"/>
  <c r="X245" i="11"/>
  <c r="AL245" i="11"/>
  <c r="W133" i="11"/>
  <c r="AK133" i="11"/>
  <c r="W53" i="11"/>
  <c r="AK53" i="11"/>
  <c r="W982" i="11"/>
  <c r="AK982" i="11"/>
  <c r="W734" i="11"/>
  <c r="AK734" i="11"/>
  <c r="W646" i="11"/>
  <c r="AK646" i="11"/>
  <c r="X574" i="11"/>
  <c r="AL574" i="11"/>
  <c r="X502" i="11"/>
  <c r="AL502" i="11"/>
  <c r="W1419" i="11"/>
  <c r="AK1419" i="11"/>
  <c r="W791" i="11"/>
  <c r="AK791" i="11"/>
  <c r="W727" i="11"/>
  <c r="AK727" i="11"/>
  <c r="W663" i="11"/>
  <c r="AK663" i="11"/>
  <c r="W1516" i="11"/>
  <c r="AK1516" i="11"/>
  <c r="W1469" i="11"/>
  <c r="AK1469" i="11"/>
  <c r="W1001" i="11"/>
  <c r="AK1001" i="11"/>
  <c r="W889" i="11"/>
  <c r="AK889" i="11"/>
  <c r="W825" i="11"/>
  <c r="AK825" i="11"/>
  <c r="W737" i="11"/>
  <c r="AK737" i="11"/>
  <c r="W673" i="11"/>
  <c r="AK673" i="11"/>
  <c r="W609" i="11"/>
  <c r="AK609" i="11"/>
  <c r="W545" i="11"/>
  <c r="AK545" i="11"/>
  <c r="W473" i="11"/>
  <c r="AK473" i="11"/>
  <c r="W409" i="11"/>
  <c r="AK409" i="11"/>
  <c r="W991" i="11"/>
  <c r="AK991" i="11"/>
  <c r="W783" i="11"/>
  <c r="AK783" i="11"/>
  <c r="W719" i="11"/>
  <c r="AK719" i="11"/>
  <c r="W655" i="11"/>
  <c r="AK655" i="11"/>
  <c r="W1508" i="11"/>
  <c r="AK1508" i="11"/>
  <c r="W1461" i="11"/>
  <c r="AK1461" i="11"/>
  <c r="W969" i="11"/>
  <c r="AK969" i="11"/>
  <c r="W881" i="11"/>
  <c r="AK881" i="11"/>
  <c r="W817" i="11"/>
  <c r="AK817" i="11"/>
  <c r="W729" i="11"/>
  <c r="AK729" i="11"/>
  <c r="W665" i="11"/>
  <c r="AK665" i="11"/>
  <c r="W601" i="11"/>
  <c r="AK601" i="11"/>
  <c r="W537" i="11"/>
  <c r="AK537" i="11"/>
  <c r="W465" i="11"/>
  <c r="AK465" i="11"/>
  <c r="W401" i="11"/>
  <c r="AK401" i="11"/>
  <c r="W187" i="11"/>
  <c r="AK187" i="11"/>
  <c r="W983" i="11"/>
  <c r="AK983" i="11"/>
  <c r="W775" i="11"/>
  <c r="AK775" i="11"/>
  <c r="W711" i="11"/>
  <c r="AK711" i="11"/>
  <c r="W647" i="11"/>
  <c r="AK647" i="11"/>
  <c r="W1046" i="11"/>
  <c r="AK1046" i="11"/>
  <c r="W1453" i="11"/>
  <c r="AK1453" i="11"/>
  <c r="W961" i="11"/>
  <c r="AK961" i="11"/>
  <c r="W873" i="11"/>
  <c r="AK873" i="11"/>
  <c r="W809" i="11"/>
  <c r="AK809" i="11"/>
  <c r="W721" i="11"/>
  <c r="AK721" i="11"/>
  <c r="W657" i="11"/>
  <c r="AK657" i="11"/>
  <c r="W593" i="11"/>
  <c r="AK593" i="11"/>
  <c r="W521" i="11"/>
  <c r="AK521" i="11"/>
  <c r="W457" i="11"/>
  <c r="AK457" i="11"/>
  <c r="W393" i="11"/>
  <c r="AK393" i="11"/>
  <c r="AK1002" i="11"/>
  <c r="W1002" i="11"/>
  <c r="W941" i="11"/>
  <c r="AK941" i="11"/>
  <c r="W837" i="11"/>
  <c r="AK837" i="11"/>
  <c r="W994" i="11"/>
  <c r="AK994" i="11"/>
  <c r="W1509" i="11"/>
  <c r="AK1509" i="11"/>
  <c r="W321" i="11"/>
  <c r="AK321" i="11"/>
  <c r="W935" i="11"/>
  <c r="AK935" i="11"/>
  <c r="W559" i="11"/>
  <c r="AK559" i="11"/>
  <c r="W628" i="11"/>
  <c r="AK628" i="11"/>
  <c r="W315" i="11"/>
  <c r="AK315" i="11"/>
  <c r="W944" i="11"/>
  <c r="AK944" i="11"/>
  <c r="W1062" i="11"/>
  <c r="AK1062" i="11"/>
  <c r="W908" i="11"/>
  <c r="AK908" i="11"/>
  <c r="W732" i="11"/>
  <c r="AK732" i="11"/>
  <c r="W1039" i="11"/>
  <c r="AK1039" i="11"/>
  <c r="W937" i="11"/>
  <c r="AK937" i="11"/>
  <c r="W161" i="11"/>
  <c r="AK161" i="11"/>
  <c r="W966" i="11"/>
  <c r="AK966" i="11"/>
  <c r="W886" i="11"/>
  <c r="AK886" i="11"/>
  <c r="W822" i="11"/>
  <c r="AK822" i="11"/>
  <c r="W678" i="11"/>
  <c r="AK678" i="11"/>
  <c r="W1406" i="11"/>
  <c r="AK1406" i="11"/>
  <c r="W741" i="11"/>
  <c r="AK741" i="11"/>
  <c r="W794" i="11"/>
  <c r="AK794" i="11"/>
  <c r="W951" i="11"/>
  <c r="AK951" i="11"/>
  <c r="W1034" i="11"/>
  <c r="AK1034" i="11"/>
  <c r="W952" i="11"/>
  <c r="AK952" i="11"/>
  <c r="W832" i="11"/>
  <c r="AK832" i="11"/>
  <c r="W768" i="11"/>
  <c r="AK768" i="11"/>
  <c r="W704" i="11"/>
  <c r="AK704" i="11"/>
  <c r="W640" i="11"/>
  <c r="AK640" i="11"/>
  <c r="W576" i="11"/>
  <c r="AK576" i="11"/>
  <c r="W512" i="11"/>
  <c r="AK512" i="11"/>
  <c r="W933" i="11"/>
  <c r="AK933" i="11"/>
  <c r="W789" i="11"/>
  <c r="AK789" i="11"/>
  <c r="W701" i="11"/>
  <c r="AK701" i="11"/>
  <c r="X613" i="11"/>
  <c r="AL613" i="11"/>
  <c r="X549" i="11"/>
  <c r="AL549" i="11"/>
  <c r="X477" i="11"/>
  <c r="AL477" i="11"/>
  <c r="W77" i="11"/>
  <c r="AK77" i="11"/>
  <c r="W758" i="11"/>
  <c r="AK758" i="11"/>
  <c r="W694" i="11"/>
  <c r="AK694" i="11"/>
  <c r="W598" i="11"/>
  <c r="AK598" i="11"/>
  <c r="X526" i="11"/>
  <c r="AL526" i="11"/>
  <c r="W1443" i="11"/>
  <c r="AK1443" i="11"/>
  <c r="W917" i="11"/>
  <c r="AK917" i="11"/>
  <c r="W829" i="11"/>
  <c r="AK829" i="11"/>
  <c r="W986" i="11"/>
  <c r="AK986" i="11"/>
  <c r="W1173" i="11"/>
  <c r="AK1173" i="11"/>
  <c r="W1012" i="11"/>
  <c r="AK1012" i="11"/>
  <c r="W895" i="11"/>
  <c r="AK895" i="11"/>
  <c r="W327" i="11"/>
  <c r="AK327" i="11"/>
  <c r="W988" i="11"/>
  <c r="AK988" i="11"/>
  <c r="W307" i="11"/>
  <c r="AK307" i="11"/>
  <c r="W936" i="11"/>
  <c r="AK936" i="11"/>
  <c r="W1004" i="11"/>
  <c r="AK1004" i="11"/>
  <c r="W900" i="11"/>
  <c r="AK900" i="11"/>
  <c r="W724" i="11"/>
  <c r="AK724" i="11"/>
  <c r="W51" i="11"/>
  <c r="AK51" i="11"/>
  <c r="W929" i="11"/>
  <c r="AK929" i="11"/>
  <c r="W137" i="11"/>
  <c r="AK137" i="11"/>
  <c r="W958" i="11"/>
  <c r="AK958" i="11"/>
  <c r="W878" i="11"/>
  <c r="AK878" i="11"/>
  <c r="W814" i="11"/>
  <c r="AK814" i="11"/>
  <c r="W670" i="11"/>
  <c r="AK670" i="11"/>
  <c r="W1030" i="11"/>
  <c r="AK1030" i="11"/>
  <c r="W645" i="11"/>
  <c r="AK645" i="11"/>
  <c r="W698" i="11"/>
  <c r="AK698" i="11"/>
  <c r="W863" i="11"/>
  <c r="AK863" i="11"/>
  <c r="W1413" i="11"/>
  <c r="AK1413" i="11"/>
  <c r="W912" i="11"/>
  <c r="AK912" i="11"/>
  <c r="W824" i="11"/>
  <c r="AK824" i="11"/>
  <c r="W760" i="11"/>
  <c r="AK760" i="11"/>
  <c r="W696" i="11"/>
  <c r="AK696" i="11"/>
  <c r="W632" i="11"/>
  <c r="AK632" i="11"/>
  <c r="W568" i="11"/>
  <c r="AK568" i="11"/>
  <c r="W504" i="11"/>
  <c r="AK504" i="11"/>
  <c r="W925" i="11"/>
  <c r="AK925" i="11"/>
  <c r="W781" i="11"/>
  <c r="AK781" i="11"/>
  <c r="W693" i="11"/>
  <c r="AK693" i="11"/>
  <c r="X605" i="11"/>
  <c r="AL605" i="11"/>
  <c r="X541" i="11"/>
  <c r="AL541" i="11"/>
  <c r="X469" i="11"/>
  <c r="AL469" i="11"/>
  <c r="X389" i="11"/>
  <c r="AL389" i="11"/>
  <c r="X325" i="11"/>
  <c r="AL325" i="11"/>
  <c r="X261" i="11"/>
  <c r="AL261" i="11"/>
  <c r="W69" i="11"/>
  <c r="AK69" i="11"/>
  <c r="W750" i="11"/>
  <c r="AK750" i="11"/>
  <c r="W662" i="11"/>
  <c r="AK662" i="11"/>
  <c r="X590" i="11"/>
  <c r="AL590" i="11"/>
  <c r="X518" i="11"/>
  <c r="AL518" i="11"/>
  <c r="W1435" i="11"/>
  <c r="AK1435" i="11"/>
  <c r="W909" i="11"/>
  <c r="AK909" i="11"/>
  <c r="W821" i="11"/>
  <c r="AK821" i="11"/>
  <c r="W962" i="11"/>
  <c r="AK962" i="11"/>
  <c r="W1149" i="11"/>
  <c r="AK1149" i="11"/>
  <c r="W1129" i="11"/>
  <c r="AK1129" i="11"/>
  <c r="W887" i="11"/>
  <c r="AK887" i="11"/>
  <c r="W980" i="11"/>
  <c r="AK980" i="11"/>
  <c r="W1008" i="11"/>
  <c r="AK1008" i="11"/>
  <c r="W996" i="11"/>
  <c r="AK996" i="11"/>
  <c r="W892" i="11"/>
  <c r="AK892" i="11"/>
  <c r="W716" i="11"/>
  <c r="AK716" i="11"/>
  <c r="W1181" i="11"/>
  <c r="AK1181" i="11"/>
  <c r="W793" i="11"/>
  <c r="AK793" i="11"/>
  <c r="W1017" i="11"/>
  <c r="AK1017" i="11"/>
  <c r="W950" i="11"/>
  <c r="AK950" i="11"/>
  <c r="W870" i="11"/>
  <c r="AK870" i="11"/>
  <c r="W806" i="11"/>
  <c r="AK806" i="11"/>
  <c r="W630" i="11"/>
  <c r="AK630" i="11"/>
  <c r="W408" i="11"/>
  <c r="AK408" i="11"/>
  <c r="W509" i="11"/>
  <c r="AK509" i="11"/>
  <c r="W666" i="11"/>
  <c r="AK666" i="11"/>
  <c r="W607" i="11"/>
  <c r="AK607" i="11"/>
  <c r="W1093" i="11"/>
  <c r="AK1093" i="11"/>
  <c r="W904" i="11"/>
  <c r="AK904" i="11"/>
  <c r="W816" i="11"/>
  <c r="AK816" i="11"/>
  <c r="W752" i="11"/>
  <c r="AK752" i="11"/>
  <c r="W688" i="11"/>
  <c r="AK688" i="11"/>
  <c r="W624" i="11"/>
  <c r="AK624" i="11"/>
  <c r="W560" i="11"/>
  <c r="AK560" i="11"/>
  <c r="W496" i="11"/>
  <c r="AK496" i="11"/>
  <c r="W141" i="11"/>
  <c r="AK141" i="11"/>
  <c r="W61" i="11"/>
  <c r="AK61" i="11"/>
  <c r="W742" i="11"/>
  <c r="AK742" i="11"/>
  <c r="W654" i="11"/>
  <c r="AK654" i="11"/>
  <c r="X582" i="11"/>
  <c r="AL582" i="11"/>
  <c r="X510" i="11"/>
  <c r="AL510" i="11"/>
  <c r="W1427" i="11"/>
  <c r="AK1427" i="11"/>
  <c r="X946" i="11"/>
  <c r="Y946" i="11" s="1" a="1"/>
  <c r="Y946" i="11" s="1"/>
  <c r="AL946" i="11"/>
  <c r="X866" i="11"/>
  <c r="Y866" i="11" s="1" a="1"/>
  <c r="Y866" i="11" s="1"/>
  <c r="AL866" i="11"/>
  <c r="X786" i="11"/>
  <c r="Y786" i="11" s="1" a="1"/>
  <c r="Y786" i="11" s="1"/>
  <c r="AL786" i="11"/>
  <c r="W1387" i="11"/>
  <c r="AK1387" i="11"/>
  <c r="X970" i="11"/>
  <c r="AL970" i="11"/>
  <c r="X874" i="11"/>
  <c r="AL874" i="11"/>
  <c r="X802" i="11"/>
  <c r="AL802" i="11"/>
  <c r="W147" i="11"/>
  <c r="AK147" i="11"/>
  <c r="AK1010" i="11"/>
  <c r="W1010" i="11"/>
  <c r="W1487" i="11"/>
  <c r="AK1487" i="11"/>
  <c r="W1423" i="11"/>
  <c r="AK1423" i="11"/>
  <c r="W1359" i="11"/>
  <c r="AK1359" i="11"/>
  <c r="W1295" i="11"/>
  <c r="AK1295" i="11"/>
  <c r="W1231" i="11"/>
  <c r="AK1231" i="11"/>
  <c r="W1479" i="11"/>
  <c r="AK1479" i="11"/>
  <c r="W1415" i="11"/>
  <c r="AK1415" i="11"/>
  <c r="W1351" i="11"/>
  <c r="AK1351" i="11"/>
  <c r="W1287" i="11"/>
  <c r="AK1287" i="11"/>
  <c r="W1223" i="11"/>
  <c r="AK1223" i="11"/>
  <c r="W1513" i="11"/>
  <c r="AK1513" i="11"/>
  <c r="W1449" i="11"/>
  <c r="AK1449" i="11"/>
  <c r="X478" i="11"/>
  <c r="AL478" i="11"/>
  <c r="X446" i="11"/>
  <c r="AL446" i="11"/>
  <c r="X414" i="11"/>
  <c r="AL414" i="11"/>
  <c r="X382" i="11"/>
  <c r="AL382" i="11"/>
  <c r="X350" i="11"/>
  <c r="AL350" i="11"/>
  <c r="X318" i="11"/>
  <c r="AL318" i="11"/>
  <c r="X286" i="11"/>
  <c r="AL286" i="11"/>
  <c r="X254" i="11"/>
  <c r="AL254" i="11"/>
  <c r="X222" i="11"/>
  <c r="AL222" i="11"/>
  <c r="X190" i="11"/>
  <c r="AL190" i="11"/>
  <c r="X158" i="11"/>
  <c r="AL158" i="11"/>
  <c r="X126" i="11"/>
  <c r="AL126" i="11"/>
  <c r="X94" i="11"/>
  <c r="AL94" i="11"/>
  <c r="X62" i="11"/>
  <c r="AL62" i="11"/>
  <c r="X30" i="11"/>
  <c r="AL30" i="11"/>
  <c r="W1385" i="11"/>
  <c r="AK1385" i="11"/>
  <c r="W1321" i="11"/>
  <c r="AK1321" i="11"/>
  <c r="W1257" i="11"/>
  <c r="AK1257" i="11"/>
  <c r="W1185" i="11"/>
  <c r="AK1185" i="11"/>
  <c r="X1113" i="11"/>
  <c r="AL1113" i="11"/>
  <c r="X1073" i="11"/>
  <c r="AL1073" i="11"/>
  <c r="X12" i="11"/>
  <c r="AL12" i="11"/>
  <c r="X1504" i="11"/>
  <c r="AL1504" i="11"/>
  <c r="X1424" i="11"/>
  <c r="AL1424" i="11"/>
  <c r="X1264" i="11"/>
  <c r="AL1264" i="11"/>
  <c r="X1184" i="11"/>
  <c r="AL1184" i="11"/>
  <c r="X1120" i="11"/>
  <c r="AL1120" i="11"/>
  <c r="X11" i="11"/>
  <c r="AL11" i="11"/>
  <c r="X530" i="11"/>
  <c r="AL530" i="11"/>
  <c r="X386" i="11"/>
  <c r="AL386" i="11"/>
  <c r="X234" i="11"/>
  <c r="AL234" i="11"/>
  <c r="X106" i="11"/>
  <c r="AL106" i="11"/>
  <c r="X1373" i="11"/>
  <c r="AL1373" i="11"/>
  <c r="X1213" i="11"/>
  <c r="AL1213" i="11"/>
  <c r="X1053" i="11"/>
  <c r="AL1053" i="11"/>
  <c r="X1354" i="11"/>
  <c r="AL1354" i="11"/>
  <c r="X1266" i="11"/>
  <c r="AL1266" i="11"/>
  <c r="X1114" i="11"/>
  <c r="AL1114" i="11"/>
  <c r="X580" i="11"/>
  <c r="AL580" i="11"/>
  <c r="X460" i="11"/>
  <c r="AL460" i="11"/>
  <c r="X252" i="11"/>
  <c r="AL252" i="11"/>
  <c r="X1159" i="11"/>
  <c r="AL1159" i="11"/>
  <c r="X1095" i="11"/>
  <c r="AL1095" i="11"/>
  <c r="W1471" i="11"/>
  <c r="AK1471" i="11"/>
  <c r="W1407" i="11"/>
  <c r="AK1407" i="11"/>
  <c r="W1343" i="11"/>
  <c r="AK1343" i="11"/>
  <c r="W1279" i="11"/>
  <c r="AK1279" i="11"/>
  <c r="W1215" i="11"/>
  <c r="AK1215" i="11"/>
  <c r="W1505" i="11"/>
  <c r="AK1505" i="11"/>
  <c r="W1441" i="11"/>
  <c r="AK1441" i="11"/>
  <c r="W1377" i="11"/>
  <c r="AK1377" i="11"/>
  <c r="W1313" i="11"/>
  <c r="AK1313" i="11"/>
  <c r="W1249" i="11"/>
  <c r="AK1249" i="11"/>
  <c r="W1177" i="11"/>
  <c r="AK1177" i="11"/>
  <c r="W1463" i="11"/>
  <c r="AK1463" i="11"/>
  <c r="W1399" i="11"/>
  <c r="AK1399" i="11"/>
  <c r="W1335" i="11"/>
  <c r="AK1335" i="11"/>
  <c r="W1271" i="11"/>
  <c r="AK1271" i="11"/>
  <c r="W1497" i="11"/>
  <c r="AK1497" i="11"/>
  <c r="W1433" i="11"/>
  <c r="AK1433" i="11"/>
  <c r="X470" i="11"/>
  <c r="AL470" i="11"/>
  <c r="X438" i="11"/>
  <c r="AL438" i="11"/>
  <c r="X406" i="11"/>
  <c r="AL406" i="11"/>
  <c r="X374" i="11"/>
  <c r="AL374" i="11"/>
  <c r="X342" i="11"/>
  <c r="AL342" i="11"/>
  <c r="X310" i="11"/>
  <c r="AL310" i="11"/>
  <c r="X278" i="11"/>
  <c r="AL278" i="11"/>
  <c r="X246" i="11"/>
  <c r="AL246" i="11"/>
  <c r="X214" i="11"/>
  <c r="AL214" i="11"/>
  <c r="X182" i="11"/>
  <c r="AL182" i="11"/>
  <c r="X150" i="11"/>
  <c r="AL150" i="11"/>
  <c r="X118" i="11"/>
  <c r="AL118" i="11"/>
  <c r="X86" i="11"/>
  <c r="AL86" i="11"/>
  <c r="X54" i="11"/>
  <c r="AL54" i="11"/>
  <c r="X22" i="11"/>
  <c r="AL22" i="11"/>
  <c r="W1369" i="11"/>
  <c r="AK1369" i="11"/>
  <c r="W1305" i="11"/>
  <c r="AK1305" i="11"/>
  <c r="W1241" i="11"/>
  <c r="AK1241" i="11"/>
  <c r="W1169" i="11"/>
  <c r="AK1169" i="11"/>
  <c r="X1105" i="11"/>
  <c r="AL1105" i="11"/>
  <c r="X1065" i="11"/>
  <c r="AL1065" i="11"/>
  <c r="X4" i="11"/>
  <c r="AL4" i="11"/>
  <c r="X1488" i="11"/>
  <c r="AL1488" i="11"/>
  <c r="X1400" i="11"/>
  <c r="AL1400" i="11"/>
  <c r="X1248" i="11"/>
  <c r="AL1248" i="11"/>
  <c r="X1176" i="11"/>
  <c r="AL1176" i="11"/>
  <c r="X1080" i="11"/>
  <c r="AL1080" i="11"/>
  <c r="X658" i="11"/>
  <c r="AL658" i="11"/>
  <c r="X482" i="11"/>
  <c r="AL482" i="11"/>
  <c r="X370" i="11"/>
  <c r="AL370" i="11"/>
  <c r="X218" i="11"/>
  <c r="AL218" i="11"/>
  <c r="X66" i="11"/>
  <c r="AL66" i="11"/>
  <c r="X1341" i="11"/>
  <c r="AL1341" i="11"/>
  <c r="X1197" i="11"/>
  <c r="AL1197" i="11"/>
  <c r="X1037" i="11"/>
  <c r="AL1037" i="11"/>
  <c r="X1338" i="11"/>
  <c r="AL1338" i="11"/>
  <c r="X1210" i="11"/>
  <c r="AL1210" i="11"/>
  <c r="X1098" i="11"/>
  <c r="AL1098" i="11"/>
  <c r="X532" i="11"/>
  <c r="AL532" i="11"/>
  <c r="X436" i="11"/>
  <c r="AL436" i="11"/>
  <c r="X172" i="11"/>
  <c r="AL172" i="11"/>
  <c r="X1143" i="11"/>
  <c r="AL1143" i="11"/>
  <c r="W1489" i="11"/>
  <c r="AK1489" i="11"/>
  <c r="W1425" i="11"/>
  <c r="AK1425" i="11"/>
  <c r="W1361" i="11"/>
  <c r="AK1361" i="11"/>
  <c r="W1297" i="11"/>
  <c r="AK1297" i="11"/>
  <c r="W1233" i="11"/>
  <c r="AK1233" i="11"/>
  <c r="W1153" i="11"/>
  <c r="AK1153" i="11"/>
  <c r="X397" i="11"/>
  <c r="AL397" i="11"/>
  <c r="X333" i="11"/>
  <c r="AL333" i="11"/>
  <c r="X269" i="11"/>
  <c r="AL269" i="11"/>
  <c r="W109" i="11"/>
  <c r="AK109" i="11"/>
  <c r="W45" i="11"/>
  <c r="AK45" i="11"/>
  <c r="W974" i="11"/>
  <c r="AK974" i="11"/>
  <c r="W726" i="11"/>
  <c r="AK726" i="11"/>
  <c r="W638" i="11"/>
  <c r="AK638" i="11"/>
  <c r="X566" i="11"/>
  <c r="AL566" i="11"/>
  <c r="W903" i="11"/>
  <c r="AK903" i="11"/>
  <c r="W1411" i="11"/>
  <c r="AK1411" i="11"/>
  <c r="W831" i="11"/>
  <c r="AK831" i="11"/>
  <c r="W767" i="11"/>
  <c r="AK767" i="11"/>
  <c r="W703" i="11"/>
  <c r="AK703" i="11"/>
  <c r="W639" i="11"/>
  <c r="AK639" i="11"/>
  <c r="W1517" i="11"/>
  <c r="AK1517" i="11"/>
  <c r="W1445" i="11"/>
  <c r="AK1445" i="11"/>
  <c r="W953" i="11"/>
  <c r="AK953" i="11"/>
  <c r="W865" i="11"/>
  <c r="AK865" i="11"/>
  <c r="W801" i="11"/>
  <c r="AK801" i="11"/>
  <c r="W713" i="11"/>
  <c r="AK713" i="11"/>
  <c r="W649" i="11"/>
  <c r="AK649" i="11"/>
  <c r="W585" i="11"/>
  <c r="AK585" i="11"/>
  <c r="W513" i="11"/>
  <c r="AK513" i="11"/>
  <c r="W449" i="11"/>
  <c r="AK449" i="11"/>
  <c r="W385" i="11"/>
  <c r="AK385" i="11"/>
  <c r="W1403" i="11"/>
  <c r="AK1403" i="11"/>
  <c r="X890" i="11"/>
  <c r="AL890" i="11"/>
  <c r="X818" i="11"/>
  <c r="AL818" i="11"/>
  <c r="X746" i="11"/>
  <c r="AL746" i="11"/>
  <c r="W1077" i="11"/>
  <c r="AK1077" i="11"/>
  <c r="W413" i="11"/>
  <c r="AK413" i="11"/>
  <c r="W242" i="11"/>
  <c r="AK242" i="11"/>
  <c r="W575" i="11"/>
  <c r="AK575" i="11"/>
  <c r="W995" i="11"/>
  <c r="AK995" i="11"/>
  <c r="W888" i="11"/>
  <c r="AK888" i="11"/>
  <c r="W800" i="11"/>
  <c r="AK800" i="11"/>
  <c r="W736" i="11"/>
  <c r="AK736" i="11"/>
  <c r="W672" i="11"/>
  <c r="AK672" i="11"/>
  <c r="W608" i="11"/>
  <c r="AK608" i="11"/>
  <c r="W544" i="11"/>
  <c r="AK544" i="11"/>
  <c r="W376" i="11"/>
  <c r="AK376" i="11"/>
  <c r="W877" i="11"/>
  <c r="AK877" i="11"/>
  <c r="W765" i="11"/>
  <c r="AK765" i="11"/>
  <c r="X685" i="11"/>
  <c r="AL685" i="11"/>
  <c r="X597" i="11"/>
  <c r="AL597" i="11"/>
  <c r="X533" i="11"/>
  <c r="AL533" i="11"/>
  <c r="X461" i="11"/>
  <c r="AL461" i="11"/>
  <c r="X381" i="11"/>
  <c r="AL381" i="11"/>
  <c r="X317" i="11"/>
  <c r="AL317" i="11"/>
  <c r="X253" i="11"/>
  <c r="AL253" i="11"/>
  <c r="W93" i="11"/>
  <c r="AK93" i="11"/>
  <c r="W29" i="11"/>
  <c r="AK29" i="11"/>
  <c r="W926" i="11"/>
  <c r="AK926" i="11"/>
  <c r="W710" i="11"/>
  <c r="AK710" i="11"/>
  <c r="W614" i="11"/>
  <c r="AK614" i="11"/>
  <c r="X550" i="11"/>
  <c r="AL550" i="11"/>
  <c r="W1395" i="11"/>
  <c r="AK1395" i="11"/>
  <c r="X978" i="11"/>
  <c r="AL978" i="11"/>
  <c r="X882" i="11"/>
  <c r="AL882" i="11"/>
  <c r="X810" i="11"/>
  <c r="AL810" i="11"/>
  <c r="X738" i="11"/>
  <c r="AL738" i="11"/>
  <c r="W799" i="11"/>
  <c r="AK799" i="11"/>
  <c r="W735" i="11"/>
  <c r="AK735" i="11"/>
  <c r="W671" i="11"/>
  <c r="AK671" i="11"/>
  <c r="W599" i="11"/>
  <c r="AK599" i="11"/>
  <c r="W1477" i="11"/>
  <c r="AK1477" i="11"/>
  <c r="W1009" i="11"/>
  <c r="AK1009" i="11"/>
  <c r="W897" i="11"/>
  <c r="AK897" i="11"/>
  <c r="W833" i="11"/>
  <c r="AK833" i="11"/>
  <c r="W745" i="11"/>
  <c r="AK745" i="11"/>
  <c r="W681" i="11"/>
  <c r="AK681" i="11"/>
  <c r="W617" i="11"/>
  <c r="AK617" i="11"/>
  <c r="W553" i="11"/>
  <c r="AK553" i="11"/>
  <c r="W481" i="11"/>
  <c r="AK481" i="11"/>
  <c r="W417" i="11"/>
  <c r="AK417" i="11"/>
  <c r="W990" i="11"/>
  <c r="AK990" i="11"/>
  <c r="X898" i="11"/>
  <c r="Y898" i="11" s="1" a="1"/>
  <c r="Y898" i="11" s="1"/>
  <c r="AL898" i="11"/>
  <c r="X826" i="11"/>
  <c r="Y826" i="11" s="1" a="1"/>
  <c r="Y826" i="11" s="1"/>
  <c r="AL826" i="11"/>
  <c r="X754" i="11"/>
  <c r="Y754" i="11" s="1" a="1"/>
  <c r="Y754" i="11" s="1"/>
  <c r="AL754" i="11"/>
  <c r="W1495" i="11"/>
  <c r="AK1495" i="11"/>
  <c r="W1431" i="11"/>
  <c r="AK1431" i="11"/>
  <c r="W1367" i="11"/>
  <c r="AK1367" i="11"/>
  <c r="W1303" i="11"/>
  <c r="AK1303" i="11"/>
  <c r="W1239" i="11"/>
  <c r="AK1239" i="11"/>
  <c r="W1521" i="11"/>
  <c r="AK1521" i="11"/>
  <c r="W1457" i="11"/>
  <c r="AK1457" i="11"/>
  <c r="W1393" i="11"/>
  <c r="AK1393" i="11"/>
  <c r="W1329" i="11"/>
  <c r="AK1329" i="11"/>
  <c r="W1265" i="11"/>
  <c r="AK1265" i="11"/>
  <c r="W1201" i="11"/>
  <c r="AK1201" i="11"/>
  <c r="W1486" i="11"/>
  <c r="AK1486" i="11"/>
  <c r="W1422" i="11"/>
  <c r="AK1422" i="11"/>
  <c r="W1350" i="11"/>
  <c r="AK1350" i="11"/>
  <c r="W1286" i="11"/>
  <c r="AK1286" i="11"/>
  <c r="X963" i="11"/>
  <c r="AL963" i="11"/>
  <c r="X931" i="11"/>
  <c r="AL931" i="11"/>
  <c r="X899" i="11"/>
  <c r="AL899" i="11"/>
  <c r="X867" i="11"/>
  <c r="AL867" i="11"/>
  <c r="X835" i="11"/>
  <c r="AL835" i="11"/>
  <c r="X803" i="11"/>
  <c r="AL803" i="11"/>
  <c r="X771" i="11"/>
  <c r="AL771" i="11"/>
  <c r="X739" i="11"/>
  <c r="AL739" i="11"/>
  <c r="X707" i="11"/>
  <c r="AL707" i="11"/>
  <c r="X675" i="11"/>
  <c r="AL675" i="11"/>
  <c r="X643" i="11"/>
  <c r="AL643" i="11"/>
  <c r="X611" i="11"/>
  <c r="AL611" i="11"/>
  <c r="X579" i="11"/>
  <c r="AL579" i="11"/>
  <c r="X539" i="11"/>
  <c r="AL539" i="11"/>
  <c r="X507" i="11"/>
  <c r="AL507" i="11"/>
  <c r="X475" i="11"/>
  <c r="AL475" i="11"/>
  <c r="X443" i="11"/>
  <c r="AL443" i="11"/>
  <c r="X411" i="11"/>
  <c r="AL411" i="11"/>
  <c r="X379" i="11"/>
  <c r="AL379" i="11"/>
  <c r="X347" i="11"/>
  <c r="AL347" i="11"/>
  <c r="X299" i="11"/>
  <c r="AL299" i="11"/>
  <c r="X267" i="11"/>
  <c r="AL267" i="11"/>
  <c r="X235" i="11"/>
  <c r="AL235" i="11"/>
  <c r="X195" i="11"/>
  <c r="AL195" i="11"/>
  <c r="X131" i="11"/>
  <c r="AL131" i="11"/>
  <c r="X99" i="11"/>
  <c r="AL99" i="11"/>
  <c r="X67" i="11"/>
  <c r="AL67" i="11"/>
  <c r="X27" i="11"/>
  <c r="AL27" i="11"/>
  <c r="W1478" i="11"/>
  <c r="AK1478" i="11"/>
  <c r="W1414" i="11"/>
  <c r="AK1414" i="11"/>
  <c r="W1342" i="11"/>
  <c r="AK1342" i="11"/>
  <c r="W1278" i="11"/>
  <c r="AK1278" i="11"/>
  <c r="X1238" i="11"/>
  <c r="AL1238" i="11"/>
  <c r="X1206" i="11"/>
  <c r="AL1206" i="11"/>
  <c r="X1174" i="11"/>
  <c r="AL1174" i="11"/>
  <c r="X1142" i="11"/>
  <c r="AL1142" i="11"/>
  <c r="X1110" i="11"/>
  <c r="AL1110" i="11"/>
  <c r="X1078" i="11"/>
  <c r="AL1078" i="11"/>
  <c r="X1014" i="11"/>
  <c r="AL1014" i="11"/>
  <c r="X189" i="11"/>
  <c r="AL189" i="11"/>
  <c r="X1376" i="11"/>
  <c r="AL1376" i="11"/>
  <c r="X1336" i="11"/>
  <c r="AL1336" i="11"/>
  <c r="X1224" i="11"/>
  <c r="AL1224" i="11"/>
  <c r="X1136" i="11"/>
  <c r="AL1136" i="11"/>
  <c r="X1032" i="11"/>
  <c r="AL1032" i="11"/>
  <c r="X706" i="11"/>
  <c r="AL706" i="11"/>
  <c r="X602" i="11"/>
  <c r="AL602" i="11"/>
  <c r="X522" i="11"/>
  <c r="AL522" i="11"/>
  <c r="X442" i="11"/>
  <c r="AL442" i="11"/>
  <c r="X362" i="11"/>
  <c r="AL362" i="11"/>
  <c r="X210" i="11"/>
  <c r="AL210" i="11"/>
  <c r="X114" i="11"/>
  <c r="AL114" i="11"/>
  <c r="X1397" i="11"/>
  <c r="AL1397" i="11"/>
  <c r="X1237" i="11"/>
  <c r="AL1237" i="11"/>
  <c r="X1186" i="11"/>
  <c r="AL1186" i="11"/>
  <c r="X556" i="11"/>
  <c r="AL556" i="11"/>
  <c r="X372" i="11"/>
  <c r="AL372" i="11"/>
  <c r="X276" i="11"/>
  <c r="AL276" i="11"/>
  <c r="X188" i="11"/>
  <c r="AL188" i="11"/>
  <c r="X44" i="11"/>
  <c r="AL44" i="11"/>
  <c r="X1079" i="11"/>
  <c r="AL1079" i="11"/>
  <c r="X472" i="11"/>
  <c r="AL472" i="11"/>
  <c r="X440" i="11"/>
  <c r="AL440" i="11"/>
  <c r="X400" i="11"/>
  <c r="AL400" i="11"/>
  <c r="X360" i="11"/>
  <c r="AL360" i="11"/>
  <c r="X328" i="11"/>
  <c r="AL328" i="11"/>
  <c r="X296" i="11"/>
  <c r="AL296" i="11"/>
  <c r="X264" i="11"/>
  <c r="AL264" i="11"/>
  <c r="X232" i="11"/>
  <c r="AL232" i="11"/>
  <c r="X200" i="11"/>
  <c r="AL200" i="11"/>
  <c r="X168" i="11"/>
  <c r="AL168" i="11"/>
  <c r="X136" i="11"/>
  <c r="AL136" i="11"/>
  <c r="X104" i="11"/>
  <c r="AL104" i="11"/>
  <c r="X72" i="11"/>
  <c r="AL72" i="11"/>
  <c r="X40" i="11"/>
  <c r="AL40" i="11"/>
  <c r="X1515" i="11"/>
  <c r="AL1515" i="11"/>
  <c r="X1483" i="11"/>
  <c r="AL1483" i="11"/>
  <c r="X1451" i="11"/>
  <c r="AL1451" i="11"/>
  <c r="X1355" i="11"/>
  <c r="AL1355" i="11"/>
  <c r="X1323" i="11"/>
  <c r="AL1323" i="11"/>
  <c r="X1291" i="11"/>
  <c r="AL1291" i="11"/>
  <c r="X1259" i="11"/>
  <c r="AL1259" i="11"/>
  <c r="X1227" i="11"/>
  <c r="AL1227" i="11"/>
  <c r="X1195" i="11"/>
  <c r="AL1195" i="11"/>
  <c r="X1163" i="11"/>
  <c r="AL1163" i="11"/>
  <c r="X1131" i="11"/>
  <c r="AL1131" i="11"/>
  <c r="X1099" i="11"/>
  <c r="AL1099" i="11"/>
  <c r="X1067" i="11"/>
  <c r="AL1067" i="11"/>
  <c r="X1027" i="11"/>
  <c r="AL1027" i="11"/>
  <c r="X197" i="11"/>
  <c r="AL197" i="11"/>
  <c r="X1496" i="11"/>
  <c r="AL1496" i="11"/>
  <c r="X1432" i="11"/>
  <c r="AL1432" i="11"/>
  <c r="X1320" i="11"/>
  <c r="AL1320" i="11"/>
  <c r="X1272" i="11"/>
  <c r="AL1272" i="11"/>
  <c r="X1152" i="11"/>
  <c r="AL1152" i="11"/>
  <c r="X1072" i="11"/>
  <c r="AL1072" i="11"/>
  <c r="X674" i="11"/>
  <c r="AL674" i="11"/>
  <c r="X570" i="11"/>
  <c r="AL570" i="11"/>
  <c r="X506" i="11"/>
  <c r="AL506" i="11"/>
  <c r="X402" i="11"/>
  <c r="AL402" i="11"/>
  <c r="X290" i="11"/>
  <c r="AL290" i="11"/>
  <c r="X26" i="11"/>
  <c r="AL26" i="11"/>
  <c r="X1245" i="11"/>
  <c r="AL1245" i="11"/>
  <c r="X1314" i="11"/>
  <c r="AL1314" i="11"/>
  <c r="X1202" i="11"/>
  <c r="AL1202" i="11"/>
  <c r="X1122" i="11"/>
  <c r="AL1122" i="11"/>
  <c r="X412" i="11"/>
  <c r="AL412" i="11"/>
  <c r="X268" i="11"/>
  <c r="AL268" i="11"/>
  <c r="X116" i="11"/>
  <c r="AL116" i="11"/>
  <c r="X1207" i="11"/>
  <c r="AL1207" i="11"/>
  <c r="X1165" i="11"/>
  <c r="AL1165" i="11"/>
  <c r="X596" i="11"/>
  <c r="AL596" i="11"/>
  <c r="X1015" i="11"/>
  <c r="AL1015" i="11"/>
  <c r="X444" i="11"/>
  <c r="AL444" i="11"/>
  <c r="X583" i="11"/>
  <c r="AL583" i="11"/>
  <c r="X535" i="11"/>
  <c r="AL535" i="11"/>
  <c r="X503" i="11"/>
  <c r="AL503" i="11"/>
  <c r="X471" i="11"/>
  <c r="AL471" i="11"/>
  <c r="X439" i="11"/>
  <c r="AL439" i="11"/>
  <c r="X407" i="11"/>
  <c r="AL407" i="11"/>
  <c r="X375" i="11"/>
  <c r="AL375" i="11"/>
  <c r="X343" i="11"/>
  <c r="AL343" i="11"/>
  <c r="X303" i="11"/>
  <c r="AL303" i="11"/>
  <c r="X271" i="11"/>
  <c r="AL271" i="11"/>
  <c r="X239" i="11"/>
  <c r="AL239" i="11"/>
  <c r="X199" i="11"/>
  <c r="AL199" i="11"/>
  <c r="X159" i="11"/>
  <c r="AL159" i="11"/>
  <c r="X119" i="11"/>
  <c r="AL119" i="11"/>
  <c r="X87" i="11"/>
  <c r="AL87" i="11"/>
  <c r="X55" i="11"/>
  <c r="AL55" i="11"/>
  <c r="X23" i="11"/>
  <c r="AL23" i="11"/>
  <c r="X1498" i="11"/>
  <c r="AL1498" i="11"/>
  <c r="X1458" i="11"/>
  <c r="AL1458" i="11"/>
  <c r="X1426" i="11"/>
  <c r="AL1426" i="11"/>
  <c r="X1386" i="11"/>
  <c r="AL1386" i="11"/>
  <c r="X644" i="11"/>
  <c r="AL644" i="11"/>
  <c r="X1183" i="11"/>
  <c r="AL1183" i="11"/>
  <c r="X828" i="11"/>
  <c r="AL828" i="11"/>
  <c r="X796" i="11"/>
  <c r="AL796" i="11"/>
  <c r="X764" i="11"/>
  <c r="AL764" i="11"/>
  <c r="X684" i="11"/>
  <c r="AL684" i="11"/>
  <c r="X220" i="11"/>
  <c r="AL220" i="11"/>
  <c r="X345" i="11"/>
  <c r="AL345" i="11"/>
  <c r="X305" i="11"/>
  <c r="AL305" i="11"/>
  <c r="X273" i="11"/>
  <c r="AL273" i="11"/>
  <c r="X233" i="11"/>
  <c r="AL233" i="11"/>
  <c r="X193" i="11"/>
  <c r="AL193" i="11"/>
  <c r="X145" i="11"/>
  <c r="AL145" i="11"/>
  <c r="X97" i="11"/>
  <c r="AL97" i="11"/>
  <c r="X65" i="11"/>
  <c r="AL65" i="11"/>
  <c r="X33" i="11"/>
  <c r="AL33" i="11"/>
  <c r="X1492" i="11"/>
  <c r="AL1492" i="11"/>
  <c r="X1460" i="11"/>
  <c r="AL1460" i="11"/>
  <c r="X1428" i="11"/>
  <c r="AL1428" i="11"/>
  <c r="X1396" i="11"/>
  <c r="AL1396" i="11"/>
  <c r="X1364" i="11"/>
  <c r="AL1364" i="11"/>
  <c r="X1332" i="11"/>
  <c r="AL1332" i="11"/>
  <c r="X1300" i="11"/>
  <c r="AL1300" i="11"/>
  <c r="X1268" i="11"/>
  <c r="AL1268" i="11"/>
  <c r="X1236" i="11"/>
  <c r="AL1236" i="11"/>
  <c r="X1204" i="11"/>
  <c r="AL1204" i="11"/>
  <c r="X1172" i="11"/>
  <c r="AL1172" i="11"/>
  <c r="X1140" i="11"/>
  <c r="AL1140" i="11"/>
  <c r="X1108" i="11"/>
  <c r="AL1108" i="11"/>
  <c r="X1076" i="11"/>
  <c r="AL1076" i="11"/>
  <c r="X1044" i="11"/>
  <c r="AL1044" i="11"/>
  <c r="X7" i="11"/>
  <c r="AL7" i="11"/>
  <c r="X258" i="11"/>
  <c r="AL258" i="11"/>
  <c r="X154" i="11"/>
  <c r="AL154" i="11"/>
  <c r="X42" i="11"/>
  <c r="AL42" i="11"/>
  <c r="X1365" i="11"/>
  <c r="AL1365" i="11"/>
  <c r="X1277" i="11"/>
  <c r="AL1277" i="11"/>
  <c r="X1133" i="11"/>
  <c r="AL1133" i="11"/>
  <c r="X1330" i="11"/>
  <c r="AL1330" i="11"/>
  <c r="X1194" i="11"/>
  <c r="AL1194" i="11"/>
  <c r="X548" i="11"/>
  <c r="AL548" i="11"/>
  <c r="X396" i="11"/>
  <c r="AL396" i="11"/>
  <c r="X332" i="11"/>
  <c r="AL332" i="11"/>
  <c r="X60" i="11"/>
  <c r="AL60" i="11"/>
  <c r="X1175" i="11"/>
  <c r="AL1175" i="11"/>
  <c r="W1470" i="11"/>
  <c r="AK1470" i="11"/>
  <c r="W1398" i="11"/>
  <c r="AK1398" i="11"/>
  <c r="W1334" i="11"/>
  <c r="AK1334" i="11"/>
  <c r="W1270" i="11"/>
  <c r="AK1270" i="11"/>
  <c r="X1071" i="11"/>
  <c r="AL1071" i="11"/>
  <c r="X955" i="11"/>
  <c r="AL955" i="11"/>
  <c r="X923" i="11"/>
  <c r="AL923" i="11"/>
  <c r="X891" i="11"/>
  <c r="AL891" i="11"/>
  <c r="X859" i="11"/>
  <c r="AL859" i="11"/>
  <c r="X827" i="11"/>
  <c r="AL827" i="11"/>
  <c r="X795" i="11"/>
  <c r="AL795" i="11"/>
  <c r="X763" i="11"/>
  <c r="AL763" i="11"/>
  <c r="X731" i="11"/>
  <c r="AL731" i="11"/>
  <c r="X699" i="11"/>
  <c r="AL699" i="11"/>
  <c r="X667" i="11"/>
  <c r="AL667" i="11"/>
  <c r="X635" i="11"/>
  <c r="AL635" i="11"/>
  <c r="X603" i="11"/>
  <c r="AL603" i="11"/>
  <c r="X571" i="11"/>
  <c r="AL571" i="11"/>
  <c r="X531" i="11"/>
  <c r="AL531" i="11"/>
  <c r="X499" i="11"/>
  <c r="AL499" i="11"/>
  <c r="X467" i="11"/>
  <c r="AL467" i="11"/>
  <c r="X435" i="11"/>
  <c r="AL435" i="11"/>
  <c r="X403" i="11"/>
  <c r="AL403" i="11"/>
  <c r="X371" i="11"/>
  <c r="AL371" i="11"/>
  <c r="X339" i="11"/>
  <c r="AL339" i="11"/>
  <c r="X291" i="11"/>
  <c r="AL291" i="11"/>
  <c r="X259" i="11"/>
  <c r="AL259" i="11"/>
  <c r="X227" i="11"/>
  <c r="AL227" i="11"/>
  <c r="X179" i="11"/>
  <c r="AL179" i="11"/>
  <c r="X123" i="11"/>
  <c r="AL123" i="11"/>
  <c r="X91" i="11"/>
  <c r="AL91" i="11"/>
  <c r="X59" i="11"/>
  <c r="AL59" i="11"/>
  <c r="X19" i="11"/>
  <c r="AL19" i="11"/>
  <c r="W1462" i="11"/>
  <c r="AK1462" i="11"/>
  <c r="W1390" i="11"/>
  <c r="AK1390" i="11"/>
  <c r="W1326" i="11"/>
  <c r="AK1326" i="11"/>
  <c r="W1262" i="11"/>
  <c r="AK1262" i="11"/>
  <c r="X1230" i="11"/>
  <c r="AL1230" i="11"/>
  <c r="X1198" i="11"/>
  <c r="AL1198" i="11"/>
  <c r="X1166" i="11"/>
  <c r="AL1166" i="11"/>
  <c r="X1134" i="11"/>
  <c r="AL1134" i="11"/>
  <c r="X1102" i="11"/>
  <c r="AL1102" i="11"/>
  <c r="X1070" i="11"/>
  <c r="AL1070" i="11"/>
  <c r="X9" i="11"/>
  <c r="AL9" i="11"/>
  <c r="X165" i="11"/>
  <c r="AL165" i="11"/>
  <c r="X1368" i="11"/>
  <c r="AL1368" i="11"/>
  <c r="X1328" i="11"/>
  <c r="AL1328" i="11"/>
  <c r="X1216" i="11"/>
  <c r="AL1216" i="11"/>
  <c r="X1096" i="11"/>
  <c r="AL1096" i="11"/>
  <c r="X1016" i="11"/>
  <c r="AL1016" i="11"/>
  <c r="X690" i="11"/>
  <c r="AL690" i="11"/>
  <c r="X578" i="11"/>
  <c r="AL578" i="11"/>
  <c r="X498" i="11"/>
  <c r="AL498" i="11"/>
  <c r="X434" i="11"/>
  <c r="AL434" i="11"/>
  <c r="X354" i="11"/>
  <c r="AL354" i="11"/>
  <c r="X194" i="11"/>
  <c r="AL194" i="11"/>
  <c r="X82" i="11"/>
  <c r="AL82" i="11"/>
  <c r="X1285" i="11"/>
  <c r="AL1285" i="11"/>
  <c r="X1221" i="11"/>
  <c r="AL1221" i="11"/>
  <c r="X1130" i="11"/>
  <c r="AL1130" i="11"/>
  <c r="X540" i="11"/>
  <c r="AL540" i="11"/>
  <c r="X356" i="11"/>
  <c r="AL356" i="11"/>
  <c r="X244" i="11"/>
  <c r="AL244" i="11"/>
  <c r="X156" i="11"/>
  <c r="AL156" i="11"/>
  <c r="X1167" i="11"/>
  <c r="AL1167" i="11"/>
  <c r="X1063" i="11"/>
  <c r="AL1063" i="11"/>
  <c r="X464" i="11"/>
  <c r="AL464" i="11"/>
  <c r="X432" i="11"/>
  <c r="AL432" i="11"/>
  <c r="X392" i="11"/>
  <c r="AL392" i="11"/>
  <c r="X352" i="11"/>
  <c r="AL352" i="11"/>
  <c r="X320" i="11"/>
  <c r="AL320" i="11"/>
  <c r="X288" i="11"/>
  <c r="AL288" i="11"/>
  <c r="X256" i="11"/>
  <c r="AL256" i="11"/>
  <c r="X224" i="11"/>
  <c r="AL224" i="11"/>
  <c r="X192" i="11"/>
  <c r="AL192" i="11"/>
  <c r="X160" i="11"/>
  <c r="AL160" i="11"/>
  <c r="X128" i="11"/>
  <c r="AL128" i="11"/>
  <c r="X96" i="11"/>
  <c r="AL96" i="11"/>
  <c r="X64" i="11"/>
  <c r="AL64" i="11"/>
  <c r="X32" i="11"/>
  <c r="AL32" i="11"/>
  <c r="X1507" i="11"/>
  <c r="AL1507" i="11"/>
  <c r="X1475" i="11"/>
  <c r="AL1475" i="11"/>
  <c r="X1379" i="11"/>
  <c r="AL1379" i="11"/>
  <c r="X1347" i="11"/>
  <c r="AL1347" i="11"/>
  <c r="X1315" i="11"/>
  <c r="AL1315" i="11"/>
  <c r="X1283" i="11"/>
  <c r="AL1283" i="11"/>
  <c r="X1251" i="11"/>
  <c r="AL1251" i="11"/>
  <c r="X1219" i="11"/>
  <c r="AL1219" i="11"/>
  <c r="X1187" i="11"/>
  <c r="AL1187" i="11"/>
  <c r="X1155" i="11"/>
  <c r="AL1155" i="11"/>
  <c r="X1123" i="11"/>
  <c r="AL1123" i="11"/>
  <c r="X1091" i="11"/>
  <c r="AL1091" i="11"/>
  <c r="X1059" i="11"/>
  <c r="AL1059" i="11"/>
  <c r="X1019" i="11"/>
  <c r="AL1019" i="11"/>
  <c r="X181" i="11"/>
  <c r="AL181" i="11"/>
  <c r="X1480" i="11"/>
  <c r="AL1480" i="11"/>
  <c r="X1416" i="11"/>
  <c r="AL1416" i="11"/>
  <c r="X1312" i="11"/>
  <c r="AL1312" i="11"/>
  <c r="X1256" i="11"/>
  <c r="AL1256" i="11"/>
  <c r="X1112" i="11"/>
  <c r="AL1112" i="11"/>
  <c r="X1056" i="11"/>
  <c r="AL1056" i="11"/>
  <c r="X650" i="11"/>
  <c r="AL650" i="11"/>
  <c r="X546" i="11"/>
  <c r="AL546" i="11"/>
  <c r="X490" i="11"/>
  <c r="AL490" i="11"/>
  <c r="X378" i="11"/>
  <c r="AL378" i="11"/>
  <c r="X274" i="11"/>
  <c r="AL274" i="11"/>
  <c r="X1357" i="11"/>
  <c r="AL1357" i="11"/>
  <c r="X1205" i="11"/>
  <c r="AL1205" i="11"/>
  <c r="X1250" i="11"/>
  <c r="AL1250" i="11"/>
  <c r="X1170" i="11"/>
  <c r="AL1170" i="11"/>
  <c r="X1074" i="11"/>
  <c r="AL1074" i="11"/>
  <c r="X388" i="11"/>
  <c r="AL388" i="11"/>
  <c r="X236" i="11"/>
  <c r="AL236" i="11"/>
  <c r="X100" i="11"/>
  <c r="AL100" i="11"/>
  <c r="X1087" i="11"/>
  <c r="AL1087" i="11"/>
  <c r="X1029" i="11"/>
  <c r="AL1029" i="11"/>
  <c r="X500" i="11"/>
  <c r="AL500" i="11"/>
  <c r="X1258" i="11"/>
  <c r="AL1258" i="11"/>
  <c r="X260" i="11"/>
  <c r="AL260" i="11"/>
  <c r="X567" i="11"/>
  <c r="AL567" i="11"/>
  <c r="X527" i="11"/>
  <c r="AL527" i="11"/>
  <c r="X495" i="11"/>
  <c r="AL495" i="11"/>
  <c r="X463" i="11"/>
  <c r="AL463" i="11"/>
  <c r="X431" i="11"/>
  <c r="AL431" i="11"/>
  <c r="X399" i="11"/>
  <c r="AL399" i="11"/>
  <c r="X367" i="11"/>
  <c r="AL367" i="11"/>
  <c r="X335" i="11"/>
  <c r="AL335" i="11"/>
  <c r="X295" i="11"/>
  <c r="AL295" i="11"/>
  <c r="X263" i="11"/>
  <c r="AL263" i="11"/>
  <c r="X223" i="11"/>
  <c r="AL223" i="11"/>
  <c r="X191" i="11"/>
  <c r="AL191" i="11"/>
  <c r="X151" i="11"/>
  <c r="AL151" i="11"/>
  <c r="X111" i="11"/>
  <c r="AL111" i="11"/>
  <c r="X79" i="11"/>
  <c r="AL79" i="11"/>
  <c r="X47" i="11"/>
  <c r="AL47" i="11"/>
  <c r="X15" i="11"/>
  <c r="AL15" i="11"/>
  <c r="X1490" i="11"/>
  <c r="AL1490" i="11"/>
  <c r="X1450" i="11"/>
  <c r="AL1450" i="11"/>
  <c r="X1410" i="11"/>
  <c r="AL1410" i="11"/>
  <c r="X1370" i="11"/>
  <c r="AL1370" i="11"/>
  <c r="X572" i="11"/>
  <c r="AL572" i="11"/>
  <c r="X852" i="11"/>
  <c r="AL852" i="11"/>
  <c r="X820" i="11"/>
  <c r="AL820" i="11"/>
  <c r="X788" i="11"/>
  <c r="AL788" i="11"/>
  <c r="X756" i="11"/>
  <c r="AL756" i="11"/>
  <c r="X676" i="11"/>
  <c r="AL676" i="11"/>
  <c r="X164" i="11"/>
  <c r="AL164" i="11"/>
  <c r="X337" i="11"/>
  <c r="AL337" i="11"/>
  <c r="X297" i="11"/>
  <c r="AL297" i="11"/>
  <c r="X257" i="11"/>
  <c r="AL257" i="11"/>
  <c r="X225" i="11"/>
  <c r="AL225" i="11"/>
  <c r="X177" i="11"/>
  <c r="AL177" i="11"/>
  <c r="X129" i="11"/>
  <c r="AL129" i="11"/>
  <c r="X89" i="11"/>
  <c r="AL89" i="11"/>
  <c r="X57" i="11"/>
  <c r="AL57" i="11"/>
  <c r="X25" i="11"/>
  <c r="AL25" i="11"/>
  <c r="X1484" i="11"/>
  <c r="AL1484" i="11"/>
  <c r="X1452" i="11"/>
  <c r="AL1452" i="11"/>
  <c r="X1420" i="11"/>
  <c r="AL1420" i="11"/>
  <c r="X1388" i="11"/>
  <c r="AL1388" i="11"/>
  <c r="X1356" i="11"/>
  <c r="AL1356" i="11"/>
  <c r="X1324" i="11"/>
  <c r="AL1324" i="11"/>
  <c r="X1292" i="11"/>
  <c r="AL1292" i="11"/>
  <c r="X1260" i="11"/>
  <c r="AL1260" i="11"/>
  <c r="X1228" i="11"/>
  <c r="AL1228" i="11"/>
  <c r="X1196" i="11"/>
  <c r="AL1196" i="11"/>
  <c r="X1164" i="11"/>
  <c r="AL1164" i="11"/>
  <c r="X1132" i="11"/>
  <c r="AL1132" i="11"/>
  <c r="X1100" i="11"/>
  <c r="AL1100" i="11"/>
  <c r="X1068" i="11"/>
  <c r="AL1068" i="11"/>
  <c r="X1036" i="11"/>
  <c r="AL1036" i="11"/>
  <c r="X346" i="11"/>
  <c r="AL346" i="11"/>
  <c r="X250" i="11"/>
  <c r="AL250" i="11"/>
  <c r="X138" i="11"/>
  <c r="AL138" i="11"/>
  <c r="X1405" i="11"/>
  <c r="AL1405" i="11"/>
  <c r="X1349" i="11"/>
  <c r="AL1349" i="11"/>
  <c r="X1253" i="11"/>
  <c r="AL1253" i="11"/>
  <c r="X8" i="11"/>
  <c r="AL8" i="11"/>
  <c r="X1290" i="11"/>
  <c r="AL1290" i="11"/>
  <c r="X1162" i="11"/>
  <c r="AL1162" i="11"/>
  <c r="X468" i="11"/>
  <c r="AL468" i="11"/>
  <c r="X380" i="11"/>
  <c r="AL380" i="11"/>
  <c r="X140" i="11"/>
  <c r="AL140" i="11"/>
  <c r="X36" i="11"/>
  <c r="AL36" i="11"/>
  <c r="X1119" i="11"/>
  <c r="AL1119" i="11"/>
  <c r="W1518" i="11"/>
  <c r="AK1518" i="11"/>
  <c r="W1454" i="11"/>
  <c r="AK1454" i="11"/>
  <c r="W1382" i="11"/>
  <c r="AK1382" i="11"/>
  <c r="W1318" i="11"/>
  <c r="AK1318" i="11"/>
  <c r="W823" i="11"/>
  <c r="AK823" i="11"/>
  <c r="W759" i="11"/>
  <c r="AK759" i="11"/>
  <c r="W695" i="11"/>
  <c r="AK695" i="11"/>
  <c r="W631" i="11"/>
  <c r="AK631" i="11"/>
  <c r="W1501" i="11"/>
  <c r="AK1501" i="11"/>
  <c r="W1437" i="11"/>
  <c r="AK1437" i="11"/>
  <c r="W921" i="11"/>
  <c r="AK921" i="11"/>
  <c r="W857" i="11"/>
  <c r="AK857" i="11"/>
  <c r="W769" i="11"/>
  <c r="AK769" i="11"/>
  <c r="W705" i="11"/>
  <c r="AK705" i="11"/>
  <c r="W641" i="11"/>
  <c r="AK641" i="11"/>
  <c r="W577" i="11"/>
  <c r="AK577" i="11"/>
  <c r="W505" i="11"/>
  <c r="AK505" i="11"/>
  <c r="W441" i="11"/>
  <c r="AK441" i="11"/>
  <c r="W377" i="11"/>
  <c r="AK377" i="11"/>
  <c r="X938" i="11"/>
  <c r="Y938" i="11" s="1" a="1"/>
  <c r="Y938" i="11" s="1"/>
  <c r="AL938" i="11"/>
  <c r="X850" i="11"/>
  <c r="Y850" i="11" s="1" a="1"/>
  <c r="Y850" i="11" s="1"/>
  <c r="AL850" i="11"/>
  <c r="X778" i="11"/>
  <c r="Y778" i="11" s="1" a="1"/>
  <c r="Y778" i="11" s="1"/>
  <c r="AL778" i="11"/>
  <c r="W1519" i="11"/>
  <c r="AK1519" i="11"/>
  <c r="W1455" i="11"/>
  <c r="AK1455" i="11"/>
  <c r="W1391" i="11"/>
  <c r="AK1391" i="11"/>
  <c r="W1327" i="11"/>
  <c r="AK1327" i="11"/>
  <c r="W1263" i="11"/>
  <c r="AK1263" i="11"/>
  <c r="W1481" i="11"/>
  <c r="AK1481" i="11"/>
  <c r="X494" i="11"/>
  <c r="AL494" i="11"/>
  <c r="X462" i="11"/>
  <c r="AL462" i="11"/>
  <c r="X430" i="11"/>
  <c r="AL430" i="11"/>
  <c r="X398" i="11"/>
  <c r="AL398" i="11"/>
  <c r="X366" i="11"/>
  <c r="AL366" i="11"/>
  <c r="X334" i="11"/>
  <c r="AL334" i="11"/>
  <c r="X302" i="11"/>
  <c r="AL302" i="11"/>
  <c r="X270" i="11"/>
  <c r="AL270" i="11"/>
  <c r="X238" i="11"/>
  <c r="AL238" i="11"/>
  <c r="X206" i="11"/>
  <c r="AL206" i="11"/>
  <c r="X174" i="11"/>
  <c r="AL174" i="11"/>
  <c r="X142" i="11"/>
  <c r="AL142" i="11"/>
  <c r="X110" i="11"/>
  <c r="AL110" i="11"/>
  <c r="X78" i="11"/>
  <c r="AL78" i="11"/>
  <c r="X46" i="11"/>
  <c r="AL46" i="11"/>
  <c r="W1417" i="11"/>
  <c r="AK1417" i="11"/>
  <c r="W1353" i="11"/>
  <c r="AK1353" i="11"/>
  <c r="W1289" i="11"/>
  <c r="AK1289" i="11"/>
  <c r="W1225" i="11"/>
  <c r="AK1225" i="11"/>
  <c r="W1145" i="11"/>
  <c r="AK1145" i="11"/>
  <c r="X1089" i="11"/>
  <c r="AL1089" i="11"/>
  <c r="X1033" i="11"/>
  <c r="AL1033" i="11"/>
  <c r="X157" i="11"/>
  <c r="AL157" i="11"/>
  <c r="X1472" i="11"/>
  <c r="AL1472" i="11"/>
  <c r="X1392" i="11"/>
  <c r="AL1392" i="11"/>
  <c r="X1208" i="11"/>
  <c r="AL1208" i="11"/>
  <c r="X1144" i="11"/>
  <c r="AL1144" i="11"/>
  <c r="X1048" i="11"/>
  <c r="AL1048" i="11"/>
  <c r="X618" i="11"/>
  <c r="AL618" i="11"/>
  <c r="X450" i="11"/>
  <c r="AL450" i="11"/>
  <c r="X338" i="11"/>
  <c r="AL338" i="11"/>
  <c r="X178" i="11"/>
  <c r="AL178" i="11"/>
  <c r="X58" i="11"/>
  <c r="AL58" i="11"/>
  <c r="X1317" i="11"/>
  <c r="AL1317" i="11"/>
  <c r="X1101" i="11"/>
  <c r="AL1101" i="11"/>
  <c r="X1021" i="11"/>
  <c r="AL1021" i="11"/>
  <c r="X1306" i="11"/>
  <c r="AL1306" i="11"/>
  <c r="X1178" i="11"/>
  <c r="AL1178" i="11"/>
  <c r="X1082" i="11"/>
  <c r="AL1082" i="11"/>
  <c r="X516" i="11"/>
  <c r="AL516" i="11"/>
  <c r="X300" i="11"/>
  <c r="AL300" i="11"/>
  <c r="X68" i="11"/>
  <c r="AL68" i="11"/>
  <c r="X1127" i="11"/>
  <c r="AL1127" i="11"/>
  <c r="X1055" i="11"/>
  <c r="AL1055" i="11"/>
  <c r="X947" i="11"/>
  <c r="AL947" i="11"/>
  <c r="X915" i="11"/>
  <c r="AL915" i="11"/>
  <c r="X883" i="11"/>
  <c r="AL883" i="11"/>
  <c r="X851" i="11"/>
  <c r="AL851" i="11"/>
  <c r="X819" i="11"/>
  <c r="AL819" i="11"/>
  <c r="X787" i="11"/>
  <c r="AL787" i="11"/>
  <c r="X755" i="11"/>
  <c r="AL755" i="11"/>
  <c r="X723" i="11"/>
  <c r="AL723" i="11"/>
  <c r="X691" i="11"/>
  <c r="AL691" i="11"/>
  <c r="X659" i="11"/>
  <c r="AL659" i="11"/>
  <c r="X627" i="11"/>
  <c r="AL627" i="11"/>
  <c r="X595" i="11"/>
  <c r="AL595" i="11"/>
  <c r="X555" i="11"/>
  <c r="AL555" i="11"/>
  <c r="X523" i="11"/>
  <c r="AL523" i="11"/>
  <c r="X491" i="11"/>
  <c r="AL491" i="11"/>
  <c r="X459" i="11"/>
  <c r="AL459" i="11"/>
  <c r="X427" i="11"/>
  <c r="AL427" i="11"/>
  <c r="X395" i="11"/>
  <c r="AL395" i="11"/>
  <c r="X363" i="11"/>
  <c r="AL363" i="11"/>
  <c r="X331" i="11"/>
  <c r="AL331" i="11"/>
  <c r="X283" i="11"/>
  <c r="AL283" i="11"/>
  <c r="X251" i="11"/>
  <c r="AL251" i="11"/>
  <c r="X219" i="11"/>
  <c r="AL219" i="11"/>
  <c r="X163" i="11"/>
  <c r="AL163" i="11"/>
  <c r="X115" i="11"/>
  <c r="AL115" i="11"/>
  <c r="X83" i="11"/>
  <c r="AL83" i="11"/>
  <c r="X43" i="11"/>
  <c r="AL43" i="11"/>
  <c r="W1510" i="11"/>
  <c r="AK1510" i="11"/>
  <c r="W1446" i="11"/>
  <c r="AK1446" i="11"/>
  <c r="W1374" i="11"/>
  <c r="AK1374" i="11"/>
  <c r="W1310" i="11"/>
  <c r="AK1310" i="11"/>
  <c r="X1254" i="11"/>
  <c r="AL1254" i="11"/>
  <c r="X1222" i="11"/>
  <c r="AL1222" i="11"/>
  <c r="X1190" i="11"/>
  <c r="AL1190" i="11"/>
  <c r="X1158" i="11"/>
  <c r="AL1158" i="11"/>
  <c r="X1126" i="11"/>
  <c r="AL1126" i="11"/>
  <c r="X1094" i="11"/>
  <c r="AL1094" i="11"/>
  <c r="X1038" i="11"/>
  <c r="AL1038" i="11"/>
  <c r="X6" i="11"/>
  <c r="AL6" i="11"/>
  <c r="X1448" i="11"/>
  <c r="AL1448" i="11"/>
  <c r="X1352" i="11"/>
  <c r="AL1352" i="11"/>
  <c r="X1280" i="11"/>
  <c r="AL1280" i="11"/>
  <c r="X1168" i="11"/>
  <c r="AL1168" i="11"/>
  <c r="X1064" i="11"/>
  <c r="AL1064" i="11"/>
  <c r="X642" i="11"/>
  <c r="AL642" i="11"/>
  <c r="X562" i="11"/>
  <c r="AL562" i="11"/>
  <c r="X474" i="11"/>
  <c r="AL474" i="11"/>
  <c r="X426" i="11"/>
  <c r="AL426" i="11"/>
  <c r="X282" i="11"/>
  <c r="AL282" i="11"/>
  <c r="X186" i="11"/>
  <c r="AL186" i="11"/>
  <c r="X50" i="11"/>
  <c r="AL50" i="11"/>
  <c r="X1269" i="11"/>
  <c r="AL1269" i="11"/>
  <c r="X1322" i="11"/>
  <c r="AL1322" i="11"/>
  <c r="X1042" i="11"/>
  <c r="AL1042" i="11"/>
  <c r="X476" i="11"/>
  <c r="AL476" i="11"/>
  <c r="X340" i="11"/>
  <c r="AL340" i="11"/>
  <c r="X228" i="11"/>
  <c r="AL228" i="11"/>
  <c r="X108" i="11"/>
  <c r="AL108" i="11"/>
  <c r="X1151" i="11"/>
  <c r="AL1151" i="11"/>
  <c r="X1023" i="11"/>
  <c r="AL1023" i="11"/>
  <c r="X456" i="11"/>
  <c r="AL456" i="11"/>
  <c r="X424" i="11"/>
  <c r="AL424" i="11"/>
  <c r="X384" i="11"/>
  <c r="AL384" i="11"/>
  <c r="X344" i="11"/>
  <c r="AL344" i="11"/>
  <c r="X312" i="11"/>
  <c r="AL312" i="11"/>
  <c r="X280" i="11"/>
  <c r="AL280" i="11"/>
  <c r="X248" i="11"/>
  <c r="AL248" i="11"/>
  <c r="X216" i="11"/>
  <c r="AL216" i="11"/>
  <c r="X184" i="11"/>
  <c r="AL184" i="11"/>
  <c r="X152" i="11"/>
  <c r="AL152" i="11"/>
  <c r="X120" i="11"/>
  <c r="AL120" i="11"/>
  <c r="X88" i="11"/>
  <c r="AL88" i="11"/>
  <c r="X56" i="11"/>
  <c r="AL56" i="11"/>
  <c r="X24" i="11"/>
  <c r="AL24" i="11"/>
  <c r="X1499" i="11"/>
  <c r="AL1499" i="11"/>
  <c r="X1467" i="11"/>
  <c r="AL1467" i="11"/>
  <c r="X1371" i="11"/>
  <c r="AL1371" i="11"/>
  <c r="X1339" i="11"/>
  <c r="AL1339" i="11"/>
  <c r="X1307" i="11"/>
  <c r="AL1307" i="11"/>
  <c r="X1275" i="11"/>
  <c r="AL1275" i="11"/>
  <c r="X1243" i="11"/>
  <c r="AL1243" i="11"/>
  <c r="X1211" i="11"/>
  <c r="AL1211" i="11"/>
  <c r="X1179" i="11"/>
  <c r="AL1179" i="11"/>
  <c r="X1147" i="11"/>
  <c r="AL1147" i="11"/>
  <c r="X1115" i="11"/>
  <c r="AL1115" i="11"/>
  <c r="X1083" i="11"/>
  <c r="AL1083" i="11"/>
  <c r="X1051" i="11"/>
  <c r="AL1051" i="11"/>
  <c r="X1011" i="11"/>
  <c r="AL1011" i="11"/>
  <c r="X173" i="11"/>
  <c r="AL173" i="11"/>
  <c r="X1464" i="11"/>
  <c r="AL1464" i="11"/>
  <c r="X1384" i="11"/>
  <c r="AL1384" i="11"/>
  <c r="X1296" i="11"/>
  <c r="AL1296" i="11"/>
  <c r="X1232" i="11"/>
  <c r="AL1232" i="11"/>
  <c r="X1104" i="11"/>
  <c r="AL1104" i="11"/>
  <c r="X730" i="11"/>
  <c r="AL730" i="11"/>
  <c r="X610" i="11"/>
  <c r="AL610" i="11"/>
  <c r="X538" i="11"/>
  <c r="AL538" i="11"/>
  <c r="X466" i="11"/>
  <c r="AL466" i="11"/>
  <c r="X330" i="11"/>
  <c r="AL330" i="11"/>
  <c r="X122" i="11"/>
  <c r="AL122" i="11"/>
  <c r="X1325" i="11"/>
  <c r="AL1325" i="11"/>
  <c r="X1117" i="11"/>
  <c r="AL1117" i="11"/>
  <c r="X1234" i="11"/>
  <c r="AL1234" i="11"/>
  <c r="X1154" i="11"/>
  <c r="AL1154" i="11"/>
  <c r="X1058" i="11"/>
  <c r="AL1058" i="11"/>
  <c r="X308" i="11"/>
  <c r="AL308" i="11"/>
  <c r="X196" i="11"/>
  <c r="AL196" i="11"/>
  <c r="X52" i="11"/>
  <c r="AL52" i="11"/>
  <c r="X1031" i="11"/>
  <c r="AL1031" i="11"/>
  <c r="X652" i="11"/>
  <c r="AL652" i="11"/>
  <c r="X180" i="11"/>
  <c r="AL180" i="11"/>
  <c r="X660" i="11"/>
  <c r="AL660" i="11"/>
  <c r="X204" i="11"/>
  <c r="AL204" i="11"/>
  <c r="X551" i="11"/>
  <c r="AL551" i="11"/>
  <c r="X519" i="11"/>
  <c r="AL519" i="11"/>
  <c r="X487" i="11"/>
  <c r="AL487" i="11"/>
  <c r="X455" i="11"/>
  <c r="AL455" i="11"/>
  <c r="X423" i="11"/>
  <c r="AL423" i="11"/>
  <c r="X391" i="11"/>
  <c r="AL391" i="11"/>
  <c r="X359" i="11"/>
  <c r="AL359" i="11"/>
  <c r="X319" i="11"/>
  <c r="AL319" i="11"/>
  <c r="X287" i="11"/>
  <c r="AL287" i="11"/>
  <c r="X255" i="11"/>
  <c r="AL255" i="11"/>
  <c r="X215" i="11"/>
  <c r="AL215" i="11"/>
  <c r="X183" i="11"/>
  <c r="AL183" i="11"/>
  <c r="X135" i="11"/>
  <c r="AL135" i="11"/>
  <c r="X103" i="11"/>
  <c r="AL103" i="11"/>
  <c r="X71" i="11"/>
  <c r="AL71" i="11"/>
  <c r="X39" i="11"/>
  <c r="AL39" i="11"/>
  <c r="X1514" i="11"/>
  <c r="AL1514" i="11"/>
  <c r="X1482" i="11"/>
  <c r="AL1482" i="11"/>
  <c r="X1442" i="11"/>
  <c r="AL1442" i="11"/>
  <c r="X1402" i="11"/>
  <c r="AL1402" i="11"/>
  <c r="X1242" i="11"/>
  <c r="AL1242" i="11"/>
  <c r="X508" i="11"/>
  <c r="AL508" i="11"/>
  <c r="X844" i="11"/>
  <c r="AL844" i="11"/>
  <c r="X812" i="11"/>
  <c r="AL812" i="11"/>
  <c r="X780" i="11"/>
  <c r="AL780" i="11"/>
  <c r="X748" i="11"/>
  <c r="AL748" i="11"/>
  <c r="X668" i="11"/>
  <c r="AL668" i="11"/>
  <c r="X361" i="11"/>
  <c r="AL361" i="11"/>
  <c r="X329" i="11"/>
  <c r="AL329" i="11"/>
  <c r="X289" i="11"/>
  <c r="AL289" i="11"/>
  <c r="X249" i="11"/>
  <c r="AL249" i="11"/>
  <c r="X217" i="11"/>
  <c r="AL217" i="11"/>
  <c r="X169" i="11"/>
  <c r="AL169" i="11"/>
  <c r="X121" i="11"/>
  <c r="AL121" i="11"/>
  <c r="X81" i="11"/>
  <c r="AL81" i="11"/>
  <c r="X49" i="11"/>
  <c r="AL49" i="11"/>
  <c r="X17" i="11"/>
  <c r="AL17" i="11"/>
  <c r="X1476" i="11"/>
  <c r="AL1476" i="11"/>
  <c r="X1444" i="11"/>
  <c r="AL1444" i="11"/>
  <c r="X1412" i="11"/>
  <c r="AL1412" i="11"/>
  <c r="X1380" i="11"/>
  <c r="AL1380" i="11"/>
  <c r="X1348" i="11"/>
  <c r="AL1348" i="11"/>
  <c r="X1316" i="11"/>
  <c r="AL1316" i="11"/>
  <c r="X1284" i="11"/>
  <c r="AL1284" i="11"/>
  <c r="X1252" i="11"/>
  <c r="AL1252" i="11"/>
  <c r="X1220" i="11"/>
  <c r="AL1220" i="11"/>
  <c r="X1188" i="11"/>
  <c r="AL1188" i="11"/>
  <c r="X1156" i="11"/>
  <c r="AL1156" i="11"/>
  <c r="X1124" i="11"/>
  <c r="AL1124" i="11"/>
  <c r="X1092" i="11"/>
  <c r="AL1092" i="11"/>
  <c r="X1060" i="11"/>
  <c r="AL1060" i="11"/>
  <c r="X1028" i="11"/>
  <c r="AL1028" i="11"/>
  <c r="X322" i="11"/>
  <c r="AL322" i="11"/>
  <c r="X202" i="11"/>
  <c r="AL202" i="11"/>
  <c r="X98" i="11"/>
  <c r="AL98" i="11"/>
  <c r="X1389" i="11"/>
  <c r="AL1389" i="11"/>
  <c r="X1333" i="11"/>
  <c r="AL1333" i="11"/>
  <c r="X1229" i="11"/>
  <c r="AL1229" i="11"/>
  <c r="X1362" i="11"/>
  <c r="AL1362" i="11"/>
  <c r="X1274" i="11"/>
  <c r="AL1274" i="11"/>
  <c r="X1106" i="11"/>
  <c r="AL1106" i="11"/>
  <c r="X452" i="11"/>
  <c r="AL452" i="11"/>
  <c r="X364" i="11"/>
  <c r="AL364" i="11"/>
  <c r="X124" i="11"/>
  <c r="AL124" i="11"/>
  <c r="X20" i="11"/>
  <c r="AL20" i="11"/>
  <c r="X1103" i="11"/>
  <c r="AL1103" i="11"/>
  <c r="W815" i="11"/>
  <c r="AK815" i="11"/>
  <c r="W751" i="11"/>
  <c r="AK751" i="11"/>
  <c r="W687" i="11"/>
  <c r="AK687" i="11"/>
  <c r="W623" i="11"/>
  <c r="AK623" i="11"/>
  <c r="W1493" i="11"/>
  <c r="AK1493" i="11"/>
  <c r="W1429" i="11"/>
  <c r="AK1429" i="11"/>
  <c r="W913" i="11"/>
  <c r="AK913" i="11"/>
  <c r="W849" i="11"/>
  <c r="AK849" i="11"/>
  <c r="W761" i="11"/>
  <c r="AK761" i="11"/>
  <c r="W697" i="11"/>
  <c r="AK697" i="11"/>
  <c r="W633" i="11"/>
  <c r="AK633" i="11"/>
  <c r="W569" i="11"/>
  <c r="AK569" i="11"/>
  <c r="W497" i="11"/>
  <c r="AK497" i="11"/>
  <c r="W433" i="11"/>
  <c r="AK433" i="11"/>
  <c r="W369" i="11"/>
  <c r="AK369" i="11"/>
  <c r="X914" i="11"/>
  <c r="Y914" i="11" s="1" a="1"/>
  <c r="Y914" i="11" s="1"/>
  <c r="AL914" i="11"/>
  <c r="X842" i="11"/>
  <c r="AL842" i="11"/>
  <c r="X770" i="11"/>
  <c r="AL770" i="11"/>
  <c r="W1511" i="11"/>
  <c r="AK1511" i="11"/>
  <c r="W1447" i="11"/>
  <c r="AK1447" i="11"/>
  <c r="W1383" i="11"/>
  <c r="AK1383" i="11"/>
  <c r="W1319" i="11"/>
  <c r="AK1319" i="11"/>
  <c r="W1255" i="11"/>
  <c r="AK1255" i="11"/>
  <c r="W1473" i="11"/>
  <c r="AK1473" i="11"/>
  <c r="W1409" i="11"/>
  <c r="AK1409" i="11"/>
  <c r="W1345" i="11"/>
  <c r="AK1345" i="11"/>
  <c r="W1281" i="11"/>
  <c r="AK1281" i="11"/>
  <c r="W1217" i="11"/>
  <c r="AK1217" i="11"/>
  <c r="W1137" i="11"/>
  <c r="AK1137" i="11"/>
  <c r="W1502" i="11"/>
  <c r="AK1502" i="11"/>
  <c r="W1438" i="11"/>
  <c r="AK1438" i="11"/>
  <c r="W1366" i="11"/>
  <c r="AK1366" i="11"/>
  <c r="W1302" i="11"/>
  <c r="AK1302" i="11"/>
  <c r="W807" i="11"/>
  <c r="AK807" i="11"/>
  <c r="W743" i="11"/>
  <c r="AK743" i="11"/>
  <c r="W679" i="11"/>
  <c r="AK679" i="11"/>
  <c r="W615" i="11"/>
  <c r="AK615" i="11"/>
  <c r="W1485" i="11"/>
  <c r="AK1485" i="11"/>
  <c r="W1421" i="11"/>
  <c r="AK1421" i="11"/>
  <c r="W905" i="11"/>
  <c r="AK905" i="11"/>
  <c r="W841" i="11"/>
  <c r="AK841" i="11"/>
  <c r="W753" i="11"/>
  <c r="AK753" i="11"/>
  <c r="W689" i="11"/>
  <c r="AK689" i="11"/>
  <c r="W625" i="11"/>
  <c r="AK625" i="11"/>
  <c r="W561" i="11"/>
  <c r="AK561" i="11"/>
  <c r="W489" i="11"/>
  <c r="AK489" i="11"/>
  <c r="W425" i="11"/>
  <c r="AK425" i="11"/>
  <c r="W1097" i="11"/>
  <c r="AK1097" i="11"/>
  <c r="X906" i="11"/>
  <c r="AL906" i="11"/>
  <c r="X834" i="11"/>
  <c r="AL834" i="11"/>
  <c r="X762" i="11"/>
  <c r="Y762" i="11" s="1" a="1"/>
  <c r="Y762" i="11" s="1"/>
  <c r="AL762" i="11"/>
  <c r="W1503" i="11"/>
  <c r="AK1503" i="11"/>
  <c r="W1439" i="11"/>
  <c r="AK1439" i="11"/>
  <c r="W1375" i="11"/>
  <c r="AK1375" i="11"/>
  <c r="W1311" i="11"/>
  <c r="AK1311" i="11"/>
  <c r="W1247" i="11"/>
  <c r="AK1247" i="11"/>
  <c r="W1465" i="11"/>
  <c r="AK1465" i="11"/>
  <c r="X486" i="11"/>
  <c r="AL486" i="11"/>
  <c r="X454" i="11"/>
  <c r="AL454" i="11"/>
  <c r="X422" i="11"/>
  <c r="AL422" i="11"/>
  <c r="X390" i="11"/>
  <c r="AL390" i="11"/>
  <c r="X358" i="11"/>
  <c r="AL358" i="11"/>
  <c r="X326" i="11"/>
  <c r="AL326" i="11"/>
  <c r="X294" i="11"/>
  <c r="AL294" i="11"/>
  <c r="X262" i="11"/>
  <c r="AL262" i="11"/>
  <c r="X230" i="11"/>
  <c r="AL230" i="11"/>
  <c r="X198" i="11"/>
  <c r="AL198" i="11"/>
  <c r="X166" i="11"/>
  <c r="AL166" i="11"/>
  <c r="X134" i="11"/>
  <c r="AL134" i="11"/>
  <c r="X102" i="11"/>
  <c r="AL102" i="11"/>
  <c r="X70" i="11"/>
  <c r="AL70" i="11"/>
  <c r="X38" i="11"/>
  <c r="AL38" i="11"/>
  <c r="W1401" i="11"/>
  <c r="AK1401" i="11"/>
  <c r="W1337" i="11"/>
  <c r="AK1337" i="11"/>
  <c r="W1273" i="11"/>
  <c r="AK1273" i="11"/>
  <c r="W1209" i="11"/>
  <c r="AK1209" i="11"/>
  <c r="W1121" i="11"/>
  <c r="AK1121" i="11"/>
  <c r="X1081" i="11"/>
  <c r="AL1081" i="11"/>
  <c r="X1025" i="11"/>
  <c r="AL1025" i="11"/>
  <c r="X1512" i="11"/>
  <c r="AL1512" i="11"/>
  <c r="X1456" i="11"/>
  <c r="AL1456" i="11"/>
  <c r="X1304" i="11"/>
  <c r="AL1304" i="11"/>
  <c r="X1192" i="11"/>
  <c r="AL1192" i="11"/>
  <c r="X1128" i="11"/>
  <c r="AL1128" i="11"/>
  <c r="X1024" i="11"/>
  <c r="AL1024" i="11"/>
  <c r="X594" i="11"/>
  <c r="AL594" i="11"/>
  <c r="X410" i="11"/>
  <c r="AL410" i="11"/>
  <c r="X314" i="11"/>
  <c r="AL314" i="11"/>
  <c r="X170" i="11"/>
  <c r="AL170" i="11"/>
  <c r="X18" i="11"/>
  <c r="AL18" i="11"/>
  <c r="X1301" i="11"/>
  <c r="AL1301" i="11"/>
  <c r="X1069" i="11"/>
  <c r="AL1069" i="11"/>
  <c r="X1378" i="11"/>
  <c r="AL1378" i="11"/>
  <c r="X1282" i="11"/>
  <c r="AL1282" i="11"/>
  <c r="X1146" i="11"/>
  <c r="AL1146" i="11"/>
  <c r="X5" i="11"/>
  <c r="AL5" i="11"/>
  <c r="X484" i="11"/>
  <c r="AL484" i="11"/>
  <c r="X284" i="11"/>
  <c r="AL284" i="11"/>
  <c r="X1199" i="11"/>
  <c r="AL1199" i="11"/>
  <c r="X1111" i="11"/>
  <c r="AL1111" i="11"/>
  <c r="X971" i="11"/>
  <c r="AL971" i="11"/>
  <c r="X939" i="11"/>
  <c r="AL939" i="11"/>
  <c r="X907" i="11"/>
  <c r="AL907" i="11"/>
  <c r="X875" i="11"/>
  <c r="AL875" i="11"/>
  <c r="X843" i="11"/>
  <c r="AL843" i="11"/>
  <c r="X811" i="11"/>
  <c r="AL811" i="11"/>
  <c r="X779" i="11"/>
  <c r="AL779" i="11"/>
  <c r="X747" i="11"/>
  <c r="AL747" i="11"/>
  <c r="X715" i="11"/>
  <c r="AL715" i="11"/>
  <c r="X683" i="11"/>
  <c r="AL683" i="11"/>
  <c r="X651" i="11"/>
  <c r="AL651" i="11"/>
  <c r="X619" i="11"/>
  <c r="AL619" i="11"/>
  <c r="X587" i="11"/>
  <c r="AL587" i="11"/>
  <c r="X547" i="11"/>
  <c r="AL547" i="11"/>
  <c r="X515" i="11"/>
  <c r="AL515" i="11"/>
  <c r="X483" i="11"/>
  <c r="AL483" i="11"/>
  <c r="X451" i="11"/>
  <c r="AL451" i="11"/>
  <c r="X419" i="11"/>
  <c r="AL419" i="11"/>
  <c r="X387" i="11"/>
  <c r="AL387" i="11"/>
  <c r="X355" i="11"/>
  <c r="AL355" i="11"/>
  <c r="X323" i="11"/>
  <c r="AL323" i="11"/>
  <c r="X275" i="11"/>
  <c r="AL275" i="11"/>
  <c r="X243" i="11"/>
  <c r="AL243" i="11"/>
  <c r="X203" i="11"/>
  <c r="AL203" i="11"/>
  <c r="X139" i="11"/>
  <c r="AL139" i="11"/>
  <c r="X107" i="11"/>
  <c r="AL107" i="11"/>
  <c r="X75" i="11"/>
  <c r="AL75" i="11"/>
  <c r="X35" i="11"/>
  <c r="AL35" i="11"/>
  <c r="W1494" i="11"/>
  <c r="AK1494" i="11"/>
  <c r="W1430" i="11"/>
  <c r="AK1430" i="11"/>
  <c r="W1358" i="11"/>
  <c r="AK1358" i="11"/>
  <c r="W1294" i="11"/>
  <c r="AK1294" i="11"/>
  <c r="X1246" i="11"/>
  <c r="AL1246" i="11"/>
  <c r="X1214" i="11"/>
  <c r="AL1214" i="11"/>
  <c r="X1182" i="11"/>
  <c r="AL1182" i="11"/>
  <c r="X1150" i="11"/>
  <c r="AL1150" i="11"/>
  <c r="X1118" i="11"/>
  <c r="AL1118" i="11"/>
  <c r="X1086" i="11"/>
  <c r="AL1086" i="11"/>
  <c r="X1022" i="11"/>
  <c r="AL1022" i="11"/>
  <c r="X205" i="11"/>
  <c r="AL205" i="11"/>
  <c r="X1408" i="11"/>
  <c r="AL1408" i="11"/>
  <c r="X1344" i="11"/>
  <c r="AL1344" i="11"/>
  <c r="X1240" i="11"/>
  <c r="AL1240" i="11"/>
  <c r="X1160" i="11"/>
  <c r="AL1160" i="11"/>
  <c r="X1040" i="11"/>
  <c r="AL1040" i="11"/>
  <c r="X722" i="11"/>
  <c r="AL722" i="11"/>
  <c r="X626" i="11"/>
  <c r="AL626" i="11"/>
  <c r="X554" i="11"/>
  <c r="AL554" i="11"/>
  <c r="X458" i="11"/>
  <c r="AL458" i="11"/>
  <c r="X394" i="11"/>
  <c r="AL394" i="11"/>
  <c r="X226" i="11"/>
  <c r="AL226" i="11"/>
  <c r="X146" i="11"/>
  <c r="AL146" i="11"/>
  <c r="X34" i="11"/>
  <c r="AL34" i="11"/>
  <c r="X1261" i="11"/>
  <c r="AL1261" i="11"/>
  <c r="X1298" i="11"/>
  <c r="AL1298" i="11"/>
  <c r="X588" i="11"/>
  <c r="AL588" i="11"/>
  <c r="X404" i="11"/>
  <c r="AL404" i="11"/>
  <c r="X324" i="11"/>
  <c r="AL324" i="11"/>
  <c r="X212" i="11"/>
  <c r="AL212" i="11"/>
  <c r="X92" i="11"/>
  <c r="AL92" i="11"/>
  <c r="X1135" i="11"/>
  <c r="AL1135" i="11"/>
  <c r="X480" i="11"/>
  <c r="AL480" i="11"/>
  <c r="X448" i="11"/>
  <c r="AL448" i="11"/>
  <c r="X416" i="11"/>
  <c r="AL416" i="11"/>
  <c r="X368" i="11"/>
  <c r="AL368" i="11"/>
  <c r="X336" i="11"/>
  <c r="AL336" i="11"/>
  <c r="X304" i="11"/>
  <c r="AL304" i="11"/>
  <c r="X272" i="11"/>
  <c r="AL272" i="11"/>
  <c r="X240" i="11"/>
  <c r="AL240" i="11"/>
  <c r="X208" i="11"/>
  <c r="AL208" i="11"/>
  <c r="X176" i="11"/>
  <c r="AL176" i="11"/>
  <c r="X144" i="11"/>
  <c r="AL144" i="11"/>
  <c r="X112" i="11"/>
  <c r="AL112" i="11"/>
  <c r="X80" i="11"/>
  <c r="AL80" i="11"/>
  <c r="X48" i="11"/>
  <c r="AL48" i="11"/>
  <c r="X16" i="11"/>
  <c r="AL16" i="11"/>
  <c r="X1491" i="11"/>
  <c r="AL1491" i="11"/>
  <c r="X1459" i="11"/>
  <c r="AL1459" i="11"/>
  <c r="X1363" i="11"/>
  <c r="AL1363" i="11"/>
  <c r="X1331" i="11"/>
  <c r="AL1331" i="11"/>
  <c r="X1299" i="11"/>
  <c r="AL1299" i="11"/>
  <c r="X1267" i="11"/>
  <c r="AL1267" i="11"/>
  <c r="X1235" i="11"/>
  <c r="AL1235" i="11"/>
  <c r="X1203" i="11"/>
  <c r="AL1203" i="11"/>
  <c r="X1171" i="11"/>
  <c r="AL1171" i="11"/>
  <c r="X1139" i="11"/>
  <c r="AL1139" i="11"/>
  <c r="X1107" i="11"/>
  <c r="AL1107" i="11"/>
  <c r="X1075" i="11"/>
  <c r="AL1075" i="11"/>
  <c r="X1043" i="11"/>
  <c r="AL1043" i="11"/>
  <c r="X14" i="11"/>
  <c r="AL14" i="11"/>
  <c r="X1520" i="11"/>
  <c r="AL1520" i="11"/>
  <c r="X1440" i="11"/>
  <c r="AL1440" i="11"/>
  <c r="X1360" i="11"/>
  <c r="AL1360" i="11"/>
  <c r="X1288" i="11"/>
  <c r="AL1288" i="11"/>
  <c r="X1200" i="11"/>
  <c r="AL1200" i="11"/>
  <c r="X1088" i="11"/>
  <c r="AL1088" i="11"/>
  <c r="X682" i="11"/>
  <c r="AL682" i="11"/>
  <c r="X586" i="11"/>
  <c r="AL586" i="11"/>
  <c r="X514" i="11"/>
  <c r="AL514" i="11"/>
  <c r="X418" i="11"/>
  <c r="AL418" i="11"/>
  <c r="X306" i="11"/>
  <c r="AL306" i="11"/>
  <c r="X74" i="11"/>
  <c r="AL74" i="11"/>
  <c r="X1309" i="11"/>
  <c r="AL1309" i="11"/>
  <c r="X1013" i="11"/>
  <c r="AL1013" i="11"/>
  <c r="X1218" i="11"/>
  <c r="AL1218" i="11"/>
  <c r="X1138" i="11"/>
  <c r="AL1138" i="11"/>
  <c r="X492" i="11"/>
  <c r="AL492" i="11"/>
  <c r="X292" i="11"/>
  <c r="AL292" i="11"/>
  <c r="X132" i="11"/>
  <c r="AL132" i="11"/>
  <c r="X28" i="11"/>
  <c r="AL28" i="11"/>
  <c r="X10" i="11"/>
  <c r="AL10" i="11"/>
  <c r="X636" i="11"/>
  <c r="AL636" i="11"/>
  <c r="X84" i="11"/>
  <c r="AL84" i="11"/>
  <c r="X604" i="11"/>
  <c r="AL604" i="11"/>
  <c r="X148" i="11"/>
  <c r="AL148" i="11"/>
  <c r="X543" i="11"/>
  <c r="AL543" i="11"/>
  <c r="X511" i="11"/>
  <c r="AL511" i="11"/>
  <c r="X479" i="11"/>
  <c r="AL479" i="11"/>
  <c r="X447" i="11"/>
  <c r="AL447" i="11"/>
  <c r="X415" i="11"/>
  <c r="AL415" i="11"/>
  <c r="X383" i="11"/>
  <c r="AL383" i="11"/>
  <c r="X351" i="11"/>
  <c r="AL351" i="11"/>
  <c r="X311" i="11"/>
  <c r="AL311" i="11"/>
  <c r="X279" i="11"/>
  <c r="AL279" i="11"/>
  <c r="X247" i="11"/>
  <c r="AL247" i="11"/>
  <c r="X207" i="11"/>
  <c r="AL207" i="11"/>
  <c r="X167" i="11"/>
  <c r="AL167" i="11"/>
  <c r="X127" i="11"/>
  <c r="AL127" i="11"/>
  <c r="X95" i="11"/>
  <c r="AL95" i="11"/>
  <c r="X63" i="11"/>
  <c r="AL63" i="11"/>
  <c r="X31" i="11"/>
  <c r="AL31" i="11"/>
  <c r="X1506" i="11"/>
  <c r="AL1506" i="11"/>
  <c r="X1474" i="11"/>
  <c r="AL1474" i="11"/>
  <c r="X1434" i="11"/>
  <c r="AL1434" i="11"/>
  <c r="X1394" i="11"/>
  <c r="AL1394" i="11"/>
  <c r="X13" i="11"/>
  <c r="AL13" i="11"/>
  <c r="X420" i="11"/>
  <c r="AL420" i="11"/>
  <c r="X836" i="11"/>
  <c r="AL836" i="11"/>
  <c r="X804" i="11"/>
  <c r="AL804" i="11"/>
  <c r="X772" i="11"/>
  <c r="AL772" i="11"/>
  <c r="X692" i="11"/>
  <c r="AL692" i="11"/>
  <c r="X316" i="11"/>
  <c r="AL316" i="11"/>
  <c r="X353" i="11"/>
  <c r="AL353" i="11"/>
  <c r="X313" i="11"/>
  <c r="AL313" i="11"/>
  <c r="X281" i="11"/>
  <c r="AL281" i="11"/>
  <c r="X241" i="11"/>
  <c r="AL241" i="11"/>
  <c r="X209" i="11"/>
  <c r="AL209" i="11"/>
  <c r="X153" i="11"/>
  <c r="AL153" i="11"/>
  <c r="X113" i="11"/>
  <c r="AL113" i="11"/>
  <c r="X73" i="11"/>
  <c r="AL73" i="11"/>
  <c r="X41" i="11"/>
  <c r="AL41" i="11"/>
  <c r="X1500" i="11"/>
  <c r="AL1500" i="11"/>
  <c r="X1468" i="11"/>
  <c r="AL1468" i="11"/>
  <c r="X1436" i="11"/>
  <c r="AL1436" i="11"/>
  <c r="X1404" i="11"/>
  <c r="AL1404" i="11"/>
  <c r="X1372" i="11"/>
  <c r="AL1372" i="11"/>
  <c r="X1340" i="11"/>
  <c r="AL1340" i="11"/>
  <c r="X1308" i="11"/>
  <c r="AL1308" i="11"/>
  <c r="X1276" i="11"/>
  <c r="AL1276" i="11"/>
  <c r="X1244" i="11"/>
  <c r="AL1244" i="11"/>
  <c r="X1212" i="11"/>
  <c r="AL1212" i="11"/>
  <c r="X1180" i="11"/>
  <c r="AL1180" i="11"/>
  <c r="X1148" i="11"/>
  <c r="AL1148" i="11"/>
  <c r="X1116" i="11"/>
  <c r="AL1116" i="11"/>
  <c r="X1084" i="11"/>
  <c r="AL1084" i="11"/>
  <c r="X1052" i="11"/>
  <c r="AL1052" i="11"/>
  <c r="X1020" i="11"/>
  <c r="AL1020" i="11"/>
  <c r="X298" i="11"/>
  <c r="AL298" i="11"/>
  <c r="X162" i="11"/>
  <c r="AL162" i="11"/>
  <c r="X90" i="11"/>
  <c r="AL90" i="11"/>
  <c r="X1381" i="11"/>
  <c r="AL1381" i="11"/>
  <c r="X1293" i="11"/>
  <c r="AL1293" i="11"/>
  <c r="X1189" i="11"/>
  <c r="AL1189" i="11"/>
  <c r="X1346" i="11"/>
  <c r="AL1346" i="11"/>
  <c r="X1226" i="11"/>
  <c r="AL1226" i="11"/>
  <c r="X1090" i="11"/>
  <c r="AL1090" i="11"/>
  <c r="X428" i="11"/>
  <c r="AL428" i="11"/>
  <c r="X348" i="11"/>
  <c r="AL348" i="11"/>
  <c r="X76" i="11"/>
  <c r="AL76" i="11"/>
  <c r="X1191" i="11"/>
  <c r="AL1191" i="11"/>
  <c r="X1047" i="11"/>
  <c r="AL1047" i="11"/>
  <c r="Z938" i="11"/>
  <c r="AA938" i="11" s="1"/>
  <c r="AM938" i="11" s="1"/>
  <c r="Z914" i="11"/>
  <c r="AA914" i="11" s="1"/>
  <c r="AM914" i="11" s="1"/>
  <c r="Z762" i="11"/>
  <c r="AA762" i="11" s="1"/>
  <c r="AM762" i="11" s="1"/>
  <c r="Z970" i="11"/>
  <c r="AA970" i="11" s="1"/>
  <c r="Z874" i="11"/>
  <c r="AA874" i="11" s="1"/>
  <c r="AM874" i="11" s="1"/>
  <c r="Z802" i="11"/>
  <c r="AA802" i="11" s="1"/>
  <c r="AM802" i="11" s="1"/>
  <c r="Y970" i="11" a="1"/>
  <c r="Y970" i="11" s="1"/>
  <c r="Y874" i="11" a="1"/>
  <c r="Y874" i="11" s="1"/>
  <c r="Y802" i="11" a="1"/>
  <c r="Y802" i="11" s="1"/>
  <c r="Z946" i="11"/>
  <c r="AA946" i="11" s="1"/>
  <c r="AM946" i="11" s="1"/>
  <c r="Z898" i="11"/>
  <c r="AA898" i="11" s="1"/>
  <c r="AM898" i="11" s="1"/>
  <c r="Z866" i="11"/>
  <c r="AA866" i="11" s="1"/>
  <c r="AM866" i="11" s="1"/>
  <c r="Z826" i="11"/>
  <c r="AA826" i="11" s="1"/>
  <c r="AM826" i="11" s="1"/>
  <c r="Z786" i="11"/>
  <c r="AA786" i="11" s="1"/>
  <c r="AM786" i="11" s="1"/>
  <c r="Z754" i="11"/>
  <c r="AA754" i="11" s="1"/>
  <c r="AM754" i="11" s="1"/>
  <c r="Y605" i="11" a="1"/>
  <c r="Y605" i="11" s="1"/>
  <c r="Z605" i="11"/>
  <c r="Y637" i="11" a="1"/>
  <c r="Y637" i="11" s="1"/>
  <c r="Z637" i="11"/>
  <c r="Y565" i="11" a="1"/>
  <c r="Y565" i="11" s="1"/>
  <c r="Z565" i="11"/>
  <c r="AA565" i="11" s="1"/>
  <c r="AM565" i="11" s="1"/>
  <c r="Y493" i="11" a="1"/>
  <c r="Y493" i="11" s="1"/>
  <c r="Z493" i="11"/>
  <c r="AA493" i="11" s="1"/>
  <c r="AM493" i="11" s="1"/>
  <c r="Y421" i="11" a="1"/>
  <c r="Y421" i="11" s="1"/>
  <c r="Z421" i="11"/>
  <c r="AA421" i="11" s="1"/>
  <c r="AM421" i="11" s="1"/>
  <c r="Y349" i="11" a="1"/>
  <c r="Y349" i="11" s="1"/>
  <c r="Z349" i="11"/>
  <c r="Y285" i="11" a="1"/>
  <c r="Y285" i="11" s="1"/>
  <c r="Z285" i="11"/>
  <c r="AA285" i="11" s="1"/>
  <c r="Y221" i="11" a="1"/>
  <c r="Y221" i="11" s="1"/>
  <c r="Z221" i="11"/>
  <c r="AA221" i="11" s="1"/>
  <c r="AM221" i="11" s="1"/>
  <c r="Y590" i="11" a="1"/>
  <c r="Y590" i="11" s="1"/>
  <c r="Z590" i="11"/>
  <c r="AA590" i="11" s="1"/>
  <c r="AM590" i="11" s="1"/>
  <c r="Y518" i="11" a="1"/>
  <c r="Y518" i="11" s="1"/>
  <c r="Z518" i="11"/>
  <c r="AA518" i="11" s="1"/>
  <c r="AM518" i="11" s="1"/>
  <c r="Y629" i="11" a="1"/>
  <c r="Y629" i="11" s="1"/>
  <c r="Z629" i="11"/>
  <c r="AA629" i="11" s="1"/>
  <c r="Y557" i="11" a="1"/>
  <c r="Y557" i="11" s="1"/>
  <c r="Z557" i="11"/>
  <c r="Y485" i="11" a="1"/>
  <c r="Y485" i="11" s="1"/>
  <c r="Z485" i="11"/>
  <c r="AA485" i="11" s="1"/>
  <c r="AM485" i="11" s="1"/>
  <c r="Y405" i="11" a="1"/>
  <c r="Y405" i="11" s="1"/>
  <c r="Z405" i="11"/>
  <c r="Y341" i="11" a="1"/>
  <c r="Y341" i="11" s="1"/>
  <c r="Z341" i="11"/>
  <c r="AA341" i="11" s="1"/>
  <c r="Y277" i="11" a="1"/>
  <c r="Y277" i="11" s="1"/>
  <c r="Z277" i="11"/>
  <c r="AA277" i="11" s="1"/>
  <c r="AM277" i="11" s="1"/>
  <c r="Y213" i="11" a="1"/>
  <c r="Y213" i="11" s="1"/>
  <c r="Z213" i="11"/>
  <c r="Y582" i="11" a="1"/>
  <c r="Y582" i="11" s="1"/>
  <c r="Z582" i="11"/>
  <c r="AA582" i="11" s="1"/>
  <c r="Y510" i="11" a="1"/>
  <c r="Y510" i="11" s="1"/>
  <c r="Z510" i="11"/>
  <c r="AA510" i="11" s="1"/>
  <c r="AM510" i="11" s="1"/>
  <c r="Y613" i="11" a="1"/>
  <c r="Y613" i="11" s="1"/>
  <c r="Z613" i="11"/>
  <c r="AA613" i="11" s="1"/>
  <c r="AM613" i="11" s="1"/>
  <c r="Y549" i="11" a="1"/>
  <c r="Y549" i="11" s="1"/>
  <c r="Z549" i="11"/>
  <c r="AA549" i="11" s="1"/>
  <c r="Y477" i="11" a="1"/>
  <c r="Y477" i="11" s="1"/>
  <c r="Z477" i="11"/>
  <c r="Y397" i="11" a="1"/>
  <c r="Y397" i="11" s="1"/>
  <c r="Z397" i="11"/>
  <c r="AA397" i="11" s="1"/>
  <c r="AM397" i="11" s="1"/>
  <c r="Y333" i="11" a="1"/>
  <c r="Y333" i="11" s="1"/>
  <c r="Z333" i="11"/>
  <c r="AA333" i="11" s="1"/>
  <c r="AM333" i="11" s="1"/>
  <c r="Y269" i="11" a="1"/>
  <c r="Y269" i="11" s="1"/>
  <c r="Z269" i="11"/>
  <c r="AA269" i="11" s="1"/>
  <c r="AM269" i="11" s="1"/>
  <c r="Y574" i="11" a="1"/>
  <c r="Y574" i="11" s="1"/>
  <c r="Z574" i="11"/>
  <c r="Y502" i="11" a="1"/>
  <c r="Y502" i="11" s="1"/>
  <c r="Z502" i="11"/>
  <c r="AA502" i="11" s="1"/>
  <c r="AM502" i="11" s="1"/>
  <c r="Y566" i="11" a="1"/>
  <c r="Y566" i="11" s="1"/>
  <c r="Z566" i="11"/>
  <c r="AA566" i="11" s="1"/>
  <c r="AM566" i="11" s="1"/>
  <c r="Y317" i="11" a="1"/>
  <c r="Y317" i="11" s="1"/>
  <c r="Z317" i="11"/>
  <c r="AA317" i="11" s="1"/>
  <c r="AM317" i="11" s="1"/>
  <c r="Y469" i="11" a="1"/>
  <c r="Y469" i="11" s="1"/>
  <c r="Z469" i="11"/>
  <c r="Y325" i="11" a="1"/>
  <c r="Y325" i="11" s="1"/>
  <c r="Z325" i="11"/>
  <c r="AA325" i="11" s="1"/>
  <c r="AM325" i="11" s="1"/>
  <c r="Y597" i="11" a="1"/>
  <c r="Y597" i="11" s="1"/>
  <c r="Z597" i="11"/>
  <c r="Y461" i="11" a="1"/>
  <c r="Y461" i="11" s="1"/>
  <c r="Z461" i="11"/>
  <c r="AA461" i="11" s="1"/>
  <c r="AM461" i="11" s="1"/>
  <c r="Y381" i="11" a="1"/>
  <c r="Y381" i="11" s="1"/>
  <c r="Z381" i="11"/>
  <c r="Y253" i="11" a="1"/>
  <c r="Y253" i="11" s="1"/>
  <c r="Z253" i="11"/>
  <c r="Y669" i="11" a="1"/>
  <c r="Y669" i="11" s="1"/>
  <c r="Z669" i="11"/>
  <c r="AA669" i="11" s="1"/>
  <c r="AM669" i="11" s="1"/>
  <c r="Y589" i="11" a="1"/>
  <c r="Y589" i="11" s="1"/>
  <c r="Z589" i="11"/>
  <c r="Y525" i="11" a="1"/>
  <c r="Y525" i="11" s="1"/>
  <c r="Z525" i="11"/>
  <c r="Y453" i="11" a="1"/>
  <c r="Y453" i="11" s="1"/>
  <c r="Z453" i="11"/>
  <c r="Y373" i="11" a="1"/>
  <c r="Y373" i="11" s="1"/>
  <c r="Z373" i="11"/>
  <c r="Y309" i="11" a="1"/>
  <c r="Y309" i="11" s="1"/>
  <c r="Z309" i="11"/>
  <c r="AA309" i="11" s="1"/>
  <c r="AM309" i="11" s="1"/>
  <c r="Y245" i="11" a="1"/>
  <c r="Y245" i="11" s="1"/>
  <c r="Z245" i="11"/>
  <c r="AA245" i="11" s="1"/>
  <c r="AM245" i="11" s="1"/>
  <c r="Y550" i="11" a="1"/>
  <c r="Y550" i="11" s="1"/>
  <c r="Z550" i="11"/>
  <c r="AA550" i="11" s="1"/>
  <c r="AM550" i="11" s="1"/>
  <c r="Y389" i="11" a="1"/>
  <c r="Y389" i="11" s="1"/>
  <c r="Z389" i="11"/>
  <c r="Y261" i="11" a="1"/>
  <c r="Y261" i="11" s="1"/>
  <c r="Z261" i="11"/>
  <c r="AA261" i="11" s="1"/>
  <c r="AM261" i="11" s="1"/>
  <c r="Y558" i="11" a="1"/>
  <c r="Y558" i="11" s="1"/>
  <c r="Z558" i="11"/>
  <c r="AA558" i="11" s="1"/>
  <c r="AM558" i="11" s="1"/>
  <c r="Y997" i="11" a="1"/>
  <c r="Y997" i="11" s="1"/>
  <c r="Z997" i="11"/>
  <c r="Y661" i="11" a="1"/>
  <c r="Y661" i="11" s="1"/>
  <c r="Z661" i="11"/>
  <c r="Y581" i="11" a="1"/>
  <c r="Y581" i="11" s="1"/>
  <c r="Z581" i="11"/>
  <c r="Y517" i="11" a="1"/>
  <c r="Y517" i="11" s="1"/>
  <c r="Z517" i="11"/>
  <c r="Y437" i="11" a="1"/>
  <c r="Y437" i="11" s="1"/>
  <c r="Z437" i="11"/>
  <c r="Y365" i="11" a="1"/>
  <c r="Y365" i="11" s="1"/>
  <c r="Z365" i="11"/>
  <c r="AA365" i="11" s="1"/>
  <c r="AM365" i="11" s="1"/>
  <c r="Y301" i="11" a="1"/>
  <c r="Y301" i="11" s="1"/>
  <c r="Z301" i="11"/>
  <c r="AA301" i="11" s="1"/>
  <c r="AM301" i="11" s="1"/>
  <c r="Y237" i="11" a="1"/>
  <c r="Y237" i="11" s="1"/>
  <c r="Z237" i="11"/>
  <c r="AA237" i="11" s="1"/>
  <c r="AM237" i="11" s="1"/>
  <c r="Y534" i="11" a="1"/>
  <c r="Y534" i="11" s="1"/>
  <c r="Z534" i="11"/>
  <c r="AA534" i="11" s="1"/>
  <c r="AM534" i="11" s="1"/>
  <c r="Y541" i="11" a="1"/>
  <c r="Y541" i="11" s="1"/>
  <c r="Z541" i="11"/>
  <c r="AA541" i="11" s="1"/>
  <c r="AM541" i="11" s="1"/>
  <c r="Y685" i="11" a="1"/>
  <c r="Y685" i="11" s="1"/>
  <c r="Z685" i="11"/>
  <c r="AA685" i="11" s="1"/>
  <c r="AM685" i="11" s="1"/>
  <c r="Y533" i="11" a="1"/>
  <c r="Y533" i="11" s="1"/>
  <c r="Z533" i="11"/>
  <c r="Y653" i="11" a="1"/>
  <c r="Y653" i="11" s="1"/>
  <c r="Z653" i="11"/>
  <c r="Y573" i="11" a="1"/>
  <c r="Y573" i="11" s="1"/>
  <c r="Z573" i="11"/>
  <c r="Y501" i="11" a="1"/>
  <c r="Y501" i="11" s="1"/>
  <c r="Z501" i="11"/>
  <c r="Y429" i="11" a="1"/>
  <c r="Y429" i="11" s="1"/>
  <c r="Z429" i="11"/>
  <c r="Y357" i="11" a="1"/>
  <c r="Y357" i="11" s="1"/>
  <c r="Z357" i="11"/>
  <c r="AA357" i="11" s="1"/>
  <c r="AM357" i="11" s="1"/>
  <c r="Y293" i="11" a="1"/>
  <c r="Y293" i="11" s="1"/>
  <c r="Z293" i="11"/>
  <c r="AA293" i="11" s="1"/>
  <c r="AM293" i="11" s="1"/>
  <c r="Y229" i="11" a="1"/>
  <c r="Y229" i="11" s="1"/>
  <c r="Z229" i="11"/>
  <c r="Y526" i="11" a="1"/>
  <c r="Y526" i="11" s="1"/>
  <c r="Z526" i="11"/>
  <c r="W956" i="11"/>
  <c r="W893" i="11"/>
  <c r="W231" i="11"/>
  <c r="W928" i="11"/>
  <c r="AM629" i="11"/>
  <c r="AM549" i="11"/>
  <c r="AM970" i="11"/>
  <c r="AM582" i="11"/>
  <c r="AM341" i="11"/>
  <c r="AM285" i="11"/>
  <c r="U134" i="7"/>
  <c r="U103" i="7"/>
  <c r="U30" i="7"/>
  <c r="U1230" i="7"/>
  <c r="U1464" i="7"/>
  <c r="W1464" i="7" s="1"/>
  <c r="X1464" i="7" s="1"/>
  <c r="U1461" i="7"/>
  <c r="W1461" i="7" s="1"/>
  <c r="X1461" i="7" s="1"/>
  <c r="U1437" i="7"/>
  <c r="C1437" i="7" s="1"/>
  <c r="D1437" i="7" s="1"/>
  <c r="Y1437" i="7" s="1"/>
  <c r="Z1437" i="7" s="1"/>
  <c r="AA1437" i="7" s="1"/>
  <c r="U1431" i="7"/>
  <c r="C1431" i="7" s="1"/>
  <c r="D1431" i="7" s="1"/>
  <c r="Y1431" i="7" s="1"/>
  <c r="Z1431" i="7" s="1"/>
  <c r="AA1431" i="7" s="1"/>
  <c r="U1421" i="7"/>
  <c r="C1421" i="7" s="1"/>
  <c r="D1421" i="7" s="1"/>
  <c r="Y1421" i="7" s="1"/>
  <c r="Z1421" i="7" s="1"/>
  <c r="AA1421" i="7" s="1"/>
  <c r="U1442" i="7"/>
  <c r="C1442" i="7" s="1"/>
  <c r="D1442" i="7" s="1"/>
  <c r="Y1442" i="7" s="1"/>
  <c r="Z1442" i="7" s="1"/>
  <c r="AA1442" i="7" s="1"/>
  <c r="U1438" i="7"/>
  <c r="U1422" i="7"/>
  <c r="C1422" i="7" s="1"/>
  <c r="D1422" i="7" s="1"/>
  <c r="Y1422" i="7" s="1"/>
  <c r="Z1422" i="7" s="1"/>
  <c r="AA1422" i="7" s="1"/>
  <c r="U1419" i="7"/>
  <c r="U1416" i="7"/>
  <c r="C1416" i="7" s="1"/>
  <c r="D1416" i="7" s="1"/>
  <c r="Y1416" i="7" s="1"/>
  <c r="Z1416" i="7" s="1"/>
  <c r="AA1416" i="7" s="1"/>
  <c r="U1343" i="7"/>
  <c r="C1343" i="7" s="1"/>
  <c r="D1343" i="7" s="1"/>
  <c r="Y1343" i="7" s="1"/>
  <c r="Z1343" i="7" s="1"/>
  <c r="AA1343" i="7" s="1"/>
  <c r="U1340" i="7"/>
  <c r="W1340" i="7" s="1"/>
  <c r="X1340" i="7" s="1"/>
  <c r="U1327" i="7"/>
  <c r="U1299" i="7"/>
  <c r="C1299" i="7" s="1"/>
  <c r="D1299" i="7" s="1"/>
  <c r="Y1299" i="7" s="1"/>
  <c r="Z1299" i="7" s="1"/>
  <c r="AA1299" i="7" s="1"/>
  <c r="U1295" i="7"/>
  <c r="W1295" i="7" s="1"/>
  <c r="X1295" i="7" s="1"/>
  <c r="U1292" i="7"/>
  <c r="C1292" i="7" s="1"/>
  <c r="D1292" i="7" s="1"/>
  <c r="Y1292" i="7" s="1"/>
  <c r="Z1292" i="7" s="1"/>
  <c r="AA1292" i="7" s="1"/>
  <c r="U1282" i="7"/>
  <c r="W1282" i="7" s="1"/>
  <c r="X1282" i="7" s="1"/>
  <c r="U1246" i="7"/>
  <c r="W1246" i="7" s="1"/>
  <c r="X1246" i="7" s="1"/>
  <c r="U1180" i="7"/>
  <c r="U1162" i="7"/>
  <c r="U1019" i="7"/>
  <c r="U930" i="7"/>
  <c r="C930" i="7" s="1"/>
  <c r="D930" i="7" s="1"/>
  <c r="Y930" i="7" s="1"/>
  <c r="Z930" i="7" s="1"/>
  <c r="AA930" i="7" s="1"/>
  <c r="U885" i="7"/>
  <c r="C885" i="7" s="1"/>
  <c r="D885" i="7" s="1"/>
  <c r="Y885" i="7" s="1"/>
  <c r="Z885" i="7" s="1"/>
  <c r="AA885" i="7" s="1"/>
  <c r="U879" i="7"/>
  <c r="W879" i="7" s="1"/>
  <c r="X879" i="7" s="1"/>
  <c r="U1693" i="7"/>
  <c r="C1693" i="7" s="1"/>
  <c r="D1693" i="7" s="1"/>
  <c r="Y1693" i="7" s="1"/>
  <c r="Z1693" i="7" s="1"/>
  <c r="AA1693" i="7" s="1"/>
  <c r="U1177" i="7"/>
  <c r="W1177" i="7" s="1"/>
  <c r="X1177" i="7" s="1"/>
  <c r="U882" i="7"/>
  <c r="C882" i="7" s="1"/>
  <c r="D882" i="7" s="1"/>
  <c r="Y882" i="7" s="1"/>
  <c r="Z882" i="7" s="1"/>
  <c r="AA882" i="7" s="1"/>
  <c r="U1116" i="7"/>
  <c r="W1116" i="7" s="1"/>
  <c r="X1116" i="7" s="1"/>
  <c r="U993" i="7"/>
  <c r="C993" i="7" s="1"/>
  <c r="D993" i="7" s="1"/>
  <c r="Y993" i="7" s="1"/>
  <c r="Z993" i="7" s="1"/>
  <c r="AA993" i="7" s="1"/>
  <c r="U1597" i="7"/>
  <c r="W1597" i="7" s="1"/>
  <c r="X1597" i="7" s="1"/>
  <c r="U1572" i="7"/>
  <c r="U1588" i="7"/>
  <c r="U1550" i="7"/>
  <c r="U1495" i="7"/>
  <c r="U318" i="7"/>
  <c r="C318" i="7" s="1"/>
  <c r="D318" i="7" s="1"/>
  <c r="Y318" i="7" s="1"/>
  <c r="Z318" i="7" s="1"/>
  <c r="AA318" i="7" s="1"/>
  <c r="U311" i="7"/>
  <c r="C311" i="7" s="1"/>
  <c r="D311" i="7" s="1"/>
  <c r="Y311" i="7" s="1"/>
  <c r="Z311" i="7" s="1"/>
  <c r="AA311" i="7" s="1"/>
  <c r="U302" i="7"/>
  <c r="C302" i="7" s="1"/>
  <c r="D302" i="7" s="1"/>
  <c r="Y302" i="7" s="1"/>
  <c r="Z302" i="7" s="1"/>
  <c r="AA302" i="7" s="1"/>
  <c r="U294" i="7"/>
  <c r="C294" i="7" s="1"/>
  <c r="D294" i="7" s="1"/>
  <c r="Y294" i="7" s="1"/>
  <c r="Z294" i="7" s="1"/>
  <c r="AA294" i="7" s="1"/>
  <c r="U289" i="7"/>
  <c r="C289" i="7" s="1"/>
  <c r="D289" i="7" s="1"/>
  <c r="Y289" i="7" s="1"/>
  <c r="Z289" i="7" s="1"/>
  <c r="AA289" i="7" s="1"/>
  <c r="U275" i="7"/>
  <c r="W275" i="7" s="1"/>
  <c r="X275" i="7" s="1"/>
  <c r="U1179" i="7"/>
  <c r="C1179" i="7" s="1"/>
  <c r="D1179" i="7" s="1"/>
  <c r="Y1179" i="7" s="1"/>
  <c r="Z1179" i="7" s="1"/>
  <c r="AA1179" i="7" s="1"/>
  <c r="U1200" i="7"/>
  <c r="C1200" i="7" s="1"/>
  <c r="D1200" i="7" s="1"/>
  <c r="Y1200" i="7" s="1"/>
  <c r="Z1200" i="7" s="1"/>
  <c r="AA1200" i="7" s="1"/>
  <c r="U1188" i="7"/>
  <c r="W1188" i="7" s="1"/>
  <c r="X1188" i="7" s="1"/>
  <c r="U1143" i="7"/>
  <c r="C1143" i="7" s="1"/>
  <c r="D1143" i="7" s="1"/>
  <c r="Y1143" i="7" s="1"/>
  <c r="Z1143" i="7" s="1"/>
  <c r="AA1143" i="7" s="1"/>
  <c r="U1017" i="7"/>
  <c r="C1017" i="7" s="1"/>
  <c r="D1017" i="7" s="1"/>
  <c r="Y1017" i="7" s="1"/>
  <c r="Z1017" i="7" s="1"/>
  <c r="AA1017" i="7" s="1"/>
  <c r="U1758" i="7"/>
  <c r="U1711" i="7"/>
  <c r="C1711" i="7" s="1"/>
  <c r="D1711" i="7" s="1"/>
  <c r="Y1711" i="7" s="1"/>
  <c r="Z1711" i="7" s="1"/>
  <c r="AA1711" i="7" s="1"/>
  <c r="U1708" i="7"/>
  <c r="C1708" i="7" s="1"/>
  <c r="D1708" i="7" s="1"/>
  <c r="Y1708" i="7" s="1"/>
  <c r="Z1708" i="7" s="1"/>
  <c r="AA1708" i="7" s="1"/>
  <c r="U1700" i="7"/>
  <c r="W1700" i="7" s="1"/>
  <c r="X1700" i="7" s="1"/>
  <c r="U1320" i="7"/>
  <c r="C1320" i="7" s="1"/>
  <c r="D1320" i="7" s="1"/>
  <c r="Y1320" i="7" s="1"/>
  <c r="Z1320" i="7" s="1"/>
  <c r="AA1320" i="7" s="1"/>
  <c r="U85" i="7"/>
  <c r="C85" i="7" s="1"/>
  <c r="D85" i="7" s="1"/>
  <c r="Y85" i="7" s="1"/>
  <c r="Z85" i="7" s="1"/>
  <c r="AA85" i="7" s="1"/>
  <c r="U1121" i="7"/>
  <c r="W1121" i="7" s="1"/>
  <c r="X1121" i="7" s="1"/>
  <c r="U1059" i="7"/>
  <c r="C1059" i="7" s="1"/>
  <c r="D1059" i="7" s="1"/>
  <c r="Y1059" i="7" s="1"/>
  <c r="Z1059" i="7" s="1"/>
  <c r="AA1059" i="7" s="1"/>
  <c r="U1614" i="7"/>
  <c r="W1614" i="7" s="1"/>
  <c r="X1614" i="7" s="1"/>
  <c r="U1259" i="7"/>
  <c r="C1259" i="7" s="1"/>
  <c r="D1259" i="7" s="1"/>
  <c r="Y1259" i="7" s="1"/>
  <c r="Z1259" i="7" s="1"/>
  <c r="AA1259" i="7" s="1"/>
  <c r="U1256" i="7"/>
  <c r="U1250" i="7"/>
  <c r="C1250" i="7" s="1"/>
  <c r="D1250" i="7" s="1"/>
  <c r="Y1250" i="7" s="1"/>
  <c r="Z1250" i="7" s="1"/>
  <c r="AA1250" i="7" s="1"/>
  <c r="U1247" i="7"/>
  <c r="W1247" i="7" s="1"/>
  <c r="X1247" i="7" s="1"/>
  <c r="U1239" i="7"/>
  <c r="W1239" i="7" s="1"/>
  <c r="X1239" i="7" s="1"/>
  <c r="U1191" i="7"/>
  <c r="W1191" i="7" s="1"/>
  <c r="X1191" i="7" s="1"/>
  <c r="U798" i="7"/>
  <c r="C798" i="7" s="1"/>
  <c r="D798" i="7" s="1"/>
  <c r="Y798" i="7" s="1"/>
  <c r="Z798" i="7" s="1"/>
  <c r="AA798" i="7" s="1"/>
  <c r="U787" i="7"/>
  <c r="C787" i="7" s="1"/>
  <c r="D787" i="7" s="1"/>
  <c r="Y787" i="7" s="1"/>
  <c r="Z787" i="7" s="1"/>
  <c r="AA787" i="7" s="1"/>
  <c r="U734" i="7"/>
  <c r="C734" i="7" s="1"/>
  <c r="D734" i="7" s="1"/>
  <c r="Y734" i="7" s="1"/>
  <c r="Z734" i="7" s="1"/>
  <c r="AA734" i="7" s="1"/>
  <c r="U614" i="7"/>
  <c r="C614" i="7" s="1"/>
  <c r="D614" i="7" s="1"/>
  <c r="Y614" i="7" s="1"/>
  <c r="Z614" i="7" s="1"/>
  <c r="AA614" i="7" s="1"/>
  <c r="U607" i="7"/>
  <c r="W607" i="7" s="1"/>
  <c r="X607" i="7" s="1"/>
  <c r="U1228" i="7"/>
  <c r="W1228" i="7" s="1"/>
  <c r="X1228" i="7" s="1"/>
  <c r="U1224" i="7"/>
  <c r="C1224" i="7" s="1"/>
  <c r="D1224" i="7" s="1"/>
  <c r="Y1224" i="7" s="1"/>
  <c r="Z1224" i="7" s="1"/>
  <c r="AA1224" i="7" s="1"/>
  <c r="U1225" i="7"/>
  <c r="C1225" i="7" s="1"/>
  <c r="D1225" i="7" s="1"/>
  <c r="Y1225" i="7" s="1"/>
  <c r="Z1225" i="7" s="1"/>
  <c r="AA1225" i="7" s="1"/>
  <c r="U1029" i="7"/>
  <c r="W1029" i="7" s="1"/>
  <c r="X1029" i="7" s="1"/>
  <c r="U801" i="7"/>
  <c r="C801" i="7" s="1"/>
  <c r="D801" i="7" s="1"/>
  <c r="Y801" i="7" s="1"/>
  <c r="Z801" i="7" s="1"/>
  <c r="AA801" i="7" s="1"/>
  <c r="U789" i="7"/>
  <c r="W789" i="7" s="1"/>
  <c r="X789" i="7" s="1"/>
  <c r="U776" i="7"/>
  <c r="C776" i="7" s="1"/>
  <c r="D776" i="7" s="1"/>
  <c r="Y776" i="7" s="1"/>
  <c r="Z776" i="7" s="1"/>
  <c r="AA776" i="7" s="1"/>
  <c r="U771" i="7"/>
  <c r="C771" i="7" s="1"/>
  <c r="D771" i="7" s="1"/>
  <c r="Y771" i="7" s="1"/>
  <c r="Z771" i="7" s="1"/>
  <c r="AA771" i="7" s="1"/>
  <c r="U748" i="7"/>
  <c r="C748" i="7" s="1"/>
  <c r="D748" i="7" s="1"/>
  <c r="Y748" i="7" s="1"/>
  <c r="Z748" i="7" s="1"/>
  <c r="AA748" i="7" s="1"/>
  <c r="U736" i="7"/>
  <c r="C736" i="7" s="1"/>
  <c r="D736" i="7" s="1"/>
  <c r="Y736" i="7" s="1"/>
  <c r="Z736" i="7" s="1"/>
  <c r="AA736" i="7" s="1"/>
  <c r="U724" i="7"/>
  <c r="W724" i="7" s="1"/>
  <c r="X724" i="7" s="1"/>
  <c r="U721" i="7"/>
  <c r="C721" i="7" s="1"/>
  <c r="D721" i="7" s="1"/>
  <c r="Y721" i="7" s="1"/>
  <c r="Z721" i="7" s="1"/>
  <c r="AA721" i="7" s="1"/>
  <c r="U167" i="7"/>
  <c r="W167" i="7" s="1"/>
  <c r="X167" i="7" s="1"/>
  <c r="U159" i="7"/>
  <c r="U1732" i="7"/>
  <c r="C1732" i="7" s="1"/>
  <c r="D1732" i="7" s="1"/>
  <c r="Y1732" i="7" s="1"/>
  <c r="Z1732" i="7" s="1"/>
  <c r="AA1732" i="7" s="1"/>
  <c r="U1717" i="7"/>
  <c r="C1717" i="7" s="1"/>
  <c r="D1717" i="7" s="1"/>
  <c r="Y1717" i="7" s="1"/>
  <c r="Z1717" i="7" s="1"/>
  <c r="AA1717" i="7" s="1"/>
  <c r="U1284" i="7"/>
  <c r="C1284" i="7" s="1"/>
  <c r="D1284" i="7" s="1"/>
  <c r="Y1284" i="7" s="1"/>
  <c r="Z1284" i="7" s="1"/>
  <c r="AA1284" i="7" s="1"/>
  <c r="U1236" i="7"/>
  <c r="W1236" i="7" s="1"/>
  <c r="X1236" i="7" s="1"/>
  <c r="U333" i="7"/>
  <c r="W333" i="7" s="1"/>
  <c r="X333" i="7" s="1"/>
  <c r="U45" i="7"/>
  <c r="W45" i="7" s="1"/>
  <c r="X45" i="7" s="1"/>
  <c r="U42" i="7"/>
  <c r="C42" i="7" s="1"/>
  <c r="D42" i="7" s="1"/>
  <c r="Y42" i="7" s="1"/>
  <c r="Z42" i="7" s="1"/>
  <c r="AA42" i="7" s="1"/>
  <c r="U31" i="7"/>
  <c r="C31" i="7" s="1"/>
  <c r="D31" i="7" s="1"/>
  <c r="Y31" i="7" s="1"/>
  <c r="Z31" i="7" s="1"/>
  <c r="AA31" i="7" s="1"/>
  <c r="W1019" i="7"/>
  <c r="X1019" i="7" s="1"/>
  <c r="U1671" i="7"/>
  <c r="C1671" i="7" s="1"/>
  <c r="D1671" i="7" s="1"/>
  <c r="Y1671" i="7" s="1"/>
  <c r="Z1671" i="7" s="1"/>
  <c r="AA1671" i="7" s="1"/>
  <c r="W1491" i="7"/>
  <c r="X1491" i="7" s="1"/>
  <c r="U735" i="7"/>
  <c r="U297" i="7"/>
  <c r="W297" i="7" s="1"/>
  <c r="X297" i="7" s="1"/>
  <c r="U292" i="7"/>
  <c r="C292" i="7" s="1"/>
  <c r="D292" i="7" s="1"/>
  <c r="Y292" i="7" s="1"/>
  <c r="Z292" i="7" s="1"/>
  <c r="AA292" i="7" s="1"/>
  <c r="U287" i="7"/>
  <c r="U280" i="7"/>
  <c r="W280" i="7" s="1"/>
  <c r="X280" i="7" s="1"/>
  <c r="U1314" i="7"/>
  <c r="W1314" i="7" s="1"/>
  <c r="X1314" i="7" s="1"/>
  <c r="U1507" i="7"/>
  <c r="W1507" i="7" s="1"/>
  <c r="X1507" i="7" s="1"/>
  <c r="U1085" i="7"/>
  <c r="C1085" i="7" s="1"/>
  <c r="D1085" i="7" s="1"/>
  <c r="Y1085" i="7" s="1"/>
  <c r="Z1085" i="7" s="1"/>
  <c r="AA1085" i="7" s="1"/>
  <c r="U1751" i="7"/>
  <c r="W1751" i="7" s="1"/>
  <c r="X1751" i="7" s="1"/>
  <c r="U1734" i="7"/>
  <c r="C1734" i="7" s="1"/>
  <c r="D1734" i="7" s="1"/>
  <c r="Y1734" i="7" s="1"/>
  <c r="Z1734" i="7" s="1"/>
  <c r="AA1734" i="7" s="1"/>
  <c r="U428" i="7"/>
  <c r="C428" i="7" s="1"/>
  <c r="D428" i="7" s="1"/>
  <c r="Y428" i="7" s="1"/>
  <c r="Z428" i="7" s="1"/>
  <c r="AA428" i="7" s="1"/>
  <c r="U91" i="7"/>
  <c r="C91" i="7" s="1"/>
  <c r="D91" i="7" s="1"/>
  <c r="Y91" i="7" s="1"/>
  <c r="Z91" i="7" s="1"/>
  <c r="AA91" i="7" s="1"/>
  <c r="U1669" i="7"/>
  <c r="W1669" i="7" s="1"/>
  <c r="X1669" i="7" s="1"/>
  <c r="U1386" i="7"/>
  <c r="W1386" i="7" s="1"/>
  <c r="X1386" i="7" s="1"/>
  <c r="U1374" i="7"/>
  <c r="W1374" i="7" s="1"/>
  <c r="X1374" i="7" s="1"/>
  <c r="U1371" i="7"/>
  <c r="C1371" i="7" s="1"/>
  <c r="D1371" i="7" s="1"/>
  <c r="Y1371" i="7" s="1"/>
  <c r="Z1371" i="7" s="1"/>
  <c r="AA1371" i="7" s="1"/>
  <c r="U1114" i="7"/>
  <c r="W1114" i="7" s="1"/>
  <c r="X1114" i="7" s="1"/>
  <c r="U547" i="7"/>
  <c r="C547" i="7" s="1"/>
  <c r="D547" i="7" s="1"/>
  <c r="Y547" i="7" s="1"/>
  <c r="Z547" i="7" s="1"/>
  <c r="AA547" i="7" s="1"/>
  <c r="U532" i="7"/>
  <c r="W532" i="7" s="1"/>
  <c r="X532" i="7" s="1"/>
  <c r="U102" i="7"/>
  <c r="C102" i="7" s="1"/>
  <c r="D102" i="7" s="1"/>
  <c r="Y102" i="7" s="1"/>
  <c r="Z102" i="7" s="1"/>
  <c r="AA102" i="7" s="1"/>
  <c r="U18" i="7"/>
  <c r="C18" i="7" s="1"/>
  <c r="D18" i="7" s="1"/>
  <c r="Y18" i="7" s="1"/>
  <c r="Z18" i="7" s="1"/>
  <c r="AA18" i="7" s="1"/>
  <c r="U15" i="7"/>
  <c r="W15" i="7" s="1"/>
  <c r="X15" i="7" s="1"/>
  <c r="U8" i="7"/>
  <c r="C8" i="7" s="1"/>
  <c r="D8" i="7" s="1"/>
  <c r="Y8" i="7" s="1"/>
  <c r="Z8" i="7" s="1"/>
  <c r="AA8" i="7" s="1"/>
  <c r="U1685" i="7"/>
  <c r="C1685" i="7" s="1"/>
  <c r="D1685" i="7" s="1"/>
  <c r="Y1685" i="7" s="1"/>
  <c r="Z1685" i="7" s="1"/>
  <c r="AA1685" i="7" s="1"/>
  <c r="U983" i="7"/>
  <c r="W983" i="7" s="1"/>
  <c r="X983" i="7" s="1"/>
  <c r="U619" i="7"/>
  <c r="W619" i="7" s="1"/>
  <c r="X619" i="7" s="1"/>
  <c r="U1101" i="7"/>
  <c r="C1101" i="7" s="1"/>
  <c r="D1101" i="7" s="1"/>
  <c r="Y1101" i="7" s="1"/>
  <c r="Z1101" i="7" s="1"/>
  <c r="AA1101" i="7" s="1"/>
  <c r="U610" i="7"/>
  <c r="C610" i="7" s="1"/>
  <c r="D610" i="7" s="1"/>
  <c r="Y610" i="7" s="1"/>
  <c r="Z610" i="7" s="1"/>
  <c r="AA610" i="7" s="1"/>
  <c r="U580" i="7"/>
  <c r="C580" i="7" s="1"/>
  <c r="D580" i="7" s="1"/>
  <c r="Y580" i="7" s="1"/>
  <c r="Z580" i="7" s="1"/>
  <c r="AA580" i="7" s="1"/>
  <c r="U1527" i="7"/>
  <c r="W1527" i="7" s="1"/>
  <c r="X1527" i="7" s="1"/>
  <c r="U1511" i="7"/>
  <c r="W1511" i="7" s="1"/>
  <c r="X1511" i="7" s="1"/>
  <c r="U978" i="7"/>
  <c r="C978" i="7" s="1"/>
  <c r="D978" i="7" s="1"/>
  <c r="Y978" i="7" s="1"/>
  <c r="Z978" i="7" s="1"/>
  <c r="AA978" i="7" s="1"/>
  <c r="U961" i="7"/>
  <c r="W961" i="7" s="1"/>
  <c r="X961" i="7" s="1"/>
  <c r="U957" i="7"/>
  <c r="C957" i="7" s="1"/>
  <c r="D957" i="7" s="1"/>
  <c r="Y957" i="7" s="1"/>
  <c r="Z957" i="7" s="1"/>
  <c r="AA957" i="7" s="1"/>
  <c r="U767" i="7"/>
  <c r="W767" i="7" s="1"/>
  <c r="X767" i="7" s="1"/>
  <c r="U747" i="7"/>
  <c r="W747" i="7" s="1"/>
  <c r="X747" i="7" s="1"/>
  <c r="U501" i="7"/>
  <c r="C501" i="7" s="1"/>
  <c r="D501" i="7" s="1"/>
  <c r="Y501" i="7" s="1"/>
  <c r="Z501" i="7" s="1"/>
  <c r="AA501" i="7" s="1"/>
  <c r="U265" i="7"/>
  <c r="C265" i="7" s="1"/>
  <c r="D265" i="7" s="1"/>
  <c r="Y265" i="7" s="1"/>
  <c r="Z265" i="7" s="1"/>
  <c r="AA265" i="7" s="1"/>
  <c r="U261" i="7"/>
  <c r="W261" i="7" s="1"/>
  <c r="X261" i="7" s="1"/>
  <c r="U253" i="7"/>
  <c r="C253" i="7" s="1"/>
  <c r="D253" i="7" s="1"/>
  <c r="Y253" i="7" s="1"/>
  <c r="Z253" i="7" s="1"/>
  <c r="AA253" i="7" s="1"/>
  <c r="U250" i="7"/>
  <c r="C250" i="7" s="1"/>
  <c r="D250" i="7" s="1"/>
  <c r="Y250" i="7" s="1"/>
  <c r="Z250" i="7" s="1"/>
  <c r="AA250" i="7" s="1"/>
  <c r="U1643" i="7"/>
  <c r="W1643" i="7" s="1"/>
  <c r="X1643" i="7" s="1"/>
  <c r="U1640" i="7"/>
  <c r="U1628" i="7"/>
  <c r="W1628" i="7" s="1"/>
  <c r="X1628" i="7" s="1"/>
  <c r="U1618" i="7"/>
  <c r="C1618" i="7" s="1"/>
  <c r="D1618" i="7" s="1"/>
  <c r="Y1618" i="7" s="1"/>
  <c r="Z1618" i="7" s="1"/>
  <c r="AA1618" i="7" s="1"/>
  <c r="U1489" i="7"/>
  <c r="C1489" i="7" s="1"/>
  <c r="D1489" i="7" s="1"/>
  <c r="Y1489" i="7" s="1"/>
  <c r="Z1489" i="7" s="1"/>
  <c r="AA1489" i="7" s="1"/>
  <c r="U1217" i="7"/>
  <c r="C1217" i="7" s="1"/>
  <c r="D1217" i="7" s="1"/>
  <c r="Y1217" i="7" s="1"/>
  <c r="Z1217" i="7" s="1"/>
  <c r="AA1217" i="7" s="1"/>
  <c r="U1213" i="7"/>
  <c r="C1213" i="7" s="1"/>
  <c r="D1213" i="7" s="1"/>
  <c r="Y1213" i="7" s="1"/>
  <c r="Z1213" i="7" s="1"/>
  <c r="AA1213" i="7" s="1"/>
  <c r="U1106" i="7"/>
  <c r="W1106" i="7" s="1"/>
  <c r="X1106" i="7" s="1"/>
  <c r="U1072" i="7"/>
  <c r="C1072" i="7" s="1"/>
  <c r="D1072" i="7" s="1"/>
  <c r="Y1072" i="7" s="1"/>
  <c r="Z1072" i="7" s="1"/>
  <c r="AA1072" i="7" s="1"/>
  <c r="U1067" i="7"/>
  <c r="C1067" i="7" s="1"/>
  <c r="D1067" i="7" s="1"/>
  <c r="Y1067" i="7" s="1"/>
  <c r="Z1067" i="7" s="1"/>
  <c r="AA1067" i="7" s="1"/>
  <c r="U695" i="7"/>
  <c r="W695" i="7" s="1"/>
  <c r="X695" i="7" s="1"/>
  <c r="U672" i="7"/>
  <c r="C672" i="7" s="1"/>
  <c r="D672" i="7" s="1"/>
  <c r="Y672" i="7" s="1"/>
  <c r="Z672" i="7" s="1"/>
  <c r="AA672" i="7" s="1"/>
  <c r="U657" i="7"/>
  <c r="W657" i="7" s="1"/>
  <c r="X657" i="7" s="1"/>
  <c r="U478" i="7"/>
  <c r="C478" i="7" s="1"/>
  <c r="D478" i="7" s="1"/>
  <c r="Y478" i="7" s="1"/>
  <c r="Z478" i="7" s="1"/>
  <c r="AA478" i="7" s="1"/>
  <c r="U408" i="7"/>
  <c r="W408" i="7" s="1"/>
  <c r="X408" i="7" s="1"/>
  <c r="U403" i="7"/>
  <c r="C403" i="7" s="1"/>
  <c r="D403" i="7" s="1"/>
  <c r="Y403" i="7" s="1"/>
  <c r="Z403" i="7" s="1"/>
  <c r="AA403" i="7" s="1"/>
  <c r="U353" i="7"/>
  <c r="C353" i="7" s="1"/>
  <c r="D353" i="7" s="1"/>
  <c r="Y353" i="7" s="1"/>
  <c r="Z353" i="7" s="1"/>
  <c r="AA353" i="7" s="1"/>
  <c r="U67" i="7"/>
  <c r="C67" i="7" s="1"/>
  <c r="D67" i="7" s="1"/>
  <c r="Y67" i="7" s="1"/>
  <c r="Z67" i="7" s="1"/>
  <c r="AA67" i="7" s="1"/>
  <c r="U57" i="7"/>
  <c r="C57" i="7" s="1"/>
  <c r="D57" i="7" s="1"/>
  <c r="Y57" i="7" s="1"/>
  <c r="Z57" i="7" s="1"/>
  <c r="AA57" i="7" s="1"/>
  <c r="U54" i="7"/>
  <c r="W54" i="7" s="1"/>
  <c r="X54" i="7" s="1"/>
  <c r="U1132" i="7"/>
  <c r="C1132" i="7" s="1"/>
  <c r="D1132" i="7" s="1"/>
  <c r="Y1132" i="7" s="1"/>
  <c r="Z1132" i="7" s="1"/>
  <c r="AA1132" i="7" s="1"/>
  <c r="U1512" i="7"/>
  <c r="C1512" i="7" s="1"/>
  <c r="D1512" i="7" s="1"/>
  <c r="Y1512" i="7" s="1"/>
  <c r="Z1512" i="7" s="1"/>
  <c r="AA1512" i="7" s="1"/>
  <c r="U1480" i="7"/>
  <c r="C1480" i="7" s="1"/>
  <c r="D1480" i="7" s="1"/>
  <c r="Y1480" i="7" s="1"/>
  <c r="Z1480" i="7" s="1"/>
  <c r="AA1480" i="7" s="1"/>
  <c r="U1405" i="7"/>
  <c r="W1405" i="7" s="1"/>
  <c r="X1405" i="7" s="1"/>
  <c r="U1402" i="7"/>
  <c r="C1402" i="7" s="1"/>
  <c r="D1402" i="7" s="1"/>
  <c r="Y1402" i="7" s="1"/>
  <c r="Z1402" i="7" s="1"/>
  <c r="AA1402" i="7" s="1"/>
  <c r="U1369" i="7"/>
  <c r="C1369" i="7" s="1"/>
  <c r="D1369" i="7" s="1"/>
  <c r="Y1369" i="7" s="1"/>
  <c r="Z1369" i="7" s="1"/>
  <c r="AA1369" i="7" s="1"/>
  <c r="U1318" i="7"/>
  <c r="C1318" i="7" s="1"/>
  <c r="D1318" i="7" s="1"/>
  <c r="Y1318" i="7" s="1"/>
  <c r="Z1318" i="7" s="1"/>
  <c r="AA1318" i="7" s="1"/>
  <c r="U1216" i="7"/>
  <c r="C1216" i="7" s="1"/>
  <c r="D1216" i="7" s="1"/>
  <c r="Y1216" i="7" s="1"/>
  <c r="Z1216" i="7" s="1"/>
  <c r="AA1216" i="7" s="1"/>
  <c r="U1204" i="7"/>
  <c r="W1204" i="7" s="1"/>
  <c r="X1204" i="7" s="1"/>
  <c r="U1201" i="7"/>
  <c r="C1201" i="7" s="1"/>
  <c r="D1201" i="7" s="1"/>
  <c r="Y1201" i="7" s="1"/>
  <c r="Z1201" i="7" s="1"/>
  <c r="AA1201" i="7" s="1"/>
  <c r="U1105" i="7"/>
  <c r="W1105" i="7" s="1"/>
  <c r="X1105" i="7" s="1"/>
  <c r="U1074" i="7"/>
  <c r="C1074" i="7" s="1"/>
  <c r="D1074" i="7" s="1"/>
  <c r="Y1074" i="7" s="1"/>
  <c r="Z1074" i="7" s="1"/>
  <c r="AA1074" i="7" s="1"/>
  <c r="U1070" i="7"/>
  <c r="W1070" i="7" s="1"/>
  <c r="X1070" i="7" s="1"/>
  <c r="U854" i="7"/>
  <c r="U811" i="7"/>
  <c r="C811" i="7" s="1"/>
  <c r="D811" i="7" s="1"/>
  <c r="Y811" i="7" s="1"/>
  <c r="Z811" i="7" s="1"/>
  <c r="AA811" i="7" s="1"/>
  <c r="U805" i="7"/>
  <c r="W805" i="7" s="1"/>
  <c r="X805" i="7" s="1"/>
  <c r="U701" i="7"/>
  <c r="C701" i="7" s="1"/>
  <c r="D701" i="7" s="1"/>
  <c r="Y701" i="7" s="1"/>
  <c r="Z701" i="7" s="1"/>
  <c r="AA701" i="7" s="1"/>
  <c r="U674" i="7"/>
  <c r="W674" i="7" s="1"/>
  <c r="X674" i="7" s="1"/>
  <c r="U626" i="7"/>
  <c r="C626" i="7" s="1"/>
  <c r="D626" i="7" s="1"/>
  <c r="Y626" i="7" s="1"/>
  <c r="Z626" i="7" s="1"/>
  <c r="AA626" i="7" s="1"/>
  <c r="U615" i="7"/>
  <c r="W615" i="7" s="1"/>
  <c r="X615" i="7" s="1"/>
  <c r="U420" i="7"/>
  <c r="W420" i="7" s="1"/>
  <c r="X420" i="7" s="1"/>
  <c r="U398" i="7"/>
  <c r="C398" i="7" s="1"/>
  <c r="D398" i="7" s="1"/>
  <c r="Y398" i="7" s="1"/>
  <c r="Z398" i="7" s="1"/>
  <c r="AA398" i="7" s="1"/>
  <c r="U360" i="7"/>
  <c r="W360" i="7" s="1"/>
  <c r="X360" i="7" s="1"/>
  <c r="U356" i="7"/>
  <c r="W356" i="7" s="1"/>
  <c r="X356" i="7" s="1"/>
  <c r="U335" i="7"/>
  <c r="C335" i="7" s="1"/>
  <c r="D335" i="7" s="1"/>
  <c r="Y335" i="7" s="1"/>
  <c r="Z335" i="7" s="1"/>
  <c r="AA335" i="7" s="1"/>
  <c r="U195" i="7"/>
  <c r="W195" i="7" s="1"/>
  <c r="X195" i="7" s="1"/>
  <c r="U1757" i="7"/>
  <c r="C1757" i="7" s="1"/>
  <c r="D1757" i="7" s="1"/>
  <c r="Y1757" i="7" s="1"/>
  <c r="Z1757" i="7" s="1"/>
  <c r="AA1757" i="7" s="1"/>
  <c r="U1601" i="7"/>
  <c r="W1601" i="7" s="1"/>
  <c r="X1601" i="7" s="1"/>
  <c r="U1592" i="7"/>
  <c r="C1592" i="7" s="1"/>
  <c r="D1592" i="7" s="1"/>
  <c r="Y1592" i="7" s="1"/>
  <c r="Z1592" i="7" s="1"/>
  <c r="AA1592" i="7" s="1"/>
  <c r="U1586" i="7"/>
  <c r="W1586" i="7" s="1"/>
  <c r="X1586" i="7" s="1"/>
  <c r="C1230" i="7"/>
  <c r="D1230" i="7" s="1"/>
  <c r="Y1230" i="7" s="1"/>
  <c r="Z1230" i="7" s="1"/>
  <c r="AA1230" i="7" s="1"/>
  <c r="U997" i="7"/>
  <c r="C997" i="7" s="1"/>
  <c r="D997" i="7" s="1"/>
  <c r="Y997" i="7" s="1"/>
  <c r="Z997" i="7" s="1"/>
  <c r="AA997" i="7" s="1"/>
  <c r="U919" i="7"/>
  <c r="C919" i="7" s="1"/>
  <c r="D919" i="7" s="1"/>
  <c r="Y919" i="7" s="1"/>
  <c r="Z919" i="7" s="1"/>
  <c r="AA919" i="7" s="1"/>
  <c r="U913" i="7"/>
  <c r="W913" i="7" s="1"/>
  <c r="X913" i="7" s="1"/>
  <c r="U897" i="7"/>
  <c r="W897" i="7" s="1"/>
  <c r="X897" i="7" s="1"/>
  <c r="U894" i="7"/>
  <c r="W894" i="7" s="1"/>
  <c r="X894" i="7" s="1"/>
  <c r="U628" i="7"/>
  <c r="C628" i="7" s="1"/>
  <c r="D628" i="7" s="1"/>
  <c r="Y628" i="7" s="1"/>
  <c r="Z628" i="7" s="1"/>
  <c r="AA628" i="7" s="1"/>
  <c r="U263" i="7"/>
  <c r="C263" i="7" s="1"/>
  <c r="D263" i="7" s="1"/>
  <c r="Y263" i="7" s="1"/>
  <c r="Z263" i="7" s="1"/>
  <c r="AA263" i="7" s="1"/>
  <c r="U166" i="7"/>
  <c r="C166" i="7" s="1"/>
  <c r="D166" i="7" s="1"/>
  <c r="Y166" i="7" s="1"/>
  <c r="Z166" i="7" s="1"/>
  <c r="AA166" i="7" s="1"/>
  <c r="U1740" i="7"/>
  <c r="C1740" i="7" s="1"/>
  <c r="D1740" i="7" s="1"/>
  <c r="Y1740" i="7" s="1"/>
  <c r="Z1740" i="7" s="1"/>
  <c r="AA1740" i="7" s="1"/>
  <c r="U1296" i="7"/>
  <c r="C1296" i="7" s="1"/>
  <c r="D1296" i="7" s="1"/>
  <c r="Y1296" i="7" s="1"/>
  <c r="Z1296" i="7" s="1"/>
  <c r="AA1296" i="7" s="1"/>
  <c r="W1220" i="7"/>
  <c r="X1220" i="7" s="1"/>
  <c r="U1457" i="7"/>
  <c r="C1457" i="7" s="1"/>
  <c r="D1457" i="7" s="1"/>
  <c r="Y1457" i="7" s="1"/>
  <c r="Z1457" i="7" s="1"/>
  <c r="AA1457" i="7" s="1"/>
  <c r="U1346" i="7"/>
  <c r="C1346" i="7" s="1"/>
  <c r="D1346" i="7" s="1"/>
  <c r="Y1346" i="7" s="1"/>
  <c r="Z1346" i="7" s="1"/>
  <c r="AA1346" i="7" s="1"/>
  <c r="U1333" i="7"/>
  <c r="W1333" i="7" s="1"/>
  <c r="X1333" i="7" s="1"/>
  <c r="U1329" i="7"/>
  <c r="W1329" i="7" s="1"/>
  <c r="X1329" i="7" s="1"/>
  <c r="U1031" i="7"/>
  <c r="C1031" i="7" s="1"/>
  <c r="D1031" i="7" s="1"/>
  <c r="Y1031" i="7" s="1"/>
  <c r="Z1031" i="7" s="1"/>
  <c r="AA1031" i="7" s="1"/>
  <c r="U1025" i="7"/>
  <c r="W1025" i="7" s="1"/>
  <c r="X1025" i="7" s="1"/>
  <c r="U972" i="7"/>
  <c r="C972" i="7" s="1"/>
  <c r="D972" i="7" s="1"/>
  <c r="Y972" i="7" s="1"/>
  <c r="Z972" i="7" s="1"/>
  <c r="AA972" i="7" s="1"/>
  <c r="U963" i="7"/>
  <c r="W963" i="7" s="1"/>
  <c r="X963" i="7" s="1"/>
  <c r="U251" i="7"/>
  <c r="W251" i="7" s="1"/>
  <c r="X251" i="7" s="1"/>
  <c r="U243" i="7"/>
  <c r="C243" i="7" s="1"/>
  <c r="D243" i="7" s="1"/>
  <c r="Y243" i="7" s="1"/>
  <c r="Z243" i="7" s="1"/>
  <c r="AA243" i="7" s="1"/>
  <c r="U148" i="7"/>
  <c r="C148" i="7" s="1"/>
  <c r="D148" i="7" s="1"/>
  <c r="Y148" i="7" s="1"/>
  <c r="Z148" i="7" s="1"/>
  <c r="AA148" i="7" s="1"/>
  <c r="U21" i="7"/>
  <c r="W21" i="7" s="1"/>
  <c r="X21" i="7" s="1"/>
  <c r="U1754" i="7"/>
  <c r="W1754" i="7" s="1"/>
  <c r="X1754" i="7" s="1"/>
  <c r="U1459" i="7"/>
  <c r="W1459" i="7" s="1"/>
  <c r="X1459" i="7" s="1"/>
  <c r="U1633" i="7"/>
  <c r="C1633" i="7" s="1"/>
  <c r="D1633" i="7" s="1"/>
  <c r="Y1633" i="7" s="1"/>
  <c r="Z1633" i="7" s="1"/>
  <c r="AA1633" i="7" s="1"/>
  <c r="U1285" i="7"/>
  <c r="C1285" i="7" s="1"/>
  <c r="D1285" i="7" s="1"/>
  <c r="Y1285" i="7" s="1"/>
  <c r="Z1285" i="7" s="1"/>
  <c r="AA1285" i="7" s="1"/>
  <c r="U1103" i="7"/>
  <c r="W1103" i="7" s="1"/>
  <c r="X1103" i="7" s="1"/>
  <c r="U935" i="7"/>
  <c r="W935" i="7" s="1"/>
  <c r="X935" i="7" s="1"/>
  <c r="U830" i="7"/>
  <c r="C830" i="7" s="1"/>
  <c r="D830" i="7" s="1"/>
  <c r="Y830" i="7" s="1"/>
  <c r="Z830" i="7" s="1"/>
  <c r="AA830" i="7" s="1"/>
  <c r="U650" i="7"/>
  <c r="C650" i="7" s="1"/>
  <c r="D650" i="7" s="1"/>
  <c r="Y650" i="7" s="1"/>
  <c r="Z650" i="7" s="1"/>
  <c r="AA650" i="7" s="1"/>
  <c r="U647" i="7"/>
  <c r="W647" i="7" s="1"/>
  <c r="X647" i="7" s="1"/>
  <c r="U434" i="7"/>
  <c r="W434" i="7" s="1"/>
  <c r="X434" i="7" s="1"/>
  <c r="U412" i="7"/>
  <c r="C412" i="7" s="1"/>
  <c r="D412" i="7" s="1"/>
  <c r="Y412" i="7" s="1"/>
  <c r="Z412" i="7" s="1"/>
  <c r="AA412" i="7" s="1"/>
  <c r="U400" i="7"/>
  <c r="W400" i="7" s="1"/>
  <c r="X400" i="7" s="1"/>
  <c r="U342" i="7"/>
  <c r="C342" i="7" s="1"/>
  <c r="D342" i="7" s="1"/>
  <c r="Y342" i="7" s="1"/>
  <c r="Z342" i="7" s="1"/>
  <c r="AA342" i="7" s="1"/>
  <c r="U310" i="7"/>
  <c r="C310" i="7" s="1"/>
  <c r="D310" i="7" s="1"/>
  <c r="Y310" i="7" s="1"/>
  <c r="Z310" i="7" s="1"/>
  <c r="AA310" i="7" s="1"/>
  <c r="U115" i="7"/>
  <c r="W115" i="7" s="1"/>
  <c r="X115" i="7" s="1"/>
  <c r="U107" i="7"/>
  <c r="C107" i="7" s="1"/>
  <c r="D107" i="7" s="1"/>
  <c r="Y107" i="7" s="1"/>
  <c r="Z107" i="7" s="1"/>
  <c r="AA107" i="7" s="1"/>
  <c r="U65" i="7"/>
  <c r="W65" i="7" s="1"/>
  <c r="X65" i="7" s="1"/>
  <c r="U1762" i="7"/>
  <c r="C1762" i="7" s="1"/>
  <c r="D1762" i="7" s="1"/>
  <c r="Y1762" i="7" s="1"/>
  <c r="Z1762" i="7" s="1"/>
  <c r="AA1762" i="7" s="1"/>
  <c r="U1582" i="7"/>
  <c r="W1582" i="7" s="1"/>
  <c r="X1582" i="7" s="1"/>
  <c r="U1453" i="7"/>
  <c r="W1453" i="7" s="1"/>
  <c r="X1453" i="7" s="1"/>
  <c r="U1013" i="7"/>
  <c r="C1013" i="7" s="1"/>
  <c r="D1013" i="7" s="1"/>
  <c r="Y1013" i="7" s="1"/>
  <c r="Z1013" i="7" s="1"/>
  <c r="AA1013" i="7" s="1"/>
  <c r="U883" i="7"/>
  <c r="C883" i="7" s="1"/>
  <c r="D883" i="7" s="1"/>
  <c r="Y883" i="7" s="1"/>
  <c r="Z883" i="7" s="1"/>
  <c r="AA883" i="7" s="1"/>
  <c r="U718" i="7"/>
  <c r="C718" i="7" s="1"/>
  <c r="D718" i="7" s="1"/>
  <c r="Y718" i="7" s="1"/>
  <c r="Z718" i="7" s="1"/>
  <c r="AA718" i="7" s="1"/>
  <c r="U631" i="7"/>
  <c r="W631" i="7" s="1"/>
  <c r="X631" i="7" s="1"/>
  <c r="U627" i="7"/>
  <c r="C627" i="7" s="1"/>
  <c r="D627" i="7" s="1"/>
  <c r="Y627" i="7" s="1"/>
  <c r="Z627" i="7" s="1"/>
  <c r="AA627" i="7" s="1"/>
  <c r="U322" i="7"/>
  <c r="C322" i="7" s="1"/>
  <c r="D322" i="7" s="1"/>
  <c r="Y322" i="7" s="1"/>
  <c r="Z322" i="7" s="1"/>
  <c r="AA322" i="7" s="1"/>
  <c r="U1548" i="7"/>
  <c r="W1548" i="7" s="1"/>
  <c r="X1548" i="7" s="1"/>
  <c r="U1541" i="7"/>
  <c r="C1541" i="7" s="1"/>
  <c r="D1541" i="7" s="1"/>
  <c r="Y1541" i="7" s="1"/>
  <c r="Z1541" i="7" s="1"/>
  <c r="AA1541" i="7" s="1"/>
  <c r="U1513" i="7"/>
  <c r="W1513" i="7" s="1"/>
  <c r="X1513" i="7" s="1"/>
  <c r="U1377" i="7"/>
  <c r="C1377" i="7" s="1"/>
  <c r="D1377" i="7" s="1"/>
  <c r="Y1377" i="7" s="1"/>
  <c r="Z1377" i="7" s="1"/>
  <c r="AA1377" i="7" s="1"/>
  <c r="U1367" i="7"/>
  <c r="W1367" i="7" s="1"/>
  <c r="X1367" i="7" s="1"/>
  <c r="U1361" i="7"/>
  <c r="C1361" i="7" s="1"/>
  <c r="D1361" i="7" s="1"/>
  <c r="Y1361" i="7" s="1"/>
  <c r="Z1361" i="7" s="1"/>
  <c r="AA1361" i="7" s="1"/>
  <c r="U1274" i="7"/>
  <c r="C1274" i="7" s="1"/>
  <c r="D1274" i="7" s="1"/>
  <c r="Y1274" i="7" s="1"/>
  <c r="Z1274" i="7" s="1"/>
  <c r="AA1274" i="7" s="1"/>
  <c r="U1260" i="7"/>
  <c r="W1260" i="7" s="1"/>
  <c r="X1260" i="7" s="1"/>
  <c r="U1178" i="7"/>
  <c r="W1178" i="7" s="1"/>
  <c r="X1178" i="7" s="1"/>
  <c r="U844" i="7"/>
  <c r="C844" i="7" s="1"/>
  <c r="D844" i="7" s="1"/>
  <c r="Y844" i="7" s="1"/>
  <c r="Z844" i="7" s="1"/>
  <c r="AA844" i="7" s="1"/>
  <c r="U836" i="7"/>
  <c r="W836" i="7" s="1"/>
  <c r="X836" i="7" s="1"/>
  <c r="U113" i="7"/>
  <c r="W113" i="7" s="1"/>
  <c r="X113" i="7" s="1"/>
  <c r="U1673" i="7"/>
  <c r="W1673" i="7" s="1"/>
  <c r="X1673" i="7" s="1"/>
  <c r="U590" i="7"/>
  <c r="W590" i="7" s="1"/>
  <c r="X590" i="7" s="1"/>
  <c r="U411" i="7"/>
  <c r="W411" i="7" s="1"/>
  <c r="X411" i="7" s="1"/>
  <c r="U1452" i="7"/>
  <c r="W1452" i="7" s="1"/>
  <c r="X1452" i="7" s="1"/>
  <c r="U1337" i="7"/>
  <c r="W1337" i="7" s="1"/>
  <c r="X1337" i="7" s="1"/>
  <c r="U1124" i="7"/>
  <c r="W1124" i="7" s="1"/>
  <c r="X1124" i="7" s="1"/>
  <c r="U944" i="7"/>
  <c r="C944" i="7" s="1"/>
  <c r="D944" i="7" s="1"/>
  <c r="Y944" i="7" s="1"/>
  <c r="Z944" i="7" s="1"/>
  <c r="AA944" i="7" s="1"/>
  <c r="U112" i="7"/>
  <c r="C112" i="7" s="1"/>
  <c r="D112" i="7" s="1"/>
  <c r="Y112" i="7" s="1"/>
  <c r="Z112" i="7" s="1"/>
  <c r="AA112" i="7" s="1"/>
  <c r="U306" i="7"/>
  <c r="C306" i="7" s="1"/>
  <c r="D306" i="7" s="1"/>
  <c r="Y306" i="7" s="1"/>
  <c r="Z306" i="7" s="1"/>
  <c r="AA306" i="7" s="1"/>
  <c r="U1716" i="7"/>
  <c r="C1716" i="7" s="1"/>
  <c r="D1716" i="7" s="1"/>
  <c r="Y1716" i="7" s="1"/>
  <c r="Z1716" i="7" s="1"/>
  <c r="AA1716" i="7" s="1"/>
  <c r="U1712" i="7"/>
  <c r="W1712" i="7" s="1"/>
  <c r="X1712" i="7" s="1"/>
  <c r="U262" i="7"/>
  <c r="W262" i="7" s="1"/>
  <c r="X262" i="7" s="1"/>
  <c r="U254" i="7"/>
  <c r="W254" i="7" s="1"/>
  <c r="X254" i="7" s="1"/>
  <c r="U1328" i="7"/>
  <c r="C1328" i="7" s="1"/>
  <c r="D1328" i="7" s="1"/>
  <c r="Y1328" i="7" s="1"/>
  <c r="Z1328" i="7" s="1"/>
  <c r="AA1328" i="7" s="1"/>
  <c r="U1030" i="7"/>
  <c r="W1030" i="7" s="1"/>
  <c r="X1030" i="7" s="1"/>
  <c r="U1208" i="7"/>
  <c r="W1208" i="7" s="1"/>
  <c r="X1208" i="7" s="1"/>
  <c r="U1079" i="7"/>
  <c r="C1079" i="7" s="1"/>
  <c r="D1079" i="7" s="1"/>
  <c r="Y1079" i="7" s="1"/>
  <c r="Z1079" i="7" s="1"/>
  <c r="AA1079" i="7" s="1"/>
  <c r="U1075" i="7"/>
  <c r="W1075" i="7" s="1"/>
  <c r="X1075" i="7" s="1"/>
  <c r="U185" i="7"/>
  <c r="C185" i="7" s="1"/>
  <c r="D185" i="7" s="1"/>
  <c r="Y185" i="7" s="1"/>
  <c r="Z185" i="7" s="1"/>
  <c r="AA185" i="7" s="1"/>
  <c r="U247" i="7"/>
  <c r="C247" i="7" s="1"/>
  <c r="D247" i="7" s="1"/>
  <c r="Y247" i="7" s="1"/>
  <c r="Z247" i="7" s="1"/>
  <c r="AA247" i="7" s="1"/>
  <c r="U1399" i="7"/>
  <c r="C1399" i="7" s="1"/>
  <c r="D1399" i="7" s="1"/>
  <c r="Y1399" i="7" s="1"/>
  <c r="Z1399" i="7" s="1"/>
  <c r="AA1399" i="7" s="1"/>
  <c r="U1396" i="7"/>
  <c r="W1396" i="7" s="1"/>
  <c r="X1396" i="7" s="1"/>
  <c r="U1357" i="7"/>
  <c r="C1357" i="7" s="1"/>
  <c r="D1357" i="7" s="1"/>
  <c r="Y1357" i="7" s="1"/>
  <c r="Z1357" i="7" s="1"/>
  <c r="AA1357" i="7" s="1"/>
  <c r="U1344" i="7"/>
  <c r="C1344" i="7" s="1"/>
  <c r="D1344" i="7" s="1"/>
  <c r="Y1344" i="7" s="1"/>
  <c r="Z1344" i="7" s="1"/>
  <c r="AA1344" i="7" s="1"/>
  <c r="U1332" i="7"/>
  <c r="C1332" i="7" s="1"/>
  <c r="D1332" i="7" s="1"/>
  <c r="Y1332" i="7" s="1"/>
  <c r="Z1332" i="7" s="1"/>
  <c r="AA1332" i="7" s="1"/>
  <c r="U1288" i="7"/>
  <c r="C1288" i="7" s="1"/>
  <c r="D1288" i="7" s="1"/>
  <c r="Y1288" i="7" s="1"/>
  <c r="Z1288" i="7" s="1"/>
  <c r="AA1288" i="7" s="1"/>
  <c r="U1234" i="7"/>
  <c r="C1234" i="7" s="1"/>
  <c r="D1234" i="7" s="1"/>
  <c r="Y1234" i="7" s="1"/>
  <c r="Z1234" i="7" s="1"/>
  <c r="AA1234" i="7" s="1"/>
  <c r="U1139" i="7"/>
  <c r="C1139" i="7" s="1"/>
  <c r="D1139" i="7" s="1"/>
  <c r="Y1139" i="7" s="1"/>
  <c r="Z1139" i="7" s="1"/>
  <c r="AA1139" i="7" s="1"/>
  <c r="U1123" i="7"/>
  <c r="C1123" i="7" s="1"/>
  <c r="D1123" i="7" s="1"/>
  <c r="Y1123" i="7" s="1"/>
  <c r="Z1123" i="7" s="1"/>
  <c r="AA1123" i="7" s="1"/>
  <c r="U1120" i="7"/>
  <c r="W1120" i="7" s="1"/>
  <c r="X1120" i="7" s="1"/>
  <c r="U1097" i="7"/>
  <c r="C1097" i="7" s="1"/>
  <c r="D1097" i="7" s="1"/>
  <c r="Y1097" i="7" s="1"/>
  <c r="Z1097" i="7" s="1"/>
  <c r="AA1097" i="7" s="1"/>
  <c r="U845" i="7"/>
  <c r="C845" i="7" s="1"/>
  <c r="D845" i="7" s="1"/>
  <c r="Y845" i="7" s="1"/>
  <c r="Z845" i="7" s="1"/>
  <c r="AA845" i="7" s="1"/>
  <c r="U841" i="7"/>
  <c r="C841" i="7" s="1"/>
  <c r="D841" i="7" s="1"/>
  <c r="Y841" i="7" s="1"/>
  <c r="Z841" i="7" s="1"/>
  <c r="AA841" i="7" s="1"/>
  <c r="U784" i="7"/>
  <c r="W784" i="7" s="1"/>
  <c r="X784" i="7" s="1"/>
  <c r="U777" i="7"/>
  <c r="W777" i="7" s="1"/>
  <c r="X777" i="7" s="1"/>
  <c r="U772" i="7"/>
  <c r="C772" i="7" s="1"/>
  <c r="D772" i="7" s="1"/>
  <c r="Y772" i="7" s="1"/>
  <c r="Z772" i="7" s="1"/>
  <c r="AA772" i="7" s="1"/>
  <c r="U769" i="7"/>
  <c r="C769" i="7" s="1"/>
  <c r="D769" i="7" s="1"/>
  <c r="Y769" i="7" s="1"/>
  <c r="Z769" i="7" s="1"/>
  <c r="AA769" i="7" s="1"/>
  <c r="U696" i="7"/>
  <c r="C696" i="7" s="1"/>
  <c r="D696" i="7" s="1"/>
  <c r="Y696" i="7" s="1"/>
  <c r="Z696" i="7" s="1"/>
  <c r="AA696" i="7" s="1"/>
  <c r="U665" i="7"/>
  <c r="W665" i="7" s="1"/>
  <c r="X665" i="7" s="1"/>
  <c r="U513" i="7"/>
  <c r="W513" i="7" s="1"/>
  <c r="X513" i="7" s="1"/>
  <c r="U399" i="7"/>
  <c r="C399" i="7" s="1"/>
  <c r="D399" i="7" s="1"/>
  <c r="Y399" i="7" s="1"/>
  <c r="Z399" i="7" s="1"/>
  <c r="AA399" i="7" s="1"/>
  <c r="U278" i="7"/>
  <c r="C278" i="7" s="1"/>
  <c r="D278" i="7" s="1"/>
  <c r="Y278" i="7" s="1"/>
  <c r="Z278" i="7" s="1"/>
  <c r="AA278" i="7" s="1"/>
  <c r="U178" i="7"/>
  <c r="C178" i="7" s="1"/>
  <c r="D178" i="7" s="1"/>
  <c r="Y178" i="7" s="1"/>
  <c r="Z178" i="7" s="1"/>
  <c r="AA178" i="7" s="1"/>
  <c r="U169" i="7"/>
  <c r="W169" i="7" s="1"/>
  <c r="X169" i="7" s="1"/>
  <c r="U157" i="7"/>
  <c r="C157" i="7" s="1"/>
  <c r="D157" i="7" s="1"/>
  <c r="Y157" i="7" s="1"/>
  <c r="Z157" i="7" s="1"/>
  <c r="AA157" i="7" s="1"/>
  <c r="U43" i="7"/>
  <c r="W43" i="7" s="1"/>
  <c r="X43" i="7" s="1"/>
  <c r="U36" i="7"/>
  <c r="C36" i="7" s="1"/>
  <c r="D36" i="7" s="1"/>
  <c r="Y36" i="7" s="1"/>
  <c r="Z36" i="7" s="1"/>
  <c r="AA36" i="7" s="1"/>
  <c r="U1058" i="7"/>
  <c r="W1058" i="7" s="1"/>
  <c r="X1058" i="7" s="1"/>
  <c r="U916" i="7"/>
  <c r="C916" i="7" s="1"/>
  <c r="D916" i="7" s="1"/>
  <c r="Y916" i="7" s="1"/>
  <c r="Z916" i="7" s="1"/>
  <c r="AA916" i="7" s="1"/>
  <c r="U568" i="7"/>
  <c r="C568" i="7" s="1"/>
  <c r="D568" i="7" s="1"/>
  <c r="Y568" i="7" s="1"/>
  <c r="Z568" i="7" s="1"/>
  <c r="AA568" i="7" s="1"/>
  <c r="U1095" i="7"/>
  <c r="W1095" i="7" s="1"/>
  <c r="X1095" i="7" s="1"/>
  <c r="U857" i="7"/>
  <c r="W857" i="7" s="1"/>
  <c r="X857" i="7" s="1"/>
  <c r="U505" i="7"/>
  <c r="W505" i="7" s="1"/>
  <c r="X505" i="7" s="1"/>
  <c r="U1744" i="7"/>
  <c r="U1574" i="7"/>
  <c r="C1574" i="7" s="1"/>
  <c r="D1574" i="7" s="1"/>
  <c r="Y1574" i="7" s="1"/>
  <c r="Z1574" i="7" s="1"/>
  <c r="AA1574" i="7" s="1"/>
  <c r="U1730" i="7"/>
  <c r="W1730" i="7" s="1"/>
  <c r="X1730" i="7" s="1"/>
  <c r="U1645" i="7"/>
  <c r="C1645" i="7" s="1"/>
  <c r="D1645" i="7" s="1"/>
  <c r="Y1645" i="7" s="1"/>
  <c r="Z1645" i="7" s="1"/>
  <c r="AA1645" i="7" s="1"/>
  <c r="U1638" i="7"/>
  <c r="C1638" i="7" s="1"/>
  <c r="D1638" i="7" s="1"/>
  <c r="Y1638" i="7" s="1"/>
  <c r="Z1638" i="7" s="1"/>
  <c r="AA1638" i="7" s="1"/>
  <c r="U1630" i="7"/>
  <c r="C1630" i="7" s="1"/>
  <c r="D1630" i="7" s="1"/>
  <c r="Y1630" i="7" s="1"/>
  <c r="Z1630" i="7" s="1"/>
  <c r="AA1630" i="7" s="1"/>
  <c r="U1613" i="7"/>
  <c r="W1613" i="7" s="1"/>
  <c r="X1613" i="7" s="1"/>
  <c r="U1608" i="7"/>
  <c r="W1608" i="7" s="1"/>
  <c r="X1608" i="7" s="1"/>
  <c r="U1604" i="7"/>
  <c r="C1604" i="7" s="1"/>
  <c r="D1604" i="7" s="1"/>
  <c r="Y1604" i="7" s="1"/>
  <c r="Z1604" i="7" s="1"/>
  <c r="AA1604" i="7" s="1"/>
  <c r="U1595" i="7"/>
  <c r="W1595" i="7" s="1"/>
  <c r="X1595" i="7" s="1"/>
  <c r="U1475" i="7"/>
  <c r="W1475" i="7" s="1"/>
  <c r="X1475" i="7" s="1"/>
  <c r="U1472" i="7"/>
  <c r="W1472" i="7" s="1"/>
  <c r="X1472" i="7" s="1"/>
  <c r="U1393" i="7"/>
  <c r="U1387" i="7"/>
  <c r="C1387" i="7" s="1"/>
  <c r="D1387" i="7" s="1"/>
  <c r="Y1387" i="7" s="1"/>
  <c r="Z1387" i="7" s="1"/>
  <c r="AA1387" i="7" s="1"/>
  <c r="U1258" i="7"/>
  <c r="C1258" i="7" s="1"/>
  <c r="D1258" i="7" s="1"/>
  <c r="Y1258" i="7" s="1"/>
  <c r="Z1258" i="7" s="1"/>
  <c r="AA1258" i="7" s="1"/>
  <c r="U1049" i="7"/>
  <c r="W1049" i="7" s="1"/>
  <c r="X1049" i="7" s="1"/>
  <c r="U900" i="7"/>
  <c r="W900" i="7" s="1"/>
  <c r="X900" i="7" s="1"/>
  <c r="U826" i="7"/>
  <c r="W826" i="7" s="1"/>
  <c r="X826" i="7" s="1"/>
  <c r="U823" i="7"/>
  <c r="C823" i="7" s="1"/>
  <c r="D823" i="7" s="1"/>
  <c r="Y823" i="7" s="1"/>
  <c r="Z823" i="7" s="1"/>
  <c r="AA823" i="7" s="1"/>
  <c r="U755" i="7"/>
  <c r="C755" i="7" s="1"/>
  <c r="D755" i="7" s="1"/>
  <c r="Y755" i="7" s="1"/>
  <c r="Z755" i="7" s="1"/>
  <c r="AA755" i="7" s="1"/>
  <c r="U720" i="7"/>
  <c r="C720" i="7" s="1"/>
  <c r="D720" i="7" s="1"/>
  <c r="Y720" i="7" s="1"/>
  <c r="Z720" i="7" s="1"/>
  <c r="AA720" i="7" s="1"/>
  <c r="U704" i="7"/>
  <c r="C704" i="7" s="1"/>
  <c r="D704" i="7" s="1"/>
  <c r="Y704" i="7" s="1"/>
  <c r="Z704" i="7" s="1"/>
  <c r="AA704" i="7" s="1"/>
  <c r="U685" i="7"/>
  <c r="C685" i="7" s="1"/>
  <c r="D685" i="7" s="1"/>
  <c r="Y685" i="7" s="1"/>
  <c r="Z685" i="7" s="1"/>
  <c r="AA685" i="7" s="1"/>
  <c r="U542" i="7"/>
  <c r="W542" i="7" s="1"/>
  <c r="X542" i="7" s="1"/>
  <c r="U535" i="7"/>
  <c r="C535" i="7" s="1"/>
  <c r="D535" i="7" s="1"/>
  <c r="Y535" i="7" s="1"/>
  <c r="Z535" i="7" s="1"/>
  <c r="AA535" i="7" s="1"/>
  <c r="U458" i="7"/>
  <c r="C458" i="7" s="1"/>
  <c r="D458" i="7" s="1"/>
  <c r="Y458" i="7" s="1"/>
  <c r="Z458" i="7" s="1"/>
  <c r="AA458" i="7" s="1"/>
  <c r="U446" i="7"/>
  <c r="W446" i="7" s="1"/>
  <c r="X446" i="7" s="1"/>
  <c r="U439" i="7"/>
  <c r="W439" i="7" s="1"/>
  <c r="X439" i="7" s="1"/>
  <c r="U432" i="7"/>
  <c r="C432" i="7" s="1"/>
  <c r="D432" i="7" s="1"/>
  <c r="Y432" i="7" s="1"/>
  <c r="Z432" i="7" s="1"/>
  <c r="AA432" i="7" s="1"/>
  <c r="U392" i="7"/>
  <c r="W392" i="7" s="1"/>
  <c r="X392" i="7" s="1"/>
  <c r="U379" i="7"/>
  <c r="C379" i="7" s="1"/>
  <c r="D379" i="7" s="1"/>
  <c r="Y379" i="7" s="1"/>
  <c r="Z379" i="7" s="1"/>
  <c r="AA379" i="7" s="1"/>
  <c r="C297" i="7"/>
  <c r="D297" i="7" s="1"/>
  <c r="Y297" i="7" s="1"/>
  <c r="Z297" i="7" s="1"/>
  <c r="AA297" i="7" s="1"/>
  <c r="U865" i="7"/>
  <c r="C865" i="7" s="1"/>
  <c r="D865" i="7" s="1"/>
  <c r="Y865" i="7" s="1"/>
  <c r="Z865" i="7" s="1"/>
  <c r="AA865" i="7" s="1"/>
  <c r="U488" i="7"/>
  <c r="C488" i="7" s="1"/>
  <c r="D488" i="7" s="1"/>
  <c r="Y488" i="7" s="1"/>
  <c r="Z488" i="7" s="1"/>
  <c r="AA488" i="7" s="1"/>
  <c r="U1650" i="7"/>
  <c r="C1650" i="7" s="1"/>
  <c r="D1650" i="7" s="1"/>
  <c r="Y1650" i="7" s="1"/>
  <c r="Z1650" i="7" s="1"/>
  <c r="AA1650" i="7" s="1"/>
  <c r="U203" i="7"/>
  <c r="W203" i="7" s="1"/>
  <c r="X203" i="7" s="1"/>
  <c r="U1242" i="7"/>
  <c r="C1242" i="7" s="1"/>
  <c r="D1242" i="7" s="1"/>
  <c r="Y1242" i="7" s="1"/>
  <c r="Z1242" i="7" s="1"/>
  <c r="AA1242" i="7" s="1"/>
  <c r="U1398" i="7"/>
  <c r="W1398" i="7" s="1"/>
  <c r="X1398" i="7" s="1"/>
  <c r="U1135" i="7"/>
  <c r="C1135" i="7" s="1"/>
  <c r="D1135" i="7" s="1"/>
  <c r="Y1135" i="7" s="1"/>
  <c r="Z1135" i="7" s="1"/>
  <c r="AA1135" i="7" s="1"/>
  <c r="U664" i="7"/>
  <c r="W664" i="7" s="1"/>
  <c r="X664" i="7" s="1"/>
  <c r="U118" i="7"/>
  <c r="C118" i="7" s="1"/>
  <c r="D118" i="7" s="1"/>
  <c r="Y118" i="7" s="1"/>
  <c r="Z118" i="7" s="1"/>
  <c r="AA118" i="7" s="1"/>
  <c r="U1663" i="7"/>
  <c r="W1663" i="7" s="1"/>
  <c r="X1663" i="7" s="1"/>
  <c r="U1659" i="7"/>
  <c r="C1659" i="7" s="1"/>
  <c r="D1659" i="7" s="1"/>
  <c r="Y1659" i="7" s="1"/>
  <c r="Z1659" i="7" s="1"/>
  <c r="AA1659" i="7" s="1"/>
  <c r="U1655" i="7"/>
  <c r="W1655" i="7" s="1"/>
  <c r="X1655" i="7" s="1"/>
  <c r="U1649" i="7"/>
  <c r="C1649" i="7" s="1"/>
  <c r="D1649" i="7" s="1"/>
  <c r="Y1649" i="7" s="1"/>
  <c r="Z1649" i="7" s="1"/>
  <c r="AA1649" i="7" s="1"/>
  <c r="U1646" i="7"/>
  <c r="W1646" i="7" s="1"/>
  <c r="X1646" i="7" s="1"/>
  <c r="U1578" i="7"/>
  <c r="W1578" i="7" s="1"/>
  <c r="X1578" i="7" s="1"/>
  <c r="W1572" i="7"/>
  <c r="X1572" i="7" s="1"/>
  <c r="U1505" i="7"/>
  <c r="C1505" i="7" s="1"/>
  <c r="D1505" i="7" s="1"/>
  <c r="Y1505" i="7" s="1"/>
  <c r="Z1505" i="7" s="1"/>
  <c r="AA1505" i="7" s="1"/>
  <c r="U1443" i="7"/>
  <c r="W1443" i="7" s="1"/>
  <c r="X1443" i="7" s="1"/>
  <c r="U1383" i="7"/>
  <c r="W1383" i="7" s="1"/>
  <c r="X1383" i="7" s="1"/>
  <c r="W1085" i="7"/>
  <c r="X1085" i="7" s="1"/>
  <c r="U825" i="7"/>
  <c r="W825" i="7" s="1"/>
  <c r="X825" i="7" s="1"/>
  <c r="U757" i="7"/>
  <c r="C757" i="7" s="1"/>
  <c r="D757" i="7" s="1"/>
  <c r="Y757" i="7" s="1"/>
  <c r="Z757" i="7" s="1"/>
  <c r="AA757" i="7" s="1"/>
  <c r="U754" i="7"/>
  <c r="C754" i="7" s="1"/>
  <c r="D754" i="7" s="1"/>
  <c r="Y754" i="7" s="1"/>
  <c r="Z754" i="7" s="1"/>
  <c r="AA754" i="7" s="1"/>
  <c r="U533" i="7"/>
  <c r="C533" i="7" s="1"/>
  <c r="D533" i="7" s="1"/>
  <c r="Y533" i="7" s="1"/>
  <c r="Z533" i="7" s="1"/>
  <c r="AA533" i="7" s="1"/>
  <c r="U457" i="7"/>
  <c r="C457" i="7" s="1"/>
  <c r="D457" i="7" s="1"/>
  <c r="Y457" i="7" s="1"/>
  <c r="Z457" i="7" s="1"/>
  <c r="AA457" i="7" s="1"/>
  <c r="U452" i="7"/>
  <c r="C452" i="7" s="1"/>
  <c r="D452" i="7" s="1"/>
  <c r="Y452" i="7" s="1"/>
  <c r="Z452" i="7" s="1"/>
  <c r="AA452" i="7" s="1"/>
  <c r="U142" i="7"/>
  <c r="W142" i="7" s="1"/>
  <c r="X142" i="7" s="1"/>
  <c r="U1356" i="7"/>
  <c r="W1356" i="7" s="1"/>
  <c r="X1356" i="7" s="1"/>
  <c r="U1249" i="7"/>
  <c r="W1249" i="7" s="1"/>
  <c r="X1249" i="7" s="1"/>
  <c r="U890" i="7"/>
  <c r="W890" i="7" s="1"/>
  <c r="X890" i="7" s="1"/>
  <c r="U133" i="7"/>
  <c r="W133" i="7" s="1"/>
  <c r="X133" i="7" s="1"/>
  <c r="U1756" i="7"/>
  <c r="W1756" i="7" s="1"/>
  <c r="X1756" i="7" s="1"/>
  <c r="U1748" i="7"/>
  <c r="W1748" i="7" s="1"/>
  <c r="X1748" i="7" s="1"/>
  <c r="U1745" i="7"/>
  <c r="C1745" i="7" s="1"/>
  <c r="D1745" i="7" s="1"/>
  <c r="Y1745" i="7" s="1"/>
  <c r="Z1745" i="7" s="1"/>
  <c r="AA1745" i="7" s="1"/>
  <c r="U1742" i="7"/>
  <c r="C1742" i="7" s="1"/>
  <c r="D1742" i="7" s="1"/>
  <c r="Y1742" i="7" s="1"/>
  <c r="Z1742" i="7" s="1"/>
  <c r="AA1742" i="7" s="1"/>
  <c r="U1698" i="7"/>
  <c r="C1698" i="7" s="1"/>
  <c r="D1698" i="7" s="1"/>
  <c r="Y1698" i="7" s="1"/>
  <c r="Z1698" i="7" s="1"/>
  <c r="AA1698" i="7" s="1"/>
  <c r="U1695" i="7"/>
  <c r="C1695" i="7" s="1"/>
  <c r="D1695" i="7" s="1"/>
  <c r="Y1695" i="7" s="1"/>
  <c r="Z1695" i="7" s="1"/>
  <c r="AA1695" i="7" s="1"/>
  <c r="U1627" i="7"/>
  <c r="W1627" i="7" s="1"/>
  <c r="X1627" i="7" s="1"/>
  <c r="U1621" i="7"/>
  <c r="C1621" i="7" s="1"/>
  <c r="D1621" i="7" s="1"/>
  <c r="Y1621" i="7" s="1"/>
  <c r="Z1621" i="7" s="1"/>
  <c r="AA1621" i="7" s="1"/>
  <c r="U1575" i="7"/>
  <c r="C1575" i="7" s="1"/>
  <c r="D1575" i="7" s="1"/>
  <c r="Y1575" i="7" s="1"/>
  <c r="Z1575" i="7" s="1"/>
  <c r="AA1575" i="7" s="1"/>
  <c r="U1476" i="7"/>
  <c r="C1476" i="7" s="1"/>
  <c r="D1476" i="7" s="1"/>
  <c r="Y1476" i="7" s="1"/>
  <c r="Z1476" i="7" s="1"/>
  <c r="AA1476" i="7" s="1"/>
  <c r="U1471" i="7"/>
  <c r="C1471" i="7" s="1"/>
  <c r="D1471" i="7" s="1"/>
  <c r="Y1471" i="7" s="1"/>
  <c r="Z1471" i="7" s="1"/>
  <c r="AA1471" i="7" s="1"/>
  <c r="U1455" i="7"/>
  <c r="W1455" i="7" s="1"/>
  <c r="X1455" i="7" s="1"/>
  <c r="U1326" i="7"/>
  <c r="W1326" i="7" s="1"/>
  <c r="X1326" i="7" s="1"/>
  <c r="U1141" i="7"/>
  <c r="C1141" i="7" s="1"/>
  <c r="D1141" i="7" s="1"/>
  <c r="Y1141" i="7" s="1"/>
  <c r="Z1141" i="7" s="1"/>
  <c r="AA1141" i="7" s="1"/>
  <c r="U1137" i="7"/>
  <c r="C1137" i="7" s="1"/>
  <c r="D1137" i="7" s="1"/>
  <c r="Y1137" i="7" s="1"/>
  <c r="Z1137" i="7" s="1"/>
  <c r="AA1137" i="7" s="1"/>
  <c r="U1133" i="7"/>
  <c r="C1133" i="7" s="1"/>
  <c r="D1133" i="7" s="1"/>
  <c r="Y1133" i="7" s="1"/>
  <c r="Z1133" i="7" s="1"/>
  <c r="AA1133" i="7" s="1"/>
  <c r="U1094" i="7"/>
  <c r="W1094" i="7" s="1"/>
  <c r="X1094" i="7" s="1"/>
  <c r="U1063" i="7"/>
  <c r="C1063" i="7" s="1"/>
  <c r="D1063" i="7" s="1"/>
  <c r="Y1063" i="7" s="1"/>
  <c r="Z1063" i="7" s="1"/>
  <c r="AA1063" i="7" s="1"/>
  <c r="U1043" i="7"/>
  <c r="W1043" i="7" s="1"/>
  <c r="X1043" i="7" s="1"/>
  <c r="U1018" i="7"/>
  <c r="C1018" i="7" s="1"/>
  <c r="D1018" i="7" s="1"/>
  <c r="Y1018" i="7" s="1"/>
  <c r="Z1018" i="7" s="1"/>
  <c r="AA1018" i="7" s="1"/>
  <c r="U995" i="7"/>
  <c r="W995" i="7" s="1"/>
  <c r="X995" i="7" s="1"/>
  <c r="U992" i="7"/>
  <c r="C992" i="7" s="1"/>
  <c r="D992" i="7" s="1"/>
  <c r="Y992" i="7" s="1"/>
  <c r="Z992" i="7" s="1"/>
  <c r="AA992" i="7" s="1"/>
  <c r="U868" i="7"/>
  <c r="W868" i="7" s="1"/>
  <c r="X868" i="7" s="1"/>
  <c r="U863" i="7"/>
  <c r="W863" i="7" s="1"/>
  <c r="X863" i="7" s="1"/>
  <c r="U295" i="7"/>
  <c r="C295" i="7" s="1"/>
  <c r="D295" i="7" s="1"/>
  <c r="Y295" i="7" s="1"/>
  <c r="Z295" i="7" s="1"/>
  <c r="AA295" i="7" s="1"/>
  <c r="U120" i="7"/>
  <c r="W120" i="7" s="1"/>
  <c r="X120" i="7" s="1"/>
  <c r="U6" i="7"/>
  <c r="W6" i="7" s="1"/>
  <c r="X6" i="7" s="1"/>
  <c r="C1180" i="7"/>
  <c r="D1180" i="7" s="1"/>
  <c r="Y1180" i="7" s="1"/>
  <c r="Z1180" i="7" s="1"/>
  <c r="AA1180" i="7" s="1"/>
  <c r="U1519" i="7"/>
  <c r="C1519" i="7" s="1"/>
  <c r="D1519" i="7" s="1"/>
  <c r="Y1519" i="7" s="1"/>
  <c r="Z1519" i="7" s="1"/>
  <c r="AA1519" i="7" s="1"/>
  <c r="U810" i="7"/>
  <c r="C810" i="7" s="1"/>
  <c r="D810" i="7" s="1"/>
  <c r="Y810" i="7" s="1"/>
  <c r="Z810" i="7" s="1"/>
  <c r="AA810" i="7" s="1"/>
  <c r="U181" i="7"/>
  <c r="W181" i="7" s="1"/>
  <c r="X181" i="7" s="1"/>
  <c r="U1656" i="7"/>
  <c r="W1656" i="7" s="1"/>
  <c r="X1656" i="7" s="1"/>
  <c r="U1174" i="7"/>
  <c r="C1174" i="7" s="1"/>
  <c r="D1174" i="7" s="1"/>
  <c r="Y1174" i="7" s="1"/>
  <c r="Z1174" i="7" s="1"/>
  <c r="AA1174" i="7" s="1"/>
  <c r="U95" i="7"/>
  <c r="C95" i="7" s="1"/>
  <c r="D95" i="7" s="1"/>
  <c r="Y95" i="7" s="1"/>
  <c r="Z95" i="7" s="1"/>
  <c r="AA95" i="7" s="1"/>
  <c r="U1198" i="7"/>
  <c r="W1198" i="7" s="1"/>
  <c r="X1198" i="7" s="1"/>
  <c r="U1039" i="7"/>
  <c r="W1039" i="7" s="1"/>
  <c r="X1039" i="7" s="1"/>
  <c r="U1032" i="7"/>
  <c r="C1032" i="7" s="1"/>
  <c r="D1032" i="7" s="1"/>
  <c r="Y1032" i="7" s="1"/>
  <c r="Z1032" i="7" s="1"/>
  <c r="AA1032" i="7" s="1"/>
  <c r="U958" i="7"/>
  <c r="C958" i="7" s="1"/>
  <c r="D958" i="7" s="1"/>
  <c r="Y958" i="7" s="1"/>
  <c r="Z958" i="7" s="1"/>
  <c r="AA958" i="7" s="1"/>
  <c r="U925" i="7"/>
  <c r="W925" i="7" s="1"/>
  <c r="X925" i="7" s="1"/>
  <c r="U908" i="7"/>
  <c r="C908" i="7" s="1"/>
  <c r="D908" i="7" s="1"/>
  <c r="Y908" i="7" s="1"/>
  <c r="Z908" i="7" s="1"/>
  <c r="AA908" i="7" s="1"/>
  <c r="U832" i="7"/>
  <c r="C832" i="7" s="1"/>
  <c r="D832" i="7" s="1"/>
  <c r="Y832" i="7" s="1"/>
  <c r="Z832" i="7" s="1"/>
  <c r="AA832" i="7" s="1"/>
  <c r="U762" i="7"/>
  <c r="C762" i="7" s="1"/>
  <c r="D762" i="7" s="1"/>
  <c r="Y762" i="7" s="1"/>
  <c r="Z762" i="7" s="1"/>
  <c r="AA762" i="7" s="1"/>
  <c r="U753" i="7"/>
  <c r="C753" i="7" s="1"/>
  <c r="D753" i="7" s="1"/>
  <c r="Y753" i="7" s="1"/>
  <c r="Z753" i="7" s="1"/>
  <c r="AA753" i="7" s="1"/>
  <c r="U687" i="7"/>
  <c r="C687" i="7" s="1"/>
  <c r="D687" i="7" s="1"/>
  <c r="Y687" i="7" s="1"/>
  <c r="Z687" i="7" s="1"/>
  <c r="AA687" i="7" s="1"/>
  <c r="U556" i="7"/>
  <c r="W556" i="7" s="1"/>
  <c r="X556" i="7" s="1"/>
  <c r="U543" i="7"/>
  <c r="C543" i="7" s="1"/>
  <c r="D543" i="7" s="1"/>
  <c r="Y543" i="7" s="1"/>
  <c r="Z543" i="7" s="1"/>
  <c r="AA543" i="7" s="1"/>
  <c r="U540" i="7"/>
  <c r="C540" i="7" s="1"/>
  <c r="D540" i="7" s="1"/>
  <c r="Y540" i="7" s="1"/>
  <c r="Z540" i="7" s="1"/>
  <c r="AA540" i="7" s="1"/>
  <c r="U504" i="7"/>
  <c r="C504" i="7" s="1"/>
  <c r="D504" i="7" s="1"/>
  <c r="Y504" i="7" s="1"/>
  <c r="Z504" i="7" s="1"/>
  <c r="AA504" i="7" s="1"/>
  <c r="U481" i="7"/>
  <c r="W481" i="7" s="1"/>
  <c r="X481" i="7" s="1"/>
  <c r="U455" i="7"/>
  <c r="W455" i="7" s="1"/>
  <c r="X455" i="7" s="1"/>
  <c r="U451" i="7"/>
  <c r="W451" i="7" s="1"/>
  <c r="X451" i="7" s="1"/>
  <c r="U447" i="7"/>
  <c r="C447" i="7" s="1"/>
  <c r="D447" i="7" s="1"/>
  <c r="Y447" i="7" s="1"/>
  <c r="Z447" i="7" s="1"/>
  <c r="AA447" i="7" s="1"/>
  <c r="U441" i="7"/>
  <c r="W441" i="7" s="1"/>
  <c r="X441" i="7" s="1"/>
  <c r="U370" i="7"/>
  <c r="C370" i="7" s="1"/>
  <c r="D370" i="7" s="1"/>
  <c r="Y370" i="7" s="1"/>
  <c r="Z370" i="7" s="1"/>
  <c r="AA370" i="7" s="1"/>
  <c r="U363" i="7"/>
  <c r="C363" i="7" s="1"/>
  <c r="D363" i="7" s="1"/>
  <c r="Y363" i="7" s="1"/>
  <c r="Z363" i="7" s="1"/>
  <c r="AA363" i="7" s="1"/>
  <c r="W267" i="7"/>
  <c r="X267" i="7" s="1"/>
  <c r="U145" i="7"/>
  <c r="U104" i="7"/>
  <c r="C104" i="7" s="1"/>
  <c r="D104" i="7" s="1"/>
  <c r="Y104" i="7" s="1"/>
  <c r="Z104" i="7" s="1"/>
  <c r="AA104" i="7" s="1"/>
  <c r="U80" i="7"/>
  <c r="C80" i="7" s="1"/>
  <c r="D80" i="7" s="1"/>
  <c r="Y80" i="7" s="1"/>
  <c r="Z80" i="7" s="1"/>
  <c r="AA80" i="7" s="1"/>
  <c r="U51" i="7"/>
  <c r="W51" i="7" s="1"/>
  <c r="X51" i="7" s="1"/>
  <c r="U1153" i="7"/>
  <c r="W1153" i="7" s="1"/>
  <c r="X1153" i="7" s="1"/>
  <c r="U1051" i="7"/>
  <c r="W1051" i="7" s="1"/>
  <c r="X1051" i="7" s="1"/>
  <c r="U266" i="7"/>
  <c r="C266" i="7" s="1"/>
  <c r="D266" i="7" s="1"/>
  <c r="Y266" i="7" s="1"/>
  <c r="Z266" i="7" s="1"/>
  <c r="AA266" i="7" s="1"/>
  <c r="U583" i="7"/>
  <c r="W583" i="7" s="1"/>
  <c r="X583" i="7" s="1"/>
  <c r="U1523" i="7"/>
  <c r="W1523" i="7" s="1"/>
  <c r="X1523" i="7" s="1"/>
  <c r="U1435" i="7"/>
  <c r="C1435" i="7" s="1"/>
  <c r="D1435" i="7" s="1"/>
  <c r="Y1435" i="7" s="1"/>
  <c r="Z1435" i="7" s="1"/>
  <c r="AA1435" i="7" s="1"/>
  <c r="U943" i="7"/>
  <c r="W943" i="7" s="1"/>
  <c r="X943" i="7" s="1"/>
  <c r="U862" i="7"/>
  <c r="W862" i="7" s="1"/>
  <c r="X862" i="7" s="1"/>
  <c r="U846" i="7"/>
  <c r="C846" i="7" s="1"/>
  <c r="D846" i="7" s="1"/>
  <c r="Y846" i="7" s="1"/>
  <c r="Z846" i="7" s="1"/>
  <c r="AA846" i="7" s="1"/>
  <c r="U838" i="7"/>
  <c r="C838" i="7" s="1"/>
  <c r="D838" i="7" s="1"/>
  <c r="Y838" i="7" s="1"/>
  <c r="Z838" i="7" s="1"/>
  <c r="AA838" i="7" s="1"/>
  <c r="U678" i="7"/>
  <c r="C678" i="7" s="1"/>
  <c r="D678" i="7" s="1"/>
  <c r="Y678" i="7" s="1"/>
  <c r="Z678" i="7" s="1"/>
  <c r="AA678" i="7" s="1"/>
  <c r="U646" i="7"/>
  <c r="W646" i="7" s="1"/>
  <c r="X646" i="7" s="1"/>
  <c r="U569" i="7"/>
  <c r="C569" i="7" s="1"/>
  <c r="D569" i="7" s="1"/>
  <c r="Y569" i="7" s="1"/>
  <c r="Z569" i="7" s="1"/>
  <c r="AA569" i="7" s="1"/>
  <c r="U397" i="7"/>
  <c r="C397" i="7" s="1"/>
  <c r="D397" i="7" s="1"/>
  <c r="Y397" i="7" s="1"/>
  <c r="Z397" i="7" s="1"/>
  <c r="AA397" i="7" s="1"/>
  <c r="C1453" i="7"/>
  <c r="D1453" i="7" s="1"/>
  <c r="Y1453" i="7" s="1"/>
  <c r="Z1453" i="7" s="1"/>
  <c r="AA1453" i="7" s="1"/>
  <c r="U973" i="7"/>
  <c r="W973" i="7" s="1"/>
  <c r="X973" i="7" s="1"/>
  <c r="U877" i="7"/>
  <c r="W877" i="7" s="1"/>
  <c r="X877" i="7" s="1"/>
  <c r="U172" i="7"/>
  <c r="C172" i="7" s="1"/>
  <c r="D172" i="7" s="1"/>
  <c r="Y172" i="7" s="1"/>
  <c r="Z172" i="7" s="1"/>
  <c r="AA172" i="7" s="1"/>
  <c r="C537" i="7"/>
  <c r="D537" i="7" s="1"/>
  <c r="Y537" i="7" s="1"/>
  <c r="Z537" i="7" s="1"/>
  <c r="AA537" i="7" s="1"/>
  <c r="U1194" i="7"/>
  <c r="C1194" i="7" s="1"/>
  <c r="D1194" i="7" s="1"/>
  <c r="Y1194" i="7" s="1"/>
  <c r="Z1194" i="7" s="1"/>
  <c r="AA1194" i="7" s="1"/>
  <c r="U1672" i="7"/>
  <c r="C1672" i="7" s="1"/>
  <c r="D1672" i="7" s="1"/>
  <c r="Y1672" i="7" s="1"/>
  <c r="Z1672" i="7" s="1"/>
  <c r="AA1672" i="7" s="1"/>
  <c r="U1583" i="7"/>
  <c r="W1583" i="7" s="1"/>
  <c r="X1583" i="7" s="1"/>
  <c r="U1706" i="7"/>
  <c r="W1706" i="7" s="1"/>
  <c r="X1706" i="7" s="1"/>
  <c r="U1687" i="7"/>
  <c r="W1687" i="7" s="1"/>
  <c r="X1687" i="7" s="1"/>
  <c r="U1662" i="7"/>
  <c r="W1662" i="7" s="1"/>
  <c r="X1662" i="7" s="1"/>
  <c r="U1648" i="7"/>
  <c r="C1648" i="7" s="1"/>
  <c r="D1648" i="7" s="1"/>
  <c r="Y1648" i="7" s="1"/>
  <c r="Z1648" i="7" s="1"/>
  <c r="AA1648" i="7" s="1"/>
  <c r="U1609" i="7"/>
  <c r="W1609" i="7" s="1"/>
  <c r="X1609" i="7" s="1"/>
  <c r="U1561" i="7"/>
  <c r="C1561" i="7" s="1"/>
  <c r="D1561" i="7" s="1"/>
  <c r="Y1561" i="7" s="1"/>
  <c r="Z1561" i="7" s="1"/>
  <c r="AA1561" i="7" s="1"/>
  <c r="U1467" i="7"/>
  <c r="C1467" i="7" s="1"/>
  <c r="D1467" i="7" s="1"/>
  <c r="Y1467" i="7" s="1"/>
  <c r="Z1467" i="7" s="1"/>
  <c r="AA1467" i="7" s="1"/>
  <c r="U1311" i="7"/>
  <c r="W1311" i="7" s="1"/>
  <c r="X1311" i="7" s="1"/>
  <c r="U1308" i="7"/>
  <c r="W1308" i="7" s="1"/>
  <c r="X1308" i="7" s="1"/>
  <c r="U1304" i="7"/>
  <c r="C1304" i="7" s="1"/>
  <c r="D1304" i="7" s="1"/>
  <c r="Y1304" i="7" s="1"/>
  <c r="Z1304" i="7" s="1"/>
  <c r="AA1304" i="7" s="1"/>
  <c r="U1300" i="7"/>
  <c r="C1300" i="7" s="1"/>
  <c r="D1300" i="7" s="1"/>
  <c r="Y1300" i="7" s="1"/>
  <c r="Z1300" i="7" s="1"/>
  <c r="AA1300" i="7" s="1"/>
  <c r="U1275" i="7"/>
  <c r="C1275" i="7" s="1"/>
  <c r="D1275" i="7" s="1"/>
  <c r="Y1275" i="7" s="1"/>
  <c r="Z1275" i="7" s="1"/>
  <c r="AA1275" i="7" s="1"/>
  <c r="U1244" i="7"/>
  <c r="C1244" i="7" s="1"/>
  <c r="D1244" i="7" s="1"/>
  <c r="Y1244" i="7" s="1"/>
  <c r="Z1244" i="7" s="1"/>
  <c r="AA1244" i="7" s="1"/>
  <c r="U924" i="7"/>
  <c r="C924" i="7" s="1"/>
  <c r="D924" i="7" s="1"/>
  <c r="Y924" i="7" s="1"/>
  <c r="Z924" i="7" s="1"/>
  <c r="AA924" i="7" s="1"/>
  <c r="U519" i="7"/>
  <c r="W519" i="7" s="1"/>
  <c r="X519" i="7" s="1"/>
  <c r="U1677" i="7"/>
  <c r="W1677" i="7" s="1"/>
  <c r="X1677" i="7" s="1"/>
  <c r="U1061" i="7"/>
  <c r="W1061" i="7" s="1"/>
  <c r="X1061" i="7" s="1"/>
  <c r="U743" i="7"/>
  <c r="C743" i="7" s="1"/>
  <c r="D743" i="7" s="1"/>
  <c r="Y743" i="7" s="1"/>
  <c r="Z743" i="7" s="1"/>
  <c r="AA743" i="7" s="1"/>
  <c r="U269" i="7"/>
  <c r="W269" i="7" s="1"/>
  <c r="X269" i="7" s="1"/>
  <c r="U1232" i="7"/>
  <c r="W1232" i="7" s="1"/>
  <c r="X1232" i="7" s="1"/>
  <c r="U1206" i="7"/>
  <c r="W1206" i="7" s="1"/>
  <c r="X1206" i="7" s="1"/>
  <c r="U1001" i="7"/>
  <c r="W1001" i="7" s="1"/>
  <c r="X1001" i="7" s="1"/>
  <c r="U723" i="7"/>
  <c r="C723" i="7" s="1"/>
  <c r="D723" i="7" s="1"/>
  <c r="Y723" i="7" s="1"/>
  <c r="Z723" i="7" s="1"/>
  <c r="AA723" i="7" s="1"/>
  <c r="U143" i="7"/>
  <c r="W143" i="7" s="1"/>
  <c r="X143" i="7" s="1"/>
  <c r="U1170" i="7"/>
  <c r="C1170" i="7" s="1"/>
  <c r="D1170" i="7" s="1"/>
  <c r="Y1170" i="7" s="1"/>
  <c r="Z1170" i="7" s="1"/>
  <c r="AA1170" i="7" s="1"/>
  <c r="U1112" i="7"/>
  <c r="C1112" i="7" s="1"/>
  <c r="D1112" i="7" s="1"/>
  <c r="Y1112" i="7" s="1"/>
  <c r="Z1112" i="7" s="1"/>
  <c r="AA1112" i="7" s="1"/>
  <c r="U660" i="7"/>
  <c r="C660" i="7" s="1"/>
  <c r="D660" i="7" s="1"/>
  <c r="Y660" i="7" s="1"/>
  <c r="Z660" i="7" s="1"/>
  <c r="AA660" i="7" s="1"/>
  <c r="U635" i="7"/>
  <c r="W635" i="7" s="1"/>
  <c r="X635" i="7" s="1"/>
  <c r="U793" i="7"/>
  <c r="C793" i="7" s="1"/>
  <c r="D793" i="7" s="1"/>
  <c r="Y793" i="7" s="1"/>
  <c r="Z793" i="7" s="1"/>
  <c r="AA793" i="7" s="1"/>
  <c r="U730" i="7"/>
  <c r="W730" i="7" s="1"/>
  <c r="X730" i="7" s="1"/>
  <c r="U722" i="7"/>
  <c r="W722" i="7" s="1"/>
  <c r="X722" i="7" s="1"/>
  <c r="U462" i="7"/>
  <c r="W462" i="7" s="1"/>
  <c r="X462" i="7" s="1"/>
  <c r="U1721" i="7"/>
  <c r="C1721" i="7" s="1"/>
  <c r="D1721" i="7" s="1"/>
  <c r="Y1721" i="7" s="1"/>
  <c r="Z1721" i="7" s="1"/>
  <c r="AA1721" i="7" s="1"/>
  <c r="U1747" i="7"/>
  <c r="W1747" i="7" s="1"/>
  <c r="X1747" i="7" s="1"/>
  <c r="U1675" i="7"/>
  <c r="W1675" i="7" s="1"/>
  <c r="X1675" i="7" s="1"/>
  <c r="U1602" i="7"/>
  <c r="W1602" i="7" s="1"/>
  <c r="X1602" i="7" s="1"/>
  <c r="U1551" i="7"/>
  <c r="C1551" i="7" s="1"/>
  <c r="D1551" i="7" s="1"/>
  <c r="Y1551" i="7" s="1"/>
  <c r="Z1551" i="7" s="1"/>
  <c r="AA1551" i="7" s="1"/>
  <c r="U1478" i="7"/>
  <c r="W1478" i="7" s="1"/>
  <c r="X1478" i="7" s="1"/>
  <c r="U307" i="7"/>
  <c r="C307" i="7" s="1"/>
  <c r="D307" i="7" s="1"/>
  <c r="Y307" i="7" s="1"/>
  <c r="Z307" i="7" s="1"/>
  <c r="AA307" i="7" s="1"/>
  <c r="U1515" i="7"/>
  <c r="W1515" i="7" s="1"/>
  <c r="X1515" i="7" s="1"/>
  <c r="U1668" i="7"/>
  <c r="W1668" i="7" s="1"/>
  <c r="X1668" i="7" s="1"/>
  <c r="U512" i="7"/>
  <c r="C512" i="7" s="1"/>
  <c r="D512" i="7" s="1"/>
  <c r="Y512" i="7" s="1"/>
  <c r="Z512" i="7" s="1"/>
  <c r="AA512" i="7" s="1"/>
  <c r="U1368" i="7"/>
  <c r="W1368" i="7" s="1"/>
  <c r="X1368" i="7" s="1"/>
  <c r="U1166" i="7"/>
  <c r="C1166" i="7" s="1"/>
  <c r="D1166" i="7" s="1"/>
  <c r="Y1166" i="7" s="1"/>
  <c r="Z1166" i="7" s="1"/>
  <c r="AA1166" i="7" s="1"/>
  <c r="U927" i="7"/>
  <c r="C927" i="7" s="1"/>
  <c r="D927" i="7" s="1"/>
  <c r="Y927" i="7" s="1"/>
  <c r="Z927" i="7" s="1"/>
  <c r="AA927" i="7" s="1"/>
  <c r="U820" i="7"/>
  <c r="C820" i="7" s="1"/>
  <c r="D820" i="7" s="1"/>
  <c r="Y820" i="7" s="1"/>
  <c r="Z820" i="7" s="1"/>
  <c r="AA820" i="7" s="1"/>
  <c r="U634" i="7"/>
  <c r="W634" i="7" s="1"/>
  <c r="X634" i="7" s="1"/>
  <c r="U387" i="7"/>
  <c r="C387" i="7" s="1"/>
  <c r="D387" i="7" s="1"/>
  <c r="Y387" i="7" s="1"/>
  <c r="Z387" i="7" s="1"/>
  <c r="AA387" i="7" s="1"/>
  <c r="U241" i="7"/>
  <c r="C241" i="7" s="1"/>
  <c r="D241" i="7" s="1"/>
  <c r="Y241" i="7" s="1"/>
  <c r="Z241" i="7" s="1"/>
  <c r="AA241" i="7" s="1"/>
  <c r="U205" i="7"/>
  <c r="C205" i="7" s="1"/>
  <c r="D205" i="7" s="1"/>
  <c r="Y205" i="7" s="1"/>
  <c r="Z205" i="7" s="1"/>
  <c r="AA205" i="7" s="1"/>
  <c r="U123" i="7"/>
  <c r="C123" i="7" s="1"/>
  <c r="D123" i="7" s="1"/>
  <c r="Y123" i="7" s="1"/>
  <c r="Z123" i="7" s="1"/>
  <c r="AA123" i="7" s="1"/>
  <c r="U121" i="7"/>
  <c r="W121" i="7" s="1"/>
  <c r="X121" i="7" s="1"/>
  <c r="U1654" i="7"/>
  <c r="W1654" i="7" s="1"/>
  <c r="X1654" i="7" s="1"/>
  <c r="U1553" i="7"/>
  <c r="W1553" i="7" s="1"/>
  <c r="X1553" i="7" s="1"/>
  <c r="U1436" i="7"/>
  <c r="W1436" i="7" s="1"/>
  <c r="X1436" i="7" s="1"/>
  <c r="U981" i="7"/>
  <c r="C981" i="7" s="1"/>
  <c r="D981" i="7" s="1"/>
  <c r="Y981" i="7" s="1"/>
  <c r="Z981" i="7" s="1"/>
  <c r="AA981" i="7" s="1"/>
  <c r="U945" i="7"/>
  <c r="W945" i="7" s="1"/>
  <c r="X945" i="7" s="1"/>
  <c r="U711" i="7"/>
  <c r="W711" i="7" s="1"/>
  <c r="X711" i="7" s="1"/>
  <c r="U1636" i="7"/>
  <c r="W1636" i="7" s="1"/>
  <c r="X1636" i="7" s="1"/>
  <c r="U1210" i="7"/>
  <c r="C1210" i="7" s="1"/>
  <c r="D1210" i="7" s="1"/>
  <c r="Y1210" i="7" s="1"/>
  <c r="Z1210" i="7" s="1"/>
  <c r="AA1210" i="7" s="1"/>
  <c r="U1720" i="7"/>
  <c r="W1720" i="7" s="1"/>
  <c r="X1720" i="7" s="1"/>
  <c r="U1696" i="7"/>
  <c r="C1696" i="7" s="1"/>
  <c r="D1696" i="7" s="1"/>
  <c r="Y1696" i="7" s="1"/>
  <c r="Z1696" i="7" s="1"/>
  <c r="AA1696" i="7" s="1"/>
  <c r="U1686" i="7"/>
  <c r="C1686" i="7" s="1"/>
  <c r="D1686" i="7" s="1"/>
  <c r="Y1686" i="7" s="1"/>
  <c r="Z1686" i="7" s="1"/>
  <c r="AA1686" i="7" s="1"/>
  <c r="U1492" i="7"/>
  <c r="C1492" i="7" s="1"/>
  <c r="D1492" i="7" s="1"/>
  <c r="Y1492" i="7" s="1"/>
  <c r="Z1492" i="7" s="1"/>
  <c r="AA1492" i="7" s="1"/>
  <c r="U1080" i="7"/>
  <c r="C1080" i="7" s="1"/>
  <c r="D1080" i="7" s="1"/>
  <c r="Y1080" i="7" s="1"/>
  <c r="Z1080" i="7" s="1"/>
  <c r="AA1080" i="7" s="1"/>
  <c r="U1076" i="7"/>
  <c r="C1076" i="7" s="1"/>
  <c r="D1076" i="7" s="1"/>
  <c r="Y1076" i="7" s="1"/>
  <c r="Z1076" i="7" s="1"/>
  <c r="AA1076" i="7" s="1"/>
  <c r="U599" i="7"/>
  <c r="C599" i="7" s="1"/>
  <c r="D599" i="7" s="1"/>
  <c r="Y599" i="7" s="1"/>
  <c r="Z599" i="7" s="1"/>
  <c r="AA599" i="7" s="1"/>
  <c r="U514" i="7"/>
  <c r="W514" i="7" s="1"/>
  <c r="X514" i="7" s="1"/>
  <c r="U497" i="7"/>
  <c r="W497" i="7" s="1"/>
  <c r="X497" i="7" s="1"/>
  <c r="U409" i="7"/>
  <c r="C409" i="7" s="1"/>
  <c r="D409" i="7" s="1"/>
  <c r="Y409" i="7" s="1"/>
  <c r="Z409" i="7" s="1"/>
  <c r="AA409" i="7" s="1"/>
  <c r="U237" i="7"/>
  <c r="W237" i="7" s="1"/>
  <c r="X237" i="7" s="1"/>
  <c r="U212" i="7"/>
  <c r="C212" i="7" s="1"/>
  <c r="D212" i="7" s="1"/>
  <c r="Y212" i="7" s="1"/>
  <c r="Z212" i="7" s="1"/>
  <c r="AA212" i="7" s="1"/>
  <c r="U191" i="7"/>
  <c r="C191" i="7" s="1"/>
  <c r="D191" i="7" s="1"/>
  <c r="Y191" i="7" s="1"/>
  <c r="Z191" i="7" s="1"/>
  <c r="AA191" i="7" s="1"/>
  <c r="C146" i="7"/>
  <c r="D146" i="7" s="1"/>
  <c r="Y146" i="7" s="1"/>
  <c r="Z146" i="7" s="1"/>
  <c r="AA146" i="7" s="1"/>
  <c r="U1620" i="7"/>
  <c r="W1620" i="7" s="1"/>
  <c r="X1620" i="7" s="1"/>
  <c r="U1584" i="7"/>
  <c r="C1584" i="7" s="1"/>
  <c r="D1584" i="7" s="1"/>
  <c r="Y1584" i="7" s="1"/>
  <c r="Z1584" i="7" s="1"/>
  <c r="AA1584" i="7" s="1"/>
  <c r="U1479" i="7"/>
  <c r="C1479" i="7" s="1"/>
  <c r="D1479" i="7" s="1"/>
  <c r="Y1479" i="7" s="1"/>
  <c r="Z1479" i="7" s="1"/>
  <c r="AA1479" i="7" s="1"/>
  <c r="U1401" i="7"/>
  <c r="W1401" i="7" s="1"/>
  <c r="X1401" i="7" s="1"/>
  <c r="U1184" i="7"/>
  <c r="W1184" i="7" s="1"/>
  <c r="X1184" i="7" s="1"/>
  <c r="U744" i="7"/>
  <c r="C744" i="7" s="1"/>
  <c r="D744" i="7" s="1"/>
  <c r="Y744" i="7" s="1"/>
  <c r="Z744" i="7" s="1"/>
  <c r="AA744" i="7" s="1"/>
  <c r="U623" i="7"/>
  <c r="W623" i="7" s="1"/>
  <c r="X623" i="7" s="1"/>
  <c r="U312" i="7"/>
  <c r="W312" i="7" s="1"/>
  <c r="X312" i="7" s="1"/>
  <c r="U1647" i="7"/>
  <c r="W1647" i="7" s="1"/>
  <c r="X1647" i="7" s="1"/>
  <c r="U1347" i="7"/>
  <c r="C1347" i="7" s="1"/>
  <c r="D1347" i="7" s="1"/>
  <c r="Y1347" i="7" s="1"/>
  <c r="Z1347" i="7" s="1"/>
  <c r="AA1347" i="7" s="1"/>
  <c r="W1327" i="7"/>
  <c r="X1327" i="7" s="1"/>
  <c r="U892" i="7"/>
  <c r="C892" i="7" s="1"/>
  <c r="D892" i="7" s="1"/>
  <c r="Y892" i="7" s="1"/>
  <c r="Z892" i="7" s="1"/>
  <c r="AA892" i="7" s="1"/>
  <c r="U1729" i="7"/>
  <c r="C1729" i="7" s="1"/>
  <c r="D1729" i="7" s="1"/>
  <c r="Y1729" i="7" s="1"/>
  <c r="Z1729" i="7" s="1"/>
  <c r="AA1729" i="7" s="1"/>
  <c r="U1724" i="7"/>
  <c r="C1724" i="7" s="1"/>
  <c r="D1724" i="7" s="1"/>
  <c r="Y1724" i="7" s="1"/>
  <c r="Z1724" i="7" s="1"/>
  <c r="AA1724" i="7" s="1"/>
  <c r="U1718" i="7"/>
  <c r="W1718" i="7" s="1"/>
  <c r="X1718" i="7" s="1"/>
  <c r="U1680" i="7"/>
  <c r="W1680" i="7" s="1"/>
  <c r="X1680" i="7" s="1"/>
  <c r="U1676" i="7"/>
  <c r="W1676" i="7" s="1"/>
  <c r="X1676" i="7" s="1"/>
  <c r="U1600" i="7"/>
  <c r="C1600" i="7" s="1"/>
  <c r="D1600" i="7" s="1"/>
  <c r="Y1600" i="7" s="1"/>
  <c r="Z1600" i="7" s="1"/>
  <c r="AA1600" i="7" s="1"/>
  <c r="U1536" i="7"/>
  <c r="C1536" i="7" s="1"/>
  <c r="D1536" i="7" s="1"/>
  <c r="Y1536" i="7" s="1"/>
  <c r="Z1536" i="7" s="1"/>
  <c r="AA1536" i="7" s="1"/>
  <c r="U1533" i="7"/>
  <c r="W1533" i="7" s="1"/>
  <c r="X1533" i="7" s="1"/>
  <c r="U1456" i="7"/>
  <c r="W1456" i="7" s="1"/>
  <c r="X1456" i="7" s="1"/>
  <c r="U1429" i="7"/>
  <c r="C1429" i="7" s="1"/>
  <c r="D1429" i="7" s="1"/>
  <c r="Y1429" i="7" s="1"/>
  <c r="Z1429" i="7" s="1"/>
  <c r="AA1429" i="7" s="1"/>
  <c r="U1391" i="7"/>
  <c r="W1391" i="7" s="1"/>
  <c r="X1391" i="7" s="1"/>
  <c r="U1128" i="7"/>
  <c r="W1128" i="7" s="1"/>
  <c r="X1128" i="7" s="1"/>
  <c r="U1036" i="7"/>
  <c r="C1036" i="7" s="1"/>
  <c r="D1036" i="7" s="1"/>
  <c r="Y1036" i="7" s="1"/>
  <c r="Z1036" i="7" s="1"/>
  <c r="AA1036" i="7" s="1"/>
  <c r="U851" i="7"/>
  <c r="C851" i="7" s="1"/>
  <c r="D851" i="7" s="1"/>
  <c r="Y851" i="7" s="1"/>
  <c r="Z851" i="7" s="1"/>
  <c r="AA851" i="7" s="1"/>
  <c r="U842" i="7"/>
  <c r="C842" i="7" s="1"/>
  <c r="D842" i="7" s="1"/>
  <c r="Y842" i="7" s="1"/>
  <c r="Z842" i="7" s="1"/>
  <c r="AA842" i="7" s="1"/>
  <c r="U554" i="7"/>
  <c r="W554" i="7" s="1"/>
  <c r="X554" i="7" s="1"/>
  <c r="U545" i="7"/>
  <c r="C545" i="7" s="1"/>
  <c r="D545" i="7" s="1"/>
  <c r="Y545" i="7" s="1"/>
  <c r="Z545" i="7" s="1"/>
  <c r="AA545" i="7" s="1"/>
  <c r="U470" i="7"/>
  <c r="C470" i="7" s="1"/>
  <c r="D470" i="7" s="1"/>
  <c r="Y470" i="7" s="1"/>
  <c r="Z470" i="7" s="1"/>
  <c r="AA470" i="7" s="1"/>
  <c r="U466" i="7"/>
  <c r="W466" i="7" s="1"/>
  <c r="X466" i="7" s="1"/>
  <c r="U396" i="7"/>
  <c r="W396" i="7" s="1"/>
  <c r="X396" i="7" s="1"/>
  <c r="U285" i="7"/>
  <c r="W285" i="7" s="1"/>
  <c r="X285" i="7" s="1"/>
  <c r="U268" i="7"/>
  <c r="C268" i="7" s="1"/>
  <c r="D268" i="7" s="1"/>
  <c r="Y268" i="7" s="1"/>
  <c r="Z268" i="7" s="1"/>
  <c r="AA268" i="7" s="1"/>
  <c r="U147" i="7"/>
  <c r="W147" i="7" s="1"/>
  <c r="X147" i="7" s="1"/>
  <c r="U141" i="7"/>
  <c r="C141" i="7" s="1"/>
  <c r="D141" i="7" s="1"/>
  <c r="Y141" i="7" s="1"/>
  <c r="Z141" i="7" s="1"/>
  <c r="AA141" i="7" s="1"/>
  <c r="U44" i="7"/>
  <c r="W44" i="7" s="1"/>
  <c r="X44" i="7" s="1"/>
  <c r="W1575" i="7"/>
  <c r="X1575" i="7" s="1"/>
  <c r="U889" i="7"/>
  <c r="W889" i="7" s="1"/>
  <c r="X889" i="7" s="1"/>
  <c r="U1735" i="7"/>
  <c r="W1735" i="7" s="1"/>
  <c r="X1735" i="7" s="1"/>
  <c r="U1683" i="7"/>
  <c r="W1683" i="7" s="1"/>
  <c r="X1683" i="7" s="1"/>
  <c r="U393" i="7"/>
  <c r="W393" i="7" s="1"/>
  <c r="X393" i="7" s="1"/>
  <c r="U198" i="7"/>
  <c r="C198" i="7" s="1"/>
  <c r="D198" i="7" s="1"/>
  <c r="Y198" i="7" s="1"/>
  <c r="Z198" i="7" s="1"/>
  <c r="AA198" i="7" s="1"/>
  <c r="U1083" i="7"/>
  <c r="C1083" i="7" s="1"/>
  <c r="D1083" i="7" s="1"/>
  <c r="Y1083" i="7" s="1"/>
  <c r="Z1083" i="7" s="1"/>
  <c r="AA1083" i="7" s="1"/>
  <c r="U1658" i="7"/>
  <c r="C1658" i="7" s="1"/>
  <c r="D1658" i="7" s="1"/>
  <c r="Y1658" i="7" s="1"/>
  <c r="Z1658" i="7" s="1"/>
  <c r="AA1658" i="7" s="1"/>
  <c r="U1639" i="7"/>
  <c r="C1639" i="7" s="1"/>
  <c r="D1639" i="7" s="1"/>
  <c r="Y1639" i="7" s="1"/>
  <c r="Z1639" i="7" s="1"/>
  <c r="AA1639" i="7" s="1"/>
  <c r="U1635" i="7"/>
  <c r="C1635" i="7" s="1"/>
  <c r="D1635" i="7" s="1"/>
  <c r="Y1635" i="7" s="1"/>
  <c r="Z1635" i="7" s="1"/>
  <c r="AA1635" i="7" s="1"/>
  <c r="U1631" i="7"/>
  <c r="U1577" i="7"/>
  <c r="C1577" i="7" s="1"/>
  <c r="D1577" i="7" s="1"/>
  <c r="Y1577" i="7" s="1"/>
  <c r="Z1577" i="7" s="1"/>
  <c r="AA1577" i="7" s="1"/>
  <c r="U1447" i="7"/>
  <c r="W1447" i="7" s="1"/>
  <c r="X1447" i="7" s="1"/>
  <c r="U938" i="7"/>
  <c r="C938" i="7" s="1"/>
  <c r="D938" i="7" s="1"/>
  <c r="Y938" i="7" s="1"/>
  <c r="Z938" i="7" s="1"/>
  <c r="AA938" i="7" s="1"/>
  <c r="U813" i="7"/>
  <c r="W813" i="7" s="1"/>
  <c r="X813" i="7" s="1"/>
  <c r="U809" i="7"/>
  <c r="C809" i="7" s="1"/>
  <c r="D809" i="7" s="1"/>
  <c r="Y809" i="7" s="1"/>
  <c r="Z809" i="7" s="1"/>
  <c r="AA809" i="7" s="1"/>
  <c r="U806" i="7"/>
  <c r="W806" i="7" s="1"/>
  <c r="X806" i="7" s="1"/>
  <c r="U803" i="7"/>
  <c r="C803" i="7" s="1"/>
  <c r="D803" i="7" s="1"/>
  <c r="Y803" i="7" s="1"/>
  <c r="Z803" i="7" s="1"/>
  <c r="AA803" i="7" s="1"/>
  <c r="U713" i="7"/>
  <c r="W713" i="7" s="1"/>
  <c r="X713" i="7" s="1"/>
  <c r="U638" i="7"/>
  <c r="C638" i="7" s="1"/>
  <c r="D638" i="7" s="1"/>
  <c r="Y638" i="7" s="1"/>
  <c r="Z638" i="7" s="1"/>
  <c r="AA638" i="7" s="1"/>
  <c r="U494" i="7"/>
  <c r="W494" i="7" s="1"/>
  <c r="X494" i="7" s="1"/>
  <c r="U1632" i="7"/>
  <c r="W1632" i="7" s="1"/>
  <c r="X1632" i="7" s="1"/>
  <c r="U1417" i="7"/>
  <c r="C1417" i="7" s="1"/>
  <c r="D1417" i="7" s="1"/>
  <c r="Y1417" i="7" s="1"/>
  <c r="Z1417" i="7" s="1"/>
  <c r="AA1417" i="7" s="1"/>
  <c r="U1168" i="7"/>
  <c r="W1168" i="7" s="1"/>
  <c r="X1168" i="7" s="1"/>
  <c r="U1165" i="7"/>
  <c r="W1165" i="7" s="1"/>
  <c r="X1165" i="7" s="1"/>
  <c r="U1596" i="7"/>
  <c r="C1596" i="7" s="1"/>
  <c r="D1596" i="7" s="1"/>
  <c r="Y1596" i="7" s="1"/>
  <c r="Z1596" i="7" s="1"/>
  <c r="AA1596" i="7" s="1"/>
  <c r="C1550" i="7"/>
  <c r="D1550" i="7" s="1"/>
  <c r="Y1550" i="7" s="1"/>
  <c r="Z1550" i="7" s="1"/>
  <c r="AA1550" i="7" s="1"/>
  <c r="U1321" i="7"/>
  <c r="C1321" i="7" s="1"/>
  <c r="D1321" i="7" s="1"/>
  <c r="Y1321" i="7" s="1"/>
  <c r="Z1321" i="7" s="1"/>
  <c r="AA1321" i="7" s="1"/>
  <c r="W1067" i="7"/>
  <c r="X1067" i="7" s="1"/>
  <c r="U1664" i="7"/>
  <c r="W1664" i="7" s="1"/>
  <c r="X1664" i="7" s="1"/>
  <c r="U1593" i="7"/>
  <c r="U1549" i="7"/>
  <c r="W1549" i="7" s="1"/>
  <c r="X1549" i="7" s="1"/>
  <c r="U1473" i="7"/>
  <c r="U1248" i="7"/>
  <c r="C1248" i="7" s="1"/>
  <c r="D1248" i="7" s="1"/>
  <c r="Y1248" i="7" s="1"/>
  <c r="Z1248" i="7" s="1"/>
  <c r="AA1248" i="7" s="1"/>
  <c r="U1156" i="7"/>
  <c r="W1156" i="7" s="1"/>
  <c r="X1156" i="7" s="1"/>
  <c r="U1062" i="7"/>
  <c r="W1062" i="7" s="1"/>
  <c r="X1062" i="7" s="1"/>
  <c r="U585" i="7"/>
  <c r="W585" i="7" s="1"/>
  <c r="X585" i="7" s="1"/>
  <c r="U559" i="7"/>
  <c r="W559" i="7" s="1"/>
  <c r="X559" i="7" s="1"/>
  <c r="U418" i="7"/>
  <c r="W418" i="7" s="1"/>
  <c r="X418" i="7" s="1"/>
  <c r="U257" i="7"/>
  <c r="W257" i="7" s="1"/>
  <c r="X257" i="7" s="1"/>
  <c r="U183" i="7"/>
  <c r="W183" i="7" s="1"/>
  <c r="X183" i="7" s="1"/>
  <c r="U179" i="7"/>
  <c r="W179" i="7" s="1"/>
  <c r="X179" i="7" s="1"/>
  <c r="U170" i="7"/>
  <c r="C170" i="7" s="1"/>
  <c r="D170" i="7" s="1"/>
  <c r="Y170" i="7" s="1"/>
  <c r="Z170" i="7" s="1"/>
  <c r="AA170" i="7" s="1"/>
  <c r="U89" i="7"/>
  <c r="W89" i="7" s="1"/>
  <c r="X89" i="7" s="1"/>
  <c r="U84" i="7"/>
  <c r="W84" i="7" s="1"/>
  <c r="X84" i="7" s="1"/>
  <c r="U1117" i="7"/>
  <c r="W1117" i="7" s="1"/>
  <c r="X1117" i="7" s="1"/>
  <c r="U1714" i="7"/>
  <c r="C1714" i="7" s="1"/>
  <c r="D1714" i="7" s="1"/>
  <c r="Y1714" i="7" s="1"/>
  <c r="Z1714" i="7" s="1"/>
  <c r="AA1714" i="7" s="1"/>
  <c r="U1576" i="7"/>
  <c r="C1576" i="7" s="1"/>
  <c r="D1576" i="7" s="1"/>
  <c r="Y1576" i="7" s="1"/>
  <c r="Z1576" i="7" s="1"/>
  <c r="AA1576" i="7" s="1"/>
  <c r="C1393" i="7"/>
  <c r="D1393" i="7" s="1"/>
  <c r="Y1393" i="7" s="1"/>
  <c r="Z1393" i="7" s="1"/>
  <c r="AA1393" i="7" s="1"/>
  <c r="U1233" i="7"/>
  <c r="C1233" i="7" s="1"/>
  <c r="D1233" i="7" s="1"/>
  <c r="Y1233" i="7" s="1"/>
  <c r="Z1233" i="7" s="1"/>
  <c r="AA1233" i="7" s="1"/>
  <c r="U1144" i="7"/>
  <c r="W1144" i="7" s="1"/>
  <c r="X1144" i="7" s="1"/>
  <c r="U976" i="7"/>
  <c r="W976" i="7" s="1"/>
  <c r="X976" i="7" s="1"/>
  <c r="U967" i="7"/>
  <c r="W967" i="7" s="1"/>
  <c r="X967" i="7" s="1"/>
  <c r="U739" i="7"/>
  <c r="C739" i="7" s="1"/>
  <c r="D739" i="7" s="1"/>
  <c r="Y739" i="7" s="1"/>
  <c r="Z739" i="7" s="1"/>
  <c r="AA739" i="7" s="1"/>
  <c r="U271" i="7"/>
  <c r="W271" i="7" s="1"/>
  <c r="X271" i="7" s="1"/>
  <c r="U1564" i="7"/>
  <c r="W1564" i="7" s="1"/>
  <c r="X1564" i="7" s="1"/>
  <c r="U1543" i="7"/>
  <c r="W1543" i="7" s="1"/>
  <c r="X1543" i="7" s="1"/>
  <c r="U1465" i="7"/>
  <c r="W1465" i="7" s="1"/>
  <c r="X1465" i="7" s="1"/>
  <c r="U1420" i="7"/>
  <c r="W1420" i="7" s="1"/>
  <c r="X1420" i="7" s="1"/>
  <c r="U1388" i="7"/>
  <c r="W1388" i="7" s="1"/>
  <c r="X1388" i="7" s="1"/>
  <c r="U1334" i="7"/>
  <c r="C1334" i="7" s="1"/>
  <c r="D1334" i="7" s="1"/>
  <c r="Y1334" i="7" s="1"/>
  <c r="Z1334" i="7" s="1"/>
  <c r="AA1334" i="7" s="1"/>
  <c r="U1276" i="7"/>
  <c r="C1276" i="7" s="1"/>
  <c r="D1276" i="7" s="1"/>
  <c r="Y1276" i="7" s="1"/>
  <c r="Z1276" i="7" s="1"/>
  <c r="AA1276" i="7" s="1"/>
  <c r="U1268" i="7"/>
  <c r="W1268" i="7" s="1"/>
  <c r="X1268" i="7" s="1"/>
  <c r="U1254" i="7"/>
  <c r="W1254" i="7" s="1"/>
  <c r="X1254" i="7" s="1"/>
  <c r="U1251" i="7"/>
  <c r="W1251" i="7" s="1"/>
  <c r="X1251" i="7" s="1"/>
  <c r="U1238" i="7"/>
  <c r="U1125" i="7"/>
  <c r="W1125" i="7" s="1"/>
  <c r="X1125" i="7" s="1"/>
  <c r="U1011" i="7"/>
  <c r="C1011" i="7" s="1"/>
  <c r="D1011" i="7" s="1"/>
  <c r="Y1011" i="7" s="1"/>
  <c r="Z1011" i="7" s="1"/>
  <c r="AA1011" i="7" s="1"/>
  <c r="U989" i="7"/>
  <c r="C989" i="7" s="1"/>
  <c r="D989" i="7" s="1"/>
  <c r="Y989" i="7" s="1"/>
  <c r="Z989" i="7" s="1"/>
  <c r="AA989" i="7" s="1"/>
  <c r="U959" i="7"/>
  <c r="U895" i="7"/>
  <c r="W895" i="7" s="1"/>
  <c r="X895" i="7" s="1"/>
  <c r="U873" i="7"/>
  <c r="W873" i="7" s="1"/>
  <c r="X873" i="7" s="1"/>
  <c r="U858" i="7"/>
  <c r="W858" i="7" s="1"/>
  <c r="X858" i="7" s="1"/>
  <c r="U796" i="7"/>
  <c r="C796" i="7" s="1"/>
  <c r="D796" i="7" s="1"/>
  <c r="Y796" i="7" s="1"/>
  <c r="Z796" i="7" s="1"/>
  <c r="AA796" i="7" s="1"/>
  <c r="U700" i="7"/>
  <c r="W700" i="7" s="1"/>
  <c r="X700" i="7" s="1"/>
  <c r="U578" i="7"/>
  <c r="C578" i="7" s="1"/>
  <c r="D578" i="7" s="1"/>
  <c r="Y578" i="7" s="1"/>
  <c r="Z578" i="7" s="1"/>
  <c r="AA578" i="7" s="1"/>
  <c r="U575" i="7"/>
  <c r="W575" i="7" s="1"/>
  <c r="X575" i="7" s="1"/>
  <c r="U491" i="7"/>
  <c r="C491" i="7" s="1"/>
  <c r="D491" i="7" s="1"/>
  <c r="Y491" i="7" s="1"/>
  <c r="Z491" i="7" s="1"/>
  <c r="AA491" i="7" s="1"/>
  <c r="U480" i="7"/>
  <c r="W480" i="7" s="1"/>
  <c r="X480" i="7" s="1"/>
  <c r="U477" i="7"/>
  <c r="C477" i="7" s="1"/>
  <c r="D477" i="7" s="1"/>
  <c r="Y477" i="7" s="1"/>
  <c r="Z477" i="7" s="1"/>
  <c r="AA477" i="7" s="1"/>
  <c r="U421" i="7"/>
  <c r="W421" i="7" s="1"/>
  <c r="X421" i="7" s="1"/>
  <c r="U376" i="7"/>
  <c r="U298" i="7"/>
  <c r="C298" i="7" s="1"/>
  <c r="D298" i="7" s="1"/>
  <c r="Y298" i="7" s="1"/>
  <c r="Z298" i="7" s="1"/>
  <c r="AA298" i="7" s="1"/>
  <c r="U259" i="7"/>
  <c r="C259" i="7" s="1"/>
  <c r="D259" i="7" s="1"/>
  <c r="Y259" i="7" s="1"/>
  <c r="Z259" i="7" s="1"/>
  <c r="AA259" i="7" s="1"/>
  <c r="U234" i="7"/>
  <c r="W234" i="7" s="1"/>
  <c r="X234" i="7" s="1"/>
  <c r="U156" i="7"/>
  <c r="W156" i="7" s="1"/>
  <c r="X156" i="7" s="1"/>
  <c r="U150" i="7"/>
  <c r="W150" i="7" s="1"/>
  <c r="X150" i="7" s="1"/>
  <c r="U61" i="7"/>
  <c r="C61" i="7" s="1"/>
  <c r="D61" i="7" s="1"/>
  <c r="Y61" i="7" s="1"/>
  <c r="Z61" i="7" s="1"/>
  <c r="AA61" i="7" s="1"/>
  <c r="U58" i="7"/>
  <c r="W58" i="7" s="1"/>
  <c r="X58" i="7" s="1"/>
  <c r="U55" i="7"/>
  <c r="W55" i="7" s="1"/>
  <c r="X55" i="7" s="1"/>
  <c r="U47" i="7"/>
  <c r="W47" i="7" s="1"/>
  <c r="X47" i="7" s="1"/>
  <c r="U29" i="7"/>
  <c r="C29" i="7" s="1"/>
  <c r="D29" i="7" s="1"/>
  <c r="Y29" i="7" s="1"/>
  <c r="Z29" i="7" s="1"/>
  <c r="AA29" i="7" s="1"/>
  <c r="U25" i="7"/>
  <c r="C25" i="7" s="1"/>
  <c r="D25" i="7" s="1"/>
  <c r="Y25" i="7" s="1"/>
  <c r="Z25" i="7" s="1"/>
  <c r="AA25" i="7" s="1"/>
  <c r="U19" i="7"/>
  <c r="W19" i="7" s="1"/>
  <c r="X19" i="7" s="1"/>
  <c r="U16" i="7"/>
  <c r="C16" i="7" s="1"/>
  <c r="D16" i="7" s="1"/>
  <c r="Y16" i="7" s="1"/>
  <c r="Z16" i="7" s="1"/>
  <c r="AA16" i="7" s="1"/>
  <c r="U1395" i="7"/>
  <c r="C1395" i="7" s="1"/>
  <c r="D1395" i="7" s="1"/>
  <c r="Y1395" i="7" s="1"/>
  <c r="Z1395" i="7" s="1"/>
  <c r="AA1395" i="7" s="1"/>
  <c r="U1364" i="7"/>
  <c r="C1364" i="7" s="1"/>
  <c r="D1364" i="7" s="1"/>
  <c r="Y1364" i="7" s="1"/>
  <c r="Z1364" i="7" s="1"/>
  <c r="AA1364" i="7" s="1"/>
  <c r="U1245" i="7"/>
  <c r="C1245" i="7" s="1"/>
  <c r="D1245" i="7" s="1"/>
  <c r="Y1245" i="7" s="1"/>
  <c r="Z1245" i="7" s="1"/>
  <c r="AA1245" i="7" s="1"/>
  <c r="U1131" i="7"/>
  <c r="U1119" i="7"/>
  <c r="U1108" i="7"/>
  <c r="W1108" i="7" s="1"/>
  <c r="X1108" i="7" s="1"/>
  <c r="U1033" i="7"/>
  <c r="W1033" i="7" s="1"/>
  <c r="X1033" i="7" s="1"/>
  <c r="U991" i="7"/>
  <c r="C991" i="7" s="1"/>
  <c r="D991" i="7" s="1"/>
  <c r="Y991" i="7" s="1"/>
  <c r="Z991" i="7" s="1"/>
  <c r="AA991" i="7" s="1"/>
  <c r="U904" i="7"/>
  <c r="U416" i="7"/>
  <c r="C416" i="7" s="1"/>
  <c r="D416" i="7" s="1"/>
  <c r="Y416" i="7" s="1"/>
  <c r="Z416" i="7" s="1"/>
  <c r="AA416" i="7" s="1"/>
  <c r="U362" i="7"/>
  <c r="W362" i="7" s="1"/>
  <c r="X362" i="7" s="1"/>
  <c r="U331" i="7"/>
  <c r="W331" i="7" s="1"/>
  <c r="X331" i="7" s="1"/>
  <c r="U245" i="7"/>
  <c r="C245" i="7" s="1"/>
  <c r="D245" i="7" s="1"/>
  <c r="Y245" i="7" s="1"/>
  <c r="Z245" i="7" s="1"/>
  <c r="AA245" i="7" s="1"/>
  <c r="U242" i="7"/>
  <c r="C242" i="7" s="1"/>
  <c r="D242" i="7" s="1"/>
  <c r="Y242" i="7" s="1"/>
  <c r="Z242" i="7" s="1"/>
  <c r="AA242" i="7" s="1"/>
  <c r="U190" i="7"/>
  <c r="W190" i="7" s="1"/>
  <c r="X190" i="7" s="1"/>
  <c r="U187" i="7"/>
  <c r="C187" i="7" s="1"/>
  <c r="D187" i="7" s="1"/>
  <c r="Y187" i="7" s="1"/>
  <c r="Z187" i="7" s="1"/>
  <c r="AA187" i="7" s="1"/>
  <c r="U158" i="7"/>
  <c r="W158" i="7" s="1"/>
  <c r="X158" i="7" s="1"/>
  <c r="U97" i="7"/>
  <c r="C97" i="7" s="1"/>
  <c r="D97" i="7" s="1"/>
  <c r="Y97" i="7" s="1"/>
  <c r="Z97" i="7" s="1"/>
  <c r="AA97" i="7" s="1"/>
  <c r="U87" i="7"/>
  <c r="U82" i="7"/>
  <c r="W82" i="7" s="1"/>
  <c r="X82" i="7" s="1"/>
  <c r="U69" i="7"/>
  <c r="C69" i="7" s="1"/>
  <c r="D69" i="7" s="1"/>
  <c r="Y69" i="7" s="1"/>
  <c r="Z69" i="7" s="1"/>
  <c r="AA69" i="7" s="1"/>
  <c r="U1610" i="7"/>
  <c r="W1610" i="7" s="1"/>
  <c r="X1610" i="7" s="1"/>
  <c r="U1589" i="7"/>
  <c r="W1589" i="7" s="1"/>
  <c r="X1589" i="7" s="1"/>
  <c r="U1585" i="7"/>
  <c r="C1585" i="7" s="1"/>
  <c r="D1585" i="7" s="1"/>
  <c r="Y1585" i="7" s="1"/>
  <c r="Z1585" i="7" s="1"/>
  <c r="AA1585" i="7" s="1"/>
  <c r="U1556" i="7"/>
  <c r="W1556" i="7" s="1"/>
  <c r="X1556" i="7" s="1"/>
  <c r="U1501" i="7"/>
  <c r="W1501" i="7" s="1"/>
  <c r="X1501" i="7" s="1"/>
  <c r="U1497" i="7"/>
  <c r="W1497" i="7" s="1"/>
  <c r="X1497" i="7" s="1"/>
  <c r="U1424" i="7"/>
  <c r="W1424" i="7" s="1"/>
  <c r="X1424" i="7" s="1"/>
  <c r="U1372" i="7"/>
  <c r="C1372" i="7" s="1"/>
  <c r="D1372" i="7" s="1"/>
  <c r="Y1372" i="7" s="1"/>
  <c r="Z1372" i="7" s="1"/>
  <c r="AA1372" i="7" s="1"/>
  <c r="U1336" i="7"/>
  <c r="C1336" i="7" s="1"/>
  <c r="D1336" i="7" s="1"/>
  <c r="Y1336" i="7" s="1"/>
  <c r="Z1336" i="7" s="1"/>
  <c r="AA1336" i="7" s="1"/>
  <c r="U1286" i="7"/>
  <c r="U1196" i="7"/>
  <c r="W1196" i="7" s="1"/>
  <c r="X1196" i="7" s="1"/>
  <c r="U1159" i="7"/>
  <c r="C1159" i="7" s="1"/>
  <c r="D1159" i="7" s="1"/>
  <c r="Y1159" i="7" s="1"/>
  <c r="Z1159" i="7" s="1"/>
  <c r="AA1159" i="7" s="1"/>
  <c r="U1113" i="7"/>
  <c r="W1113" i="7" s="1"/>
  <c r="X1113" i="7" s="1"/>
  <c r="U1046" i="7"/>
  <c r="W1046" i="7" s="1"/>
  <c r="X1046" i="7" s="1"/>
  <c r="U1035" i="7"/>
  <c r="W1035" i="7" s="1"/>
  <c r="X1035" i="7" s="1"/>
  <c r="U906" i="7"/>
  <c r="W906" i="7" s="1"/>
  <c r="X906" i="7" s="1"/>
  <c r="U901" i="7"/>
  <c r="W901" i="7" s="1"/>
  <c r="X901" i="7" s="1"/>
  <c r="U808" i="7"/>
  <c r="C808" i="7" s="1"/>
  <c r="D808" i="7" s="1"/>
  <c r="Y808" i="7" s="1"/>
  <c r="Z808" i="7" s="1"/>
  <c r="AA808" i="7" s="1"/>
  <c r="U802" i="7"/>
  <c r="C802" i="7" s="1"/>
  <c r="D802" i="7" s="1"/>
  <c r="Y802" i="7" s="1"/>
  <c r="Z802" i="7" s="1"/>
  <c r="AA802" i="7" s="1"/>
  <c r="U768" i="7"/>
  <c r="W768" i="7" s="1"/>
  <c r="X768" i="7" s="1"/>
  <c r="U752" i="7"/>
  <c r="U740" i="7"/>
  <c r="W740" i="7" s="1"/>
  <c r="X740" i="7" s="1"/>
  <c r="U702" i="7"/>
  <c r="C702" i="7" s="1"/>
  <c r="D702" i="7" s="1"/>
  <c r="Y702" i="7" s="1"/>
  <c r="Z702" i="7" s="1"/>
  <c r="AA702" i="7" s="1"/>
  <c r="U692" i="7"/>
  <c r="C692" i="7" s="1"/>
  <c r="D692" i="7" s="1"/>
  <c r="Y692" i="7" s="1"/>
  <c r="Z692" i="7" s="1"/>
  <c r="AA692" i="7" s="1"/>
  <c r="U688" i="7"/>
  <c r="U680" i="7"/>
  <c r="W680" i="7" s="1"/>
  <c r="X680" i="7" s="1"/>
  <c r="U656" i="7"/>
  <c r="W656" i="7" s="1"/>
  <c r="X656" i="7" s="1"/>
  <c r="U624" i="7"/>
  <c r="C624" i="7" s="1"/>
  <c r="D624" i="7" s="1"/>
  <c r="Y624" i="7" s="1"/>
  <c r="Z624" i="7" s="1"/>
  <c r="AA624" i="7" s="1"/>
  <c r="U595" i="7"/>
  <c r="U593" i="7"/>
  <c r="C593" i="7" s="1"/>
  <c r="D593" i="7" s="1"/>
  <c r="Y593" i="7" s="1"/>
  <c r="Z593" i="7" s="1"/>
  <c r="AA593" i="7" s="1"/>
  <c r="U584" i="7"/>
  <c r="W584" i="7" s="1"/>
  <c r="X584" i="7" s="1"/>
  <c r="U558" i="7"/>
  <c r="W558" i="7" s="1"/>
  <c r="X558" i="7" s="1"/>
  <c r="U522" i="7"/>
  <c r="C522" i="7" s="1"/>
  <c r="D522" i="7" s="1"/>
  <c r="Y522" i="7" s="1"/>
  <c r="Z522" i="7" s="1"/>
  <c r="AA522" i="7" s="1"/>
  <c r="U506" i="7"/>
  <c r="C506" i="7" s="1"/>
  <c r="D506" i="7" s="1"/>
  <c r="Y506" i="7" s="1"/>
  <c r="Z506" i="7" s="1"/>
  <c r="AA506" i="7" s="1"/>
  <c r="U450" i="7"/>
  <c r="C450" i="7" s="1"/>
  <c r="D450" i="7" s="1"/>
  <c r="Y450" i="7" s="1"/>
  <c r="Z450" i="7" s="1"/>
  <c r="AA450" i="7" s="1"/>
  <c r="U426" i="7"/>
  <c r="W426" i="7" s="1"/>
  <c r="X426" i="7" s="1"/>
  <c r="U299" i="7"/>
  <c r="C299" i="7" s="1"/>
  <c r="D299" i="7" s="1"/>
  <c r="Y299" i="7" s="1"/>
  <c r="Z299" i="7" s="1"/>
  <c r="AA299" i="7" s="1"/>
  <c r="U255" i="7"/>
  <c r="C255" i="7" s="1"/>
  <c r="D255" i="7" s="1"/>
  <c r="Y255" i="7" s="1"/>
  <c r="Z255" i="7" s="1"/>
  <c r="AA255" i="7" s="1"/>
  <c r="U66" i="7"/>
  <c r="C66" i="7" s="1"/>
  <c r="D66" i="7" s="1"/>
  <c r="Y66" i="7" s="1"/>
  <c r="Z66" i="7" s="1"/>
  <c r="AA66" i="7" s="1"/>
  <c r="U64" i="7"/>
  <c r="W64" i="7" s="1"/>
  <c r="X64" i="7" s="1"/>
  <c r="U39" i="7"/>
  <c r="W39" i="7" s="1"/>
  <c r="X39" i="7" s="1"/>
  <c r="U17" i="7"/>
  <c r="W17" i="7" s="1"/>
  <c r="X17" i="7" s="1"/>
  <c r="U1488" i="7"/>
  <c r="W1488" i="7" s="1"/>
  <c r="X1488" i="7" s="1"/>
  <c r="U1413" i="7"/>
  <c r="W1413" i="7" s="1"/>
  <c r="X1413" i="7" s="1"/>
  <c r="U1381" i="7"/>
  <c r="C1381" i="7" s="1"/>
  <c r="D1381" i="7" s="1"/>
  <c r="Y1381" i="7" s="1"/>
  <c r="Z1381" i="7" s="1"/>
  <c r="AA1381" i="7" s="1"/>
  <c r="U1363" i="7"/>
  <c r="C1363" i="7" s="1"/>
  <c r="D1363" i="7" s="1"/>
  <c r="Y1363" i="7" s="1"/>
  <c r="Z1363" i="7" s="1"/>
  <c r="AA1363" i="7" s="1"/>
  <c r="U1310" i="7"/>
  <c r="W1310" i="7" s="1"/>
  <c r="X1310" i="7" s="1"/>
  <c r="U1211" i="7"/>
  <c r="W1211" i="7" s="1"/>
  <c r="X1211" i="7" s="1"/>
  <c r="U1186" i="7"/>
  <c r="W1186" i="7" s="1"/>
  <c r="X1186" i="7" s="1"/>
  <c r="C1162" i="7"/>
  <c r="D1162" i="7" s="1"/>
  <c r="Y1162" i="7" s="1"/>
  <c r="Z1162" i="7" s="1"/>
  <c r="AA1162" i="7" s="1"/>
  <c r="U1100" i="7"/>
  <c r="W1100" i="7" s="1"/>
  <c r="X1100" i="7" s="1"/>
  <c r="U932" i="7"/>
  <c r="W932" i="7" s="1"/>
  <c r="X932" i="7" s="1"/>
  <c r="U884" i="7"/>
  <c r="W884" i="7" s="1"/>
  <c r="X884" i="7" s="1"/>
  <c r="U881" i="7"/>
  <c r="C881" i="7" s="1"/>
  <c r="D881" i="7" s="1"/>
  <c r="Y881" i="7" s="1"/>
  <c r="Z881" i="7" s="1"/>
  <c r="AA881" i="7" s="1"/>
  <c r="U878" i="7"/>
  <c r="C878" i="7" s="1"/>
  <c r="D878" i="7" s="1"/>
  <c r="Y878" i="7" s="1"/>
  <c r="Z878" i="7" s="1"/>
  <c r="AA878" i="7" s="1"/>
  <c r="U795" i="7"/>
  <c r="W795" i="7" s="1"/>
  <c r="X795" i="7" s="1"/>
  <c r="U783" i="7"/>
  <c r="W783" i="7" s="1"/>
  <c r="X783" i="7" s="1"/>
  <c r="U714" i="7"/>
  <c r="W714" i="7" s="1"/>
  <c r="X714" i="7" s="1"/>
  <c r="U652" i="7"/>
  <c r="W652" i="7" s="1"/>
  <c r="X652" i="7" s="1"/>
  <c r="U629" i="7"/>
  <c r="W629" i="7" s="1"/>
  <c r="X629" i="7" s="1"/>
  <c r="U611" i="7"/>
  <c r="W611" i="7" s="1"/>
  <c r="X611" i="7" s="1"/>
  <c r="U495" i="7"/>
  <c r="C495" i="7" s="1"/>
  <c r="D495" i="7" s="1"/>
  <c r="Y495" i="7" s="1"/>
  <c r="Z495" i="7" s="1"/>
  <c r="AA495" i="7" s="1"/>
  <c r="U429" i="7"/>
  <c r="W429" i="7" s="1"/>
  <c r="X429" i="7" s="1"/>
  <c r="U391" i="7"/>
  <c r="C391" i="7" s="1"/>
  <c r="D391" i="7" s="1"/>
  <c r="Y391" i="7" s="1"/>
  <c r="Z391" i="7" s="1"/>
  <c r="AA391" i="7" s="1"/>
  <c r="U378" i="7"/>
  <c r="W378" i="7" s="1"/>
  <c r="X378" i="7" s="1"/>
  <c r="U368" i="7"/>
  <c r="W368" i="7" s="1"/>
  <c r="X368" i="7" s="1"/>
  <c r="U139" i="7"/>
  <c r="C139" i="7" s="1"/>
  <c r="D139" i="7" s="1"/>
  <c r="Y139" i="7" s="1"/>
  <c r="Z139" i="7" s="1"/>
  <c r="AA139" i="7" s="1"/>
  <c r="U90" i="7"/>
  <c r="C90" i="7" s="1"/>
  <c r="D90" i="7" s="1"/>
  <c r="Y90" i="7" s="1"/>
  <c r="Z90" i="7" s="1"/>
  <c r="AA90" i="7" s="1"/>
  <c r="U63" i="7"/>
  <c r="W63" i="7" s="1"/>
  <c r="X63" i="7" s="1"/>
  <c r="U59" i="7"/>
  <c r="C59" i="7" s="1"/>
  <c r="D59" i="7" s="1"/>
  <c r="Y59" i="7" s="1"/>
  <c r="Z59" i="7" s="1"/>
  <c r="AA59" i="7" s="1"/>
  <c r="U1504" i="7"/>
  <c r="C1504" i="7" s="1"/>
  <c r="D1504" i="7" s="1"/>
  <c r="Y1504" i="7" s="1"/>
  <c r="Z1504" i="7" s="1"/>
  <c r="AA1504" i="7" s="1"/>
  <c r="U1487" i="7"/>
  <c r="C1487" i="7" s="1"/>
  <c r="D1487" i="7" s="1"/>
  <c r="Y1487" i="7" s="1"/>
  <c r="Z1487" i="7" s="1"/>
  <c r="AA1487" i="7" s="1"/>
  <c r="U1482" i="7"/>
  <c r="W1482" i="7" s="1"/>
  <c r="X1482" i="7" s="1"/>
  <c r="U1454" i="7"/>
  <c r="C1454" i="7" s="1"/>
  <c r="D1454" i="7" s="1"/>
  <c r="Y1454" i="7" s="1"/>
  <c r="Z1454" i="7" s="1"/>
  <c r="AA1454" i="7" s="1"/>
  <c r="U1439" i="7"/>
  <c r="C1439" i="7" s="1"/>
  <c r="D1439" i="7" s="1"/>
  <c r="Y1439" i="7" s="1"/>
  <c r="Z1439" i="7" s="1"/>
  <c r="AA1439" i="7" s="1"/>
  <c r="U1433" i="7"/>
  <c r="W1433" i="7" s="1"/>
  <c r="X1433" i="7" s="1"/>
  <c r="U1229" i="7"/>
  <c r="W1229" i="7" s="1"/>
  <c r="X1229" i="7" s="1"/>
  <c r="U1218" i="7"/>
  <c r="W1218" i="7" s="1"/>
  <c r="X1218" i="7" s="1"/>
  <c r="U1185" i="7"/>
  <c r="W1185" i="7" s="1"/>
  <c r="X1185" i="7" s="1"/>
  <c r="U1149" i="7"/>
  <c r="W1149" i="7" s="1"/>
  <c r="X1149" i="7" s="1"/>
  <c r="U1091" i="7"/>
  <c r="W1091" i="7" s="1"/>
  <c r="X1091" i="7" s="1"/>
  <c r="U1084" i="7"/>
  <c r="C1084" i="7" s="1"/>
  <c r="D1084" i="7" s="1"/>
  <c r="Y1084" i="7" s="1"/>
  <c r="Z1084" i="7" s="1"/>
  <c r="AA1084" i="7" s="1"/>
  <c r="U1082" i="7"/>
  <c r="C1082" i="7" s="1"/>
  <c r="D1082" i="7" s="1"/>
  <c r="Y1082" i="7" s="1"/>
  <c r="Z1082" i="7" s="1"/>
  <c r="AA1082" i="7" s="1"/>
  <c r="U1037" i="7"/>
  <c r="C1037" i="7" s="1"/>
  <c r="D1037" i="7" s="1"/>
  <c r="Y1037" i="7" s="1"/>
  <c r="Z1037" i="7" s="1"/>
  <c r="AA1037" i="7" s="1"/>
  <c r="U970" i="7"/>
  <c r="C970" i="7" s="1"/>
  <c r="D970" i="7" s="1"/>
  <c r="Y970" i="7" s="1"/>
  <c r="Z970" i="7" s="1"/>
  <c r="AA970" i="7" s="1"/>
  <c r="U964" i="7"/>
  <c r="W964" i="7" s="1"/>
  <c r="X964" i="7" s="1"/>
  <c r="U911" i="7"/>
  <c r="C911" i="7" s="1"/>
  <c r="D911" i="7" s="1"/>
  <c r="Y911" i="7" s="1"/>
  <c r="Z911" i="7" s="1"/>
  <c r="AA911" i="7" s="1"/>
  <c r="U819" i="7"/>
  <c r="W819" i="7" s="1"/>
  <c r="X819" i="7" s="1"/>
  <c r="U794" i="7"/>
  <c r="W794" i="7" s="1"/>
  <c r="X794" i="7" s="1"/>
  <c r="U764" i="7"/>
  <c r="U746" i="7"/>
  <c r="C746" i="7" s="1"/>
  <c r="D746" i="7" s="1"/>
  <c r="Y746" i="7" s="1"/>
  <c r="Z746" i="7" s="1"/>
  <c r="AA746" i="7" s="1"/>
  <c r="U673" i="7"/>
  <c r="W673" i="7" s="1"/>
  <c r="X673" i="7" s="1"/>
  <c r="U648" i="7"/>
  <c r="C648" i="7" s="1"/>
  <c r="D648" i="7" s="1"/>
  <c r="Y648" i="7" s="1"/>
  <c r="Z648" i="7" s="1"/>
  <c r="AA648" i="7" s="1"/>
  <c r="U645" i="7"/>
  <c r="W645" i="7" s="1"/>
  <c r="X645" i="7" s="1"/>
  <c r="U592" i="7"/>
  <c r="C592" i="7" s="1"/>
  <c r="D592" i="7" s="1"/>
  <c r="Y592" i="7" s="1"/>
  <c r="Z592" i="7" s="1"/>
  <c r="AA592" i="7" s="1"/>
  <c r="U518" i="7"/>
  <c r="W518" i="7" s="1"/>
  <c r="X518" i="7" s="1"/>
  <c r="U435" i="7"/>
  <c r="W435" i="7" s="1"/>
  <c r="X435" i="7" s="1"/>
  <c r="U425" i="7"/>
  <c r="C425" i="7" s="1"/>
  <c r="D425" i="7" s="1"/>
  <c r="Y425" i="7" s="1"/>
  <c r="Z425" i="7" s="1"/>
  <c r="AA425" i="7" s="1"/>
  <c r="U410" i="7"/>
  <c r="C410" i="7" s="1"/>
  <c r="D410" i="7" s="1"/>
  <c r="Y410" i="7" s="1"/>
  <c r="Z410" i="7" s="1"/>
  <c r="AA410" i="7" s="1"/>
  <c r="U407" i="7"/>
  <c r="W407" i="7" s="1"/>
  <c r="X407" i="7" s="1"/>
  <c r="U374" i="7"/>
  <c r="W374" i="7" s="1"/>
  <c r="X374" i="7" s="1"/>
  <c r="U365" i="7"/>
  <c r="W365" i="7" s="1"/>
  <c r="X365" i="7" s="1"/>
  <c r="U334" i="7"/>
  <c r="W334" i="7" s="1"/>
  <c r="X334" i="7" s="1"/>
  <c r="U316" i="7"/>
  <c r="C316" i="7" s="1"/>
  <c r="D316" i="7" s="1"/>
  <c r="Y316" i="7" s="1"/>
  <c r="Z316" i="7" s="1"/>
  <c r="AA316" i="7" s="1"/>
  <c r="U279" i="7"/>
  <c r="W279" i="7" s="1"/>
  <c r="X279" i="7" s="1"/>
  <c r="U244" i="7"/>
  <c r="C244" i="7" s="1"/>
  <c r="D244" i="7" s="1"/>
  <c r="Y244" i="7" s="1"/>
  <c r="Z244" i="7" s="1"/>
  <c r="AA244" i="7" s="1"/>
  <c r="U202" i="7"/>
  <c r="W202" i="7" s="1"/>
  <c r="X202" i="7" s="1"/>
  <c r="U199" i="7"/>
  <c r="C199" i="7" s="1"/>
  <c r="D199" i="7" s="1"/>
  <c r="Y199" i="7" s="1"/>
  <c r="Z199" i="7" s="1"/>
  <c r="AA199" i="7" s="1"/>
  <c r="U184" i="7"/>
  <c r="C184" i="7" s="1"/>
  <c r="D184" i="7" s="1"/>
  <c r="Y184" i="7" s="1"/>
  <c r="Z184" i="7" s="1"/>
  <c r="AA184" i="7" s="1"/>
  <c r="U135" i="7"/>
  <c r="W135" i="7" s="1"/>
  <c r="X135" i="7" s="1"/>
  <c r="U100" i="7"/>
  <c r="W100" i="7" s="1"/>
  <c r="X100" i="7" s="1"/>
  <c r="U96" i="7"/>
  <c r="W96" i="7" s="1"/>
  <c r="X96" i="7" s="1"/>
  <c r="U32" i="7"/>
  <c r="C32" i="7" s="1"/>
  <c r="D32" i="7" s="1"/>
  <c r="Y32" i="7" s="1"/>
  <c r="Z32" i="7" s="1"/>
  <c r="AA32" i="7" s="1"/>
  <c r="U1537" i="7"/>
  <c r="W1537" i="7" s="1"/>
  <c r="X1537" i="7" s="1"/>
  <c r="U1534" i="7"/>
  <c r="W1534" i="7" s="1"/>
  <c r="X1534" i="7" s="1"/>
  <c r="U1451" i="7"/>
  <c r="W1451" i="7" s="1"/>
  <c r="X1451" i="7" s="1"/>
  <c r="U1407" i="7"/>
  <c r="W1407" i="7" s="1"/>
  <c r="X1407" i="7" s="1"/>
  <c r="U1325" i="7"/>
  <c r="W1325" i="7" s="1"/>
  <c r="X1325" i="7" s="1"/>
  <c r="U1306" i="7"/>
  <c r="W1306" i="7" s="1"/>
  <c r="X1306" i="7" s="1"/>
  <c r="U1301" i="7"/>
  <c r="C1301" i="7" s="1"/>
  <c r="D1301" i="7" s="1"/>
  <c r="Y1301" i="7" s="1"/>
  <c r="Z1301" i="7" s="1"/>
  <c r="AA1301" i="7" s="1"/>
  <c r="U1289" i="7"/>
  <c r="W1289" i="7" s="1"/>
  <c r="X1289" i="7" s="1"/>
  <c r="U1269" i="7"/>
  <c r="W1269" i="7" s="1"/>
  <c r="X1269" i="7" s="1"/>
  <c r="U1252" i="7"/>
  <c r="W1252" i="7" s="1"/>
  <c r="X1252" i="7" s="1"/>
  <c r="U1222" i="7"/>
  <c r="C1222" i="7" s="1"/>
  <c r="D1222" i="7" s="1"/>
  <c r="Y1222" i="7" s="1"/>
  <c r="Z1222" i="7" s="1"/>
  <c r="AA1222" i="7" s="1"/>
  <c r="U1172" i="7"/>
  <c r="W1172" i="7" s="1"/>
  <c r="X1172" i="7" s="1"/>
  <c r="U1142" i="7"/>
  <c r="C1142" i="7" s="1"/>
  <c r="D1142" i="7" s="1"/>
  <c r="Y1142" i="7" s="1"/>
  <c r="Z1142" i="7" s="1"/>
  <c r="AA1142" i="7" s="1"/>
  <c r="U1109" i="7"/>
  <c r="W1109" i="7" s="1"/>
  <c r="X1109" i="7" s="1"/>
  <c r="U1048" i="7"/>
  <c r="C1048" i="7" s="1"/>
  <c r="D1048" i="7" s="1"/>
  <c r="Y1048" i="7" s="1"/>
  <c r="Z1048" i="7" s="1"/>
  <c r="AA1048" i="7" s="1"/>
  <c r="U1034" i="7"/>
  <c r="W1034" i="7" s="1"/>
  <c r="X1034" i="7" s="1"/>
  <c r="U1012" i="7"/>
  <c r="W1012" i="7" s="1"/>
  <c r="X1012" i="7" s="1"/>
  <c r="U985" i="7"/>
  <c r="W985" i="7" s="1"/>
  <c r="X985" i="7" s="1"/>
  <c r="U982" i="7"/>
  <c r="W982" i="7" s="1"/>
  <c r="X982" i="7" s="1"/>
  <c r="U929" i="7"/>
  <c r="W929" i="7" s="1"/>
  <c r="X929" i="7" s="1"/>
  <c r="U905" i="7"/>
  <c r="C905" i="7" s="1"/>
  <c r="D905" i="7" s="1"/>
  <c r="Y905" i="7" s="1"/>
  <c r="Z905" i="7" s="1"/>
  <c r="AA905" i="7" s="1"/>
  <c r="U874" i="7"/>
  <c r="C874" i="7" s="1"/>
  <c r="D874" i="7" s="1"/>
  <c r="Y874" i="7" s="1"/>
  <c r="Z874" i="7" s="1"/>
  <c r="AA874" i="7" s="1"/>
  <c r="U807" i="7"/>
  <c r="C807" i="7" s="1"/>
  <c r="D807" i="7" s="1"/>
  <c r="Y807" i="7" s="1"/>
  <c r="Z807" i="7" s="1"/>
  <c r="AA807" i="7" s="1"/>
  <c r="U742" i="7"/>
  <c r="W742" i="7" s="1"/>
  <c r="X742" i="7" s="1"/>
  <c r="U694" i="7"/>
  <c r="C694" i="7" s="1"/>
  <c r="D694" i="7" s="1"/>
  <c r="Y694" i="7" s="1"/>
  <c r="Z694" i="7" s="1"/>
  <c r="AA694" i="7" s="1"/>
  <c r="U679" i="7"/>
  <c r="W679" i="7" s="1"/>
  <c r="X679" i="7" s="1"/>
  <c r="U571" i="7"/>
  <c r="W571" i="7" s="1"/>
  <c r="X571" i="7" s="1"/>
  <c r="U564" i="7"/>
  <c r="C564" i="7" s="1"/>
  <c r="D564" i="7" s="1"/>
  <c r="Y564" i="7" s="1"/>
  <c r="Z564" i="7" s="1"/>
  <c r="AA564" i="7" s="1"/>
  <c r="U555" i="7"/>
  <c r="C555" i="7" s="1"/>
  <c r="D555" i="7" s="1"/>
  <c r="Y555" i="7" s="1"/>
  <c r="Z555" i="7" s="1"/>
  <c r="AA555" i="7" s="1"/>
  <c r="U474" i="7"/>
  <c r="W474" i="7" s="1"/>
  <c r="X474" i="7" s="1"/>
  <c r="U471" i="7"/>
  <c r="C471" i="7" s="1"/>
  <c r="D471" i="7" s="1"/>
  <c r="Y471" i="7" s="1"/>
  <c r="Z471" i="7" s="1"/>
  <c r="AA471" i="7" s="1"/>
  <c r="U467" i="7"/>
  <c r="C467" i="7" s="1"/>
  <c r="D467" i="7" s="1"/>
  <c r="Y467" i="7" s="1"/>
  <c r="Z467" i="7" s="1"/>
  <c r="AA467" i="7" s="1"/>
  <c r="U464" i="7"/>
  <c r="C464" i="7" s="1"/>
  <c r="D464" i="7" s="1"/>
  <c r="Y464" i="7" s="1"/>
  <c r="Z464" i="7" s="1"/>
  <c r="AA464" i="7" s="1"/>
  <c r="U235" i="7"/>
  <c r="C235" i="7" s="1"/>
  <c r="D235" i="7" s="1"/>
  <c r="Y235" i="7" s="1"/>
  <c r="Z235" i="7" s="1"/>
  <c r="AA235" i="7" s="1"/>
  <c r="W1296" i="7"/>
  <c r="X1296" i="7" s="1"/>
  <c r="U1566" i="7"/>
  <c r="W1566" i="7" s="1"/>
  <c r="X1566" i="7" s="1"/>
  <c r="C1572" i="7"/>
  <c r="D1572" i="7" s="1"/>
  <c r="Y1572" i="7" s="1"/>
  <c r="Z1572" i="7" s="1"/>
  <c r="AA1572" i="7" s="1"/>
  <c r="C1337" i="7"/>
  <c r="D1337" i="7" s="1"/>
  <c r="Y1337" i="7" s="1"/>
  <c r="Z1337" i="7" s="1"/>
  <c r="AA1337" i="7" s="1"/>
  <c r="C529" i="7"/>
  <c r="D529" i="7" s="1"/>
  <c r="Y529" i="7" s="1"/>
  <c r="Z529" i="7" s="1"/>
  <c r="AA529" i="7" s="1"/>
  <c r="C203" i="7"/>
  <c r="D203" i="7" s="1"/>
  <c r="Y203" i="7" s="1"/>
  <c r="Z203" i="7" s="1"/>
  <c r="AA203" i="7" s="1"/>
  <c r="U1660" i="7"/>
  <c r="W1660" i="7" s="1"/>
  <c r="X1660" i="7" s="1"/>
  <c r="U1397" i="7"/>
  <c r="W1397" i="7" s="1"/>
  <c r="X1397" i="7" s="1"/>
  <c r="U1270" i="7"/>
  <c r="C1270" i="7" s="1"/>
  <c r="D1270" i="7" s="1"/>
  <c r="Y1270" i="7" s="1"/>
  <c r="Z1270" i="7" s="1"/>
  <c r="AA1270" i="7" s="1"/>
  <c r="U1150" i="7"/>
  <c r="C1150" i="7" s="1"/>
  <c r="D1150" i="7" s="1"/>
  <c r="Y1150" i="7" s="1"/>
  <c r="Z1150" i="7" s="1"/>
  <c r="AA1150" i="7" s="1"/>
  <c r="U1073" i="7"/>
  <c r="C1073" i="7" s="1"/>
  <c r="D1073" i="7" s="1"/>
  <c r="Y1073" i="7" s="1"/>
  <c r="Z1073" i="7" s="1"/>
  <c r="AA1073" i="7" s="1"/>
  <c r="U1068" i="7"/>
  <c r="C1068" i="7" s="1"/>
  <c r="D1068" i="7" s="1"/>
  <c r="Y1068" i="7" s="1"/>
  <c r="Z1068" i="7" s="1"/>
  <c r="AA1068" i="7" s="1"/>
  <c r="W930" i="7"/>
  <c r="X930" i="7" s="1"/>
  <c r="C1148" i="7"/>
  <c r="D1148" i="7" s="1"/>
  <c r="Y1148" i="7" s="1"/>
  <c r="Z1148" i="7" s="1"/>
  <c r="AA1148" i="7" s="1"/>
  <c r="W1148" i="7"/>
  <c r="X1148" i="7" s="1"/>
  <c r="U1670" i="7"/>
  <c r="W1670" i="7" s="1"/>
  <c r="X1670" i="7" s="1"/>
  <c r="U1540" i="7"/>
  <c r="W1540" i="7" s="1"/>
  <c r="X1540" i="7" s="1"/>
  <c r="U1426" i="7"/>
  <c r="C1426" i="7" s="1"/>
  <c r="D1426" i="7" s="1"/>
  <c r="Y1426" i="7" s="1"/>
  <c r="Z1426" i="7" s="1"/>
  <c r="AA1426" i="7" s="1"/>
  <c r="C937" i="7"/>
  <c r="D937" i="7" s="1"/>
  <c r="Y937" i="7" s="1"/>
  <c r="Z937" i="7" s="1"/>
  <c r="AA937" i="7" s="1"/>
  <c r="U817" i="7"/>
  <c r="C817" i="7" s="1"/>
  <c r="D817" i="7" s="1"/>
  <c r="Y817" i="7" s="1"/>
  <c r="Z817" i="7" s="1"/>
  <c r="AA817" i="7" s="1"/>
  <c r="U1760" i="7"/>
  <c r="C1760" i="7" s="1"/>
  <c r="D1760" i="7" s="1"/>
  <c r="Y1760" i="7" s="1"/>
  <c r="Z1760" i="7" s="1"/>
  <c r="AA1760" i="7" s="1"/>
  <c r="U1704" i="7"/>
  <c r="W1704" i="7" s="1"/>
  <c r="X1704" i="7" s="1"/>
  <c r="U1667" i="7"/>
  <c r="C1667" i="7" s="1"/>
  <c r="D1667" i="7" s="1"/>
  <c r="Y1667" i="7" s="1"/>
  <c r="Z1667" i="7" s="1"/>
  <c r="AA1667" i="7" s="1"/>
  <c r="U1542" i="7"/>
  <c r="C1542" i="7" s="1"/>
  <c r="D1542" i="7" s="1"/>
  <c r="Y1542" i="7" s="1"/>
  <c r="Z1542" i="7" s="1"/>
  <c r="AA1542" i="7" s="1"/>
  <c r="C1419" i="7"/>
  <c r="D1419" i="7" s="1"/>
  <c r="Y1419" i="7" s="1"/>
  <c r="Z1419" i="7" s="1"/>
  <c r="AA1419" i="7" s="1"/>
  <c r="U1323" i="7"/>
  <c r="W1323" i="7" s="1"/>
  <c r="X1323" i="7" s="1"/>
  <c r="U1746" i="7"/>
  <c r="C1746" i="7" s="1"/>
  <c r="D1746" i="7" s="1"/>
  <c r="Y1746" i="7" s="1"/>
  <c r="Z1746" i="7" s="1"/>
  <c r="AA1746" i="7" s="1"/>
  <c r="U1737" i="7"/>
  <c r="W1737" i="7" s="1"/>
  <c r="X1737" i="7" s="1"/>
  <c r="U1573" i="7"/>
  <c r="W1573" i="7" s="1"/>
  <c r="X1573" i="7" s="1"/>
  <c r="U1509" i="7"/>
  <c r="U1389" i="7"/>
  <c r="W1389" i="7" s="1"/>
  <c r="X1389" i="7" s="1"/>
  <c r="U1366" i="7"/>
  <c r="W1366" i="7" s="1"/>
  <c r="X1366" i="7" s="1"/>
  <c r="U759" i="7"/>
  <c r="W376" i="7"/>
  <c r="X376" i="7" s="1"/>
  <c r="W1693" i="7"/>
  <c r="X1693" i="7" s="1"/>
  <c r="U1280" i="7"/>
  <c r="W1280" i="7" s="1"/>
  <c r="X1280" i="7" s="1"/>
  <c r="U1723" i="7"/>
  <c r="C1723" i="7" s="1"/>
  <c r="D1723" i="7" s="1"/>
  <c r="Y1723" i="7" s="1"/>
  <c r="Z1723" i="7" s="1"/>
  <c r="AA1723" i="7" s="1"/>
  <c r="U1715" i="7"/>
  <c r="C1715" i="7" s="1"/>
  <c r="D1715" i="7" s="1"/>
  <c r="Y1715" i="7" s="1"/>
  <c r="Z1715" i="7" s="1"/>
  <c r="AA1715" i="7" s="1"/>
  <c r="U1690" i="7"/>
  <c r="C1690" i="7" s="1"/>
  <c r="D1690" i="7" s="1"/>
  <c r="Y1690" i="7" s="1"/>
  <c r="Z1690" i="7" s="1"/>
  <c r="AA1690" i="7" s="1"/>
  <c r="U1626" i="7"/>
  <c r="W1626" i="7" s="1"/>
  <c r="X1626" i="7" s="1"/>
  <c r="U1615" i="7"/>
  <c r="W1615" i="7" s="1"/>
  <c r="X1615" i="7" s="1"/>
  <c r="U1607" i="7"/>
  <c r="W1607" i="7" s="1"/>
  <c r="X1607" i="7" s="1"/>
  <c r="U1554" i="7"/>
  <c r="W1554" i="7" s="1"/>
  <c r="X1554" i="7" s="1"/>
  <c r="U1552" i="7"/>
  <c r="C1552" i="7" s="1"/>
  <c r="D1552" i="7" s="1"/>
  <c r="Y1552" i="7" s="1"/>
  <c r="Z1552" i="7" s="1"/>
  <c r="AA1552" i="7" s="1"/>
  <c r="U1535" i="7"/>
  <c r="W1535" i="7" s="1"/>
  <c r="X1535" i="7" s="1"/>
  <c r="U1532" i="7"/>
  <c r="C1532" i="7" s="1"/>
  <c r="D1532" i="7" s="1"/>
  <c r="Y1532" i="7" s="1"/>
  <c r="Z1532" i="7" s="1"/>
  <c r="AA1532" i="7" s="1"/>
  <c r="U1517" i="7"/>
  <c r="W1517" i="7" s="1"/>
  <c r="X1517" i="7" s="1"/>
  <c r="U1514" i="7"/>
  <c r="C1514" i="7" s="1"/>
  <c r="D1514" i="7" s="1"/>
  <c r="Y1514" i="7" s="1"/>
  <c r="Z1514" i="7" s="1"/>
  <c r="AA1514" i="7" s="1"/>
  <c r="U1490" i="7"/>
  <c r="W1490" i="7" s="1"/>
  <c r="X1490" i="7" s="1"/>
  <c r="U1463" i="7"/>
  <c r="W1463" i="7" s="1"/>
  <c r="X1463" i="7" s="1"/>
  <c r="U1449" i="7"/>
  <c r="C1449" i="7" s="1"/>
  <c r="D1449" i="7" s="1"/>
  <c r="Y1449" i="7" s="1"/>
  <c r="Z1449" i="7" s="1"/>
  <c r="AA1449" i="7" s="1"/>
  <c r="U1444" i="7"/>
  <c r="C1444" i="7" s="1"/>
  <c r="D1444" i="7" s="1"/>
  <c r="Y1444" i="7" s="1"/>
  <c r="Z1444" i="7" s="1"/>
  <c r="AA1444" i="7" s="1"/>
  <c r="U1434" i="7"/>
  <c r="W1434" i="7" s="1"/>
  <c r="X1434" i="7" s="1"/>
  <c r="U1350" i="7"/>
  <c r="C1350" i="7" s="1"/>
  <c r="D1350" i="7" s="1"/>
  <c r="Y1350" i="7" s="1"/>
  <c r="Z1350" i="7" s="1"/>
  <c r="AA1350" i="7" s="1"/>
  <c r="U1192" i="7"/>
  <c r="W1192" i="7" s="1"/>
  <c r="X1192" i="7" s="1"/>
  <c r="U1102" i="7"/>
  <c r="U977" i="7"/>
  <c r="C977" i="7" s="1"/>
  <c r="D977" i="7" s="1"/>
  <c r="Y977" i="7" s="1"/>
  <c r="Z977" i="7" s="1"/>
  <c r="AA977" i="7" s="1"/>
  <c r="U933" i="7"/>
  <c r="C933" i="7" s="1"/>
  <c r="D933" i="7" s="1"/>
  <c r="Y933" i="7" s="1"/>
  <c r="Z933" i="7" s="1"/>
  <c r="AA933" i="7" s="1"/>
  <c r="U639" i="7"/>
  <c r="U200" i="7"/>
  <c r="U209" i="7"/>
  <c r="W209" i="7" s="1"/>
  <c r="X209" i="7" s="1"/>
  <c r="U1759" i="7"/>
  <c r="W1759" i="7" s="1"/>
  <c r="X1759" i="7" s="1"/>
  <c r="U1743" i="7"/>
  <c r="C1743" i="7" s="1"/>
  <c r="D1743" i="7" s="1"/>
  <c r="Y1743" i="7" s="1"/>
  <c r="Z1743" i="7" s="1"/>
  <c r="AA1743" i="7" s="1"/>
  <c r="U1722" i="7"/>
  <c r="W1722" i="7" s="1"/>
  <c r="X1722" i="7" s="1"/>
  <c r="U1710" i="7"/>
  <c r="W1710" i="7" s="1"/>
  <c r="X1710" i="7" s="1"/>
  <c r="U1688" i="7"/>
  <c r="C1688" i="7" s="1"/>
  <c r="D1688" i="7" s="1"/>
  <c r="Y1688" i="7" s="1"/>
  <c r="Z1688" i="7" s="1"/>
  <c r="AA1688" i="7" s="1"/>
  <c r="U1674" i="7"/>
  <c r="C1674" i="7" s="1"/>
  <c r="D1674" i="7" s="1"/>
  <c r="Y1674" i="7" s="1"/>
  <c r="Z1674" i="7" s="1"/>
  <c r="AA1674" i="7" s="1"/>
  <c r="U1651" i="7"/>
  <c r="W1651" i="7" s="1"/>
  <c r="X1651" i="7" s="1"/>
  <c r="U1559" i="7"/>
  <c r="U1508" i="7"/>
  <c r="W1508" i="7" s="1"/>
  <c r="X1508" i="7" s="1"/>
  <c r="U1494" i="7"/>
  <c r="W1494" i="7" s="1"/>
  <c r="X1494" i="7" s="1"/>
  <c r="U1427" i="7"/>
  <c r="W1427" i="7" s="1"/>
  <c r="X1427" i="7" s="1"/>
  <c r="U1418" i="7"/>
  <c r="W1418" i="7" s="1"/>
  <c r="X1418" i="7" s="1"/>
  <c r="U1384" i="7"/>
  <c r="W1384" i="7" s="1"/>
  <c r="X1384" i="7" s="1"/>
  <c r="U1330" i="7"/>
  <c r="C1330" i="7" s="1"/>
  <c r="D1330" i="7" s="1"/>
  <c r="Y1330" i="7" s="1"/>
  <c r="Z1330" i="7" s="1"/>
  <c r="AA1330" i="7" s="1"/>
  <c r="U1294" i="7"/>
  <c r="C1294" i="7" s="1"/>
  <c r="D1294" i="7" s="1"/>
  <c r="Y1294" i="7" s="1"/>
  <c r="Z1294" i="7" s="1"/>
  <c r="AA1294" i="7" s="1"/>
  <c r="C1220" i="7"/>
  <c r="D1220" i="7" s="1"/>
  <c r="Y1220" i="7" s="1"/>
  <c r="Z1220" i="7" s="1"/>
  <c r="AA1220" i="7" s="1"/>
  <c r="U1187" i="7"/>
  <c r="W1187" i="7" s="1"/>
  <c r="X1187" i="7" s="1"/>
  <c r="U1126" i="7"/>
  <c r="W1126" i="7" s="1"/>
  <c r="X1126" i="7" s="1"/>
  <c r="U1055" i="7"/>
  <c r="U1006" i="7"/>
  <c r="W1006" i="7" s="1"/>
  <c r="X1006" i="7" s="1"/>
  <c r="U591" i="7"/>
  <c r="C591" i="7" s="1"/>
  <c r="D591" i="7" s="1"/>
  <c r="Y591" i="7" s="1"/>
  <c r="Z591" i="7" s="1"/>
  <c r="AA591" i="7" s="1"/>
  <c r="C30" i="7"/>
  <c r="D30" i="7" s="1"/>
  <c r="Y30" i="7" s="1"/>
  <c r="Z30" i="7" s="1"/>
  <c r="AA30" i="7" s="1"/>
  <c r="U1697" i="7"/>
  <c r="U1750" i="7"/>
  <c r="W1750" i="7" s="1"/>
  <c r="X1750" i="7" s="1"/>
  <c r="U1703" i="7"/>
  <c r="U1694" i="7"/>
  <c r="C1694" i="7" s="1"/>
  <c r="D1694" i="7" s="1"/>
  <c r="Y1694" i="7" s="1"/>
  <c r="Z1694" i="7" s="1"/>
  <c r="AA1694" i="7" s="1"/>
  <c r="U1565" i="7"/>
  <c r="C1565" i="7" s="1"/>
  <c r="D1565" i="7" s="1"/>
  <c r="Y1565" i="7" s="1"/>
  <c r="Z1565" i="7" s="1"/>
  <c r="AA1565" i="7" s="1"/>
  <c r="U1562" i="7"/>
  <c r="U1547" i="7"/>
  <c r="W1547" i="7" s="1"/>
  <c r="X1547" i="7" s="1"/>
  <c r="U1538" i="7"/>
  <c r="C1538" i="7" s="1"/>
  <c r="D1538" i="7" s="1"/>
  <c r="Y1538" i="7" s="1"/>
  <c r="Z1538" i="7" s="1"/>
  <c r="AA1538" i="7" s="1"/>
  <c r="U1530" i="7"/>
  <c r="W1530" i="7" s="1"/>
  <c r="X1530" i="7" s="1"/>
  <c r="U1499" i="7"/>
  <c r="W1499" i="7" s="1"/>
  <c r="X1499" i="7" s="1"/>
  <c r="U1474" i="7"/>
  <c r="C1474" i="7" s="1"/>
  <c r="D1474" i="7" s="1"/>
  <c r="Y1474" i="7" s="1"/>
  <c r="Z1474" i="7" s="1"/>
  <c r="AA1474" i="7" s="1"/>
  <c r="U1445" i="7"/>
  <c r="W1445" i="7" s="1"/>
  <c r="X1445" i="7" s="1"/>
  <c r="U1440" i="7"/>
  <c r="W1440" i="7" s="1"/>
  <c r="X1440" i="7" s="1"/>
  <c r="U1408" i="7"/>
  <c r="C1408" i="7" s="1"/>
  <c r="D1408" i="7" s="1"/>
  <c r="Y1408" i="7" s="1"/>
  <c r="Z1408" i="7" s="1"/>
  <c r="AA1408" i="7" s="1"/>
  <c r="U1403" i="7"/>
  <c r="W1403" i="7" s="1"/>
  <c r="X1403" i="7" s="1"/>
  <c r="U1394" i="7"/>
  <c r="U1373" i="7"/>
  <c r="C1373" i="7" s="1"/>
  <c r="D1373" i="7" s="1"/>
  <c r="Y1373" i="7" s="1"/>
  <c r="Z1373" i="7" s="1"/>
  <c r="AA1373" i="7" s="1"/>
  <c r="U1360" i="7"/>
  <c r="C1360" i="7" s="1"/>
  <c r="D1360" i="7" s="1"/>
  <c r="Y1360" i="7" s="1"/>
  <c r="Z1360" i="7" s="1"/>
  <c r="AA1360" i="7" s="1"/>
  <c r="W1180" i="7"/>
  <c r="X1180" i="7" s="1"/>
  <c r="U1176" i="7"/>
  <c r="C1176" i="7" s="1"/>
  <c r="D1176" i="7" s="1"/>
  <c r="Y1176" i="7" s="1"/>
  <c r="Z1176" i="7" s="1"/>
  <c r="AA1176" i="7" s="1"/>
  <c r="U1047" i="7"/>
  <c r="U835" i="7"/>
  <c r="U731" i="7"/>
  <c r="C731" i="7" s="1"/>
  <c r="D731" i="7" s="1"/>
  <c r="Y731" i="7" s="1"/>
  <c r="Z731" i="7" s="1"/>
  <c r="AA731" i="7" s="1"/>
  <c r="U709" i="7"/>
  <c r="C709" i="7" s="1"/>
  <c r="D709" i="7" s="1"/>
  <c r="Y709" i="7" s="1"/>
  <c r="Z709" i="7" s="1"/>
  <c r="AA709" i="7" s="1"/>
  <c r="U1221" i="7"/>
  <c r="W1221" i="7" s="1"/>
  <c r="X1221" i="7" s="1"/>
  <c r="C1586" i="7"/>
  <c r="D1586" i="7" s="1"/>
  <c r="Y1586" i="7" s="1"/>
  <c r="Z1586" i="7" s="1"/>
  <c r="AA1586" i="7" s="1"/>
  <c r="C1178" i="7"/>
  <c r="D1178" i="7" s="1"/>
  <c r="Y1178" i="7" s="1"/>
  <c r="Z1178" i="7" s="1"/>
  <c r="AA1178" i="7" s="1"/>
  <c r="U1042" i="7"/>
  <c r="W1042" i="7" s="1"/>
  <c r="X1042" i="7" s="1"/>
  <c r="U1684" i="7"/>
  <c r="U1752" i="7"/>
  <c r="C1752" i="7" s="1"/>
  <c r="D1752" i="7" s="1"/>
  <c r="Y1752" i="7" s="1"/>
  <c r="Z1752" i="7" s="1"/>
  <c r="AA1752" i="7" s="1"/>
  <c r="U1579" i="7"/>
  <c r="C1579" i="7" s="1"/>
  <c r="D1579" i="7" s="1"/>
  <c r="Y1579" i="7" s="1"/>
  <c r="Z1579" i="7" s="1"/>
  <c r="AA1579" i="7" s="1"/>
  <c r="U1466" i="7"/>
  <c r="U1432" i="7"/>
  <c r="W1432" i="7" s="1"/>
  <c r="X1432" i="7" s="1"/>
  <c r="U1400" i="7"/>
  <c r="C1400" i="7" s="1"/>
  <c r="D1400" i="7" s="1"/>
  <c r="Y1400" i="7" s="1"/>
  <c r="Z1400" i="7" s="1"/>
  <c r="AA1400" i="7" s="1"/>
  <c r="U1358" i="7"/>
  <c r="C1358" i="7" s="1"/>
  <c r="D1358" i="7" s="1"/>
  <c r="Y1358" i="7" s="1"/>
  <c r="Z1358" i="7" s="1"/>
  <c r="AA1358" i="7" s="1"/>
  <c r="U1307" i="7"/>
  <c r="C1307" i="7" s="1"/>
  <c r="D1307" i="7" s="1"/>
  <c r="Y1307" i="7" s="1"/>
  <c r="Z1307" i="7" s="1"/>
  <c r="AA1307" i="7" s="1"/>
  <c r="U1090" i="7"/>
  <c r="C1090" i="7" s="1"/>
  <c r="D1090" i="7" s="1"/>
  <c r="Y1090" i="7" s="1"/>
  <c r="Z1090" i="7" s="1"/>
  <c r="AA1090" i="7" s="1"/>
  <c r="U438" i="7"/>
  <c r="W438" i="7" s="1"/>
  <c r="X438" i="7" s="1"/>
  <c r="U1290" i="7"/>
  <c r="C1290" i="7" s="1"/>
  <c r="D1290" i="7" s="1"/>
  <c r="Y1290" i="7" s="1"/>
  <c r="Z1290" i="7" s="1"/>
  <c r="AA1290" i="7" s="1"/>
  <c r="U1510" i="7"/>
  <c r="C1510" i="7" s="1"/>
  <c r="D1510" i="7" s="1"/>
  <c r="Y1510" i="7" s="1"/>
  <c r="Z1510" i="7" s="1"/>
  <c r="AA1510" i="7" s="1"/>
  <c r="U1761" i="7"/>
  <c r="W1761" i="7" s="1"/>
  <c r="X1761" i="7" s="1"/>
  <c r="U1707" i="7"/>
  <c r="W1707" i="7" s="1"/>
  <c r="X1707" i="7" s="1"/>
  <c r="U1641" i="7"/>
  <c r="W1641" i="7" s="1"/>
  <c r="X1641" i="7" s="1"/>
  <c r="U1571" i="7"/>
  <c r="W1571" i="7" s="1"/>
  <c r="X1571" i="7" s="1"/>
  <c r="U1568" i="7"/>
  <c r="W1568" i="7" s="1"/>
  <c r="X1568" i="7" s="1"/>
  <c r="U1529" i="7"/>
  <c r="C1529" i="7" s="1"/>
  <c r="D1529" i="7" s="1"/>
  <c r="Y1529" i="7" s="1"/>
  <c r="Z1529" i="7" s="1"/>
  <c r="AA1529" i="7" s="1"/>
  <c r="U1526" i="7"/>
  <c r="W1526" i="7" s="1"/>
  <c r="X1526" i="7" s="1"/>
  <c r="U1521" i="7"/>
  <c r="C1521" i="7" s="1"/>
  <c r="D1521" i="7" s="1"/>
  <c r="Y1521" i="7" s="1"/>
  <c r="Z1521" i="7" s="1"/>
  <c r="AA1521" i="7" s="1"/>
  <c r="U1502" i="7"/>
  <c r="U1481" i="7"/>
  <c r="C1481" i="7" s="1"/>
  <c r="D1481" i="7" s="1"/>
  <c r="Y1481" i="7" s="1"/>
  <c r="Z1481" i="7" s="1"/>
  <c r="AA1481" i="7" s="1"/>
  <c r="U1341" i="7"/>
  <c r="C1341" i="7" s="1"/>
  <c r="D1341" i="7" s="1"/>
  <c r="Y1341" i="7" s="1"/>
  <c r="Z1341" i="7" s="1"/>
  <c r="AA1341" i="7" s="1"/>
  <c r="U1277" i="7"/>
  <c r="U1231" i="7"/>
  <c r="W1231" i="7" s="1"/>
  <c r="X1231" i="7" s="1"/>
  <c r="U1199" i="7"/>
  <c r="W1199" i="7" s="1"/>
  <c r="X1199" i="7" s="1"/>
  <c r="U1158" i="7"/>
  <c r="C1158" i="7" s="1"/>
  <c r="D1158" i="7" s="1"/>
  <c r="Y1158" i="7" s="1"/>
  <c r="Z1158" i="7" s="1"/>
  <c r="AA1158" i="7" s="1"/>
  <c r="U1028" i="7"/>
  <c r="W1028" i="7" s="1"/>
  <c r="X1028" i="7" s="1"/>
  <c r="U1000" i="7"/>
  <c r="C1000" i="7" s="1"/>
  <c r="D1000" i="7" s="1"/>
  <c r="Y1000" i="7" s="1"/>
  <c r="Z1000" i="7" s="1"/>
  <c r="AA1000" i="7" s="1"/>
  <c r="U971" i="7"/>
  <c r="W971" i="7" s="1"/>
  <c r="X971" i="7" s="1"/>
  <c r="U633" i="7"/>
  <c r="U1415" i="7"/>
  <c r="W1415" i="7" s="1"/>
  <c r="X1415" i="7" s="1"/>
  <c r="U1392" i="7"/>
  <c r="W1392" i="7" s="1"/>
  <c r="X1392" i="7" s="1"/>
  <c r="U1265" i="7"/>
  <c r="W1265" i="7" s="1"/>
  <c r="X1265" i="7" s="1"/>
  <c r="U1205" i="7"/>
  <c r="C1205" i="7" s="1"/>
  <c r="D1205" i="7" s="1"/>
  <c r="Y1205" i="7" s="1"/>
  <c r="Z1205" i="7" s="1"/>
  <c r="AA1205" i="7" s="1"/>
  <c r="U1203" i="7"/>
  <c r="W1203" i="7" s="1"/>
  <c r="X1203" i="7" s="1"/>
  <c r="U1146" i="7"/>
  <c r="W1146" i="7" s="1"/>
  <c r="X1146" i="7" s="1"/>
  <c r="U1110" i="7"/>
  <c r="W1110" i="7" s="1"/>
  <c r="X1110" i="7" s="1"/>
  <c r="U1098" i="7"/>
  <c r="W1098" i="7" s="1"/>
  <c r="X1098" i="7" s="1"/>
  <c r="U1086" i="7"/>
  <c r="W1086" i="7" s="1"/>
  <c r="X1086" i="7" s="1"/>
  <c r="U1026" i="7"/>
  <c r="W1026" i="7" s="1"/>
  <c r="X1026" i="7" s="1"/>
  <c r="U994" i="7"/>
  <c r="C994" i="7" s="1"/>
  <c r="D994" i="7" s="1"/>
  <c r="Y994" i="7" s="1"/>
  <c r="Z994" i="7" s="1"/>
  <c r="AA994" i="7" s="1"/>
  <c r="U980" i="7"/>
  <c r="W980" i="7" s="1"/>
  <c r="X980" i="7" s="1"/>
  <c r="U931" i="7"/>
  <c r="W931" i="7" s="1"/>
  <c r="X931" i="7" s="1"/>
  <c r="U867" i="7"/>
  <c r="W867" i="7" s="1"/>
  <c r="X867" i="7" s="1"/>
  <c r="U847" i="7"/>
  <c r="U612" i="7"/>
  <c r="C612" i="7" s="1"/>
  <c r="D612" i="7" s="1"/>
  <c r="Y612" i="7" s="1"/>
  <c r="Z612" i="7" s="1"/>
  <c r="AA612" i="7" s="1"/>
  <c r="U465" i="7"/>
  <c r="C465" i="7" s="1"/>
  <c r="D465" i="7" s="1"/>
  <c r="Y465" i="7" s="1"/>
  <c r="Z465" i="7" s="1"/>
  <c r="AA465" i="7" s="1"/>
  <c r="U1202" i="7"/>
  <c r="U1169" i="7"/>
  <c r="W1169" i="7" s="1"/>
  <c r="X1169" i="7" s="1"/>
  <c r="U1167" i="7"/>
  <c r="C1167" i="7" s="1"/>
  <c r="D1167" i="7" s="1"/>
  <c r="Y1167" i="7" s="1"/>
  <c r="Z1167" i="7" s="1"/>
  <c r="AA1167" i="7" s="1"/>
  <c r="U1138" i="7"/>
  <c r="C1138" i="7" s="1"/>
  <c r="D1138" i="7" s="1"/>
  <c r="Y1138" i="7" s="1"/>
  <c r="Z1138" i="7" s="1"/>
  <c r="AA1138" i="7" s="1"/>
  <c r="U1118" i="7"/>
  <c r="U1009" i="7"/>
  <c r="W1009" i="7" s="1"/>
  <c r="X1009" i="7" s="1"/>
  <c r="U942" i="7"/>
  <c r="U921" i="7"/>
  <c r="W921" i="7" s="1"/>
  <c r="X921" i="7" s="1"/>
  <c r="U887" i="7"/>
  <c r="C887" i="7" s="1"/>
  <c r="D887" i="7" s="1"/>
  <c r="Y887" i="7" s="1"/>
  <c r="Z887" i="7" s="1"/>
  <c r="AA887" i="7" s="1"/>
  <c r="U860" i="7"/>
  <c r="C860" i="7" s="1"/>
  <c r="D860" i="7" s="1"/>
  <c r="Y860" i="7" s="1"/>
  <c r="Z860" i="7" s="1"/>
  <c r="AA860" i="7" s="1"/>
  <c r="U641" i="7"/>
  <c r="C641" i="7" s="1"/>
  <c r="D641" i="7" s="1"/>
  <c r="Y641" i="7" s="1"/>
  <c r="Z641" i="7" s="1"/>
  <c r="AA641" i="7" s="1"/>
  <c r="U563" i="7"/>
  <c r="W563" i="7" s="1"/>
  <c r="X563" i="7" s="1"/>
  <c r="U433" i="7"/>
  <c r="W433" i="7" s="1"/>
  <c r="X433" i="7" s="1"/>
  <c r="U1409" i="7"/>
  <c r="C1409" i="7" s="1"/>
  <c r="D1409" i="7" s="1"/>
  <c r="Y1409" i="7" s="1"/>
  <c r="Z1409" i="7" s="1"/>
  <c r="AA1409" i="7" s="1"/>
  <c r="U1376" i="7"/>
  <c r="C1376" i="7" s="1"/>
  <c r="D1376" i="7" s="1"/>
  <c r="Y1376" i="7" s="1"/>
  <c r="Z1376" i="7" s="1"/>
  <c r="AA1376" i="7" s="1"/>
  <c r="U1365" i="7"/>
  <c r="C1365" i="7" s="1"/>
  <c r="D1365" i="7" s="1"/>
  <c r="Y1365" i="7" s="1"/>
  <c r="Z1365" i="7" s="1"/>
  <c r="AA1365" i="7" s="1"/>
  <c r="U1335" i="7"/>
  <c r="U1322" i="7"/>
  <c r="W1322" i="7" s="1"/>
  <c r="X1322" i="7" s="1"/>
  <c r="U1317" i="7"/>
  <c r="C1317" i="7" s="1"/>
  <c r="D1317" i="7" s="1"/>
  <c r="Y1317" i="7" s="1"/>
  <c r="Z1317" i="7" s="1"/>
  <c r="AA1317" i="7" s="1"/>
  <c r="U1279" i="7"/>
  <c r="C1279" i="7" s="1"/>
  <c r="D1279" i="7" s="1"/>
  <c r="Y1279" i="7" s="1"/>
  <c r="Z1279" i="7" s="1"/>
  <c r="AA1279" i="7" s="1"/>
  <c r="U1267" i="7"/>
  <c r="C1267" i="7" s="1"/>
  <c r="D1267" i="7" s="1"/>
  <c r="Y1267" i="7" s="1"/>
  <c r="Z1267" i="7" s="1"/>
  <c r="AA1267" i="7" s="1"/>
  <c r="U1087" i="7"/>
  <c r="W1087" i="7" s="1"/>
  <c r="X1087" i="7" s="1"/>
  <c r="W363" i="7"/>
  <c r="X363" i="7" s="1"/>
  <c r="U344" i="7"/>
  <c r="W344" i="7" s="1"/>
  <c r="X344" i="7" s="1"/>
  <c r="U1362" i="7"/>
  <c r="W1362" i="7" s="1"/>
  <c r="X1362" i="7" s="1"/>
  <c r="U1291" i="7"/>
  <c r="U1261" i="7"/>
  <c r="C1261" i="7" s="1"/>
  <c r="D1261" i="7" s="1"/>
  <c r="Y1261" i="7" s="1"/>
  <c r="Z1261" i="7" s="1"/>
  <c r="AA1261" i="7" s="1"/>
  <c r="U1027" i="7"/>
  <c r="W1027" i="7" s="1"/>
  <c r="X1027" i="7" s="1"/>
  <c r="U974" i="7"/>
  <c r="C974" i="7" s="1"/>
  <c r="D974" i="7" s="1"/>
  <c r="Y974" i="7" s="1"/>
  <c r="Z974" i="7" s="1"/>
  <c r="AA974" i="7" s="1"/>
  <c r="U947" i="7"/>
  <c r="C947" i="7" s="1"/>
  <c r="D947" i="7" s="1"/>
  <c r="Y947" i="7" s="1"/>
  <c r="Z947" i="7" s="1"/>
  <c r="AA947" i="7" s="1"/>
  <c r="U853" i="7"/>
  <c r="C853" i="7" s="1"/>
  <c r="D853" i="7" s="1"/>
  <c r="Y853" i="7" s="1"/>
  <c r="Z853" i="7" s="1"/>
  <c r="AA853" i="7" s="1"/>
  <c r="U779" i="7"/>
  <c r="U719" i="7"/>
  <c r="W719" i="7" s="1"/>
  <c r="X719" i="7" s="1"/>
  <c r="U576" i="7"/>
  <c r="C576" i="7" s="1"/>
  <c r="D576" i="7" s="1"/>
  <c r="Y576" i="7" s="1"/>
  <c r="Z576" i="7" s="1"/>
  <c r="AA576" i="7" s="1"/>
  <c r="U352" i="7"/>
  <c r="W352" i="7" s="1"/>
  <c r="X352" i="7" s="1"/>
  <c r="U164" i="7"/>
  <c r="C164" i="7" s="1"/>
  <c r="D164" i="7" s="1"/>
  <c r="Y164" i="7" s="1"/>
  <c r="Z164" i="7" s="1"/>
  <c r="AA164" i="7" s="1"/>
  <c r="U160" i="7"/>
  <c r="W160" i="7" s="1"/>
  <c r="X160" i="7" s="1"/>
  <c r="U79" i="7"/>
  <c r="C79" i="7" s="1"/>
  <c r="D79" i="7" s="1"/>
  <c r="Y79" i="7" s="1"/>
  <c r="Z79" i="7" s="1"/>
  <c r="AA79" i="7" s="1"/>
  <c r="U73" i="7"/>
  <c r="W73" i="7" s="1"/>
  <c r="X73" i="7" s="1"/>
  <c r="U1423" i="7"/>
  <c r="W1423" i="7" s="1"/>
  <c r="X1423" i="7" s="1"/>
  <c r="U1390" i="7"/>
  <c r="W1390" i="7" s="1"/>
  <c r="X1390" i="7" s="1"/>
  <c r="U1385" i="7"/>
  <c r="C1385" i="7" s="1"/>
  <c r="D1385" i="7" s="1"/>
  <c r="Y1385" i="7" s="1"/>
  <c r="Z1385" i="7" s="1"/>
  <c r="AA1385" i="7" s="1"/>
  <c r="U1352" i="7"/>
  <c r="W1352" i="7" s="1"/>
  <c r="X1352" i="7" s="1"/>
  <c r="U1339" i="7"/>
  <c r="C1339" i="7" s="1"/>
  <c r="D1339" i="7" s="1"/>
  <c r="Y1339" i="7" s="1"/>
  <c r="Z1339" i="7" s="1"/>
  <c r="AA1339" i="7" s="1"/>
  <c r="U1324" i="7"/>
  <c r="C1324" i="7" s="1"/>
  <c r="D1324" i="7" s="1"/>
  <c r="Y1324" i="7" s="1"/>
  <c r="Z1324" i="7" s="1"/>
  <c r="AA1324" i="7" s="1"/>
  <c r="U1293" i="7"/>
  <c r="C1293" i="7" s="1"/>
  <c r="D1293" i="7" s="1"/>
  <c r="Y1293" i="7" s="1"/>
  <c r="Z1293" i="7" s="1"/>
  <c r="AA1293" i="7" s="1"/>
  <c r="U1283" i="7"/>
  <c r="C1283" i="7" s="1"/>
  <c r="D1283" i="7" s="1"/>
  <c r="Y1283" i="7" s="1"/>
  <c r="Z1283" i="7" s="1"/>
  <c r="AA1283" i="7" s="1"/>
  <c r="U1281" i="7"/>
  <c r="W1281" i="7" s="1"/>
  <c r="X1281" i="7" s="1"/>
  <c r="U1257" i="7"/>
  <c r="C1257" i="7" s="1"/>
  <c r="D1257" i="7" s="1"/>
  <c r="Y1257" i="7" s="1"/>
  <c r="Z1257" i="7" s="1"/>
  <c r="AA1257" i="7" s="1"/>
  <c r="U1181" i="7"/>
  <c r="W1181" i="7" s="1"/>
  <c r="X1181" i="7" s="1"/>
  <c r="U1154" i="7"/>
  <c r="C1154" i="7" s="1"/>
  <c r="D1154" i="7" s="1"/>
  <c r="Y1154" i="7" s="1"/>
  <c r="Z1154" i="7" s="1"/>
  <c r="AA1154" i="7" s="1"/>
  <c r="U1147" i="7"/>
  <c r="C1147" i="7" s="1"/>
  <c r="D1147" i="7" s="1"/>
  <c r="Y1147" i="7" s="1"/>
  <c r="Z1147" i="7" s="1"/>
  <c r="AA1147" i="7" s="1"/>
  <c r="U1122" i="7"/>
  <c r="W1122" i="7" s="1"/>
  <c r="X1122" i="7" s="1"/>
  <c r="U1111" i="7"/>
  <c r="C1111" i="7" s="1"/>
  <c r="D1111" i="7" s="1"/>
  <c r="Y1111" i="7" s="1"/>
  <c r="Z1111" i="7" s="1"/>
  <c r="AA1111" i="7" s="1"/>
  <c r="U1099" i="7"/>
  <c r="C1099" i="7" s="1"/>
  <c r="D1099" i="7" s="1"/>
  <c r="Y1099" i="7" s="1"/>
  <c r="Z1099" i="7" s="1"/>
  <c r="AA1099" i="7" s="1"/>
  <c r="U1053" i="7"/>
  <c r="W1053" i="7" s="1"/>
  <c r="X1053" i="7" s="1"/>
  <c r="U953" i="7"/>
  <c r="W953" i="7" s="1"/>
  <c r="X953" i="7" s="1"/>
  <c r="U782" i="7"/>
  <c r="C782" i="7" s="1"/>
  <c r="D782" i="7" s="1"/>
  <c r="Y782" i="7" s="1"/>
  <c r="Z782" i="7" s="1"/>
  <c r="AA782" i="7" s="1"/>
  <c r="U325" i="7"/>
  <c r="C325" i="7" s="1"/>
  <c r="D325" i="7" s="1"/>
  <c r="Y325" i="7" s="1"/>
  <c r="Z325" i="7" s="1"/>
  <c r="AA325" i="7" s="1"/>
  <c r="U1003" i="7"/>
  <c r="C1003" i="7" s="1"/>
  <c r="D1003" i="7" s="1"/>
  <c r="Y1003" i="7" s="1"/>
  <c r="Z1003" i="7" s="1"/>
  <c r="AA1003" i="7" s="1"/>
  <c r="U946" i="7"/>
  <c r="W946" i="7" s="1"/>
  <c r="X946" i="7" s="1"/>
  <c r="U903" i="7"/>
  <c r="W903" i="7" s="1"/>
  <c r="X903" i="7" s="1"/>
  <c r="U829" i="7"/>
  <c r="C829" i="7" s="1"/>
  <c r="D829" i="7" s="1"/>
  <c r="Y829" i="7" s="1"/>
  <c r="Z829" i="7" s="1"/>
  <c r="AA829" i="7" s="1"/>
  <c r="C682" i="7"/>
  <c r="D682" i="7" s="1"/>
  <c r="Y682" i="7" s="1"/>
  <c r="Z682" i="7" s="1"/>
  <c r="AA682" i="7" s="1"/>
  <c r="U675" i="7"/>
  <c r="W675" i="7" s="1"/>
  <c r="X675" i="7" s="1"/>
  <c r="U10" i="7"/>
  <c r="W10" i="7" s="1"/>
  <c r="X10" i="7" s="1"/>
  <c r="U1136" i="7"/>
  <c r="W1136" i="7" s="1"/>
  <c r="X1136" i="7" s="1"/>
  <c r="U1129" i="7"/>
  <c r="U1078" i="7"/>
  <c r="W1078" i="7" s="1"/>
  <c r="X1078" i="7" s="1"/>
  <c r="U1065" i="7"/>
  <c r="W1065" i="7" s="1"/>
  <c r="X1065" i="7" s="1"/>
  <c r="U1052" i="7"/>
  <c r="U1050" i="7"/>
  <c r="C1050" i="7" s="1"/>
  <c r="D1050" i="7" s="1"/>
  <c r="Y1050" i="7" s="1"/>
  <c r="Z1050" i="7" s="1"/>
  <c r="AA1050" i="7" s="1"/>
  <c r="U1007" i="7"/>
  <c r="U990" i="7"/>
  <c r="C990" i="7" s="1"/>
  <c r="D990" i="7" s="1"/>
  <c r="Y990" i="7" s="1"/>
  <c r="Z990" i="7" s="1"/>
  <c r="AA990" i="7" s="1"/>
  <c r="U979" i="7"/>
  <c r="W979" i="7" s="1"/>
  <c r="X979" i="7" s="1"/>
  <c r="U965" i="7"/>
  <c r="W965" i="7" s="1"/>
  <c r="X965" i="7" s="1"/>
  <c r="U955" i="7"/>
  <c r="U952" i="7"/>
  <c r="W952" i="7" s="1"/>
  <c r="X952" i="7" s="1"/>
  <c r="U940" i="7"/>
  <c r="W940" i="7" s="1"/>
  <c r="X940" i="7" s="1"/>
  <c r="U926" i="7"/>
  <c r="C926" i="7" s="1"/>
  <c r="D926" i="7" s="1"/>
  <c r="Y926" i="7" s="1"/>
  <c r="Z926" i="7" s="1"/>
  <c r="AA926" i="7" s="1"/>
  <c r="U891" i="7"/>
  <c r="W891" i="7" s="1"/>
  <c r="X891" i="7" s="1"/>
  <c r="U876" i="7"/>
  <c r="U541" i="7"/>
  <c r="C541" i="7" s="1"/>
  <c r="D541" i="7" s="1"/>
  <c r="Y541" i="7" s="1"/>
  <c r="Z541" i="7" s="1"/>
  <c r="AA541" i="7" s="1"/>
  <c r="U493" i="7"/>
  <c r="C493" i="7" s="1"/>
  <c r="D493" i="7" s="1"/>
  <c r="Y493" i="7" s="1"/>
  <c r="Z493" i="7" s="1"/>
  <c r="AA493" i="7" s="1"/>
  <c r="U482" i="7"/>
  <c r="C482" i="7" s="1"/>
  <c r="D482" i="7" s="1"/>
  <c r="Y482" i="7" s="1"/>
  <c r="Z482" i="7" s="1"/>
  <c r="AA482" i="7" s="1"/>
  <c r="U424" i="7"/>
  <c r="W424" i="7" s="1"/>
  <c r="X424" i="7" s="1"/>
  <c r="U321" i="7"/>
  <c r="C321" i="7" s="1"/>
  <c r="D321" i="7" s="1"/>
  <c r="Y321" i="7" s="1"/>
  <c r="Z321" i="7" s="1"/>
  <c r="AA321" i="7" s="1"/>
  <c r="U232" i="7"/>
  <c r="W232" i="7" s="1"/>
  <c r="X232" i="7" s="1"/>
  <c r="U174" i="7"/>
  <c r="C174" i="7" s="1"/>
  <c r="D174" i="7" s="1"/>
  <c r="Y174" i="7" s="1"/>
  <c r="Z174" i="7" s="1"/>
  <c r="AA174" i="7" s="1"/>
  <c r="U154" i="7"/>
  <c r="W154" i="7" s="1"/>
  <c r="X154" i="7" s="1"/>
  <c r="U136" i="7"/>
  <c r="C136" i="7" s="1"/>
  <c r="D136" i="7" s="1"/>
  <c r="Y136" i="7" s="1"/>
  <c r="Z136" i="7" s="1"/>
  <c r="AA136" i="7" s="1"/>
  <c r="U110" i="7"/>
  <c r="C110" i="7" s="1"/>
  <c r="D110" i="7" s="1"/>
  <c r="Y110" i="7" s="1"/>
  <c r="Z110" i="7" s="1"/>
  <c r="AA110" i="7" s="1"/>
  <c r="U93" i="7"/>
  <c r="C93" i="7" s="1"/>
  <c r="D93" i="7" s="1"/>
  <c r="Y93" i="7" s="1"/>
  <c r="Z93" i="7" s="1"/>
  <c r="AA93" i="7" s="1"/>
  <c r="U14" i="7"/>
  <c r="W14" i="7" s="1"/>
  <c r="X14" i="7" s="1"/>
  <c r="U786" i="7"/>
  <c r="C786" i="7" s="1"/>
  <c r="D786" i="7" s="1"/>
  <c r="Y786" i="7" s="1"/>
  <c r="Z786" i="7" s="1"/>
  <c r="AA786" i="7" s="1"/>
  <c r="U781" i="7"/>
  <c r="W781" i="7" s="1"/>
  <c r="X781" i="7" s="1"/>
  <c r="U774" i="7"/>
  <c r="U750" i="7"/>
  <c r="C750" i="7" s="1"/>
  <c r="D750" i="7" s="1"/>
  <c r="Y750" i="7" s="1"/>
  <c r="Z750" i="7" s="1"/>
  <c r="AA750" i="7" s="1"/>
  <c r="U710" i="7"/>
  <c r="C710" i="7" s="1"/>
  <c r="D710" i="7" s="1"/>
  <c r="Y710" i="7" s="1"/>
  <c r="Z710" i="7" s="1"/>
  <c r="AA710" i="7" s="1"/>
  <c r="U655" i="7"/>
  <c r="W655" i="7" s="1"/>
  <c r="X655" i="7" s="1"/>
  <c r="U625" i="7"/>
  <c r="W625" i="7" s="1"/>
  <c r="X625" i="7" s="1"/>
  <c r="U490" i="7"/>
  <c r="W490" i="7" s="1"/>
  <c r="X490" i="7" s="1"/>
  <c r="U375" i="7"/>
  <c r="C375" i="7" s="1"/>
  <c r="D375" i="7" s="1"/>
  <c r="Y375" i="7" s="1"/>
  <c r="Z375" i="7" s="1"/>
  <c r="AA375" i="7" s="1"/>
  <c r="U229" i="7"/>
  <c r="C229" i="7" s="1"/>
  <c r="D229" i="7" s="1"/>
  <c r="Y229" i="7" s="1"/>
  <c r="Z229" i="7" s="1"/>
  <c r="AA229" i="7" s="1"/>
  <c r="U226" i="7"/>
  <c r="W226" i="7" s="1"/>
  <c r="X226" i="7" s="1"/>
  <c r="U222" i="7"/>
  <c r="W222" i="7" s="1"/>
  <c r="X222" i="7" s="1"/>
  <c r="U207" i="7"/>
  <c r="C207" i="7" s="1"/>
  <c r="D207" i="7" s="1"/>
  <c r="Y207" i="7" s="1"/>
  <c r="Z207" i="7" s="1"/>
  <c r="AA207" i="7" s="1"/>
  <c r="U192" i="7"/>
  <c r="C192" i="7" s="1"/>
  <c r="D192" i="7" s="1"/>
  <c r="Y192" i="7" s="1"/>
  <c r="Z192" i="7" s="1"/>
  <c r="AA192" i="7" s="1"/>
  <c r="U71" i="7"/>
  <c r="W71" i="7" s="1"/>
  <c r="X71" i="7" s="1"/>
  <c r="U35" i="7"/>
  <c r="W35" i="7" s="1"/>
  <c r="X35" i="7" s="1"/>
  <c r="U920" i="7"/>
  <c r="C920" i="7" s="1"/>
  <c r="D920" i="7" s="1"/>
  <c r="Y920" i="7" s="1"/>
  <c r="Z920" i="7" s="1"/>
  <c r="AA920" i="7" s="1"/>
  <c r="U898" i="7"/>
  <c r="W898" i="7" s="1"/>
  <c r="X898" i="7" s="1"/>
  <c r="U893" i="7"/>
  <c r="C893" i="7" s="1"/>
  <c r="D893" i="7" s="1"/>
  <c r="Y893" i="7" s="1"/>
  <c r="Z893" i="7" s="1"/>
  <c r="AA893" i="7" s="1"/>
  <c r="U839" i="7"/>
  <c r="W839" i="7" s="1"/>
  <c r="X839" i="7" s="1"/>
  <c r="U780" i="7"/>
  <c r="C780" i="7" s="1"/>
  <c r="D780" i="7" s="1"/>
  <c r="Y780" i="7" s="1"/>
  <c r="Z780" i="7" s="1"/>
  <c r="AA780" i="7" s="1"/>
  <c r="U770" i="7"/>
  <c r="C770" i="7" s="1"/>
  <c r="D770" i="7" s="1"/>
  <c r="Y770" i="7" s="1"/>
  <c r="Z770" i="7" s="1"/>
  <c r="AA770" i="7" s="1"/>
  <c r="U600" i="7"/>
  <c r="W600" i="7" s="1"/>
  <c r="X600" i="7" s="1"/>
  <c r="U567" i="7"/>
  <c r="C567" i="7" s="1"/>
  <c r="D567" i="7" s="1"/>
  <c r="Y567" i="7" s="1"/>
  <c r="Z567" i="7" s="1"/>
  <c r="AA567" i="7" s="1"/>
  <c r="U502" i="7"/>
  <c r="W502" i="7" s="1"/>
  <c r="X502" i="7" s="1"/>
  <c r="U323" i="7"/>
  <c r="C323" i="7" s="1"/>
  <c r="D323" i="7" s="1"/>
  <c r="Y323" i="7" s="1"/>
  <c r="Z323" i="7" s="1"/>
  <c r="AA323" i="7" s="1"/>
  <c r="U119" i="7"/>
  <c r="W119" i="7" s="1"/>
  <c r="X119" i="7" s="1"/>
  <c r="U24" i="7"/>
  <c r="W24" i="7" s="1"/>
  <c r="X24" i="7" s="1"/>
  <c r="U956" i="7"/>
  <c r="W956" i="7" s="1"/>
  <c r="X956" i="7" s="1"/>
  <c r="U951" i="7"/>
  <c r="C951" i="7" s="1"/>
  <c r="D951" i="7" s="1"/>
  <c r="Y951" i="7" s="1"/>
  <c r="Z951" i="7" s="1"/>
  <c r="AA951" i="7" s="1"/>
  <c r="U939" i="7"/>
  <c r="U912" i="7"/>
  <c r="C912" i="7" s="1"/>
  <c r="D912" i="7" s="1"/>
  <c r="Y912" i="7" s="1"/>
  <c r="Z912" i="7" s="1"/>
  <c r="AA912" i="7" s="1"/>
  <c r="U880" i="7"/>
  <c r="C880" i="7" s="1"/>
  <c r="D880" i="7" s="1"/>
  <c r="Y880" i="7" s="1"/>
  <c r="Z880" i="7" s="1"/>
  <c r="AA880" i="7" s="1"/>
  <c r="U872" i="7"/>
  <c r="C872" i="7" s="1"/>
  <c r="D872" i="7" s="1"/>
  <c r="Y872" i="7" s="1"/>
  <c r="Z872" i="7" s="1"/>
  <c r="AA872" i="7" s="1"/>
  <c r="U837" i="7"/>
  <c r="U833" i="7"/>
  <c r="C833" i="7" s="1"/>
  <c r="D833" i="7" s="1"/>
  <c r="Y833" i="7" s="1"/>
  <c r="Z833" i="7" s="1"/>
  <c r="AA833" i="7" s="1"/>
  <c r="U821" i="7"/>
  <c r="U815" i="7"/>
  <c r="C815" i="7" s="1"/>
  <c r="D815" i="7" s="1"/>
  <c r="Y815" i="7" s="1"/>
  <c r="Z815" i="7" s="1"/>
  <c r="AA815" i="7" s="1"/>
  <c r="U790" i="7"/>
  <c r="W790" i="7" s="1"/>
  <c r="X790" i="7" s="1"/>
  <c r="U785" i="7"/>
  <c r="C785" i="7" s="1"/>
  <c r="D785" i="7" s="1"/>
  <c r="Y785" i="7" s="1"/>
  <c r="Z785" i="7" s="1"/>
  <c r="AA785" i="7" s="1"/>
  <c r="U756" i="7"/>
  <c r="W756" i="7" s="1"/>
  <c r="X756" i="7" s="1"/>
  <c r="U729" i="7"/>
  <c r="C729" i="7" s="1"/>
  <c r="D729" i="7" s="1"/>
  <c r="Y729" i="7" s="1"/>
  <c r="Z729" i="7" s="1"/>
  <c r="AA729" i="7" s="1"/>
  <c r="U712" i="7"/>
  <c r="W712" i="7" s="1"/>
  <c r="X712" i="7" s="1"/>
  <c r="U706" i="7"/>
  <c r="W706" i="7" s="1"/>
  <c r="X706" i="7" s="1"/>
  <c r="U671" i="7"/>
  <c r="C671" i="7" s="1"/>
  <c r="D671" i="7" s="1"/>
  <c r="Y671" i="7" s="1"/>
  <c r="Z671" i="7" s="1"/>
  <c r="AA671" i="7" s="1"/>
  <c r="U606" i="7"/>
  <c r="W606" i="7" s="1"/>
  <c r="X606" i="7" s="1"/>
  <c r="U552" i="7"/>
  <c r="W552" i="7" s="1"/>
  <c r="X552" i="7" s="1"/>
  <c r="U366" i="7"/>
  <c r="C366" i="7" s="1"/>
  <c r="D366" i="7" s="1"/>
  <c r="Y366" i="7" s="1"/>
  <c r="Z366" i="7" s="1"/>
  <c r="AA366" i="7" s="1"/>
  <c r="U290" i="7"/>
  <c r="C290" i="7" s="1"/>
  <c r="D290" i="7" s="1"/>
  <c r="Y290" i="7" s="1"/>
  <c r="Z290" i="7" s="1"/>
  <c r="AA290" i="7" s="1"/>
  <c r="U273" i="7"/>
  <c r="C273" i="7" s="1"/>
  <c r="D273" i="7" s="1"/>
  <c r="Y273" i="7" s="1"/>
  <c r="Z273" i="7" s="1"/>
  <c r="AA273" i="7" s="1"/>
  <c r="U194" i="7"/>
  <c r="W194" i="7" s="1"/>
  <c r="X194" i="7" s="1"/>
  <c r="U52" i="7"/>
  <c r="C52" i="7" s="1"/>
  <c r="D52" i="7" s="1"/>
  <c r="Y52" i="7" s="1"/>
  <c r="Z52" i="7" s="1"/>
  <c r="AA52" i="7" s="1"/>
  <c r="U699" i="7"/>
  <c r="W699" i="7" s="1"/>
  <c r="X699" i="7" s="1"/>
  <c r="U669" i="7"/>
  <c r="W669" i="7" s="1"/>
  <c r="X669" i="7" s="1"/>
  <c r="U643" i="7"/>
  <c r="W643" i="7" s="1"/>
  <c r="X643" i="7" s="1"/>
  <c r="U640" i="7"/>
  <c r="W640" i="7" s="1"/>
  <c r="X640" i="7" s="1"/>
  <c r="U602" i="7"/>
  <c r="C602" i="7" s="1"/>
  <c r="D602" i="7" s="1"/>
  <c r="Y602" i="7" s="1"/>
  <c r="Z602" i="7" s="1"/>
  <c r="AA602" i="7" s="1"/>
  <c r="U562" i="7"/>
  <c r="C562" i="7" s="1"/>
  <c r="D562" i="7" s="1"/>
  <c r="Y562" i="7" s="1"/>
  <c r="Z562" i="7" s="1"/>
  <c r="AA562" i="7" s="1"/>
  <c r="U508" i="7"/>
  <c r="C508" i="7" s="1"/>
  <c r="D508" i="7" s="1"/>
  <c r="Y508" i="7" s="1"/>
  <c r="Z508" i="7" s="1"/>
  <c r="AA508" i="7" s="1"/>
  <c r="U498" i="7"/>
  <c r="U492" i="7"/>
  <c r="C492" i="7" s="1"/>
  <c r="D492" i="7" s="1"/>
  <c r="Y492" i="7" s="1"/>
  <c r="Z492" i="7" s="1"/>
  <c r="AA492" i="7" s="1"/>
  <c r="U489" i="7"/>
  <c r="C489" i="7" s="1"/>
  <c r="D489" i="7" s="1"/>
  <c r="Y489" i="7" s="1"/>
  <c r="Z489" i="7" s="1"/>
  <c r="AA489" i="7" s="1"/>
  <c r="U423" i="7"/>
  <c r="C423" i="7" s="1"/>
  <c r="D423" i="7" s="1"/>
  <c r="Y423" i="7" s="1"/>
  <c r="Z423" i="7" s="1"/>
  <c r="AA423" i="7" s="1"/>
  <c r="U414" i="7"/>
  <c r="W414" i="7" s="1"/>
  <c r="X414" i="7" s="1"/>
  <c r="U388" i="7"/>
  <c r="W388" i="7" s="1"/>
  <c r="X388" i="7" s="1"/>
  <c r="U386" i="7"/>
  <c r="C386" i="7" s="1"/>
  <c r="D386" i="7" s="1"/>
  <c r="Y386" i="7" s="1"/>
  <c r="Z386" i="7" s="1"/>
  <c r="AA386" i="7" s="1"/>
  <c r="U341" i="7"/>
  <c r="W341" i="7" s="1"/>
  <c r="X341" i="7" s="1"/>
  <c r="U320" i="7"/>
  <c r="C320" i="7" s="1"/>
  <c r="D320" i="7" s="1"/>
  <c r="Y320" i="7" s="1"/>
  <c r="Z320" i="7" s="1"/>
  <c r="AA320" i="7" s="1"/>
  <c r="U314" i="7"/>
  <c r="C314" i="7" s="1"/>
  <c r="D314" i="7" s="1"/>
  <c r="Y314" i="7" s="1"/>
  <c r="Z314" i="7" s="1"/>
  <c r="AA314" i="7" s="1"/>
  <c r="U272" i="7"/>
  <c r="C272" i="7" s="1"/>
  <c r="D272" i="7" s="1"/>
  <c r="Y272" i="7" s="1"/>
  <c r="Z272" i="7" s="1"/>
  <c r="AA272" i="7" s="1"/>
  <c r="U224" i="7"/>
  <c r="W224" i="7" s="1"/>
  <c r="X224" i="7" s="1"/>
  <c r="U193" i="7"/>
  <c r="C193" i="7" s="1"/>
  <c r="D193" i="7" s="1"/>
  <c r="Y193" i="7" s="1"/>
  <c r="Z193" i="7" s="1"/>
  <c r="AA193" i="7" s="1"/>
  <c r="U189" i="7"/>
  <c r="C189" i="7" s="1"/>
  <c r="D189" i="7" s="1"/>
  <c r="Y189" i="7" s="1"/>
  <c r="Z189" i="7" s="1"/>
  <c r="AA189" i="7" s="1"/>
  <c r="U182" i="7"/>
  <c r="C182" i="7" s="1"/>
  <c r="D182" i="7" s="1"/>
  <c r="Y182" i="7" s="1"/>
  <c r="Z182" i="7" s="1"/>
  <c r="AA182" i="7" s="1"/>
  <c r="U163" i="7"/>
  <c r="W163" i="7" s="1"/>
  <c r="X163" i="7" s="1"/>
  <c r="U155" i="7"/>
  <c r="C155" i="7" s="1"/>
  <c r="D155" i="7" s="1"/>
  <c r="Y155" i="7" s="1"/>
  <c r="Z155" i="7" s="1"/>
  <c r="AA155" i="7" s="1"/>
  <c r="U149" i="7"/>
  <c r="W149" i="7" s="1"/>
  <c r="X149" i="7" s="1"/>
  <c r="U109" i="7"/>
  <c r="C109" i="7" s="1"/>
  <c r="D109" i="7" s="1"/>
  <c r="Y109" i="7" s="1"/>
  <c r="Z109" i="7" s="1"/>
  <c r="AA109" i="7" s="1"/>
  <c r="C45" i="7"/>
  <c r="D45" i="7" s="1"/>
  <c r="Y45" i="7" s="1"/>
  <c r="Z45" i="7" s="1"/>
  <c r="AA45" i="7" s="1"/>
  <c r="U27" i="7"/>
  <c r="W27" i="7" s="1"/>
  <c r="X27" i="7" s="1"/>
  <c r="U12" i="7"/>
  <c r="C12" i="7" s="1"/>
  <c r="D12" i="7" s="1"/>
  <c r="Y12" i="7" s="1"/>
  <c r="Z12" i="7" s="1"/>
  <c r="AA12" i="7" s="1"/>
  <c r="U622" i="7"/>
  <c r="C622" i="7" s="1"/>
  <c r="D622" i="7" s="1"/>
  <c r="Y622" i="7" s="1"/>
  <c r="Z622" i="7" s="1"/>
  <c r="AA622" i="7" s="1"/>
  <c r="U536" i="7"/>
  <c r="U328" i="7"/>
  <c r="C328" i="7" s="1"/>
  <c r="D328" i="7" s="1"/>
  <c r="Y328" i="7" s="1"/>
  <c r="Z328" i="7" s="1"/>
  <c r="AA328" i="7" s="1"/>
  <c r="U153" i="7"/>
  <c r="W153" i="7" s="1"/>
  <c r="X153" i="7" s="1"/>
  <c r="U129" i="7"/>
  <c r="U56" i="7"/>
  <c r="C56" i="7" s="1"/>
  <c r="D56" i="7" s="1"/>
  <c r="Y56" i="7" s="1"/>
  <c r="Z56" i="7" s="1"/>
  <c r="AA56" i="7" s="1"/>
  <c r="U23" i="7"/>
  <c r="U9" i="7"/>
  <c r="C9" i="7" s="1"/>
  <c r="D9" i="7" s="1"/>
  <c r="Y9" i="7" s="1"/>
  <c r="Z9" i="7" s="1"/>
  <c r="AA9" i="7" s="1"/>
  <c r="U691" i="7"/>
  <c r="W691" i="7" s="1"/>
  <c r="X691" i="7" s="1"/>
  <c r="U684" i="7"/>
  <c r="W684" i="7" s="1"/>
  <c r="X684" i="7" s="1"/>
  <c r="U642" i="7"/>
  <c r="W642" i="7" s="1"/>
  <c r="X642" i="7" s="1"/>
  <c r="U613" i="7"/>
  <c r="C613" i="7" s="1"/>
  <c r="D613" i="7" s="1"/>
  <c r="Y613" i="7" s="1"/>
  <c r="Z613" i="7" s="1"/>
  <c r="AA613" i="7" s="1"/>
  <c r="U601" i="7"/>
  <c r="W601" i="7" s="1"/>
  <c r="X601" i="7" s="1"/>
  <c r="U561" i="7"/>
  <c r="W561" i="7" s="1"/>
  <c r="X561" i="7" s="1"/>
  <c r="U553" i="7"/>
  <c r="W553" i="7" s="1"/>
  <c r="X553" i="7" s="1"/>
  <c r="U472" i="7"/>
  <c r="W472" i="7" s="1"/>
  <c r="X472" i="7" s="1"/>
  <c r="U448" i="7"/>
  <c r="U419" i="7"/>
  <c r="C419" i="7" s="1"/>
  <c r="D419" i="7" s="1"/>
  <c r="Y419" i="7" s="1"/>
  <c r="Z419" i="7" s="1"/>
  <c r="AA419" i="7" s="1"/>
  <c r="U413" i="7"/>
  <c r="W413" i="7" s="1"/>
  <c r="X413" i="7" s="1"/>
  <c r="U381" i="7"/>
  <c r="C381" i="7" s="1"/>
  <c r="D381" i="7" s="1"/>
  <c r="Y381" i="7" s="1"/>
  <c r="Z381" i="7" s="1"/>
  <c r="AA381" i="7" s="1"/>
  <c r="U367" i="7"/>
  <c r="W367" i="7" s="1"/>
  <c r="X367" i="7" s="1"/>
  <c r="U343" i="7"/>
  <c r="U337" i="7"/>
  <c r="C337" i="7" s="1"/>
  <c r="D337" i="7" s="1"/>
  <c r="Y337" i="7" s="1"/>
  <c r="Z337" i="7" s="1"/>
  <c r="AA337" i="7" s="1"/>
  <c r="U324" i="7"/>
  <c r="W324" i="7" s="1"/>
  <c r="X324" i="7" s="1"/>
  <c r="W292" i="7"/>
  <c r="X292" i="7" s="1"/>
  <c r="U283" i="7"/>
  <c r="C283" i="7" s="1"/>
  <c r="D283" i="7" s="1"/>
  <c r="Y283" i="7" s="1"/>
  <c r="Z283" i="7" s="1"/>
  <c r="AA283" i="7" s="1"/>
  <c r="U227" i="7"/>
  <c r="U221" i="7"/>
  <c r="U201" i="7"/>
  <c r="C201" i="7" s="1"/>
  <c r="D201" i="7" s="1"/>
  <c r="Y201" i="7" s="1"/>
  <c r="Z201" i="7" s="1"/>
  <c r="AA201" i="7" s="1"/>
  <c r="U188" i="7"/>
  <c r="U173" i="7"/>
  <c r="C173" i="7" s="1"/>
  <c r="D173" i="7" s="1"/>
  <c r="Y173" i="7" s="1"/>
  <c r="Z173" i="7" s="1"/>
  <c r="AA173" i="7" s="1"/>
  <c r="U76" i="7"/>
  <c r="W76" i="7" s="1"/>
  <c r="X76" i="7" s="1"/>
  <c r="U588" i="7"/>
  <c r="C588" i="7" s="1"/>
  <c r="D588" i="7" s="1"/>
  <c r="Y588" i="7" s="1"/>
  <c r="Z588" i="7" s="1"/>
  <c r="AA588" i="7" s="1"/>
  <c r="U577" i="7"/>
  <c r="W577" i="7" s="1"/>
  <c r="X577" i="7" s="1"/>
  <c r="U531" i="7"/>
  <c r="W531" i="7" s="1"/>
  <c r="X531" i="7" s="1"/>
  <c r="U523" i="7"/>
  <c r="W523" i="7" s="1"/>
  <c r="X523" i="7" s="1"/>
  <c r="U510" i="7"/>
  <c r="W510" i="7" s="1"/>
  <c r="X510" i="7" s="1"/>
  <c r="U405" i="7"/>
  <c r="W405" i="7" s="1"/>
  <c r="X405" i="7" s="1"/>
  <c r="U351" i="7"/>
  <c r="W351" i="7" s="1"/>
  <c r="X351" i="7" s="1"/>
  <c r="U230" i="7"/>
  <c r="C230" i="7" s="1"/>
  <c r="D230" i="7" s="1"/>
  <c r="Y230" i="7" s="1"/>
  <c r="Z230" i="7" s="1"/>
  <c r="AA230" i="7" s="1"/>
  <c r="U223" i="7"/>
  <c r="C223" i="7" s="1"/>
  <c r="D223" i="7" s="1"/>
  <c r="Y223" i="7" s="1"/>
  <c r="Z223" i="7" s="1"/>
  <c r="AA223" i="7" s="1"/>
  <c r="U217" i="7"/>
  <c r="U186" i="7"/>
  <c r="W186" i="7" s="1"/>
  <c r="X186" i="7" s="1"/>
  <c r="U128" i="7"/>
  <c r="C128" i="7" s="1"/>
  <c r="D128" i="7" s="1"/>
  <c r="Y128" i="7" s="1"/>
  <c r="Z128" i="7" s="1"/>
  <c r="AA128" i="7" s="1"/>
  <c r="U111" i="7"/>
  <c r="C111" i="7" s="1"/>
  <c r="D111" i="7" s="1"/>
  <c r="Y111" i="7" s="1"/>
  <c r="Z111" i="7" s="1"/>
  <c r="AA111" i="7" s="1"/>
  <c r="U698" i="7"/>
  <c r="C698" i="7" s="1"/>
  <c r="D698" i="7" s="1"/>
  <c r="Y698" i="7" s="1"/>
  <c r="Z698" i="7" s="1"/>
  <c r="AA698" i="7" s="1"/>
  <c r="U659" i="7"/>
  <c r="W659" i="7" s="1"/>
  <c r="X659" i="7" s="1"/>
  <c r="U644" i="7"/>
  <c r="C644" i="7" s="1"/>
  <c r="D644" i="7" s="1"/>
  <c r="Y644" i="7" s="1"/>
  <c r="Z644" i="7" s="1"/>
  <c r="AA644" i="7" s="1"/>
  <c r="U621" i="7"/>
  <c r="U603" i="7"/>
  <c r="C603" i="7" s="1"/>
  <c r="D603" i="7" s="1"/>
  <c r="Y603" i="7" s="1"/>
  <c r="Z603" i="7" s="1"/>
  <c r="AA603" i="7" s="1"/>
  <c r="U538" i="7"/>
  <c r="C538" i="7" s="1"/>
  <c r="D538" i="7" s="1"/>
  <c r="Y538" i="7" s="1"/>
  <c r="Z538" i="7" s="1"/>
  <c r="AA538" i="7" s="1"/>
  <c r="U499" i="7"/>
  <c r="W499" i="7" s="1"/>
  <c r="X499" i="7" s="1"/>
  <c r="U402" i="7"/>
  <c r="C402" i="7" s="1"/>
  <c r="D402" i="7" s="1"/>
  <c r="Y402" i="7" s="1"/>
  <c r="Z402" i="7" s="1"/>
  <c r="AA402" i="7" s="1"/>
  <c r="U369" i="7"/>
  <c r="W369" i="7" s="1"/>
  <c r="X369" i="7" s="1"/>
  <c r="U330" i="7"/>
  <c r="C330" i="7" s="1"/>
  <c r="D330" i="7" s="1"/>
  <c r="Y330" i="7" s="1"/>
  <c r="Z330" i="7" s="1"/>
  <c r="AA330" i="7" s="1"/>
  <c r="U313" i="7"/>
  <c r="C313" i="7" s="1"/>
  <c r="D313" i="7" s="1"/>
  <c r="Y313" i="7" s="1"/>
  <c r="Z313" i="7" s="1"/>
  <c r="AA313" i="7" s="1"/>
  <c r="U308" i="7"/>
  <c r="C308" i="7" s="1"/>
  <c r="D308" i="7" s="1"/>
  <c r="Y308" i="7" s="1"/>
  <c r="Z308" i="7" s="1"/>
  <c r="AA308" i="7" s="1"/>
  <c r="U277" i="7"/>
  <c r="C277" i="7" s="1"/>
  <c r="D277" i="7" s="1"/>
  <c r="Y277" i="7" s="1"/>
  <c r="Z277" i="7" s="1"/>
  <c r="AA277" i="7" s="1"/>
  <c r="U210" i="7"/>
  <c r="C210" i="7" s="1"/>
  <c r="D210" i="7" s="1"/>
  <c r="Y210" i="7" s="1"/>
  <c r="Z210" i="7" s="1"/>
  <c r="AA210" i="7" s="1"/>
  <c r="U175" i="7"/>
  <c r="W175" i="7" s="1"/>
  <c r="X175" i="7" s="1"/>
  <c r="U140" i="7"/>
  <c r="U68" i="7"/>
  <c r="C68" i="7" s="1"/>
  <c r="D68" i="7" s="1"/>
  <c r="Y68" i="7" s="1"/>
  <c r="Z68" i="7" s="1"/>
  <c r="AA68" i="7" s="1"/>
  <c r="U50" i="7"/>
  <c r="W50" i="7" s="1"/>
  <c r="X50" i="7" s="1"/>
  <c r="U22" i="7"/>
  <c r="W22" i="7" s="1"/>
  <c r="X22" i="7" s="1"/>
  <c r="U636" i="7"/>
  <c r="U617" i="7"/>
  <c r="C617" i="7" s="1"/>
  <c r="D617" i="7" s="1"/>
  <c r="Y617" i="7" s="1"/>
  <c r="Z617" i="7" s="1"/>
  <c r="AA617" i="7" s="1"/>
  <c r="U572" i="7"/>
  <c r="C572" i="7" s="1"/>
  <c r="D572" i="7" s="1"/>
  <c r="Y572" i="7" s="1"/>
  <c r="Z572" i="7" s="1"/>
  <c r="AA572" i="7" s="1"/>
  <c r="U565" i="7"/>
  <c r="U484" i="7"/>
  <c r="W484" i="7" s="1"/>
  <c r="X484" i="7" s="1"/>
  <c r="U468" i="7"/>
  <c r="C468" i="7" s="1"/>
  <c r="D468" i="7" s="1"/>
  <c r="Y468" i="7" s="1"/>
  <c r="Z468" i="7" s="1"/>
  <c r="AA468" i="7" s="1"/>
  <c r="U459" i="7"/>
  <c r="C459" i="7" s="1"/>
  <c r="D459" i="7" s="1"/>
  <c r="Y459" i="7" s="1"/>
  <c r="Z459" i="7" s="1"/>
  <c r="AA459" i="7" s="1"/>
  <c r="U442" i="7"/>
  <c r="C442" i="7" s="1"/>
  <c r="D442" i="7" s="1"/>
  <c r="Y442" i="7" s="1"/>
  <c r="Z442" i="7" s="1"/>
  <c r="AA442" i="7" s="1"/>
  <c r="U430" i="7"/>
  <c r="W430" i="7" s="1"/>
  <c r="X430" i="7" s="1"/>
  <c r="U355" i="7"/>
  <c r="W355" i="7" s="1"/>
  <c r="X355" i="7" s="1"/>
  <c r="U350" i="7"/>
  <c r="C350" i="7" s="1"/>
  <c r="D350" i="7" s="1"/>
  <c r="Y350" i="7" s="1"/>
  <c r="Z350" i="7" s="1"/>
  <c r="AA350" i="7" s="1"/>
  <c r="U340" i="7"/>
  <c r="C340" i="7" s="1"/>
  <c r="D340" i="7" s="1"/>
  <c r="Y340" i="7" s="1"/>
  <c r="Z340" i="7" s="1"/>
  <c r="AA340" i="7" s="1"/>
  <c r="U319" i="7"/>
  <c r="U300" i="7"/>
  <c r="C300" i="7" s="1"/>
  <c r="D300" i="7" s="1"/>
  <c r="Y300" i="7" s="1"/>
  <c r="Z300" i="7" s="1"/>
  <c r="AA300" i="7" s="1"/>
  <c r="U281" i="7"/>
  <c r="C281" i="7" s="1"/>
  <c r="D281" i="7" s="1"/>
  <c r="Y281" i="7" s="1"/>
  <c r="Z281" i="7" s="1"/>
  <c r="AA281" i="7" s="1"/>
  <c r="U252" i="7"/>
  <c r="W252" i="7" s="1"/>
  <c r="X252" i="7" s="1"/>
  <c r="U215" i="7"/>
  <c r="C215" i="7" s="1"/>
  <c r="D215" i="7" s="1"/>
  <c r="Y215" i="7" s="1"/>
  <c r="Z215" i="7" s="1"/>
  <c r="AA215" i="7" s="1"/>
  <c r="U132" i="7"/>
  <c r="W132" i="7" s="1"/>
  <c r="X132" i="7" s="1"/>
  <c r="U116" i="7"/>
  <c r="W116" i="7" s="1"/>
  <c r="X116" i="7" s="1"/>
  <c r="U28" i="7"/>
  <c r="W28" i="7" s="1"/>
  <c r="X28" i="7" s="1"/>
  <c r="U11" i="7"/>
  <c r="W11" i="7" s="1"/>
  <c r="X11" i="7" s="1"/>
  <c r="U1555" i="7"/>
  <c r="U1731" i="7"/>
  <c r="U1709" i="7"/>
  <c r="W1650" i="7"/>
  <c r="X1650" i="7" s="1"/>
  <c r="U1569" i="7"/>
  <c r="C1543" i="7"/>
  <c r="D1543" i="7" s="1"/>
  <c r="Y1543" i="7" s="1"/>
  <c r="Z1543" i="7" s="1"/>
  <c r="AA1543" i="7" s="1"/>
  <c r="W1529" i="7"/>
  <c r="X1529" i="7" s="1"/>
  <c r="C1238" i="7"/>
  <c r="D1238" i="7" s="1"/>
  <c r="Y1238" i="7" s="1"/>
  <c r="Z1238" i="7" s="1"/>
  <c r="AA1238" i="7" s="1"/>
  <c r="W1238" i="7"/>
  <c r="X1238" i="7" s="1"/>
  <c r="W1714" i="7"/>
  <c r="X1714" i="7" s="1"/>
  <c r="W1640" i="7"/>
  <c r="X1640" i="7" s="1"/>
  <c r="C1640" i="7"/>
  <c r="D1640" i="7" s="1"/>
  <c r="Y1640" i="7" s="1"/>
  <c r="Z1640" i="7" s="1"/>
  <c r="AA1640" i="7" s="1"/>
  <c r="C1588" i="7"/>
  <c r="D1588" i="7" s="1"/>
  <c r="Y1588" i="7" s="1"/>
  <c r="Z1588" i="7" s="1"/>
  <c r="AA1588" i="7" s="1"/>
  <c r="W1588" i="7"/>
  <c r="X1588" i="7" s="1"/>
  <c r="W1695" i="7"/>
  <c r="X1695" i="7" s="1"/>
  <c r="U1736" i="7"/>
  <c r="U1733" i="7"/>
  <c r="W1438" i="7"/>
  <c r="X1438" i="7" s="1"/>
  <c r="C1438" i="7"/>
  <c r="D1438" i="7" s="1"/>
  <c r="Y1438" i="7" s="1"/>
  <c r="Z1438" i="7" s="1"/>
  <c r="AA1438" i="7" s="1"/>
  <c r="C1374" i="7"/>
  <c r="D1374" i="7" s="1"/>
  <c r="Y1374" i="7" s="1"/>
  <c r="Z1374" i="7" s="1"/>
  <c r="AA1374" i="7" s="1"/>
  <c r="C1286" i="7"/>
  <c r="D1286" i="7" s="1"/>
  <c r="Y1286" i="7" s="1"/>
  <c r="Z1286" i="7" s="1"/>
  <c r="AA1286" i="7" s="1"/>
  <c r="W1286" i="7"/>
  <c r="X1286" i="7" s="1"/>
  <c r="C1744" i="7"/>
  <c r="D1744" i="7" s="1"/>
  <c r="Y1744" i="7" s="1"/>
  <c r="Z1744" i="7" s="1"/>
  <c r="AA1744" i="7" s="1"/>
  <c r="W1744" i="7"/>
  <c r="X1744" i="7" s="1"/>
  <c r="W1584" i="7"/>
  <c r="X1584" i="7" s="1"/>
  <c r="U1727" i="7"/>
  <c r="U1558" i="7"/>
  <c r="C1456" i="7"/>
  <c r="D1456" i="7" s="1"/>
  <c r="Y1456" i="7" s="1"/>
  <c r="Z1456" i="7" s="1"/>
  <c r="AA1456" i="7" s="1"/>
  <c r="U1446" i="7"/>
  <c r="U1605" i="7"/>
  <c r="C1391" i="7"/>
  <c r="D1391" i="7" s="1"/>
  <c r="Y1391" i="7" s="1"/>
  <c r="Z1391" i="7" s="1"/>
  <c r="AA1391" i="7" s="1"/>
  <c r="W1495" i="7"/>
  <c r="X1495" i="7" s="1"/>
  <c r="C1495" i="7"/>
  <c r="D1495" i="7" s="1"/>
  <c r="Y1495" i="7" s="1"/>
  <c r="Z1495" i="7" s="1"/>
  <c r="AA1495" i="7" s="1"/>
  <c r="W1758" i="7"/>
  <c r="X1758" i="7" s="1"/>
  <c r="C1758" i="7"/>
  <c r="D1758" i="7" s="1"/>
  <c r="Y1758" i="7" s="1"/>
  <c r="Z1758" i="7" s="1"/>
  <c r="AA1758" i="7" s="1"/>
  <c r="U1624" i="7"/>
  <c r="U1522" i="7"/>
  <c r="U1520" i="7"/>
  <c r="U1486" i="7"/>
  <c r="U1484" i="7"/>
  <c r="U1448" i="7"/>
  <c r="U1701" i="7"/>
  <c r="U1749" i="7"/>
  <c r="U1739" i="7"/>
  <c r="U1652" i="7"/>
  <c r="U1616" i="7"/>
  <c r="U1580" i="7"/>
  <c r="U1544" i="7"/>
  <c r="U1338" i="7"/>
  <c r="U1691" i="7"/>
  <c r="U1653" i="7"/>
  <c r="U1642" i="7"/>
  <c r="U1617" i="7"/>
  <c r="U1581" i="7"/>
  <c r="U1570" i="7"/>
  <c r="W1550" i="7"/>
  <c r="X1550" i="7" s="1"/>
  <c r="U1545" i="7"/>
  <c r="U1506" i="7"/>
  <c r="W1422" i="7"/>
  <c r="X1422" i="7" s="1"/>
  <c r="W1419" i="7"/>
  <c r="X1419" i="7" s="1"/>
  <c r="U1412" i="7"/>
  <c r="C1256" i="7"/>
  <c r="D1256" i="7" s="1"/>
  <c r="Y1256" i="7" s="1"/>
  <c r="Z1256" i="7" s="1"/>
  <c r="AA1256" i="7" s="1"/>
  <c r="W1256" i="7"/>
  <c r="X1256" i="7" s="1"/>
  <c r="U1725" i="7"/>
  <c r="U1678" i="7"/>
  <c r="U1665" i="7"/>
  <c r="C1491" i="7"/>
  <c r="D1491" i="7" s="1"/>
  <c r="Y1491" i="7" s="1"/>
  <c r="Z1491" i="7" s="1"/>
  <c r="AA1491" i="7" s="1"/>
  <c r="U1414" i="7"/>
  <c r="U1498" i="7"/>
  <c r="U1496" i="7"/>
  <c r="C1464" i="7"/>
  <c r="D1464" i="7" s="1"/>
  <c r="Y1464" i="7" s="1"/>
  <c r="Z1464" i="7" s="1"/>
  <c r="AA1464" i="7" s="1"/>
  <c r="U1462" i="7"/>
  <c r="U1460" i="7"/>
  <c r="W1393" i="7"/>
  <c r="X1393" i="7" s="1"/>
  <c r="C1511" i="7"/>
  <c r="D1511" i="7" s="1"/>
  <c r="Y1511" i="7" s="1"/>
  <c r="Z1511" i="7" s="1"/>
  <c r="AA1511" i="7" s="1"/>
  <c r="W1317" i="7"/>
  <c r="X1317" i="7" s="1"/>
  <c r="U1342" i="7"/>
  <c r="U1297" i="7"/>
  <c r="W1189" i="7"/>
  <c r="X1189" i="7" s="1"/>
  <c r="C1189" i="7"/>
  <c r="D1189" i="7" s="1"/>
  <c r="Y1189" i="7" s="1"/>
  <c r="Z1189" i="7" s="1"/>
  <c r="AA1189" i="7" s="1"/>
  <c r="U1349" i="7"/>
  <c r="U1273" i="7"/>
  <c r="C1308" i="7"/>
  <c r="D1308" i="7" s="1"/>
  <c r="Y1308" i="7" s="1"/>
  <c r="Z1308" i="7" s="1"/>
  <c r="AA1308" i="7" s="1"/>
  <c r="W1179" i="7"/>
  <c r="X1179" i="7" s="1"/>
  <c r="U1312" i="7"/>
  <c r="U1353" i="7"/>
  <c r="U1428" i="7"/>
  <c r="U1404" i="7"/>
  <c r="U1380" i="7"/>
  <c r="U1370" i="7"/>
  <c r="C1327" i="7"/>
  <c r="D1327" i="7" s="1"/>
  <c r="Y1327" i="7" s="1"/>
  <c r="Z1327" i="7" s="1"/>
  <c r="AA1327" i="7" s="1"/>
  <c r="U1309" i="7"/>
  <c r="C868" i="7"/>
  <c r="D868" i="7" s="1"/>
  <c r="Y868" i="7" s="1"/>
  <c r="Z868" i="7" s="1"/>
  <c r="AA868" i="7" s="1"/>
  <c r="U1430" i="7"/>
  <c r="U1406" i="7"/>
  <c r="U1382" i="7"/>
  <c r="U1354" i="7"/>
  <c r="U1195" i="7"/>
  <c r="C1045" i="7"/>
  <c r="D1045" i="7" s="1"/>
  <c r="Y1045" i="7" s="1"/>
  <c r="Z1045" i="7" s="1"/>
  <c r="AA1045" i="7" s="1"/>
  <c r="W1045" i="7"/>
  <c r="X1045" i="7" s="1"/>
  <c r="C935" i="7"/>
  <c r="D935" i="7" s="1"/>
  <c r="Y935" i="7" s="1"/>
  <c r="Z935" i="7" s="1"/>
  <c r="AA935" i="7" s="1"/>
  <c r="U1303" i="7"/>
  <c r="U1263" i="7"/>
  <c r="U1255" i="7"/>
  <c r="U1241" i="7"/>
  <c r="U1207" i="7"/>
  <c r="U1183" i="7"/>
  <c r="W1162" i="7"/>
  <c r="X1162" i="7" s="1"/>
  <c r="U1319" i="7"/>
  <c r="W883" i="7"/>
  <c r="X883" i="7" s="1"/>
  <c r="U1253" i="7"/>
  <c r="U1227" i="7"/>
  <c r="C1153" i="7"/>
  <c r="D1153" i="7" s="1"/>
  <c r="Y1153" i="7" s="1"/>
  <c r="Z1153" i="7" s="1"/>
  <c r="AA1153" i="7" s="1"/>
  <c r="U1313" i="7"/>
  <c r="W1230" i="7"/>
  <c r="X1230" i="7" s="1"/>
  <c r="U1215" i="7"/>
  <c r="U1060" i="7"/>
  <c r="W1161" i="7"/>
  <c r="X1161" i="7" s="1"/>
  <c r="C1161" i="7"/>
  <c r="D1161" i="7" s="1"/>
  <c r="Y1161" i="7" s="1"/>
  <c r="Z1161" i="7" s="1"/>
  <c r="AA1161" i="7" s="1"/>
  <c r="U1093" i="7"/>
  <c r="U1115" i="7"/>
  <c r="W1079" i="7"/>
  <c r="X1079" i="7" s="1"/>
  <c r="U1127" i="7"/>
  <c r="U1054" i="7"/>
  <c r="U1163" i="7"/>
  <c r="U1175" i="7"/>
  <c r="U1151" i="7"/>
  <c r="U1056" i="7"/>
  <c r="U1010" i="7"/>
  <c r="U902" i="7"/>
  <c r="U1064" i="7"/>
  <c r="U1040" i="7"/>
  <c r="U1022" i="7"/>
  <c r="C1019" i="7"/>
  <c r="D1019" i="7" s="1"/>
  <c r="Y1019" i="7" s="1"/>
  <c r="Z1019" i="7" s="1"/>
  <c r="AA1019" i="7" s="1"/>
  <c r="U986" i="7"/>
  <c r="C983" i="7"/>
  <c r="D983" i="7" s="1"/>
  <c r="Y983" i="7" s="1"/>
  <c r="Z983" i="7" s="1"/>
  <c r="AA983" i="7" s="1"/>
  <c r="U923" i="7"/>
  <c r="W771" i="7"/>
  <c r="X771" i="7" s="1"/>
  <c r="W854" i="7"/>
  <c r="X854" i="7" s="1"/>
  <c r="C854" i="7"/>
  <c r="D854" i="7" s="1"/>
  <c r="Y854" i="7" s="1"/>
  <c r="Z854" i="7" s="1"/>
  <c r="AA854" i="7" s="1"/>
  <c r="U998" i="7"/>
  <c r="U922" i="7"/>
  <c r="C862" i="7"/>
  <c r="D862" i="7" s="1"/>
  <c r="Y862" i="7" s="1"/>
  <c r="Z862" i="7" s="1"/>
  <c r="AA862" i="7" s="1"/>
  <c r="U1020" i="7"/>
  <c r="U984" i="7"/>
  <c r="U896" i="7"/>
  <c r="C805" i="7"/>
  <c r="D805" i="7" s="1"/>
  <c r="Y805" i="7" s="1"/>
  <c r="Z805" i="7" s="1"/>
  <c r="AA805" i="7" s="1"/>
  <c r="U859" i="7"/>
  <c r="U715" i="7"/>
  <c r="U869" i="7"/>
  <c r="C813" i="7"/>
  <c r="D813" i="7" s="1"/>
  <c r="Y813" i="7" s="1"/>
  <c r="Z813" i="7" s="1"/>
  <c r="AA813" i="7" s="1"/>
  <c r="W892" i="7"/>
  <c r="X892" i="7" s="1"/>
  <c r="U954" i="7"/>
  <c r="W937" i="7"/>
  <c r="X937" i="7" s="1"/>
  <c r="U917" i="7"/>
  <c r="W735" i="7"/>
  <c r="X735" i="7" s="1"/>
  <c r="C735" i="7"/>
  <c r="D735" i="7" s="1"/>
  <c r="Y735" i="7" s="1"/>
  <c r="Z735" i="7" s="1"/>
  <c r="AA735" i="7" s="1"/>
  <c r="U888" i="7"/>
  <c r="U871" i="7"/>
  <c r="W846" i="7"/>
  <c r="X846" i="7" s="1"/>
  <c r="U717" i="7"/>
  <c r="U689" i="7"/>
  <c r="W628" i="7"/>
  <c r="X628" i="7" s="1"/>
  <c r="W787" i="7"/>
  <c r="X787" i="7" s="1"/>
  <c r="U546" i="7"/>
  <c r="U676" i="7"/>
  <c r="C652" i="7"/>
  <c r="D652" i="7" s="1"/>
  <c r="Y652" i="7" s="1"/>
  <c r="Z652" i="7" s="1"/>
  <c r="AA652" i="7" s="1"/>
  <c r="U548" i="7"/>
  <c r="U834" i="7"/>
  <c r="U725" i="7"/>
  <c r="U727" i="7"/>
  <c r="U765" i="7"/>
  <c r="U751" i="7"/>
  <c r="U649" i="7"/>
  <c r="U828" i="7"/>
  <c r="U816" i="7"/>
  <c r="U804" i="7"/>
  <c r="U792" i="7"/>
  <c r="U741" i="7"/>
  <c r="U733" i="7"/>
  <c r="U620" i="7"/>
  <c r="U848" i="7"/>
  <c r="U824" i="7"/>
  <c r="U800" i="7"/>
  <c r="U788" i="7"/>
  <c r="U707" i="7"/>
  <c r="U661" i="7"/>
  <c r="U608" i="7"/>
  <c r="U852" i="7"/>
  <c r="W525" i="7"/>
  <c r="X525" i="7" s="1"/>
  <c r="C525" i="7"/>
  <c r="D525" i="7" s="1"/>
  <c r="Y525" i="7" s="1"/>
  <c r="Z525" i="7" s="1"/>
  <c r="AA525" i="7" s="1"/>
  <c r="C619" i="7"/>
  <c r="D619" i="7" s="1"/>
  <c r="Y619" i="7" s="1"/>
  <c r="Z619" i="7" s="1"/>
  <c r="AA619" i="7" s="1"/>
  <c r="U705" i="7"/>
  <c r="W547" i="7"/>
  <c r="X547" i="7" s="1"/>
  <c r="W508" i="7"/>
  <c r="X508" i="7" s="1"/>
  <c r="W287" i="7"/>
  <c r="X287" i="7" s="1"/>
  <c r="C287" i="7"/>
  <c r="D287" i="7" s="1"/>
  <c r="Y287" i="7" s="1"/>
  <c r="Z287" i="7" s="1"/>
  <c r="AA287" i="7" s="1"/>
  <c r="W701" i="7"/>
  <c r="X701" i="7" s="1"/>
  <c r="U749" i="7"/>
  <c r="W682" i="7"/>
  <c r="X682" i="7" s="1"/>
  <c r="U667" i="7"/>
  <c r="U605" i="7"/>
  <c r="U581" i="7"/>
  <c r="U570" i="7"/>
  <c r="U357" i="7"/>
  <c r="U693" i="7"/>
  <c r="U594" i="7"/>
  <c r="U557" i="7"/>
  <c r="W622" i="7"/>
  <c r="X622" i="7" s="1"/>
  <c r="W112" i="7"/>
  <c r="X112" i="7" s="1"/>
  <c r="U632" i="7"/>
  <c r="U485" i="7"/>
  <c r="U380" i="7"/>
  <c r="W610" i="7"/>
  <c r="X610" i="7" s="1"/>
  <c r="W529" i="7"/>
  <c r="X529" i="7" s="1"/>
  <c r="W521" i="7"/>
  <c r="X521" i="7" s="1"/>
  <c r="C521" i="7"/>
  <c r="D521" i="7" s="1"/>
  <c r="Y521" i="7" s="1"/>
  <c r="Z521" i="7" s="1"/>
  <c r="AA521" i="7" s="1"/>
  <c r="C400" i="7"/>
  <c r="D400" i="7" s="1"/>
  <c r="Y400" i="7" s="1"/>
  <c r="Z400" i="7" s="1"/>
  <c r="AA400" i="7" s="1"/>
  <c r="W302" i="7"/>
  <c r="X302" i="7" s="1"/>
  <c r="U526" i="7"/>
  <c r="U654" i="7"/>
  <c r="U326" i="7"/>
  <c r="U511" i="7"/>
  <c r="U479" i="7"/>
  <c r="U475" i="7"/>
  <c r="C408" i="7"/>
  <c r="D408" i="7" s="1"/>
  <c r="Y408" i="7" s="1"/>
  <c r="Z408" i="7" s="1"/>
  <c r="AA408" i="7" s="1"/>
  <c r="U338" i="7"/>
  <c r="U528" i="7"/>
  <c r="W458" i="7"/>
  <c r="X458" i="7" s="1"/>
  <c r="U453" i="7"/>
  <c r="U415" i="7"/>
  <c r="U395" i="7"/>
  <c r="U509" i="7"/>
  <c r="U473" i="7"/>
  <c r="U461" i="7"/>
  <c r="W537" i="7"/>
  <c r="X537" i="7" s="1"/>
  <c r="C446" i="7"/>
  <c r="D446" i="7" s="1"/>
  <c r="Y446" i="7" s="1"/>
  <c r="Z446" i="7" s="1"/>
  <c r="AA446" i="7" s="1"/>
  <c r="U437" i="7"/>
  <c r="U347" i="7"/>
  <c r="U385" i="7"/>
  <c r="U373" i="7"/>
  <c r="U361" i="7"/>
  <c r="C376" i="7"/>
  <c r="D376" i="7" s="1"/>
  <c r="Y376" i="7" s="1"/>
  <c r="Z376" i="7" s="1"/>
  <c r="AA376" i="7" s="1"/>
  <c r="U348" i="7"/>
  <c r="U315" i="7"/>
  <c r="U383" i="7"/>
  <c r="U371" i="7"/>
  <c r="U359" i="7"/>
  <c r="C267" i="7"/>
  <c r="D267" i="7" s="1"/>
  <c r="Y267" i="7" s="1"/>
  <c r="Z267" i="7" s="1"/>
  <c r="AA267" i="7" s="1"/>
  <c r="W311" i="7"/>
  <c r="X311" i="7" s="1"/>
  <c r="U231" i="7"/>
  <c r="W318" i="7"/>
  <c r="X318" i="7" s="1"/>
  <c r="U303" i="7"/>
  <c r="U286" i="7"/>
  <c r="U218" i="7"/>
  <c r="C145" i="7"/>
  <c r="D145" i="7" s="1"/>
  <c r="Y145" i="7" s="1"/>
  <c r="Z145" i="7" s="1"/>
  <c r="AA145" i="7" s="1"/>
  <c r="W145" i="7"/>
  <c r="X145" i="7" s="1"/>
  <c r="U206" i="7"/>
  <c r="U276" i="7"/>
  <c r="U240" i="7"/>
  <c r="W159" i="7"/>
  <c r="X159" i="7" s="1"/>
  <c r="C159" i="7"/>
  <c r="D159" i="7" s="1"/>
  <c r="Y159" i="7" s="1"/>
  <c r="Z159" i="7" s="1"/>
  <c r="AA159" i="7" s="1"/>
  <c r="U260" i="7"/>
  <c r="U246" i="7"/>
  <c r="U238" i="7"/>
  <c r="U284" i="7"/>
  <c r="W250" i="7"/>
  <c r="X250" i="7" s="1"/>
  <c r="W185" i="7"/>
  <c r="X185" i="7" s="1"/>
  <c r="C251" i="7"/>
  <c r="D251" i="7" s="1"/>
  <c r="Y251" i="7" s="1"/>
  <c r="Z251" i="7" s="1"/>
  <c r="AA251" i="7" s="1"/>
  <c r="C169" i="7"/>
  <c r="D169" i="7" s="1"/>
  <c r="Y169" i="7" s="1"/>
  <c r="Z169" i="7" s="1"/>
  <c r="AA169" i="7" s="1"/>
  <c r="C134" i="7"/>
  <c r="D134" i="7" s="1"/>
  <c r="Y134" i="7" s="1"/>
  <c r="Z134" i="7" s="1"/>
  <c r="AA134" i="7" s="1"/>
  <c r="W134" i="7"/>
  <c r="X134" i="7" s="1"/>
  <c r="U105" i="7"/>
  <c r="U208" i="7"/>
  <c r="W30" i="7"/>
  <c r="X30" i="7" s="1"/>
  <c r="U137" i="7"/>
  <c r="W146" i="7"/>
  <c r="X146" i="7" s="1"/>
  <c r="U236" i="7"/>
  <c r="U127" i="7"/>
  <c r="C103" i="7"/>
  <c r="D103" i="7" s="1"/>
  <c r="Y103" i="7" s="1"/>
  <c r="Z103" i="7" s="1"/>
  <c r="AA103" i="7" s="1"/>
  <c r="U161" i="7"/>
  <c r="W87" i="7"/>
  <c r="X87" i="7" s="1"/>
  <c r="C87" i="7"/>
  <c r="D87" i="7" s="1"/>
  <c r="Y87" i="7" s="1"/>
  <c r="Z87" i="7" s="1"/>
  <c r="AA87" i="7" s="1"/>
  <c r="U72" i="7"/>
  <c r="U151" i="7"/>
  <c r="W103" i="7"/>
  <c r="X103" i="7" s="1"/>
  <c r="U98" i="7"/>
  <c r="U94" i="7"/>
  <c r="W85" i="7"/>
  <c r="X85" i="7" s="1"/>
  <c r="U48" i="7"/>
  <c r="U74" i="7"/>
  <c r="U60" i="7"/>
  <c r="U34" i="7"/>
  <c r="W25" i="7"/>
  <c r="X25" i="7" s="1"/>
  <c r="U46" i="7"/>
  <c r="V1859" i="7"/>
  <c r="V1895" i="7"/>
  <c r="V1894" i="7"/>
  <c r="V1807" i="7"/>
  <c r="V1912" i="7"/>
  <c r="V1906" i="7"/>
  <c r="V1900" i="7"/>
  <c r="V1888" i="7"/>
  <c r="V1879" i="7"/>
  <c r="V1873" i="7"/>
  <c r="V1867" i="7"/>
  <c r="V1861" i="7"/>
  <c r="V1855" i="7"/>
  <c r="V1852" i="7"/>
  <c r="V1846" i="7"/>
  <c r="V1840" i="7"/>
  <c r="V1837" i="7"/>
  <c r="V1831" i="7"/>
  <c r="V1825" i="7"/>
  <c r="V1819" i="7"/>
  <c r="V1813" i="7"/>
  <c r="V1801" i="7"/>
  <c r="V1795" i="7"/>
  <c r="V1783" i="7"/>
  <c r="V1777" i="7"/>
  <c r="V1771" i="7"/>
  <c r="V1909" i="7"/>
  <c r="V1903" i="7"/>
  <c r="V1897" i="7"/>
  <c r="V1891" i="7"/>
  <c r="V1885" i="7"/>
  <c r="V1876" i="7"/>
  <c r="V1870" i="7"/>
  <c r="V1864" i="7"/>
  <c r="V1858" i="7"/>
  <c r="V1849" i="7"/>
  <c r="V1834" i="7"/>
  <c r="V1828" i="7"/>
  <c r="V1822" i="7"/>
  <c r="V1816" i="7"/>
  <c r="V1810" i="7"/>
  <c r="V1804" i="7"/>
  <c r="V1798" i="7"/>
  <c r="V1792" i="7"/>
  <c r="V1786" i="7"/>
  <c r="V1780" i="7"/>
  <c r="V1774" i="7"/>
  <c r="V1768" i="7"/>
  <c r="V1765" i="7"/>
  <c r="V1884" i="7"/>
  <c r="V1869" i="7"/>
  <c r="V1851" i="7"/>
  <c r="V1791" i="7"/>
  <c r="V1908" i="7"/>
  <c r="V1863" i="7"/>
  <c r="V1812" i="7"/>
  <c r="V1797" i="7"/>
  <c r="V1776" i="7"/>
  <c r="V1905" i="7"/>
  <c r="V1857" i="7"/>
  <c r="V1833" i="7"/>
  <c r="V1779" i="7"/>
  <c r="V1887" i="7"/>
  <c r="V1848" i="7"/>
  <c r="V1836" i="7"/>
  <c r="V1821" i="7"/>
  <c r="V1782" i="7"/>
  <c r="V1767" i="7"/>
  <c r="V1764" i="7"/>
  <c r="V1899" i="7"/>
  <c r="V1890" i="7"/>
  <c r="V1872" i="7"/>
  <c r="V1854" i="7"/>
  <c r="V1839" i="7"/>
  <c r="V1818" i="7"/>
  <c r="V1803" i="7"/>
  <c r="V1911" i="7"/>
  <c r="V1893" i="7"/>
  <c r="V1875" i="7"/>
  <c r="V1827" i="7"/>
  <c r="V1815" i="7"/>
  <c r="V1800" i="7"/>
  <c r="V1785" i="7"/>
  <c r="V1910" i="7"/>
  <c r="V1898" i="7"/>
  <c r="V1886" i="7"/>
  <c r="V1874" i="7"/>
  <c r="V1862" i="7"/>
  <c r="V1850" i="7"/>
  <c r="V1829" i="7"/>
  <c r="V1817" i="7"/>
  <c r="V1805" i="7"/>
  <c r="V1793" i="7"/>
  <c r="V1781" i="7"/>
  <c r="V1913" i="7"/>
  <c r="V1901" i="7"/>
  <c r="V1889" i="7"/>
  <c r="V1877" i="7"/>
  <c r="V1865" i="7"/>
  <c r="V1853" i="7"/>
  <c r="V1841" i="7"/>
  <c r="V1838" i="7"/>
  <c r="V1826" i="7"/>
  <c r="V1814" i="7"/>
  <c r="V1802" i="7"/>
  <c r="V1790" i="7"/>
  <c r="V1778" i="7"/>
  <c r="V1769" i="7"/>
  <c r="V1766" i="7"/>
  <c r="U1911" i="7"/>
  <c r="U1908" i="7"/>
  <c r="U1896" i="7"/>
  <c r="C1896" i="7" s="1"/>
  <c r="D1896" i="7" s="1"/>
  <c r="Y1896" i="7" s="1"/>
  <c r="U1884" i="7"/>
  <c r="U1872" i="7"/>
  <c r="U1860" i="7"/>
  <c r="C1860" i="7" s="1"/>
  <c r="D1860" i="7" s="1"/>
  <c r="Y1860" i="7" s="1"/>
  <c r="U1848" i="7"/>
  <c r="U1836" i="7"/>
  <c r="U1824" i="7"/>
  <c r="C1824" i="7" s="1"/>
  <c r="D1824" i="7" s="1"/>
  <c r="Y1824" i="7" s="1"/>
  <c r="U1812" i="7"/>
  <c r="U1800" i="7"/>
  <c r="U1788" i="7"/>
  <c r="C1788" i="7" s="1"/>
  <c r="D1788" i="7" s="1"/>
  <c r="Y1788" i="7" s="1"/>
  <c r="U1776" i="7"/>
  <c r="U1764" i="7"/>
  <c r="U1899" i="7"/>
  <c r="U1887" i="7"/>
  <c r="U1875" i="7"/>
  <c r="U1863" i="7"/>
  <c r="U1851" i="7"/>
  <c r="U1906" i="7"/>
  <c r="U1846" i="7"/>
  <c r="U1834" i="7"/>
  <c r="U1822" i="7"/>
  <c r="U1810" i="7"/>
  <c r="U1798" i="7"/>
  <c r="U1786" i="7"/>
  <c r="U1903" i="7"/>
  <c r="U1891" i="7"/>
  <c r="U1879" i="7"/>
  <c r="U1867" i="7"/>
  <c r="U1855" i="7"/>
  <c r="U1843" i="7"/>
  <c r="C1843" i="7" s="1"/>
  <c r="D1843" i="7" s="1"/>
  <c r="Y1843" i="7" s="1"/>
  <c r="U1831" i="7"/>
  <c r="U1819" i="7"/>
  <c r="U1807" i="7"/>
  <c r="U1795" i="7"/>
  <c r="U1783" i="7"/>
  <c r="U1771" i="7"/>
  <c r="U1839" i="7"/>
  <c r="U1827" i="7"/>
  <c r="U1815" i="7"/>
  <c r="U1803" i="7"/>
  <c r="U1791" i="7"/>
  <c r="U1779" i="7"/>
  <c r="U1767" i="7"/>
  <c r="U1907" i="7"/>
  <c r="C1907" i="7" s="1"/>
  <c r="D1907" i="7" s="1"/>
  <c r="Y1907" i="7" s="1"/>
  <c r="U1895" i="7"/>
  <c r="U1883" i="7"/>
  <c r="C1883" i="7" s="1"/>
  <c r="D1883" i="7" s="1"/>
  <c r="Y1883" i="7" s="1"/>
  <c r="U1871" i="7"/>
  <c r="C1871" i="7" s="1"/>
  <c r="D1871" i="7" s="1"/>
  <c r="Y1871" i="7" s="1"/>
  <c r="U1859" i="7"/>
  <c r="U1847" i="7"/>
  <c r="C1847" i="7" s="1"/>
  <c r="D1847" i="7" s="1"/>
  <c r="Y1847" i="7" s="1"/>
  <c r="U1835" i="7"/>
  <c r="C1835" i="7" s="1"/>
  <c r="D1835" i="7" s="1"/>
  <c r="Y1835" i="7" s="1"/>
  <c r="U1823" i="7"/>
  <c r="C1823" i="7" s="1"/>
  <c r="D1823" i="7" s="1"/>
  <c r="Y1823" i="7" s="1"/>
  <c r="U1811" i="7"/>
  <c r="C1811" i="7" s="1"/>
  <c r="D1811" i="7" s="1"/>
  <c r="Y1811" i="7" s="1"/>
  <c r="U1799" i="7"/>
  <c r="C1799" i="7" s="1"/>
  <c r="D1799" i="7" s="1"/>
  <c r="Y1799" i="7" s="1"/>
  <c r="U1787" i="7"/>
  <c r="C1787" i="7" s="1"/>
  <c r="D1787" i="7" s="1"/>
  <c r="Y1787" i="7" s="1"/>
  <c r="U1775" i="7"/>
  <c r="C1775" i="7" s="1"/>
  <c r="D1775" i="7" s="1"/>
  <c r="Y1775" i="7" s="1"/>
  <c r="U1913" i="7"/>
  <c r="U1901" i="7"/>
  <c r="C1901" i="7" s="1"/>
  <c r="D1901" i="7" s="1"/>
  <c r="Y1901" i="7" s="1"/>
  <c r="U1889" i="7"/>
  <c r="U1877" i="7"/>
  <c r="C1877" i="7" s="1"/>
  <c r="D1877" i="7" s="1"/>
  <c r="Y1877" i="7" s="1"/>
  <c r="U1865" i="7"/>
  <c r="U1853" i="7"/>
  <c r="U1841" i="7"/>
  <c r="C1841" i="7" s="1"/>
  <c r="D1841" i="7" s="1"/>
  <c r="Y1841" i="7" s="1"/>
  <c r="U1829" i="7"/>
  <c r="C1829" i="7" s="1"/>
  <c r="D1829" i="7" s="1"/>
  <c r="Y1829" i="7" s="1"/>
  <c r="U1817" i="7"/>
  <c r="U1805" i="7"/>
  <c r="U1793" i="7"/>
  <c r="U1781" i="7"/>
  <c r="U1769" i="7"/>
  <c r="U1894" i="7"/>
  <c r="U1882" i="7"/>
  <c r="C1882" i="7" s="1"/>
  <c r="D1882" i="7" s="1"/>
  <c r="Y1882" i="7" s="1"/>
  <c r="U1870" i="7"/>
  <c r="U1858" i="7"/>
  <c r="U1774" i="7"/>
  <c r="U1902" i="7"/>
  <c r="C1902" i="7" s="1"/>
  <c r="D1902" i="7" s="1"/>
  <c r="Y1902" i="7" s="1"/>
  <c r="U1890" i="7"/>
  <c r="U1878" i="7"/>
  <c r="C1878" i="7" s="1"/>
  <c r="D1878" i="7" s="1"/>
  <c r="Y1878" i="7" s="1"/>
  <c r="U1866" i="7"/>
  <c r="C1866" i="7" s="1"/>
  <c r="D1866" i="7" s="1"/>
  <c r="Y1866" i="7" s="1"/>
  <c r="U1854" i="7"/>
  <c r="U1842" i="7"/>
  <c r="U1830" i="7"/>
  <c r="C1830" i="7" s="1"/>
  <c r="D1830" i="7" s="1"/>
  <c r="Y1830" i="7" s="1"/>
  <c r="U1818" i="7"/>
  <c r="U1806" i="7"/>
  <c r="U1794" i="7"/>
  <c r="C1794" i="7" s="1"/>
  <c r="D1794" i="7" s="1"/>
  <c r="Y1794" i="7" s="1"/>
  <c r="U1782" i="7"/>
  <c r="U1770" i="7"/>
  <c r="C1770" i="7" s="1"/>
  <c r="D1770" i="7" s="1"/>
  <c r="Y1770" i="7" s="1"/>
  <c r="U1912" i="7"/>
  <c r="U1900" i="7"/>
  <c r="U1864" i="7"/>
  <c r="U1828" i="7"/>
  <c r="U1804" i="7"/>
  <c r="U1780" i="7"/>
  <c r="U1888" i="7"/>
  <c r="U1876" i="7"/>
  <c r="U1852" i="7"/>
  <c r="U1840" i="7"/>
  <c r="U1816" i="7"/>
  <c r="U1768" i="7"/>
  <c r="U1857" i="7"/>
  <c r="U1792" i="7"/>
  <c r="U1905" i="7"/>
  <c r="U1893" i="7"/>
  <c r="U1881" i="7"/>
  <c r="C1881" i="7" s="1"/>
  <c r="D1881" i="7" s="1"/>
  <c r="Y1881" i="7" s="1"/>
  <c r="U1845" i="7"/>
  <c r="C1845" i="7" s="1"/>
  <c r="D1845" i="7" s="1"/>
  <c r="Y1845" i="7" s="1"/>
  <c r="U1833" i="7"/>
  <c r="U1821" i="7"/>
  <c r="U1809" i="7"/>
  <c r="C1809" i="7" s="1"/>
  <c r="D1809" i="7" s="1"/>
  <c r="Y1809" i="7" s="1"/>
  <c r="U1797" i="7"/>
  <c r="U1785" i="7"/>
  <c r="U1773" i="7"/>
  <c r="C1773" i="7" s="1"/>
  <c r="D1773" i="7" s="1"/>
  <c r="Y1773" i="7" s="1"/>
  <c r="U1869" i="7"/>
  <c r="U1766" i="7"/>
  <c r="U1904" i="7"/>
  <c r="C1904" i="7" s="1"/>
  <c r="D1904" i="7" s="1"/>
  <c r="Y1904" i="7" s="1"/>
  <c r="U1892" i="7"/>
  <c r="C1892" i="7" s="1"/>
  <c r="D1892" i="7" s="1"/>
  <c r="Y1892" i="7" s="1"/>
  <c r="U1880" i="7"/>
  <c r="C1880" i="7" s="1"/>
  <c r="D1880" i="7" s="1"/>
  <c r="Y1880" i="7" s="1"/>
  <c r="U1868" i="7"/>
  <c r="C1868" i="7" s="1"/>
  <c r="D1868" i="7" s="1"/>
  <c r="Y1868" i="7" s="1"/>
  <c r="U1856" i="7"/>
  <c r="C1856" i="7" s="1"/>
  <c r="D1856" i="7" s="1"/>
  <c r="Y1856" i="7" s="1"/>
  <c r="U1844" i="7"/>
  <c r="U1832" i="7"/>
  <c r="C1832" i="7" s="1"/>
  <c r="D1832" i="7" s="1"/>
  <c r="Y1832" i="7" s="1"/>
  <c r="U1820" i="7"/>
  <c r="C1820" i="7" s="1"/>
  <c r="D1820" i="7" s="1"/>
  <c r="Y1820" i="7" s="1"/>
  <c r="U1808" i="7"/>
  <c r="C1808" i="7" s="1"/>
  <c r="D1808" i="7" s="1"/>
  <c r="Y1808" i="7" s="1"/>
  <c r="U1796" i="7"/>
  <c r="C1796" i="7" s="1"/>
  <c r="D1796" i="7" s="1"/>
  <c r="Y1796" i="7" s="1"/>
  <c r="U1784" i="7"/>
  <c r="C1784" i="7" s="1"/>
  <c r="D1784" i="7" s="1"/>
  <c r="Y1784" i="7" s="1"/>
  <c r="U1772" i="7"/>
  <c r="C1772" i="7" s="1"/>
  <c r="D1772" i="7" s="1"/>
  <c r="Y1772" i="7" s="1"/>
  <c r="U1909" i="7"/>
  <c r="U1897" i="7"/>
  <c r="U1885" i="7"/>
  <c r="U1873" i="7"/>
  <c r="U1861" i="7"/>
  <c r="U1849" i="7"/>
  <c r="U1837" i="7"/>
  <c r="U1825" i="7"/>
  <c r="U1813" i="7"/>
  <c r="U1801" i="7"/>
  <c r="U1789" i="7"/>
  <c r="C1789" i="7" s="1"/>
  <c r="D1789" i="7" s="1"/>
  <c r="Y1789" i="7" s="1"/>
  <c r="U1777" i="7"/>
  <c r="U1765" i="7"/>
  <c r="U3" i="7"/>
  <c r="U1910" i="7"/>
  <c r="U1898" i="7"/>
  <c r="U1886" i="7"/>
  <c r="U1874" i="7"/>
  <c r="U1862" i="7"/>
  <c r="U1850" i="7"/>
  <c r="U1838" i="7"/>
  <c r="U1826" i="7"/>
  <c r="U1814" i="7"/>
  <c r="U1802" i="7"/>
  <c r="U1790" i="7"/>
  <c r="U1778" i="7"/>
  <c r="U4" i="7"/>
  <c r="V3" i="7"/>
  <c r="D7" i="8"/>
  <c r="D14" i="8" s="1"/>
  <c r="C5" i="1"/>
  <c r="C13" i="1" s="1"/>
  <c r="I6" i="8"/>
  <c r="D11" i="8"/>
  <c r="G4" i="1"/>
  <c r="J7" i="1"/>
  <c r="C10" i="2"/>
  <c r="C7" i="2"/>
  <c r="H11" i="1"/>
  <c r="C10" i="1"/>
  <c r="G3" i="1" s="1"/>
  <c r="G22" i="3" l="1"/>
  <c r="Z850" i="11"/>
  <c r="AA850" i="11" s="1"/>
  <c r="AM850" i="11" s="1"/>
  <c r="Y1047" i="11" a="1"/>
  <c r="Y1047" i="11" s="1"/>
  <c r="Z1047" i="11"/>
  <c r="AA1047" i="11" s="1"/>
  <c r="AM1047" i="11" s="1"/>
  <c r="Y428" i="11" a="1"/>
  <c r="Y428" i="11" s="1"/>
  <c r="Z428" i="11"/>
  <c r="AA428" i="11" s="1"/>
  <c r="AM428" i="11" s="1"/>
  <c r="Y1189" i="11" a="1"/>
  <c r="Y1189" i="11" s="1"/>
  <c r="Z1189" i="11"/>
  <c r="AA1189" i="11" s="1"/>
  <c r="AM1189" i="11" s="1"/>
  <c r="Y162" i="11" a="1"/>
  <c r="Y162" i="11" s="1"/>
  <c r="Z162" i="11"/>
  <c r="AA162" i="11" s="1"/>
  <c r="AM162" i="11" s="1"/>
  <c r="Z1084" i="11"/>
  <c r="AA1084" i="11" s="1"/>
  <c r="AM1084" i="11" s="1"/>
  <c r="Y1084" i="11" a="1"/>
  <c r="Y1084" i="11" s="1"/>
  <c r="Y1212" i="11" a="1"/>
  <c r="Y1212" i="11" s="1"/>
  <c r="Z1212" i="11"/>
  <c r="AA1212" i="11" s="1"/>
  <c r="AM1212" i="11" s="1"/>
  <c r="Y1340" i="11" a="1"/>
  <c r="Y1340" i="11" s="1"/>
  <c r="Z1340" i="11"/>
  <c r="AA1340" i="11" s="1"/>
  <c r="AM1340" i="11" s="1"/>
  <c r="Y1468" i="11" a="1"/>
  <c r="Y1468" i="11" s="1"/>
  <c r="Z1468" i="11"/>
  <c r="AA1468" i="11" s="1"/>
  <c r="AM1468" i="11" s="1"/>
  <c r="Y113" i="11" a="1"/>
  <c r="Y113" i="11" s="1"/>
  <c r="Z113" i="11"/>
  <c r="AA113" i="11" s="1"/>
  <c r="AM113" i="11" s="1"/>
  <c r="Y281" i="11" a="1"/>
  <c r="Y281" i="11" s="1"/>
  <c r="Z281" i="11"/>
  <c r="AA281" i="11" s="1"/>
  <c r="AM281" i="11" s="1"/>
  <c r="Y692" i="11" a="1"/>
  <c r="Y692" i="11" s="1"/>
  <c r="Z692" i="11"/>
  <c r="AA692" i="11" s="1"/>
  <c r="AM692" i="11" s="1"/>
  <c r="Z420" i="11"/>
  <c r="AA420" i="11" s="1"/>
  <c r="AM420" i="11" s="1"/>
  <c r="Y420" i="11" a="1"/>
  <c r="Y420" i="11" s="1"/>
  <c r="Y1474" i="11" a="1"/>
  <c r="Y1474" i="11" s="1"/>
  <c r="Z1474" i="11"/>
  <c r="AA1474" i="11" s="1"/>
  <c r="AM1474" i="11" s="1"/>
  <c r="Y95" i="11" a="1"/>
  <c r="Y95" i="11" s="1"/>
  <c r="Z95" i="11"/>
  <c r="AA95" i="11" s="1"/>
  <c r="AM95" i="11" s="1"/>
  <c r="Y247" i="11" a="1"/>
  <c r="Y247" i="11" s="1"/>
  <c r="Z247" i="11"/>
  <c r="AA247" i="11" s="1"/>
  <c r="AM247" i="11" s="1"/>
  <c r="Y383" i="11" a="1"/>
  <c r="Y383" i="11" s="1"/>
  <c r="Z383" i="11"/>
  <c r="AA383" i="11" s="1"/>
  <c r="AM383" i="11" s="1"/>
  <c r="Y511" i="11" a="1"/>
  <c r="Y511" i="11" s="1"/>
  <c r="Z511" i="11"/>
  <c r="AA511" i="11" s="1"/>
  <c r="AM511" i="11" s="1"/>
  <c r="Y84" i="11" a="1"/>
  <c r="Y84" i="11" s="1"/>
  <c r="Z84" i="11"/>
  <c r="AA84" i="11" s="1"/>
  <c r="AM84" i="11" s="1"/>
  <c r="Z132" i="11"/>
  <c r="AA132" i="11" s="1"/>
  <c r="AM132" i="11" s="1"/>
  <c r="Y132" i="11" a="1"/>
  <c r="Y132" i="11" s="1"/>
  <c r="Y1218" i="11" a="1"/>
  <c r="Y1218" i="11" s="1"/>
  <c r="Z1218" i="11"/>
  <c r="AA1218" i="11" s="1"/>
  <c r="AM1218" i="11" s="1"/>
  <c r="Y306" i="11" a="1"/>
  <c r="Y306" i="11" s="1"/>
  <c r="Z306" i="11"/>
  <c r="AA306" i="11" s="1"/>
  <c r="AM306" i="11" s="1"/>
  <c r="Y682" i="11" a="1"/>
  <c r="Y682" i="11" s="1"/>
  <c r="Z682" i="11"/>
  <c r="AA682" i="11" s="1"/>
  <c r="AM682" i="11" s="1"/>
  <c r="Y1360" i="11" a="1"/>
  <c r="Y1360" i="11" s="1"/>
  <c r="Z1360" i="11"/>
  <c r="AA1360" i="11" s="1"/>
  <c r="AM1360" i="11" s="1"/>
  <c r="Y1043" i="11" a="1"/>
  <c r="Y1043" i="11" s="1"/>
  <c r="Z1043" i="11"/>
  <c r="AA1043" i="11" s="1"/>
  <c r="AM1043" i="11" s="1"/>
  <c r="Y1171" i="11" a="1"/>
  <c r="Y1171" i="11" s="1"/>
  <c r="Z1171" i="11"/>
  <c r="AA1171" i="11" s="1"/>
  <c r="AM1171" i="11" s="1"/>
  <c r="Y1299" i="11" a="1"/>
  <c r="Y1299" i="11" s="1"/>
  <c r="Z1299" i="11"/>
  <c r="AA1299" i="11" s="1"/>
  <c r="AM1299" i="11" s="1"/>
  <c r="Y1491" i="11" a="1"/>
  <c r="Y1491" i="11" s="1"/>
  <c r="Z1491" i="11"/>
  <c r="AA1491" i="11" s="1"/>
  <c r="AM1491" i="11" s="1"/>
  <c r="Y112" i="11" a="1"/>
  <c r="Y112" i="11" s="1"/>
  <c r="Z112" i="11"/>
  <c r="AA112" i="11" s="1"/>
  <c r="AM112" i="11" s="1"/>
  <c r="Y240" i="11" a="1"/>
  <c r="Y240" i="11" s="1"/>
  <c r="Z240" i="11"/>
  <c r="AA240" i="11" s="1"/>
  <c r="AM240" i="11" s="1"/>
  <c r="Z368" i="11"/>
  <c r="AA368" i="11" s="1"/>
  <c r="AM368" i="11" s="1"/>
  <c r="Y368" i="11" a="1"/>
  <c r="Y368" i="11" s="1"/>
  <c r="Y1135" i="11" a="1"/>
  <c r="Y1135" i="11" s="1"/>
  <c r="Z1135" i="11"/>
  <c r="AA1135" i="11" s="1"/>
  <c r="AM1135" i="11" s="1"/>
  <c r="Y404" i="11" a="1"/>
  <c r="Y404" i="11" s="1"/>
  <c r="Z404" i="11"/>
  <c r="AA404" i="11" s="1"/>
  <c r="AM404" i="11" s="1"/>
  <c r="Z34" i="11"/>
  <c r="AA34" i="11" s="1"/>
  <c r="AM34" i="11" s="1"/>
  <c r="Y34" i="11" a="1"/>
  <c r="Y34" i="11" s="1"/>
  <c r="Z458" i="11"/>
  <c r="AA458" i="11" s="1"/>
  <c r="AM458" i="11" s="1"/>
  <c r="Y458" i="11" a="1"/>
  <c r="Y458" i="11" s="1"/>
  <c r="Y1040" i="11" a="1"/>
  <c r="Y1040" i="11" s="1"/>
  <c r="Z1040" i="11"/>
  <c r="AA1040" i="11" s="1"/>
  <c r="AM1040" i="11" s="1"/>
  <c r="Y1408" i="11" a="1"/>
  <c r="Y1408" i="11" s="1"/>
  <c r="Z1408" i="11"/>
  <c r="AA1408" i="11" s="1"/>
  <c r="AM1408" i="11" s="1"/>
  <c r="Y1118" i="11" a="1"/>
  <c r="Y1118" i="11" s="1"/>
  <c r="Z1118" i="11"/>
  <c r="AA1118" i="11" s="1"/>
  <c r="AM1118" i="11" s="1"/>
  <c r="Z1246" i="11"/>
  <c r="AA1246" i="11" s="1"/>
  <c r="AM1246" i="11" s="1"/>
  <c r="Y1246" i="11" a="1"/>
  <c r="Y1246" i="11" s="1"/>
  <c r="X1494" i="11"/>
  <c r="AL1494" i="11"/>
  <c r="Y348" i="11" a="1"/>
  <c r="Y348" i="11" s="1"/>
  <c r="Z348" i="11"/>
  <c r="AA348" i="11" s="1"/>
  <c r="AM348" i="11" s="1"/>
  <c r="Y1346" i="11" a="1"/>
  <c r="Y1346" i="11" s="1"/>
  <c r="Z1346" i="11"/>
  <c r="AA1346" i="11" s="1"/>
  <c r="AM1346" i="11" s="1"/>
  <c r="Y90" i="11" a="1"/>
  <c r="Y90" i="11" s="1"/>
  <c r="Z90" i="11"/>
  <c r="AA90" i="11" s="1"/>
  <c r="AM90" i="11" s="1"/>
  <c r="Y1052" i="11" a="1"/>
  <c r="Y1052" i="11" s="1"/>
  <c r="Z1052" i="11"/>
  <c r="AA1052" i="11" s="1"/>
  <c r="AM1052" i="11" s="1"/>
  <c r="Y1180" i="11" a="1"/>
  <c r="Y1180" i="11" s="1"/>
  <c r="Z1180" i="11"/>
  <c r="AA1180" i="11" s="1"/>
  <c r="AM1180" i="11" s="1"/>
  <c r="Y1308" i="11" a="1"/>
  <c r="Y1308" i="11" s="1"/>
  <c r="Z1308" i="11"/>
  <c r="AA1308" i="11" s="1"/>
  <c r="AM1308" i="11" s="1"/>
  <c r="Y1436" i="11" a="1"/>
  <c r="Y1436" i="11" s="1"/>
  <c r="Z1436" i="11"/>
  <c r="AA1436" i="11" s="1"/>
  <c r="AM1436" i="11" s="1"/>
  <c r="Y73" i="11" a="1"/>
  <c r="Y73" i="11" s="1"/>
  <c r="Z73" i="11"/>
  <c r="AA73" i="11" s="1"/>
  <c r="AM73" i="11" s="1"/>
  <c r="Y241" i="11" a="1"/>
  <c r="Y241" i="11" s="1"/>
  <c r="Z241" i="11"/>
  <c r="AA241" i="11" s="1"/>
  <c r="AM241" i="11" s="1"/>
  <c r="Y316" i="11" a="1"/>
  <c r="Y316" i="11" s="1"/>
  <c r="Z316" i="11"/>
  <c r="AA316" i="11" s="1"/>
  <c r="AM316" i="11" s="1"/>
  <c r="Y836" i="11" a="1"/>
  <c r="Y836" i="11" s="1"/>
  <c r="Z836" i="11"/>
  <c r="AA836" i="11" s="1"/>
  <c r="AM836" i="11" s="1"/>
  <c r="Z1434" i="11"/>
  <c r="AA1434" i="11" s="1"/>
  <c r="AM1434" i="11" s="1"/>
  <c r="Y1434" i="11" a="1"/>
  <c r="Y1434" i="11" s="1"/>
  <c r="Y63" i="11" a="1"/>
  <c r="Y63" i="11" s="1"/>
  <c r="Z63" i="11"/>
  <c r="AA63" i="11" s="1"/>
  <c r="AM63" i="11" s="1"/>
  <c r="Z207" i="11"/>
  <c r="AA207" i="11" s="1"/>
  <c r="AM207" i="11" s="1"/>
  <c r="Y207" i="11" a="1"/>
  <c r="Y207" i="11" s="1"/>
  <c r="Y351" i="11" a="1"/>
  <c r="Y351" i="11" s="1"/>
  <c r="Z351" i="11"/>
  <c r="AA351" i="11" s="1"/>
  <c r="AM351" i="11" s="1"/>
  <c r="Z479" i="11"/>
  <c r="AA479" i="11" s="1"/>
  <c r="AM479" i="11" s="1"/>
  <c r="Y479" i="11" a="1"/>
  <c r="Y479" i="11" s="1"/>
  <c r="Y604" i="11" a="1"/>
  <c r="Y604" i="11" s="1"/>
  <c r="Z604" i="11"/>
  <c r="AA604" i="11" s="1"/>
  <c r="AM604" i="11" s="1"/>
  <c r="Y28" i="11" a="1"/>
  <c r="Y28" i="11" s="1"/>
  <c r="Z28" i="11"/>
  <c r="AA28" i="11" s="1"/>
  <c r="AM28" i="11" s="1"/>
  <c r="Y1138" i="11" a="1"/>
  <c r="Y1138" i="11" s="1"/>
  <c r="Z1138" i="11"/>
  <c r="AA1138" i="11" s="1"/>
  <c r="AM1138" i="11" s="1"/>
  <c r="Y74" i="11" a="1"/>
  <c r="Y74" i="11" s="1"/>
  <c r="Z74" i="11"/>
  <c r="AA74" i="11" s="1"/>
  <c r="AM74" i="11" s="1"/>
  <c r="Z586" i="11"/>
  <c r="AA586" i="11" s="1"/>
  <c r="AM586" i="11" s="1"/>
  <c r="Y586" i="11" a="1"/>
  <c r="Y586" i="11" s="1"/>
  <c r="Y1288" i="11" a="1"/>
  <c r="Y1288" i="11" s="1"/>
  <c r="Z1288" i="11"/>
  <c r="AA1288" i="11" s="1"/>
  <c r="AM1288" i="11" s="1"/>
  <c r="Y14" i="11" a="1"/>
  <c r="Y14" i="11" s="1"/>
  <c r="Z14" i="11"/>
  <c r="AA14" i="11" s="1"/>
  <c r="AM14" i="11" s="1"/>
  <c r="Y1139" i="11" a="1"/>
  <c r="Y1139" i="11" s="1"/>
  <c r="Z1139" i="11"/>
  <c r="AA1139" i="11" s="1"/>
  <c r="AM1139" i="11" s="1"/>
  <c r="Y1267" i="11" a="1"/>
  <c r="Y1267" i="11" s="1"/>
  <c r="Z1267" i="11"/>
  <c r="AA1267" i="11" s="1"/>
  <c r="AM1267" i="11" s="1"/>
  <c r="Y1459" i="11" a="1"/>
  <c r="Y1459" i="11" s="1"/>
  <c r="Z1459" i="11"/>
  <c r="AA1459" i="11" s="1"/>
  <c r="AM1459" i="11" s="1"/>
  <c r="Y80" i="11" a="1"/>
  <c r="Y80" i="11" s="1"/>
  <c r="Z80" i="11"/>
  <c r="AA80" i="11" s="1"/>
  <c r="AM80" i="11" s="1"/>
  <c r="Y208" i="11" a="1"/>
  <c r="Y208" i="11" s="1"/>
  <c r="Z208" i="11"/>
  <c r="AA208" i="11" s="1"/>
  <c r="AM208" i="11" s="1"/>
  <c r="Y336" i="11" a="1"/>
  <c r="Y336" i="11" s="1"/>
  <c r="Z336" i="11"/>
  <c r="AA336" i="11" s="1"/>
  <c r="AM336" i="11" s="1"/>
  <c r="Z480" i="11"/>
  <c r="AA480" i="11" s="1"/>
  <c r="AM480" i="11" s="1"/>
  <c r="Y480" i="11" a="1"/>
  <c r="Y480" i="11" s="1"/>
  <c r="Z324" i="11"/>
  <c r="AA324" i="11" s="1"/>
  <c r="AM324" i="11" s="1"/>
  <c r="Y324" i="11" a="1"/>
  <c r="Y324" i="11" s="1"/>
  <c r="Z1261" i="11"/>
  <c r="AA1261" i="11" s="1"/>
  <c r="AM1261" i="11" s="1"/>
  <c r="Y1261" i="11" a="1"/>
  <c r="Y1261" i="11" s="1"/>
  <c r="Z394" i="11"/>
  <c r="AA394" i="11" s="1"/>
  <c r="AM394" i="11" s="1"/>
  <c r="Y394" i="11" a="1"/>
  <c r="Y394" i="11" s="1"/>
  <c r="Y722" i="11" a="1"/>
  <c r="Y722" i="11" s="1"/>
  <c r="Z722" i="11"/>
  <c r="AA722" i="11" s="1"/>
  <c r="AM722" i="11" s="1"/>
  <c r="Y1344" i="11" a="1"/>
  <c r="Y1344" i="11" s="1"/>
  <c r="Z1344" i="11"/>
  <c r="AA1344" i="11" s="1"/>
  <c r="AM1344" i="11" s="1"/>
  <c r="Z1086" i="11"/>
  <c r="AA1086" i="11" s="1"/>
  <c r="AM1086" i="11" s="1"/>
  <c r="Y1086" i="11" a="1"/>
  <c r="Y1086" i="11" s="1"/>
  <c r="Y1214" i="11" a="1"/>
  <c r="Y1214" i="11" s="1"/>
  <c r="Z1214" i="11"/>
  <c r="AA1214" i="11" s="1"/>
  <c r="AM1214" i="11" s="1"/>
  <c r="X1430" i="11"/>
  <c r="AL1430" i="11"/>
  <c r="Y107" i="11" a="1"/>
  <c r="Y107" i="11" s="1"/>
  <c r="Z107" i="11"/>
  <c r="AA107" i="11" s="1"/>
  <c r="AM107" i="11" s="1"/>
  <c r="Z275" i="11"/>
  <c r="AA275" i="11" s="1"/>
  <c r="AM275" i="11" s="1"/>
  <c r="Y275" i="11" a="1"/>
  <c r="Y275" i="11" s="1"/>
  <c r="Z419" i="11"/>
  <c r="AA419" i="11" s="1"/>
  <c r="AM419" i="11" s="1"/>
  <c r="Y419" i="11" a="1"/>
  <c r="Y419" i="11" s="1"/>
  <c r="Y547" i="11" a="1"/>
  <c r="Y547" i="11" s="1"/>
  <c r="Z547" i="11"/>
  <c r="AA547" i="11" s="1"/>
  <c r="AM547" i="11" s="1"/>
  <c r="Z683" i="11"/>
  <c r="AA683" i="11" s="1"/>
  <c r="AM683" i="11" s="1"/>
  <c r="Y683" i="11" a="1"/>
  <c r="Y683" i="11" s="1"/>
  <c r="Y811" i="11" a="1"/>
  <c r="Y811" i="11" s="1"/>
  <c r="Z811" i="11"/>
  <c r="AA811" i="11" s="1"/>
  <c r="AM811" i="11" s="1"/>
  <c r="Z939" i="11"/>
  <c r="AA939" i="11" s="1"/>
  <c r="AM939" i="11" s="1"/>
  <c r="Y939" i="11" a="1"/>
  <c r="Y939" i="11" s="1"/>
  <c r="Y284" i="11" a="1"/>
  <c r="Y284" i="11" s="1"/>
  <c r="Z284" i="11"/>
  <c r="AA284" i="11" s="1"/>
  <c r="AM284" i="11" s="1"/>
  <c r="Y1282" i="11" a="1"/>
  <c r="Y1282" i="11" s="1"/>
  <c r="Z1282" i="11"/>
  <c r="AA1282" i="11" s="1"/>
  <c r="AM1282" i="11" s="1"/>
  <c r="Z18" i="11"/>
  <c r="AA18" i="11" s="1"/>
  <c r="AM18" i="11" s="1"/>
  <c r="Y18" i="11" a="1"/>
  <c r="Y18" i="11" s="1"/>
  <c r="Y594" i="11" a="1"/>
  <c r="Y594" i="11" s="1"/>
  <c r="Z594" i="11"/>
  <c r="AA594" i="11" s="1"/>
  <c r="AM594" i="11" s="1"/>
  <c r="Z1304" i="11"/>
  <c r="AA1304" i="11" s="1"/>
  <c r="AM1304" i="11" s="1"/>
  <c r="Y1304" i="11" a="1"/>
  <c r="Y1304" i="11" s="1"/>
  <c r="Z1081" i="11"/>
  <c r="AA1081" i="11" s="1"/>
  <c r="AM1081" i="11" s="1"/>
  <c r="Y1081" i="11" a="1"/>
  <c r="Y1081" i="11" s="1"/>
  <c r="X1337" i="11"/>
  <c r="AL1337" i="11"/>
  <c r="Y102" i="11" a="1"/>
  <c r="Y102" i="11" s="1"/>
  <c r="Z102" i="11"/>
  <c r="AA102" i="11" s="1"/>
  <c r="AM102" i="11" s="1"/>
  <c r="Y230" i="11" a="1"/>
  <c r="Y230" i="11" s="1"/>
  <c r="Z230" i="11"/>
  <c r="AA230" i="11" s="1"/>
  <c r="AM230" i="11" s="1"/>
  <c r="Z358" i="11"/>
  <c r="AA358" i="11" s="1"/>
  <c r="AM358" i="11" s="1"/>
  <c r="Y358" i="11" a="1"/>
  <c r="Y358" i="11" s="1"/>
  <c r="Z486" i="11"/>
  <c r="AA486" i="11" s="1"/>
  <c r="AM486" i="11" s="1"/>
  <c r="Y486" i="11" a="1"/>
  <c r="Y486" i="11" s="1"/>
  <c r="X1375" i="11"/>
  <c r="AL1375" i="11"/>
  <c r="Y834" i="11" a="1"/>
  <c r="Y834" i="11" s="1"/>
  <c r="Z834" i="11"/>
  <c r="AA834" i="11" s="1"/>
  <c r="AM834" i="11" s="1"/>
  <c r="X489" i="11"/>
  <c r="AL489" i="11"/>
  <c r="X753" i="11"/>
  <c r="AL753" i="11"/>
  <c r="X1485" i="11"/>
  <c r="AL1485" i="11"/>
  <c r="X807" i="11"/>
  <c r="AL807" i="11"/>
  <c r="X1502" i="11"/>
  <c r="AL1502" i="11"/>
  <c r="X1345" i="11"/>
  <c r="AL1345" i="11"/>
  <c r="X1319" i="11"/>
  <c r="AL1319" i="11"/>
  <c r="Y770" i="11" a="1"/>
  <c r="Y770" i="11" s="1"/>
  <c r="Z770" i="11"/>
  <c r="AA770" i="11" s="1"/>
  <c r="AM770" i="11" s="1"/>
  <c r="X433" i="11"/>
  <c r="AL433" i="11"/>
  <c r="X697" i="11"/>
  <c r="AL697" i="11"/>
  <c r="X1429" i="11"/>
  <c r="AL1429" i="11"/>
  <c r="X751" i="11"/>
  <c r="AL751" i="11"/>
  <c r="Y124" i="11" a="1"/>
  <c r="Y124" i="11" s="1"/>
  <c r="Z124" i="11"/>
  <c r="AA124" i="11" s="1"/>
  <c r="AM124" i="11" s="1"/>
  <c r="Y1274" i="11" a="1"/>
  <c r="Y1274" i="11" s="1"/>
  <c r="Z1274" i="11"/>
  <c r="AA1274" i="11" s="1"/>
  <c r="AM1274" i="11" s="1"/>
  <c r="Z1389" i="11"/>
  <c r="AA1389" i="11" s="1"/>
  <c r="AM1389" i="11" s="1"/>
  <c r="Y1389" i="11" a="1"/>
  <c r="Y1389" i="11" s="1"/>
  <c r="Z1028" i="11"/>
  <c r="AA1028" i="11" s="1"/>
  <c r="AM1028" i="11" s="1"/>
  <c r="Y1028" i="11" a="1"/>
  <c r="Y1028" i="11" s="1"/>
  <c r="Y1156" i="11" a="1"/>
  <c r="Y1156" i="11" s="1"/>
  <c r="Z1156" i="11"/>
  <c r="AA1156" i="11" s="1"/>
  <c r="AM1156" i="11" s="1"/>
  <c r="Y1284" i="11" a="1"/>
  <c r="Y1284" i="11" s="1"/>
  <c r="Z1284" i="11"/>
  <c r="AA1284" i="11" s="1"/>
  <c r="AM1284" i="11" s="1"/>
  <c r="Y1412" i="11" a="1"/>
  <c r="Y1412" i="11" s="1"/>
  <c r="Z1412" i="11"/>
  <c r="AA1412" i="11" s="1"/>
  <c r="AM1412" i="11" s="1"/>
  <c r="Z49" i="11"/>
  <c r="AA49" i="11" s="1"/>
  <c r="AM49" i="11" s="1"/>
  <c r="Y49" i="11" a="1"/>
  <c r="Y49" i="11" s="1"/>
  <c r="Z217" i="11"/>
  <c r="AA217" i="11" s="1"/>
  <c r="AM217" i="11" s="1"/>
  <c r="Y217" i="11" a="1"/>
  <c r="Y217" i="11" s="1"/>
  <c r="Z361" i="11"/>
  <c r="AA361" i="11" s="1"/>
  <c r="AM361" i="11" s="1"/>
  <c r="Y361" i="11" a="1"/>
  <c r="Y361" i="11" s="1"/>
  <c r="Y812" i="11" a="1"/>
  <c r="Y812" i="11" s="1"/>
  <c r="Z812" i="11"/>
  <c r="AA812" i="11" s="1"/>
  <c r="AM812" i="11" s="1"/>
  <c r="Y1402" i="11" a="1"/>
  <c r="Y1402" i="11" s="1"/>
  <c r="Z1402" i="11"/>
  <c r="AA1402" i="11" s="1"/>
  <c r="AM1402" i="11" s="1"/>
  <c r="Y39" i="11" a="1"/>
  <c r="Y39" i="11" s="1"/>
  <c r="Z39" i="11"/>
  <c r="AA39" i="11" s="1"/>
  <c r="AM39" i="11" s="1"/>
  <c r="Y183" i="11" a="1"/>
  <c r="Y183" i="11" s="1"/>
  <c r="Z183" i="11"/>
  <c r="AA183" i="11" s="1"/>
  <c r="AM183" i="11" s="1"/>
  <c r="Y319" i="11" a="1"/>
  <c r="Y319" i="11" s="1"/>
  <c r="Z319" i="11"/>
  <c r="AA319" i="11" s="1"/>
  <c r="AM319" i="11" s="1"/>
  <c r="Y455" i="11" a="1"/>
  <c r="Y455" i="11" s="1"/>
  <c r="Z455" i="11"/>
  <c r="AA455" i="11" s="1"/>
  <c r="AM455" i="11" s="1"/>
  <c r="Y204" i="11" a="1"/>
  <c r="Y204" i="11" s="1"/>
  <c r="Z204" i="11"/>
  <c r="AA204" i="11" s="1"/>
  <c r="AM204" i="11" s="1"/>
  <c r="Y1031" i="11" a="1"/>
  <c r="Y1031" i="11" s="1"/>
  <c r="Z1031" i="11"/>
  <c r="AA1031" i="11" s="1"/>
  <c r="AM1031" i="11" s="1"/>
  <c r="Z1058" i="11"/>
  <c r="AA1058" i="11" s="1"/>
  <c r="AM1058" i="11" s="1"/>
  <c r="Y1058" i="11" a="1"/>
  <c r="Y1058" i="11" s="1"/>
  <c r="Z1325" i="11"/>
  <c r="AA1325" i="11" s="1"/>
  <c r="AM1325" i="11" s="1"/>
  <c r="Y1325" i="11" a="1"/>
  <c r="Y1325" i="11" s="1"/>
  <c r="Y538" i="11" a="1"/>
  <c r="Y538" i="11" s="1"/>
  <c r="Z538" i="11"/>
  <c r="AA538" i="11" s="1"/>
  <c r="AM538" i="11" s="1"/>
  <c r="Y1232" i="11" a="1"/>
  <c r="Y1232" i="11" s="1"/>
  <c r="Z1232" i="11"/>
  <c r="AA1232" i="11" s="1"/>
  <c r="AM1232" i="11" s="1"/>
  <c r="Z173" i="11"/>
  <c r="AA173" i="11" s="1"/>
  <c r="AM173" i="11" s="1"/>
  <c r="Y173" i="11" a="1"/>
  <c r="Y173" i="11" s="1"/>
  <c r="Z1115" i="11"/>
  <c r="AA1115" i="11" s="1"/>
  <c r="AM1115" i="11" s="1"/>
  <c r="Y1115" i="11" a="1"/>
  <c r="Y1115" i="11" s="1"/>
  <c r="Z1243" i="11"/>
  <c r="AA1243" i="11" s="1"/>
  <c r="AM1243" i="11" s="1"/>
  <c r="Y1243" i="11" a="1"/>
  <c r="Y1243" i="11" s="1"/>
  <c r="Z1371" i="11"/>
  <c r="AA1371" i="11" s="1"/>
  <c r="AM1371" i="11" s="1"/>
  <c r="Y1371" i="11" a="1"/>
  <c r="Y1371" i="11" s="1"/>
  <c r="Z56" i="11"/>
  <c r="AA56" i="11" s="1"/>
  <c r="AM56" i="11" s="1"/>
  <c r="Y56" i="11" a="1"/>
  <c r="Y56" i="11" s="1"/>
  <c r="Y184" i="11" a="1"/>
  <c r="Y184" i="11" s="1"/>
  <c r="Z184" i="11"/>
  <c r="AA184" i="11" s="1"/>
  <c r="AM184" i="11" s="1"/>
  <c r="Y312" i="11" a="1"/>
  <c r="Y312" i="11" s="1"/>
  <c r="Z312" i="11"/>
  <c r="AA312" i="11" s="1"/>
  <c r="AM312" i="11" s="1"/>
  <c r="Y456" i="11" a="1"/>
  <c r="Y456" i="11" s="1"/>
  <c r="Z456" i="11"/>
  <c r="AA456" i="11" s="1"/>
  <c r="AM456" i="11" s="1"/>
  <c r="Z228" i="11"/>
  <c r="AA228" i="11" s="1"/>
  <c r="AM228" i="11" s="1"/>
  <c r="Y228" i="11" a="1"/>
  <c r="Y228" i="11" s="1"/>
  <c r="Z1322" i="11"/>
  <c r="AA1322" i="11" s="1"/>
  <c r="AM1322" i="11" s="1"/>
  <c r="Y1322" i="11" a="1"/>
  <c r="Y1322" i="11" s="1"/>
  <c r="Z282" i="11"/>
  <c r="AA282" i="11" s="1"/>
  <c r="AM282" i="11" s="1"/>
  <c r="Y282" i="11" a="1"/>
  <c r="Y282" i="11" s="1"/>
  <c r="Y642" i="11" a="1"/>
  <c r="Y642" i="11" s="1"/>
  <c r="Z642" i="11"/>
  <c r="AA642" i="11" s="1"/>
  <c r="AM642" i="11" s="1"/>
  <c r="Y1280" i="11" a="1"/>
  <c r="Y1280" i="11" s="1"/>
  <c r="Z1280" i="11"/>
  <c r="AA1280" i="11" s="1"/>
  <c r="AM1280" i="11" s="1"/>
  <c r="Z1038" i="11"/>
  <c r="AA1038" i="11" s="1"/>
  <c r="AM1038" i="11" s="1"/>
  <c r="Y1038" i="11" a="1"/>
  <c r="Y1038" i="11" s="1"/>
  <c r="Z1190" i="11"/>
  <c r="AA1190" i="11" s="1"/>
  <c r="AM1190" i="11" s="1"/>
  <c r="Y1190" i="11" a="1"/>
  <c r="Y1190" i="11" s="1"/>
  <c r="Z139" i="11"/>
  <c r="AA139" i="11" s="1"/>
  <c r="AM139" i="11" s="1"/>
  <c r="Y139" i="11" a="1"/>
  <c r="Y139" i="11" s="1"/>
  <c r="Z323" i="11"/>
  <c r="AA323" i="11" s="1"/>
  <c r="AM323" i="11" s="1"/>
  <c r="Y323" i="11" a="1"/>
  <c r="Y323" i="11" s="1"/>
  <c r="Z451" i="11"/>
  <c r="AA451" i="11" s="1"/>
  <c r="AM451" i="11" s="1"/>
  <c r="Y451" i="11" a="1"/>
  <c r="Y451" i="11" s="1"/>
  <c r="Y587" i="11" a="1"/>
  <c r="Y587" i="11" s="1"/>
  <c r="Z587" i="11"/>
  <c r="AA587" i="11" s="1"/>
  <c r="AM587" i="11" s="1"/>
  <c r="Z715" i="11"/>
  <c r="AA715" i="11" s="1"/>
  <c r="AM715" i="11" s="1"/>
  <c r="Y715" i="11" a="1"/>
  <c r="Y715" i="11" s="1"/>
  <c r="Y843" i="11" a="1"/>
  <c r="Y843" i="11" s="1"/>
  <c r="Z843" i="11"/>
  <c r="AA843" i="11" s="1"/>
  <c r="AM843" i="11" s="1"/>
  <c r="Y971" i="11" a="1"/>
  <c r="Y971" i="11" s="1"/>
  <c r="Z971" i="11"/>
  <c r="AA971" i="11" s="1"/>
  <c r="AM971" i="11" s="1"/>
  <c r="Z484" i="11"/>
  <c r="AA484" i="11" s="1"/>
  <c r="AM484" i="11" s="1"/>
  <c r="Y484" i="11" a="1"/>
  <c r="Y484" i="11" s="1"/>
  <c r="Y1378" i="11" a="1"/>
  <c r="Y1378" i="11" s="1"/>
  <c r="Z1378" i="11"/>
  <c r="AA1378" i="11" s="1"/>
  <c r="AM1378" i="11" s="1"/>
  <c r="Z170" i="11"/>
  <c r="AA170" i="11" s="1"/>
  <c r="AM170" i="11" s="1"/>
  <c r="Y170" i="11" a="1"/>
  <c r="Y170" i="11" s="1"/>
  <c r="Y1024" i="11" a="1"/>
  <c r="Y1024" i="11" s="1"/>
  <c r="Z1024" i="11"/>
  <c r="AA1024" i="11" s="1"/>
  <c r="AM1024" i="11" s="1"/>
  <c r="Z1456" i="11"/>
  <c r="AA1456" i="11" s="1"/>
  <c r="AM1456" i="11" s="1"/>
  <c r="Y1456" i="11" a="1"/>
  <c r="Y1456" i="11" s="1"/>
  <c r="X1121" i="11"/>
  <c r="AL1121" i="11"/>
  <c r="X1401" i="11"/>
  <c r="AL1401" i="11"/>
  <c r="Y134" i="11" a="1"/>
  <c r="Y134" i="11" s="1"/>
  <c r="Z134" i="11"/>
  <c r="AA134" i="11" s="1"/>
  <c r="AM134" i="11" s="1"/>
  <c r="Z262" i="11"/>
  <c r="AA262" i="11" s="1"/>
  <c r="AM262" i="11" s="1"/>
  <c r="Y262" i="11" a="1"/>
  <c r="Y262" i="11" s="1"/>
  <c r="Z390" i="11"/>
  <c r="AA390" i="11" s="1"/>
  <c r="AM390" i="11" s="1"/>
  <c r="Y390" i="11" a="1"/>
  <c r="Y390" i="11" s="1"/>
  <c r="X1465" i="11"/>
  <c r="AL1465" i="11"/>
  <c r="X1439" i="11"/>
  <c r="AL1439" i="11"/>
  <c r="Y906" i="11" a="1"/>
  <c r="Y906" i="11" s="1"/>
  <c r="X561" i="11"/>
  <c r="AL561" i="11"/>
  <c r="X841" i="11"/>
  <c r="AL841" i="11"/>
  <c r="X615" i="11"/>
  <c r="AL615" i="11"/>
  <c r="X1302" i="11"/>
  <c r="AL1302" i="11"/>
  <c r="X1137" i="11"/>
  <c r="AL1137" i="11"/>
  <c r="X1409" i="11"/>
  <c r="AL1409" i="11"/>
  <c r="X1383" i="11"/>
  <c r="AL1383" i="11"/>
  <c r="Z842" i="11"/>
  <c r="AA842" i="11" s="1"/>
  <c r="AM842" i="11" s="1"/>
  <c r="Y842" i="11" a="1"/>
  <c r="Y842" i="11" s="1"/>
  <c r="X497" i="11"/>
  <c r="AL497" i="11"/>
  <c r="X761" i="11"/>
  <c r="AL761" i="11"/>
  <c r="X1493" i="11"/>
  <c r="AL1493" i="11"/>
  <c r="X815" i="11"/>
  <c r="AL815" i="11"/>
  <c r="Y364" i="11" a="1"/>
  <c r="Y364" i="11" s="1"/>
  <c r="Z364" i="11"/>
  <c r="AA364" i="11" s="1"/>
  <c r="AM364" i="11" s="1"/>
  <c r="Z1362" i="11"/>
  <c r="AA1362" i="11" s="1"/>
  <c r="AM1362" i="11" s="1"/>
  <c r="Y1362" i="11" a="1"/>
  <c r="Y1362" i="11" s="1"/>
  <c r="Z98" i="11"/>
  <c r="AA98" i="11" s="1"/>
  <c r="AM98" i="11" s="1"/>
  <c r="Y98" i="11" a="1"/>
  <c r="Y98" i="11" s="1"/>
  <c r="Y1060" i="11" a="1"/>
  <c r="Y1060" i="11" s="1"/>
  <c r="Z1060" i="11"/>
  <c r="AA1060" i="11" s="1"/>
  <c r="AM1060" i="11" s="1"/>
  <c r="Z1188" i="11"/>
  <c r="AA1188" i="11" s="1"/>
  <c r="AM1188" i="11" s="1"/>
  <c r="Y1188" i="11" a="1"/>
  <c r="Y1188" i="11" s="1"/>
  <c r="Y1316" i="11" a="1"/>
  <c r="Y1316" i="11" s="1"/>
  <c r="Z1316" i="11"/>
  <c r="AA1316" i="11" s="1"/>
  <c r="AM1316" i="11" s="1"/>
  <c r="Y1444" i="11" a="1"/>
  <c r="Y1444" i="11" s="1"/>
  <c r="Z1444" i="11"/>
  <c r="AA1444" i="11" s="1"/>
  <c r="AM1444" i="11" s="1"/>
  <c r="Z81" i="11"/>
  <c r="AA81" i="11" s="1"/>
  <c r="AM81" i="11" s="1"/>
  <c r="Y81" i="11" a="1"/>
  <c r="Y81" i="11" s="1"/>
  <c r="Z249" i="11"/>
  <c r="AA249" i="11" s="1"/>
  <c r="AM249" i="11" s="1"/>
  <c r="Y249" i="11" a="1"/>
  <c r="Y249" i="11" s="1"/>
  <c r="Y668" i="11" a="1"/>
  <c r="Y668" i="11" s="1"/>
  <c r="Z668" i="11"/>
  <c r="AA668" i="11" s="1"/>
  <c r="AM668" i="11" s="1"/>
  <c r="Y844" i="11" a="1"/>
  <c r="Y844" i="11" s="1"/>
  <c r="Z844" i="11"/>
  <c r="AA844" i="11" s="1"/>
  <c r="AM844" i="11" s="1"/>
  <c r="Y1442" i="11" a="1"/>
  <c r="Y1442" i="11" s="1"/>
  <c r="Z1442" i="11"/>
  <c r="AA1442" i="11" s="1"/>
  <c r="AM1442" i="11" s="1"/>
  <c r="Y71" i="11" a="1"/>
  <c r="Y71" i="11" s="1"/>
  <c r="Z71" i="11"/>
  <c r="AA71" i="11" s="1"/>
  <c r="AM71" i="11" s="1"/>
  <c r="Y215" i="11" a="1"/>
  <c r="Y215" i="11" s="1"/>
  <c r="Z215" i="11"/>
  <c r="AA215" i="11" s="1"/>
  <c r="AM215" i="11" s="1"/>
  <c r="Y359" i="11" a="1"/>
  <c r="Y359" i="11" s="1"/>
  <c r="Z359" i="11"/>
  <c r="AA359" i="11" s="1"/>
  <c r="AM359" i="11" s="1"/>
  <c r="Y487" i="11" a="1"/>
  <c r="Y487" i="11" s="1"/>
  <c r="Z487" i="11"/>
  <c r="AA487" i="11" s="1"/>
  <c r="AM487" i="11" s="1"/>
  <c r="Y660" i="11" a="1"/>
  <c r="Y660" i="11" s="1"/>
  <c r="Z660" i="11"/>
  <c r="AA660" i="11" s="1"/>
  <c r="AM660" i="11" s="1"/>
  <c r="Y52" i="11" a="1"/>
  <c r="Y52" i="11" s="1"/>
  <c r="Z52" i="11"/>
  <c r="AA52" i="11" s="1"/>
  <c r="AM52" i="11" s="1"/>
  <c r="Y1154" i="11" a="1"/>
  <c r="Y1154" i="11" s="1"/>
  <c r="Z1154" i="11"/>
  <c r="AA1154" i="11" s="1"/>
  <c r="AM1154" i="11" s="1"/>
  <c r="Y122" i="11" a="1"/>
  <c r="Y122" i="11" s="1"/>
  <c r="Z122" i="11"/>
  <c r="AA122" i="11" s="1"/>
  <c r="AM122" i="11" s="1"/>
  <c r="Y610" i="11" a="1"/>
  <c r="Y610" i="11" s="1"/>
  <c r="Z610" i="11"/>
  <c r="AA610" i="11" s="1"/>
  <c r="AM610" i="11" s="1"/>
  <c r="Y1296" i="11" a="1"/>
  <c r="Y1296" i="11" s="1"/>
  <c r="Z1296" i="11"/>
  <c r="AA1296" i="11" s="1"/>
  <c r="AM1296" i="11" s="1"/>
  <c r="Y1011" i="11" a="1"/>
  <c r="Y1011" i="11" s="1"/>
  <c r="Z1011" i="11"/>
  <c r="AA1011" i="11" s="1"/>
  <c r="AM1011" i="11" s="1"/>
  <c r="Y1147" i="11" a="1"/>
  <c r="Y1147" i="11" s="1"/>
  <c r="Z1147" i="11"/>
  <c r="AA1147" i="11" s="1"/>
  <c r="AM1147" i="11" s="1"/>
  <c r="Y1275" i="11" a="1"/>
  <c r="Y1275" i="11" s="1"/>
  <c r="Z1275" i="11"/>
  <c r="AA1275" i="11" s="1"/>
  <c r="AM1275" i="11" s="1"/>
  <c r="Y1467" i="11" a="1"/>
  <c r="Y1467" i="11" s="1"/>
  <c r="Z1467" i="11"/>
  <c r="AA1467" i="11" s="1"/>
  <c r="AM1467" i="11" s="1"/>
  <c r="Y88" i="11" a="1"/>
  <c r="Y88" i="11" s="1"/>
  <c r="Z88" i="11"/>
  <c r="AA88" i="11" s="1"/>
  <c r="AM88" i="11" s="1"/>
  <c r="Y216" i="11" a="1"/>
  <c r="Y216" i="11" s="1"/>
  <c r="Z216" i="11"/>
  <c r="AA216" i="11" s="1"/>
  <c r="AM216" i="11" s="1"/>
  <c r="Y344" i="11" a="1"/>
  <c r="Y344" i="11" s="1"/>
  <c r="Z344" i="11"/>
  <c r="AA344" i="11" s="1"/>
  <c r="AM344" i="11" s="1"/>
  <c r="Z1023" i="11"/>
  <c r="AA1023" i="11" s="1"/>
  <c r="AM1023" i="11" s="1"/>
  <c r="Y1023" i="11" a="1"/>
  <c r="Y1023" i="11" s="1"/>
  <c r="Y340" i="11" a="1"/>
  <c r="Y340" i="11" s="1"/>
  <c r="Z340" i="11"/>
  <c r="AA340" i="11" s="1"/>
  <c r="AM340" i="11" s="1"/>
  <c r="Y1269" i="11" a="1"/>
  <c r="Y1269" i="11" s="1"/>
  <c r="Z1269" i="11"/>
  <c r="AA1269" i="11" s="1"/>
  <c r="AM1269" i="11" s="1"/>
  <c r="Y426" i="11" a="1"/>
  <c r="Y426" i="11" s="1"/>
  <c r="Z426" i="11"/>
  <c r="AA426" i="11" s="1"/>
  <c r="AM426" i="11" s="1"/>
  <c r="Z906" i="11"/>
  <c r="AA906" i="11" s="1"/>
  <c r="AM906" i="11" s="1"/>
  <c r="X956" i="11"/>
  <c r="AL956" i="11"/>
  <c r="X1374" i="11"/>
  <c r="AL1374" i="11"/>
  <c r="Y83" i="11" a="1"/>
  <c r="Y83" i="11" s="1"/>
  <c r="Z83" i="11"/>
  <c r="AA83" i="11" s="1"/>
  <c r="AM83" i="11" s="1"/>
  <c r="Y251" i="11" a="1"/>
  <c r="Y251" i="11" s="1"/>
  <c r="Z251" i="11"/>
  <c r="AA251" i="11" s="1"/>
  <c r="AM251" i="11" s="1"/>
  <c r="Y395" i="11" a="1"/>
  <c r="Y395" i="11" s="1"/>
  <c r="Z395" i="11"/>
  <c r="AA395" i="11" s="1"/>
  <c r="AM395" i="11" s="1"/>
  <c r="Z523" i="11"/>
  <c r="AA523" i="11" s="1"/>
  <c r="AM523" i="11" s="1"/>
  <c r="Y523" i="11" a="1"/>
  <c r="Y523" i="11" s="1"/>
  <c r="Y659" i="11" a="1"/>
  <c r="Y659" i="11" s="1"/>
  <c r="Z659" i="11"/>
  <c r="AA659" i="11" s="1"/>
  <c r="AM659" i="11" s="1"/>
  <c r="Z787" i="11"/>
  <c r="AA787" i="11" s="1"/>
  <c r="AM787" i="11" s="1"/>
  <c r="Y787" i="11" a="1"/>
  <c r="Y787" i="11" s="1"/>
  <c r="Y915" i="11" a="1"/>
  <c r="Y915" i="11" s="1"/>
  <c r="Z915" i="11"/>
  <c r="AA915" i="11" s="1"/>
  <c r="AM915" i="11" s="1"/>
  <c r="Z68" i="11"/>
  <c r="AA68" i="11" s="1"/>
  <c r="AM68" i="11" s="1"/>
  <c r="Y68" i="11" a="1"/>
  <c r="Y68" i="11" s="1"/>
  <c r="Y1178" i="11" a="1"/>
  <c r="Y1178" i="11" s="1"/>
  <c r="Z1178" i="11"/>
  <c r="AA1178" i="11" s="1"/>
  <c r="AM1178" i="11" s="1"/>
  <c r="Y1317" i="11" a="1"/>
  <c r="Y1317" i="11" s="1"/>
  <c r="Z1317" i="11"/>
  <c r="AA1317" i="11" s="1"/>
  <c r="AM1317" i="11" s="1"/>
  <c r="Y450" i="11" a="1"/>
  <c r="Y450" i="11" s="1"/>
  <c r="Z450" i="11"/>
  <c r="AA450" i="11" s="1"/>
  <c r="AM450" i="11" s="1"/>
  <c r="Y1208" i="11" a="1"/>
  <c r="Y1208" i="11" s="1"/>
  <c r="Z1208" i="11"/>
  <c r="AA1208" i="11" s="1"/>
  <c r="AM1208" i="11" s="1"/>
  <c r="Z1033" i="11"/>
  <c r="AA1033" i="11" s="1"/>
  <c r="AM1033" i="11" s="1"/>
  <c r="Y1033" i="11" a="1"/>
  <c r="Y1033" i="11" s="1"/>
  <c r="X1289" i="11"/>
  <c r="AL1289" i="11"/>
  <c r="Y78" i="11" a="1"/>
  <c r="Y78" i="11" s="1"/>
  <c r="Z78" i="11"/>
  <c r="AA78" i="11" s="1"/>
  <c r="AM78" i="11" s="1"/>
  <c r="Z206" i="11"/>
  <c r="AA206" i="11" s="1"/>
  <c r="AM206" i="11" s="1"/>
  <c r="Y206" i="11" a="1"/>
  <c r="Y206" i="11" s="1"/>
  <c r="Y334" i="11" a="1"/>
  <c r="Y334" i="11" s="1"/>
  <c r="Z334" i="11"/>
  <c r="AA334" i="11" s="1"/>
  <c r="AM334" i="11" s="1"/>
  <c r="Z462" i="11"/>
  <c r="AA462" i="11" s="1"/>
  <c r="AM462" i="11" s="1"/>
  <c r="Y462" i="11" a="1"/>
  <c r="Y462" i="11" s="1"/>
  <c r="X1327" i="11"/>
  <c r="AL1327" i="11"/>
  <c r="X441" i="11"/>
  <c r="AL441" i="11"/>
  <c r="X705" i="11"/>
  <c r="AL705" i="11"/>
  <c r="X1437" i="11"/>
  <c r="AL1437" i="11"/>
  <c r="X759" i="11"/>
  <c r="AL759" i="11"/>
  <c r="X1454" i="11"/>
  <c r="AL1454" i="11"/>
  <c r="Y140" i="11" a="1"/>
  <c r="Y140" i="11" s="1"/>
  <c r="Z140" i="11"/>
  <c r="AA140" i="11" s="1"/>
  <c r="AM140" i="11" s="1"/>
  <c r="Y1290" i="11" a="1"/>
  <c r="Y1290" i="11" s="1"/>
  <c r="Z1290" i="11"/>
  <c r="AA1290" i="11" s="1"/>
  <c r="AM1290" i="11" s="1"/>
  <c r="Y1405" i="11" a="1"/>
  <c r="Y1405" i="11" s="1"/>
  <c r="Z1405" i="11"/>
  <c r="AA1405" i="11" s="1"/>
  <c r="AM1405" i="11" s="1"/>
  <c r="Y1036" i="11" a="1"/>
  <c r="Y1036" i="11" s="1"/>
  <c r="Z1036" i="11"/>
  <c r="AA1036" i="11" s="1"/>
  <c r="AM1036" i="11" s="1"/>
  <c r="Y1164" i="11" a="1"/>
  <c r="Y1164" i="11" s="1"/>
  <c r="Z1164" i="11"/>
  <c r="AA1164" i="11" s="1"/>
  <c r="AM1164" i="11" s="1"/>
  <c r="Z1292" i="11"/>
  <c r="AA1292" i="11" s="1"/>
  <c r="AM1292" i="11" s="1"/>
  <c r="Y1292" i="11" a="1"/>
  <c r="Y1292" i="11" s="1"/>
  <c r="Z1420" i="11"/>
  <c r="AA1420" i="11" s="1"/>
  <c r="AM1420" i="11" s="1"/>
  <c r="Y1420" i="11" a="1"/>
  <c r="Y1420" i="11" s="1"/>
  <c r="Y57" i="11" a="1"/>
  <c r="Y57" i="11" s="1"/>
  <c r="Z57" i="11"/>
  <c r="AA57" i="11" s="1"/>
  <c r="AM57" i="11" s="1"/>
  <c r="Y225" i="11" a="1"/>
  <c r="Y225" i="11" s="1"/>
  <c r="Z225" i="11"/>
  <c r="AA225" i="11" s="1"/>
  <c r="AM225" i="11" s="1"/>
  <c r="Z164" i="11"/>
  <c r="AA164" i="11" s="1"/>
  <c r="AM164" i="11" s="1"/>
  <c r="Y164" i="11" a="1"/>
  <c r="Y164" i="11" s="1"/>
  <c r="Z820" i="11"/>
  <c r="AA820" i="11" s="1"/>
  <c r="AM820" i="11" s="1"/>
  <c r="Y820" i="11" a="1"/>
  <c r="Y820" i="11" s="1"/>
  <c r="Y1410" i="11" a="1"/>
  <c r="Y1410" i="11" s="1"/>
  <c r="Z1410" i="11"/>
  <c r="AA1410" i="11" s="1"/>
  <c r="AM1410" i="11" s="1"/>
  <c r="Y47" i="11" a="1"/>
  <c r="Y47" i="11" s="1"/>
  <c r="Z47" i="11"/>
  <c r="AA47" i="11" s="1"/>
  <c r="AM47" i="11" s="1"/>
  <c r="Y191" i="11" a="1"/>
  <c r="Y191" i="11" s="1"/>
  <c r="Z191" i="11"/>
  <c r="AA191" i="11" s="1"/>
  <c r="AM191" i="11" s="1"/>
  <c r="Y335" i="11" a="1"/>
  <c r="Y335" i="11" s="1"/>
  <c r="Z335" i="11"/>
  <c r="AA335" i="11" s="1"/>
  <c r="AM335" i="11" s="1"/>
  <c r="Y463" i="11" a="1"/>
  <c r="Y463" i="11" s="1"/>
  <c r="Z463" i="11"/>
  <c r="AA463" i="11" s="1"/>
  <c r="AM463" i="11" s="1"/>
  <c r="Z260" i="11"/>
  <c r="AA260" i="11" s="1"/>
  <c r="AM260" i="11" s="1"/>
  <c r="Y260" i="11" a="1"/>
  <c r="Y260" i="11" s="1"/>
  <c r="Y1087" i="11" a="1"/>
  <c r="Y1087" i="11" s="1"/>
  <c r="Z1087" i="11"/>
  <c r="AA1087" i="11" s="1"/>
  <c r="AM1087" i="11" s="1"/>
  <c r="Y1074" i="11" a="1"/>
  <c r="Y1074" i="11" s="1"/>
  <c r="Z1074" i="11"/>
  <c r="AA1074" i="11" s="1"/>
  <c r="AM1074" i="11" s="1"/>
  <c r="Z1357" i="11"/>
  <c r="AA1357" i="11" s="1"/>
  <c r="AM1357" i="11" s="1"/>
  <c r="Y1357" i="11" a="1"/>
  <c r="Y1357" i="11" s="1"/>
  <c r="Y546" i="11" a="1"/>
  <c r="Y546" i="11" s="1"/>
  <c r="Z546" i="11"/>
  <c r="AA546" i="11" s="1"/>
  <c r="AM546" i="11" s="1"/>
  <c r="Y1256" i="11" a="1"/>
  <c r="Y1256" i="11" s="1"/>
  <c r="Z1256" i="11"/>
  <c r="AA1256" i="11" s="1"/>
  <c r="AM1256" i="11" s="1"/>
  <c r="Y181" i="11" a="1"/>
  <c r="Y181" i="11" s="1"/>
  <c r="Z181" i="11"/>
  <c r="AA181" i="11" s="1"/>
  <c r="AM181" i="11" s="1"/>
  <c r="Y1123" i="11" a="1"/>
  <c r="Y1123" i="11" s="1"/>
  <c r="Z1123" i="11"/>
  <c r="AA1123" i="11" s="1"/>
  <c r="AM1123" i="11" s="1"/>
  <c r="Y1251" i="11" a="1"/>
  <c r="Y1251" i="11" s="1"/>
  <c r="Z1251" i="11"/>
  <c r="AA1251" i="11" s="1"/>
  <c r="AM1251" i="11" s="1"/>
  <c r="Y1379" i="11" a="1"/>
  <c r="Y1379" i="11" s="1"/>
  <c r="Z1379" i="11"/>
  <c r="AA1379" i="11" s="1"/>
  <c r="AM1379" i="11" s="1"/>
  <c r="Y64" i="11" a="1"/>
  <c r="Y64" i="11" s="1"/>
  <c r="Z64" i="11"/>
  <c r="AA64" i="11" s="1"/>
  <c r="AM64" i="11" s="1"/>
  <c r="Y192" i="11" a="1"/>
  <c r="Y192" i="11" s="1"/>
  <c r="Z192" i="11"/>
  <c r="AA192" i="11" s="1"/>
  <c r="AM192" i="11" s="1"/>
  <c r="Y320" i="11" a="1"/>
  <c r="Y320" i="11" s="1"/>
  <c r="Z320" i="11"/>
  <c r="AA320" i="11" s="1"/>
  <c r="AM320" i="11" s="1"/>
  <c r="Y464" i="11" a="1"/>
  <c r="Y464" i="11" s="1"/>
  <c r="Z464" i="11"/>
  <c r="AA464" i="11" s="1"/>
  <c r="AM464" i="11" s="1"/>
  <c r="Y244" i="11" a="1"/>
  <c r="Y244" i="11" s="1"/>
  <c r="Z244" i="11"/>
  <c r="AA244" i="11" s="1"/>
  <c r="AM244" i="11" s="1"/>
  <c r="Y1221" i="11" a="1"/>
  <c r="Y1221" i="11" s="1"/>
  <c r="Z1221" i="11"/>
  <c r="AA1221" i="11" s="1"/>
  <c r="AM1221" i="11" s="1"/>
  <c r="Y354" i="11" a="1"/>
  <c r="Y354" i="11" s="1"/>
  <c r="Z354" i="11"/>
  <c r="AA354" i="11" s="1"/>
  <c r="AM354" i="11" s="1"/>
  <c r="Y690" i="11" a="1"/>
  <c r="Y690" i="11" s="1"/>
  <c r="Z690" i="11"/>
  <c r="AA690" i="11" s="1"/>
  <c r="AM690" i="11" s="1"/>
  <c r="Y1328" i="11" a="1"/>
  <c r="Y1328" i="11" s="1"/>
  <c r="Z1328" i="11"/>
  <c r="AA1328" i="11" s="1"/>
  <c r="AM1328" i="11" s="1"/>
  <c r="Y1070" i="11" a="1"/>
  <c r="Y1070" i="11" s="1"/>
  <c r="Z1070" i="11"/>
  <c r="AA1070" i="11" s="1"/>
  <c r="AM1070" i="11" s="1"/>
  <c r="Z1198" i="11"/>
  <c r="AA1198" i="11" s="1"/>
  <c r="AM1198" i="11" s="1"/>
  <c r="Y1198" i="11" a="1"/>
  <c r="Y1198" i="11" s="1"/>
  <c r="X1390" i="11"/>
  <c r="AL1390" i="11"/>
  <c r="Z91" i="11"/>
  <c r="AA91" i="11" s="1"/>
  <c r="AM91" i="11" s="1"/>
  <c r="Y91" i="11" a="1"/>
  <c r="Y91" i="11" s="1"/>
  <c r="Y259" i="11" a="1"/>
  <c r="Y259" i="11" s="1"/>
  <c r="Z259" i="11"/>
  <c r="AA259" i="11" s="1"/>
  <c r="AM259" i="11" s="1"/>
  <c r="Y403" i="11" a="1"/>
  <c r="Y403" i="11" s="1"/>
  <c r="Z403" i="11"/>
  <c r="AA403" i="11" s="1"/>
  <c r="AM403" i="11" s="1"/>
  <c r="Y531" i="11" a="1"/>
  <c r="Y531" i="11" s="1"/>
  <c r="Z531" i="11"/>
  <c r="AA531" i="11" s="1"/>
  <c r="AM531" i="11" s="1"/>
  <c r="Y667" i="11" a="1"/>
  <c r="Y667" i="11" s="1"/>
  <c r="Z667" i="11"/>
  <c r="AA667" i="11" s="1"/>
  <c r="AM667" i="11" s="1"/>
  <c r="Y795" i="11" a="1"/>
  <c r="Y795" i="11" s="1"/>
  <c r="Z795" i="11"/>
  <c r="AA795" i="11" s="1"/>
  <c r="AM795" i="11" s="1"/>
  <c r="Y923" i="11" a="1"/>
  <c r="Y923" i="11" s="1"/>
  <c r="Z923" i="11"/>
  <c r="AA923" i="11" s="1"/>
  <c r="AM923" i="11" s="1"/>
  <c r="X1334" i="11"/>
  <c r="AL1334" i="11"/>
  <c r="Y60" i="11" a="1"/>
  <c r="Y60" i="11" s="1"/>
  <c r="Z60" i="11"/>
  <c r="AA60" i="11" s="1"/>
  <c r="AM60" i="11" s="1"/>
  <c r="Z1194" i="11"/>
  <c r="AA1194" i="11" s="1"/>
  <c r="AM1194" i="11" s="1"/>
  <c r="Y1194" i="11" a="1"/>
  <c r="Y1194" i="11" s="1"/>
  <c r="Y1365" i="11" a="1"/>
  <c r="Y1365" i="11" s="1"/>
  <c r="Z1365" i="11"/>
  <c r="AA1365" i="11" s="1"/>
  <c r="AM1365" i="11" s="1"/>
  <c r="Y7" i="11" a="1"/>
  <c r="Y7" i="11" s="1"/>
  <c r="Z7" i="11"/>
  <c r="AA7" i="11" s="1"/>
  <c r="AM7" i="11" s="1"/>
  <c r="Y1140" i="11" a="1"/>
  <c r="Y1140" i="11" s="1"/>
  <c r="Z1140" i="11"/>
  <c r="AA1140" i="11" s="1"/>
  <c r="AM1140" i="11" s="1"/>
  <c r="Y1268" i="11" a="1"/>
  <c r="Y1268" i="11" s="1"/>
  <c r="Z1268" i="11"/>
  <c r="AA1268" i="11" s="1"/>
  <c r="AM1268" i="11" s="1"/>
  <c r="Y1396" i="11" a="1"/>
  <c r="Y1396" i="11" s="1"/>
  <c r="Z1396" i="11"/>
  <c r="AA1396" i="11" s="1"/>
  <c r="AM1396" i="11" s="1"/>
  <c r="Z33" i="11"/>
  <c r="AA33" i="11" s="1"/>
  <c r="AM33" i="11" s="1"/>
  <c r="Y33" i="11" a="1"/>
  <c r="Y33" i="11" s="1"/>
  <c r="Z193" i="11"/>
  <c r="AA193" i="11" s="1"/>
  <c r="AM193" i="11" s="1"/>
  <c r="Y193" i="11" a="1"/>
  <c r="Y193" i="11" s="1"/>
  <c r="Z345" i="11"/>
  <c r="AA345" i="11" s="1"/>
  <c r="AM345" i="11" s="1"/>
  <c r="Y345" i="11" a="1"/>
  <c r="Y345" i="11" s="1"/>
  <c r="Y796" i="11" a="1"/>
  <c r="Y796" i="11" s="1"/>
  <c r="Z796" i="11"/>
  <c r="AA796" i="11" s="1"/>
  <c r="AM796" i="11" s="1"/>
  <c r="Y1386" i="11" a="1"/>
  <c r="Y1386" i="11" s="1"/>
  <c r="Z1386" i="11"/>
  <c r="AA1386" i="11" s="1"/>
  <c r="AM1386" i="11" s="1"/>
  <c r="Z23" i="11"/>
  <c r="AA23" i="11" s="1"/>
  <c r="AM23" i="11" s="1"/>
  <c r="Y23" i="11" a="1"/>
  <c r="Y23" i="11" s="1"/>
  <c r="Y159" i="11" a="1"/>
  <c r="Y159" i="11" s="1"/>
  <c r="Z159" i="11"/>
  <c r="AA159" i="11" s="1"/>
  <c r="AM159" i="11" s="1"/>
  <c r="Z303" i="11"/>
  <c r="AA303" i="11" s="1"/>
  <c r="AM303" i="11" s="1"/>
  <c r="Y303" i="11" a="1"/>
  <c r="Y303" i="11" s="1"/>
  <c r="Y439" i="11" a="1"/>
  <c r="Y439" i="11" s="1"/>
  <c r="Z439" i="11"/>
  <c r="AA439" i="11" s="1"/>
  <c r="AM439" i="11" s="1"/>
  <c r="Z583" i="11"/>
  <c r="AA583" i="11" s="1"/>
  <c r="AM583" i="11" s="1"/>
  <c r="Y583" i="11" a="1"/>
  <c r="Y583" i="11" s="1"/>
  <c r="Z1165" i="11"/>
  <c r="AA1165" i="11" s="1"/>
  <c r="AM1165" i="11" s="1"/>
  <c r="Y1165" i="11" a="1"/>
  <c r="Y1165" i="11" s="1"/>
  <c r="Y412" i="11" a="1"/>
  <c r="Y412" i="11" s="1"/>
  <c r="Z412" i="11"/>
  <c r="AA412" i="11" s="1"/>
  <c r="AM412" i="11" s="1"/>
  <c r="Z1245" i="11"/>
  <c r="AA1245" i="11" s="1"/>
  <c r="AM1245" i="11" s="1"/>
  <c r="Y1245" i="11" a="1"/>
  <c r="Y1245" i="11" s="1"/>
  <c r="Y506" i="11" a="1"/>
  <c r="Y506" i="11" s="1"/>
  <c r="Z506" i="11"/>
  <c r="AA506" i="11" s="1"/>
  <c r="AM506" i="11" s="1"/>
  <c r="Y1152" i="11" a="1"/>
  <c r="Y1152" i="11" s="1"/>
  <c r="Z1152" i="11"/>
  <c r="AA1152" i="11" s="1"/>
  <c r="AM1152" i="11" s="1"/>
  <c r="Y1496" i="11" a="1"/>
  <c r="Y1496" i="11" s="1"/>
  <c r="Z1496" i="11"/>
  <c r="AA1496" i="11" s="1"/>
  <c r="AM1496" i="11" s="1"/>
  <c r="Y1099" i="11" a="1"/>
  <c r="Y1099" i="11" s="1"/>
  <c r="Z1099" i="11"/>
  <c r="AA1099" i="11" s="1"/>
  <c r="AM1099" i="11" s="1"/>
  <c r="Z1227" i="11"/>
  <c r="AA1227" i="11" s="1"/>
  <c r="AM1227" i="11" s="1"/>
  <c r="Y1227" i="11" a="1"/>
  <c r="Y1227" i="11" s="1"/>
  <c r="Z1355" i="11"/>
  <c r="AA1355" i="11" s="1"/>
  <c r="AM1355" i="11" s="1"/>
  <c r="Y1355" i="11" a="1"/>
  <c r="Y1355" i="11" s="1"/>
  <c r="Z40" i="11"/>
  <c r="AA40" i="11" s="1"/>
  <c r="AM40" i="11" s="1"/>
  <c r="Y40" i="11" a="1"/>
  <c r="Y40" i="11" s="1"/>
  <c r="Y168" i="11" a="1"/>
  <c r="Y168" i="11" s="1"/>
  <c r="Z168" i="11"/>
  <c r="AA168" i="11" s="1"/>
  <c r="AM168" i="11" s="1"/>
  <c r="Z296" i="11"/>
  <c r="AA296" i="11" s="1"/>
  <c r="AM296" i="11" s="1"/>
  <c r="Y296" i="11" a="1"/>
  <c r="Y296" i="11" s="1"/>
  <c r="Y440" i="11" a="1"/>
  <c r="Y440" i="11" s="1"/>
  <c r="Z440" i="11"/>
  <c r="AA440" i="11" s="1"/>
  <c r="AM440" i="11" s="1"/>
  <c r="Y188" i="11" a="1"/>
  <c r="Y188" i="11" s="1"/>
  <c r="Z188" i="11"/>
  <c r="AA188" i="11" s="1"/>
  <c r="AM188" i="11" s="1"/>
  <c r="Y1186" i="11" a="1"/>
  <c r="Y1186" i="11" s="1"/>
  <c r="Z1186" i="11"/>
  <c r="AA1186" i="11" s="1"/>
  <c r="AM1186" i="11" s="1"/>
  <c r="Y210" i="11" a="1"/>
  <c r="Y210" i="11" s="1"/>
  <c r="Z210" i="11"/>
  <c r="AA210" i="11" s="1"/>
  <c r="AM210" i="11" s="1"/>
  <c r="Y602" i="11" a="1"/>
  <c r="Y602" i="11" s="1"/>
  <c r="Z602" i="11"/>
  <c r="AA602" i="11" s="1"/>
  <c r="AM602" i="11" s="1"/>
  <c r="Y1224" i="11" a="1"/>
  <c r="Y1224" i="11" s="1"/>
  <c r="Z1224" i="11"/>
  <c r="AA1224" i="11" s="1"/>
  <c r="AM1224" i="11" s="1"/>
  <c r="Y1014" i="11" a="1"/>
  <c r="Y1014" i="11" s="1"/>
  <c r="Z1014" i="11"/>
  <c r="AA1014" i="11" s="1"/>
  <c r="AM1014" i="11" s="1"/>
  <c r="Y1174" i="11" a="1"/>
  <c r="Y1174" i="11" s="1"/>
  <c r="Z1174" i="11"/>
  <c r="AA1174" i="11" s="1"/>
  <c r="AM1174" i="11" s="1"/>
  <c r="X1342" i="11"/>
  <c r="AL1342" i="11"/>
  <c r="Y67" i="11" a="1"/>
  <c r="Y67" i="11" s="1"/>
  <c r="Z67" i="11"/>
  <c r="AA67" i="11" s="1"/>
  <c r="AM67" i="11" s="1"/>
  <c r="Y235" i="11" a="1"/>
  <c r="Y235" i="11" s="1"/>
  <c r="Z235" i="11"/>
  <c r="AA235" i="11" s="1"/>
  <c r="AM235" i="11" s="1"/>
  <c r="Y379" i="11" a="1"/>
  <c r="Y379" i="11" s="1"/>
  <c r="Z379" i="11"/>
  <c r="AA379" i="11" s="1"/>
  <c r="AM379" i="11" s="1"/>
  <c r="Y507" i="11" a="1"/>
  <c r="Y507" i="11" s="1"/>
  <c r="Z507" i="11"/>
  <c r="AA507" i="11" s="1"/>
  <c r="AM507" i="11" s="1"/>
  <c r="Y643" i="11" a="1"/>
  <c r="Y643" i="11" s="1"/>
  <c r="Z643" i="11"/>
  <c r="AA643" i="11" s="1"/>
  <c r="AM643" i="11" s="1"/>
  <c r="Y771" i="11" a="1"/>
  <c r="Y771" i="11" s="1"/>
  <c r="Z771" i="11"/>
  <c r="AA771" i="11" s="1"/>
  <c r="AM771" i="11" s="1"/>
  <c r="Y899" i="11" a="1"/>
  <c r="Y899" i="11" s="1"/>
  <c r="Z899" i="11"/>
  <c r="AA899" i="11" s="1"/>
  <c r="AM899" i="11" s="1"/>
  <c r="X1350" i="11"/>
  <c r="AL1350" i="11"/>
  <c r="X1265" i="11"/>
  <c r="AL1265" i="11"/>
  <c r="X1521" i="11"/>
  <c r="AL1521" i="11"/>
  <c r="X1431" i="11"/>
  <c r="AL1431" i="11"/>
  <c r="X553" i="11"/>
  <c r="AL553" i="11"/>
  <c r="X833" i="11"/>
  <c r="AL833" i="11"/>
  <c r="X599" i="11"/>
  <c r="AL599" i="11"/>
  <c r="Y738" i="11" a="1"/>
  <c r="Y738" i="11" s="1"/>
  <c r="Z738" i="11"/>
  <c r="AA738" i="11" s="1"/>
  <c r="AM738" i="11" s="1"/>
  <c r="X1395" i="11"/>
  <c r="AL1395" i="11"/>
  <c r="X926" i="11"/>
  <c r="AL926" i="11"/>
  <c r="X376" i="11"/>
  <c r="AL376" i="11"/>
  <c r="X736" i="11"/>
  <c r="AL736" i="11"/>
  <c r="X575" i="11"/>
  <c r="AL575" i="11"/>
  <c r="Z746" i="11"/>
  <c r="AA746" i="11" s="1"/>
  <c r="AM746" i="11" s="1"/>
  <c r="Y746" i="11" a="1"/>
  <c r="Y746" i="11" s="1"/>
  <c r="X385" i="11"/>
  <c r="AL385" i="11"/>
  <c r="X649" i="11"/>
  <c r="AL649" i="11"/>
  <c r="X953" i="11"/>
  <c r="AL953" i="11"/>
  <c r="X703" i="11"/>
  <c r="AL703" i="11"/>
  <c r="X903" i="11"/>
  <c r="AL903" i="11"/>
  <c r="X974" i="11"/>
  <c r="AL974" i="11"/>
  <c r="X1297" i="11"/>
  <c r="AL1297" i="11"/>
  <c r="Y1143" i="11" a="1"/>
  <c r="Y1143" i="11" s="1"/>
  <c r="Z1143" i="11"/>
  <c r="AA1143" i="11" s="1"/>
  <c r="AM1143" i="11" s="1"/>
  <c r="Y1098" i="11" a="1"/>
  <c r="Y1098" i="11" s="1"/>
  <c r="Z1098" i="11"/>
  <c r="AA1098" i="11" s="1"/>
  <c r="AM1098" i="11" s="1"/>
  <c r="Z1197" i="11"/>
  <c r="AA1197" i="11" s="1"/>
  <c r="AM1197" i="11" s="1"/>
  <c r="Y1197" i="11" a="1"/>
  <c r="Y1197" i="11" s="1"/>
  <c r="Y370" i="11" a="1"/>
  <c r="Y370" i="11" s="1"/>
  <c r="Z370" i="11"/>
  <c r="AA370" i="11" s="1"/>
  <c r="AM370" i="11" s="1"/>
  <c r="Z1176" i="11"/>
  <c r="AA1176" i="11" s="1"/>
  <c r="AM1176" i="11" s="1"/>
  <c r="Y1176" i="11" a="1"/>
  <c r="Y1176" i="11" s="1"/>
  <c r="AE4" i="11"/>
  <c r="AF4" i="11"/>
  <c r="Z4" i="11"/>
  <c r="AA4" i="11" s="1"/>
  <c r="AM4" i="11" s="1"/>
  <c r="Y4" i="11" a="1"/>
  <c r="Y4" i="11" s="1"/>
  <c r="X1241" i="11"/>
  <c r="AL1241" i="11"/>
  <c r="Y54" i="11" a="1"/>
  <c r="Y54" i="11" s="1"/>
  <c r="Z54" i="11"/>
  <c r="AA54" i="11" s="1"/>
  <c r="AM54" i="11" s="1"/>
  <c r="Z182" i="11"/>
  <c r="AA182" i="11" s="1"/>
  <c r="AM182" i="11" s="1"/>
  <c r="Y182" i="11" a="1"/>
  <c r="Y182" i="11" s="1"/>
  <c r="Y310" i="11" a="1"/>
  <c r="Y310" i="11" s="1"/>
  <c r="Z310" i="11"/>
  <c r="AA310" i="11" s="1"/>
  <c r="AM310" i="11" s="1"/>
  <c r="Y438" i="11" a="1"/>
  <c r="Y438" i="11" s="1"/>
  <c r="Z438" i="11"/>
  <c r="AA438" i="11" s="1"/>
  <c r="AM438" i="11" s="1"/>
  <c r="X1271" i="11"/>
  <c r="AL1271" i="11"/>
  <c r="X1177" i="11"/>
  <c r="AL1177" i="11"/>
  <c r="X1441" i="11"/>
  <c r="AL1441" i="11"/>
  <c r="X1343" i="11"/>
  <c r="AL1343" i="11"/>
  <c r="Z1159" i="11"/>
  <c r="AA1159" i="11" s="1"/>
  <c r="AM1159" i="11" s="1"/>
  <c r="Y1159" i="11" a="1"/>
  <c r="Y1159" i="11" s="1"/>
  <c r="Y1114" i="11" a="1"/>
  <c r="Y1114" i="11" s="1"/>
  <c r="Z1114" i="11"/>
  <c r="AA1114" i="11" s="1"/>
  <c r="AM1114" i="11" s="1"/>
  <c r="Y1213" i="11" a="1"/>
  <c r="Y1213" i="11" s="1"/>
  <c r="Z1213" i="11"/>
  <c r="AA1213" i="11" s="1"/>
  <c r="AM1213" i="11" s="1"/>
  <c r="Y386" i="11" a="1"/>
  <c r="Y386" i="11" s="1"/>
  <c r="Z386" i="11"/>
  <c r="AA386" i="11" s="1"/>
  <c r="AM386" i="11" s="1"/>
  <c r="Y1184" i="11" a="1"/>
  <c r="Y1184" i="11" s="1"/>
  <c r="Z1184" i="11"/>
  <c r="AA1184" i="11" s="1"/>
  <c r="AM1184" i="11" s="1"/>
  <c r="Y12" i="11" a="1"/>
  <c r="Y12" i="11" s="1"/>
  <c r="Z12" i="11"/>
  <c r="AA12" i="11" s="1"/>
  <c r="AM12" i="11" s="1"/>
  <c r="X1257" i="11"/>
  <c r="AL1257" i="11"/>
  <c r="Z62" i="11"/>
  <c r="AA62" i="11" s="1"/>
  <c r="AM62" i="11" s="1"/>
  <c r="Y62" i="11" a="1"/>
  <c r="Y62" i="11" s="1"/>
  <c r="Y190" i="11" a="1"/>
  <c r="Y190" i="11" s="1"/>
  <c r="Z190" i="11"/>
  <c r="AA190" i="11" s="1"/>
  <c r="AM190" i="11" s="1"/>
  <c r="Y318" i="11" a="1"/>
  <c r="Y318" i="11" s="1"/>
  <c r="Z318" i="11"/>
  <c r="AA318" i="11" s="1"/>
  <c r="AM318" i="11" s="1"/>
  <c r="Y446" i="11" a="1"/>
  <c r="Y446" i="11" s="1"/>
  <c r="Z446" i="11"/>
  <c r="AA446" i="11" s="1"/>
  <c r="AM446" i="11" s="1"/>
  <c r="X1223" i="11"/>
  <c r="AL1223" i="11"/>
  <c r="X1479" i="11"/>
  <c r="AL1479" i="11"/>
  <c r="X1423" i="11"/>
  <c r="AL1423" i="11"/>
  <c r="X61" i="11"/>
  <c r="AL61" i="11"/>
  <c r="X624" i="11"/>
  <c r="AL624" i="11"/>
  <c r="X904" i="11"/>
  <c r="AL904" i="11"/>
  <c r="X509" i="11"/>
  <c r="AL509" i="11"/>
  <c r="X870" i="11"/>
  <c r="AL870" i="11"/>
  <c r="X1181" i="11"/>
  <c r="AL1181" i="11"/>
  <c r="X1008" i="11"/>
  <c r="AL1008" i="11"/>
  <c r="X1149" i="11"/>
  <c r="AL1149" i="11"/>
  <c r="X1435" i="11"/>
  <c r="AL1435" i="11"/>
  <c r="X750" i="11"/>
  <c r="AL750" i="11"/>
  <c r="X693" i="11"/>
  <c r="AL693" i="11"/>
  <c r="X568" i="11"/>
  <c r="AL568" i="11"/>
  <c r="X824" i="11"/>
  <c r="AL824" i="11"/>
  <c r="X698" i="11"/>
  <c r="AL698" i="11"/>
  <c r="X814" i="11"/>
  <c r="AL814" i="11"/>
  <c r="X929" i="11"/>
  <c r="AL929" i="11"/>
  <c r="X1004" i="11"/>
  <c r="AL1004" i="11"/>
  <c r="X327" i="11"/>
  <c r="AL327" i="11"/>
  <c r="X986" i="11"/>
  <c r="AL986" i="11"/>
  <c r="X77" i="11"/>
  <c r="AL77" i="11"/>
  <c r="X701" i="11"/>
  <c r="AL701" i="11"/>
  <c r="X576" i="11"/>
  <c r="AL576" i="11"/>
  <c r="X832" i="11"/>
  <c r="AL832" i="11"/>
  <c r="X794" i="11"/>
  <c r="AL794" i="11"/>
  <c r="X822" i="11"/>
  <c r="AL822" i="11"/>
  <c r="X937" i="11"/>
  <c r="AL937" i="11"/>
  <c r="X1062" i="11"/>
  <c r="AL1062" i="11"/>
  <c r="X559" i="11"/>
  <c r="AL559" i="11"/>
  <c r="X994" i="11"/>
  <c r="AL994" i="11"/>
  <c r="X393" i="11"/>
  <c r="AL393" i="11"/>
  <c r="X657" i="11"/>
  <c r="AL657" i="11"/>
  <c r="X961" i="11"/>
  <c r="AL961" i="11"/>
  <c r="X711" i="11"/>
  <c r="AL711" i="11"/>
  <c r="X401" i="11"/>
  <c r="AL401" i="11"/>
  <c r="X665" i="11"/>
  <c r="AL665" i="11"/>
  <c r="X969" i="11"/>
  <c r="AL969" i="11"/>
  <c r="X719" i="11"/>
  <c r="AL719" i="11"/>
  <c r="X473" i="11"/>
  <c r="AL473" i="11"/>
  <c r="X737" i="11"/>
  <c r="AL737" i="11"/>
  <c r="X1469" i="11"/>
  <c r="AL1469" i="11"/>
  <c r="X791" i="11"/>
  <c r="AL791" i="11"/>
  <c r="X646" i="11"/>
  <c r="AL646" i="11"/>
  <c r="X133" i="11"/>
  <c r="AL133" i="11"/>
  <c r="X749" i="11"/>
  <c r="AL749" i="11"/>
  <c r="X616" i="11"/>
  <c r="AL616" i="11"/>
  <c r="X896" i="11"/>
  <c r="AL896" i="11"/>
  <c r="X445" i="11"/>
  <c r="AL445" i="11"/>
  <c r="X862" i="11"/>
  <c r="AL862" i="11"/>
  <c r="X1141" i="11"/>
  <c r="AL1141" i="11"/>
  <c r="X856" i="11"/>
  <c r="AL856" i="11"/>
  <c r="X1007" i="11"/>
  <c r="AL1007" i="11"/>
  <c r="X901" i="11"/>
  <c r="AL901" i="11"/>
  <c r="X766" i="11"/>
  <c r="AL766" i="11"/>
  <c r="X717" i="11"/>
  <c r="AL717" i="11"/>
  <c r="X989" i="11"/>
  <c r="AL989" i="11"/>
  <c r="X934" i="11"/>
  <c r="AL934" i="11"/>
  <c r="X733" i="11"/>
  <c r="AL733" i="11"/>
  <c r="X520" i="11"/>
  <c r="AL520" i="11"/>
  <c r="X776" i="11"/>
  <c r="AL776" i="11"/>
  <c r="X959" i="11"/>
  <c r="AL959" i="11"/>
  <c r="X686" i="11"/>
  <c r="AL686" i="11"/>
  <c r="X185" i="11"/>
  <c r="AL185" i="11"/>
  <c r="X916" i="11"/>
  <c r="AL916" i="11"/>
  <c r="X1018" i="11"/>
  <c r="AL1018" i="11"/>
  <c r="X634" i="11"/>
  <c r="AL634" i="11"/>
  <c r="X919" i="11"/>
  <c r="AL919" i="11"/>
  <c r="X592" i="11"/>
  <c r="AL592" i="11"/>
  <c r="X872" i="11"/>
  <c r="AL872" i="11"/>
  <c r="X117" i="11"/>
  <c r="AL117" i="11"/>
  <c r="X838" i="11"/>
  <c r="AL838" i="11"/>
  <c r="X977" i="11"/>
  <c r="AL977" i="11"/>
  <c r="X1035" i="11"/>
  <c r="AL1035" i="11"/>
  <c r="X847" i="11"/>
  <c r="AL847" i="11"/>
  <c r="X105" i="11"/>
  <c r="AL105" i="11"/>
  <c r="X536" i="11"/>
  <c r="AL536" i="11"/>
  <c r="X792" i="11"/>
  <c r="AL792" i="11"/>
  <c r="X130" i="11"/>
  <c r="AL130" i="11"/>
  <c r="X782" i="11"/>
  <c r="AL782" i="11"/>
  <c r="X265" i="11"/>
  <c r="AL265" i="11"/>
  <c r="X940" i="11"/>
  <c r="AL940" i="11"/>
  <c r="X1050" i="11"/>
  <c r="AL1050" i="11"/>
  <c r="X922" i="11"/>
  <c r="AL922" i="11"/>
  <c r="X37" i="11"/>
  <c r="AL37" i="11"/>
  <c r="X1193" i="11"/>
  <c r="AL1193" i="11"/>
  <c r="X171" i="11"/>
  <c r="AL171" i="11"/>
  <c r="X876" i="11"/>
  <c r="AL876" i="11"/>
  <c r="X948" i="11"/>
  <c r="AL948" i="11"/>
  <c r="X1109" i="11"/>
  <c r="AL1109" i="11"/>
  <c r="Y1352" i="11" a="1"/>
  <c r="Y1352" i="11" s="1"/>
  <c r="Z1352" i="11"/>
  <c r="AA1352" i="11" s="1"/>
  <c r="AM1352" i="11" s="1"/>
  <c r="Y1094" i="11" a="1"/>
  <c r="Y1094" i="11" s="1"/>
  <c r="Z1094" i="11"/>
  <c r="AA1094" i="11" s="1"/>
  <c r="AM1094" i="11" s="1"/>
  <c r="Y1222" i="11" a="1"/>
  <c r="Y1222" i="11" s="1"/>
  <c r="Z1222" i="11"/>
  <c r="AA1222" i="11" s="1"/>
  <c r="AM1222" i="11" s="1"/>
  <c r="X1446" i="11"/>
  <c r="AL1446" i="11"/>
  <c r="Y115" i="11" a="1"/>
  <c r="Y115" i="11" s="1"/>
  <c r="Z115" i="11"/>
  <c r="AA115" i="11" s="1"/>
  <c r="AM115" i="11" s="1"/>
  <c r="Y283" i="11" a="1"/>
  <c r="Y283" i="11" s="1"/>
  <c r="Z283" i="11"/>
  <c r="AA283" i="11" s="1"/>
  <c r="AM283" i="11" s="1"/>
  <c r="Y427" i="11" a="1"/>
  <c r="Y427" i="11" s="1"/>
  <c r="Z427" i="11"/>
  <c r="AA427" i="11" s="1"/>
  <c r="AM427" i="11" s="1"/>
  <c r="Y555" i="11" a="1"/>
  <c r="Y555" i="11" s="1"/>
  <c r="Z555" i="11"/>
  <c r="AA555" i="11" s="1"/>
  <c r="AM555" i="11" s="1"/>
  <c r="Y691" i="11" a="1"/>
  <c r="Y691" i="11" s="1"/>
  <c r="Z691" i="11"/>
  <c r="AA691" i="11" s="1"/>
  <c r="AM691" i="11" s="1"/>
  <c r="Y819" i="11" a="1"/>
  <c r="Y819" i="11" s="1"/>
  <c r="Z819" i="11"/>
  <c r="AA819" i="11" s="1"/>
  <c r="AM819" i="11" s="1"/>
  <c r="Y947" i="11" a="1"/>
  <c r="Y947" i="11" s="1"/>
  <c r="Z947" i="11"/>
  <c r="AA947" i="11" s="1"/>
  <c r="AM947" i="11" s="1"/>
  <c r="Y300" i="11" a="1"/>
  <c r="Y300" i="11" s="1"/>
  <c r="Z300" i="11"/>
  <c r="AA300" i="11" s="1"/>
  <c r="AM300" i="11" s="1"/>
  <c r="Y1306" i="11" a="1"/>
  <c r="Y1306" i="11" s="1"/>
  <c r="Z1306" i="11"/>
  <c r="AA1306" i="11" s="1"/>
  <c r="AM1306" i="11" s="1"/>
  <c r="Y58" i="11" a="1"/>
  <c r="Y58" i="11" s="1"/>
  <c r="Z58" i="11"/>
  <c r="AA58" i="11" s="1"/>
  <c r="AM58" i="11" s="1"/>
  <c r="Y618" i="11" a="1"/>
  <c r="Y618" i="11" s="1"/>
  <c r="Z618" i="11"/>
  <c r="AA618" i="11" s="1"/>
  <c r="AM618" i="11" s="1"/>
  <c r="Z1392" i="11"/>
  <c r="AA1392" i="11" s="1"/>
  <c r="AM1392" i="11" s="1"/>
  <c r="Y1392" i="11" a="1"/>
  <c r="Y1392" i="11" s="1"/>
  <c r="Y1089" i="11" a="1"/>
  <c r="Y1089" i="11" s="1"/>
  <c r="Z1089" i="11"/>
  <c r="AA1089" i="11" s="1"/>
  <c r="AM1089" i="11" s="1"/>
  <c r="X1353" i="11"/>
  <c r="AL1353" i="11"/>
  <c r="Y110" i="11" a="1"/>
  <c r="Y110" i="11" s="1"/>
  <c r="Z110" i="11"/>
  <c r="AA110" i="11" s="1"/>
  <c r="AM110" i="11" s="1"/>
  <c r="Y238" i="11" a="1"/>
  <c r="Y238" i="11" s="1"/>
  <c r="Z238" i="11"/>
  <c r="AA238" i="11" s="1"/>
  <c r="AM238" i="11" s="1"/>
  <c r="Y366" i="11" a="1"/>
  <c r="Y366" i="11" s="1"/>
  <c r="Z366" i="11"/>
  <c r="AA366" i="11" s="1"/>
  <c r="AM366" i="11" s="1"/>
  <c r="Z494" i="11"/>
  <c r="AA494" i="11" s="1"/>
  <c r="AM494" i="11" s="1"/>
  <c r="Y494" i="11" a="1"/>
  <c r="Y494" i="11" s="1"/>
  <c r="X1391" i="11"/>
  <c r="AL1391" i="11"/>
  <c r="X505" i="11"/>
  <c r="AL505" i="11"/>
  <c r="X769" i="11"/>
  <c r="AL769" i="11"/>
  <c r="X1501" i="11"/>
  <c r="AL1501" i="11"/>
  <c r="X823" i="11"/>
  <c r="AL823" i="11"/>
  <c r="X1518" i="11"/>
  <c r="AL1518" i="11"/>
  <c r="Y380" i="11" a="1"/>
  <c r="Y380" i="11" s="1"/>
  <c r="Z380" i="11"/>
  <c r="AA380" i="11" s="1"/>
  <c r="AM380" i="11" s="1"/>
  <c r="Z8" i="11"/>
  <c r="AA8" i="11" s="1"/>
  <c r="AM8" i="11" s="1"/>
  <c r="Y8" i="11" a="1"/>
  <c r="Y8" i="11" s="1"/>
  <c r="Z138" i="11"/>
  <c r="AA138" i="11" s="1"/>
  <c r="AM138" i="11" s="1"/>
  <c r="Y138" i="11" a="1"/>
  <c r="Y138" i="11" s="1"/>
  <c r="Y1068" i="11" a="1"/>
  <c r="Y1068" i="11" s="1"/>
  <c r="Z1068" i="11"/>
  <c r="AA1068" i="11" s="1"/>
  <c r="AM1068" i="11" s="1"/>
  <c r="Y1196" i="11" a="1"/>
  <c r="Y1196" i="11" s="1"/>
  <c r="Z1196" i="11"/>
  <c r="AA1196" i="11" s="1"/>
  <c r="AM1196" i="11" s="1"/>
  <c r="Z1324" i="11"/>
  <c r="AA1324" i="11" s="1"/>
  <c r="AM1324" i="11" s="1"/>
  <c r="Y1324" i="11" a="1"/>
  <c r="Y1324" i="11" s="1"/>
  <c r="Z1452" i="11"/>
  <c r="AA1452" i="11" s="1"/>
  <c r="AM1452" i="11" s="1"/>
  <c r="Y1452" i="11" a="1"/>
  <c r="Y1452" i="11" s="1"/>
  <c r="Y89" i="11" a="1"/>
  <c r="Y89" i="11" s="1"/>
  <c r="Z89" i="11"/>
  <c r="AA89" i="11" s="1"/>
  <c r="AM89" i="11" s="1"/>
  <c r="Y257" i="11" a="1"/>
  <c r="Y257" i="11" s="1"/>
  <c r="Z257" i="11"/>
  <c r="AA257" i="11" s="1"/>
  <c r="AM257" i="11" s="1"/>
  <c r="Y676" i="11" a="1"/>
  <c r="Y676" i="11" s="1"/>
  <c r="Z676" i="11"/>
  <c r="AA676" i="11" s="1"/>
  <c r="AM676" i="11" s="1"/>
  <c r="Y852" i="11" a="1"/>
  <c r="Y852" i="11" s="1"/>
  <c r="Z852" i="11"/>
  <c r="AA852" i="11" s="1"/>
  <c r="AM852" i="11" s="1"/>
  <c r="Y1450" i="11" a="1"/>
  <c r="Y1450" i="11" s="1"/>
  <c r="Z1450" i="11"/>
  <c r="AA1450" i="11" s="1"/>
  <c r="AM1450" i="11" s="1"/>
  <c r="Y79" i="11" a="1"/>
  <c r="Y79" i="11" s="1"/>
  <c r="Z79" i="11"/>
  <c r="AA79" i="11" s="1"/>
  <c r="AM79" i="11" s="1"/>
  <c r="Y223" i="11" a="1"/>
  <c r="Y223" i="11" s="1"/>
  <c r="Z223" i="11"/>
  <c r="AA223" i="11" s="1"/>
  <c r="AM223" i="11" s="1"/>
  <c r="Y367" i="11" a="1"/>
  <c r="Y367" i="11" s="1"/>
  <c r="Z367" i="11"/>
  <c r="AA367" i="11" s="1"/>
  <c r="AM367" i="11" s="1"/>
  <c r="Y495" i="11" a="1"/>
  <c r="Y495" i="11" s="1"/>
  <c r="Z495" i="11"/>
  <c r="AA495" i="11" s="1"/>
  <c r="AM495" i="11" s="1"/>
  <c r="Z1258" i="11"/>
  <c r="AA1258" i="11" s="1"/>
  <c r="AM1258" i="11" s="1"/>
  <c r="Y1258" i="11" a="1"/>
  <c r="Y1258" i="11" s="1"/>
  <c r="Z100" i="11"/>
  <c r="AA100" i="11" s="1"/>
  <c r="AM100" i="11" s="1"/>
  <c r="Y100" i="11" a="1"/>
  <c r="Y100" i="11" s="1"/>
  <c r="Z1170" i="11"/>
  <c r="AA1170" i="11" s="1"/>
  <c r="AM1170" i="11" s="1"/>
  <c r="Y1170" i="11" a="1"/>
  <c r="Y1170" i="11" s="1"/>
  <c r="Y274" i="11" a="1"/>
  <c r="Y274" i="11" s="1"/>
  <c r="Z274" i="11"/>
  <c r="AA274" i="11" s="1"/>
  <c r="AM274" i="11" s="1"/>
  <c r="Y650" i="11" a="1"/>
  <c r="Y650" i="11" s="1"/>
  <c r="Z650" i="11"/>
  <c r="AA650" i="11" s="1"/>
  <c r="AM650" i="11" s="1"/>
  <c r="Y1312" i="11" a="1"/>
  <c r="Y1312" i="11" s="1"/>
  <c r="Z1312" i="11"/>
  <c r="AA1312" i="11" s="1"/>
  <c r="AM1312" i="11" s="1"/>
  <c r="Y1019" i="11" a="1"/>
  <c r="Y1019" i="11" s="1"/>
  <c r="Z1019" i="11"/>
  <c r="AA1019" i="11" s="1"/>
  <c r="AM1019" i="11" s="1"/>
  <c r="Y1155" i="11" a="1"/>
  <c r="Y1155" i="11" s="1"/>
  <c r="Z1155" i="11"/>
  <c r="AA1155" i="11" s="1"/>
  <c r="AM1155" i="11" s="1"/>
  <c r="Y1283" i="11" a="1"/>
  <c r="Y1283" i="11" s="1"/>
  <c r="Z1283" i="11"/>
  <c r="AA1283" i="11" s="1"/>
  <c r="AM1283" i="11" s="1"/>
  <c r="Y1475" i="11" a="1"/>
  <c r="Y1475" i="11" s="1"/>
  <c r="Z1475" i="11"/>
  <c r="AA1475" i="11" s="1"/>
  <c r="AM1475" i="11" s="1"/>
  <c r="Y96" i="11" a="1"/>
  <c r="Y96" i="11" s="1"/>
  <c r="Z96" i="11"/>
  <c r="AA96" i="11" s="1"/>
  <c r="AM96" i="11" s="1"/>
  <c r="Z224" i="11"/>
  <c r="AA224" i="11" s="1"/>
  <c r="AM224" i="11" s="1"/>
  <c r="Y224" i="11" a="1"/>
  <c r="Y224" i="11" s="1"/>
  <c r="Z352" i="11"/>
  <c r="AA352" i="11" s="1"/>
  <c r="AM352" i="11" s="1"/>
  <c r="Y352" i="11" a="1"/>
  <c r="Y352" i="11" s="1"/>
  <c r="Z1063" i="11"/>
  <c r="AA1063" i="11" s="1"/>
  <c r="AM1063" i="11" s="1"/>
  <c r="Y1063" i="11" a="1"/>
  <c r="Y1063" i="11" s="1"/>
  <c r="Z356" i="11"/>
  <c r="AA356" i="11" s="1"/>
  <c r="AM356" i="11" s="1"/>
  <c r="Y356" i="11" a="1"/>
  <c r="Y356" i="11" s="1"/>
  <c r="Y1285" i="11" a="1"/>
  <c r="Y1285" i="11" s="1"/>
  <c r="Z1285" i="11"/>
  <c r="AA1285" i="11" s="1"/>
  <c r="AM1285" i="11" s="1"/>
  <c r="Y434" i="11" a="1"/>
  <c r="Y434" i="11" s="1"/>
  <c r="Z434" i="11"/>
  <c r="AA434" i="11" s="1"/>
  <c r="AM434" i="11" s="1"/>
  <c r="Y1016" i="11" a="1"/>
  <c r="Y1016" i="11" s="1"/>
  <c r="Z1016" i="11"/>
  <c r="AA1016" i="11" s="1"/>
  <c r="AM1016" i="11" s="1"/>
  <c r="Z1368" i="11"/>
  <c r="AA1368" i="11" s="1"/>
  <c r="AM1368" i="11" s="1"/>
  <c r="Y1368" i="11" a="1"/>
  <c r="Y1368" i="11" s="1"/>
  <c r="Z1102" i="11"/>
  <c r="AA1102" i="11" s="1"/>
  <c r="AM1102" i="11" s="1"/>
  <c r="Y1102" i="11" a="1"/>
  <c r="Y1102" i="11" s="1"/>
  <c r="Y1230" i="11" a="1"/>
  <c r="Y1230" i="11" s="1"/>
  <c r="Z1230" i="11"/>
  <c r="AA1230" i="11" s="1"/>
  <c r="AM1230" i="11" s="1"/>
  <c r="X1462" i="11"/>
  <c r="AL1462" i="11"/>
  <c r="Z123" i="11"/>
  <c r="AA123" i="11" s="1"/>
  <c r="AM123" i="11" s="1"/>
  <c r="Y123" i="11" a="1"/>
  <c r="Y123" i="11" s="1"/>
  <c r="Y291" i="11" a="1"/>
  <c r="Y291" i="11" s="1"/>
  <c r="Z291" i="11"/>
  <c r="AA291" i="11" s="1"/>
  <c r="AM291" i="11" s="1"/>
  <c r="Y435" i="11" a="1"/>
  <c r="Y435" i="11" s="1"/>
  <c r="Z435" i="11"/>
  <c r="AA435" i="11" s="1"/>
  <c r="AM435" i="11" s="1"/>
  <c r="Z571" i="11"/>
  <c r="AA571" i="11" s="1"/>
  <c r="AM571" i="11" s="1"/>
  <c r="Y571" i="11" a="1"/>
  <c r="Y571" i="11" s="1"/>
  <c r="Y699" i="11" a="1"/>
  <c r="Y699" i="11" s="1"/>
  <c r="Z699" i="11"/>
  <c r="AA699" i="11" s="1"/>
  <c r="AM699" i="11" s="1"/>
  <c r="Y827" i="11" a="1"/>
  <c r="Y827" i="11" s="1"/>
  <c r="Z827" i="11"/>
  <c r="AA827" i="11" s="1"/>
  <c r="AM827" i="11" s="1"/>
  <c r="Y955" i="11" a="1"/>
  <c r="Y955" i="11" s="1"/>
  <c r="Z955" i="11"/>
  <c r="AA955" i="11" s="1"/>
  <c r="AM955" i="11" s="1"/>
  <c r="X1398" i="11"/>
  <c r="AL1398" i="11"/>
  <c r="Y332" i="11" a="1"/>
  <c r="Y332" i="11" s="1"/>
  <c r="Z332" i="11"/>
  <c r="AA332" i="11" s="1"/>
  <c r="AM332" i="11" s="1"/>
  <c r="Y1330" i="11" a="1"/>
  <c r="Y1330" i="11" s="1"/>
  <c r="Z1330" i="11"/>
  <c r="AA1330" i="11" s="1"/>
  <c r="AM1330" i="11" s="1"/>
  <c r="Y42" i="11" a="1"/>
  <c r="Y42" i="11" s="1"/>
  <c r="Z42" i="11"/>
  <c r="AA42" i="11" s="1"/>
  <c r="AM42" i="11" s="1"/>
  <c r="Y1044" i="11" a="1"/>
  <c r="Y1044" i="11" s="1"/>
  <c r="Z1044" i="11"/>
  <c r="AA1044" i="11" s="1"/>
  <c r="AM1044" i="11" s="1"/>
  <c r="Z1172" i="11"/>
  <c r="AA1172" i="11" s="1"/>
  <c r="AM1172" i="11" s="1"/>
  <c r="Y1172" i="11" a="1"/>
  <c r="Y1172" i="11" s="1"/>
  <c r="Y1300" i="11" a="1"/>
  <c r="Y1300" i="11" s="1"/>
  <c r="Z1300" i="11"/>
  <c r="AA1300" i="11" s="1"/>
  <c r="AM1300" i="11" s="1"/>
  <c r="Y1428" i="11" a="1"/>
  <c r="Y1428" i="11" s="1"/>
  <c r="Z1428" i="11"/>
  <c r="AA1428" i="11" s="1"/>
  <c r="AM1428" i="11" s="1"/>
  <c r="Z65" i="11"/>
  <c r="AA65" i="11" s="1"/>
  <c r="AM65" i="11" s="1"/>
  <c r="Y65" i="11" a="1"/>
  <c r="Y65" i="11" s="1"/>
  <c r="Z233" i="11"/>
  <c r="AA233" i="11" s="1"/>
  <c r="AM233" i="11" s="1"/>
  <c r="Y233" i="11" a="1"/>
  <c r="Y233" i="11" s="1"/>
  <c r="Y220" i="11" a="1"/>
  <c r="Y220" i="11" s="1"/>
  <c r="Z220" i="11"/>
  <c r="AA220" i="11" s="1"/>
  <c r="AM220" i="11" s="1"/>
  <c r="Y828" i="11" a="1"/>
  <c r="Y828" i="11" s="1"/>
  <c r="Z828" i="11"/>
  <c r="AA828" i="11" s="1"/>
  <c r="AM828" i="11" s="1"/>
  <c r="Y1426" i="11" a="1"/>
  <c r="Y1426" i="11" s="1"/>
  <c r="Z1426" i="11"/>
  <c r="AA1426" i="11" s="1"/>
  <c r="AM1426" i="11" s="1"/>
  <c r="Y55" i="11" a="1"/>
  <c r="Y55" i="11" s="1"/>
  <c r="Z55" i="11"/>
  <c r="AA55" i="11" s="1"/>
  <c r="AM55" i="11" s="1"/>
  <c r="Y199" i="11" a="1"/>
  <c r="Y199" i="11" s="1"/>
  <c r="Z199" i="11"/>
  <c r="AA199" i="11" s="1"/>
  <c r="AM199" i="11" s="1"/>
  <c r="Y343" i="11" a="1"/>
  <c r="Y343" i="11" s="1"/>
  <c r="Z343" i="11"/>
  <c r="AA343" i="11" s="1"/>
  <c r="AM343" i="11" s="1"/>
  <c r="Y471" i="11" a="1"/>
  <c r="Y471" i="11" s="1"/>
  <c r="Z471" i="11"/>
  <c r="AA471" i="11" s="1"/>
  <c r="AM471" i="11" s="1"/>
  <c r="Y444" i="11" a="1"/>
  <c r="Y444" i="11" s="1"/>
  <c r="Z444" i="11"/>
  <c r="AA444" i="11" s="1"/>
  <c r="AM444" i="11" s="1"/>
  <c r="Y1207" i="11" a="1"/>
  <c r="Y1207" i="11" s="1"/>
  <c r="Z1207" i="11"/>
  <c r="AA1207" i="11" s="1"/>
  <c r="AM1207" i="11" s="1"/>
  <c r="Y1122" i="11" a="1"/>
  <c r="Y1122" i="11" s="1"/>
  <c r="Z1122" i="11"/>
  <c r="AA1122" i="11" s="1"/>
  <c r="AM1122" i="11" s="1"/>
  <c r="Y26" i="11" a="1"/>
  <c r="Y26" i="11" s="1"/>
  <c r="Z26" i="11"/>
  <c r="AA26" i="11" s="1"/>
  <c r="AM26" i="11" s="1"/>
  <c r="Y570" i="11" a="1"/>
  <c r="Y570" i="11" s="1"/>
  <c r="Z570" i="11"/>
  <c r="AA570" i="11" s="1"/>
  <c r="AM570" i="11" s="1"/>
  <c r="Y1272" i="11" a="1"/>
  <c r="Y1272" i="11" s="1"/>
  <c r="Z1272" i="11"/>
  <c r="AA1272" i="11" s="1"/>
  <c r="AM1272" i="11" s="1"/>
  <c r="Z197" i="11"/>
  <c r="AA197" i="11" s="1"/>
  <c r="AM197" i="11" s="1"/>
  <c r="Y197" i="11" a="1"/>
  <c r="Y197" i="11" s="1"/>
  <c r="Z1131" i="11"/>
  <c r="AA1131" i="11" s="1"/>
  <c r="AM1131" i="11" s="1"/>
  <c r="Y1131" i="11" a="1"/>
  <c r="Y1131" i="11" s="1"/>
  <c r="Z1259" i="11"/>
  <c r="AA1259" i="11" s="1"/>
  <c r="AM1259" i="11" s="1"/>
  <c r="Y1259" i="11" a="1"/>
  <c r="Y1259" i="11" s="1"/>
  <c r="Z1451" i="11"/>
  <c r="AA1451" i="11" s="1"/>
  <c r="AM1451" i="11" s="1"/>
  <c r="Y1451" i="11" a="1"/>
  <c r="Y1451" i="11" s="1"/>
  <c r="Z72" i="11"/>
  <c r="AA72" i="11" s="1"/>
  <c r="AM72" i="11" s="1"/>
  <c r="Y72" i="11" a="1"/>
  <c r="Y72" i="11" s="1"/>
  <c r="Y200" i="11" a="1"/>
  <c r="Y200" i="11" s="1"/>
  <c r="Z200" i="11"/>
  <c r="AA200" i="11" s="1"/>
  <c r="AM200" i="11" s="1"/>
  <c r="Z328" i="11"/>
  <c r="AA328" i="11" s="1"/>
  <c r="AM328" i="11" s="1"/>
  <c r="Y328" i="11" a="1"/>
  <c r="Y328" i="11" s="1"/>
  <c r="Y472" i="11" a="1"/>
  <c r="Y472" i="11" s="1"/>
  <c r="Z472" i="11"/>
  <c r="AA472" i="11" s="1"/>
  <c r="AM472" i="11" s="1"/>
  <c r="Y276" i="11" a="1"/>
  <c r="Y276" i="11" s="1"/>
  <c r="Z276" i="11"/>
  <c r="AA276" i="11" s="1"/>
  <c r="AM276" i="11" s="1"/>
  <c r="Y1237" i="11" a="1"/>
  <c r="Y1237" i="11" s="1"/>
  <c r="Z1237" i="11"/>
  <c r="AA1237" i="11" s="1"/>
  <c r="AM1237" i="11" s="1"/>
  <c r="Z362" i="11"/>
  <c r="AA362" i="11" s="1"/>
  <c r="AM362" i="11" s="1"/>
  <c r="Y362" i="11" a="1"/>
  <c r="Y362" i="11" s="1"/>
  <c r="Y706" i="11" a="1"/>
  <c r="Y706" i="11" s="1"/>
  <c r="Z706" i="11"/>
  <c r="AA706" i="11" s="1"/>
  <c r="AM706" i="11" s="1"/>
  <c r="Y1336" i="11" a="1"/>
  <c r="Y1336" i="11" s="1"/>
  <c r="Z1336" i="11"/>
  <c r="AA1336" i="11" s="1"/>
  <c r="AM1336" i="11" s="1"/>
  <c r="Z1078" i="11"/>
  <c r="AA1078" i="11" s="1"/>
  <c r="AM1078" i="11" s="1"/>
  <c r="Y1078" i="11" a="1"/>
  <c r="Y1078" i="11" s="1"/>
  <c r="Y1206" i="11" a="1"/>
  <c r="Y1206" i="11" s="1"/>
  <c r="Z1206" i="11"/>
  <c r="AA1206" i="11" s="1"/>
  <c r="AM1206" i="11" s="1"/>
  <c r="X1414" i="11"/>
  <c r="AL1414" i="11"/>
  <c r="Y99" i="11" a="1"/>
  <c r="Y99" i="11" s="1"/>
  <c r="Z99" i="11"/>
  <c r="AA99" i="11" s="1"/>
  <c r="AM99" i="11" s="1"/>
  <c r="Z267" i="11"/>
  <c r="AA267" i="11" s="1"/>
  <c r="AM267" i="11" s="1"/>
  <c r="Y267" i="11" a="1"/>
  <c r="Y267" i="11" s="1"/>
  <c r="Y411" i="11" a="1"/>
  <c r="Y411" i="11" s="1"/>
  <c r="Z411" i="11"/>
  <c r="AA411" i="11" s="1"/>
  <c r="AM411" i="11" s="1"/>
  <c r="Y539" i="11" a="1"/>
  <c r="Y539" i="11" s="1"/>
  <c r="Z539" i="11"/>
  <c r="AA539" i="11" s="1"/>
  <c r="AM539" i="11" s="1"/>
  <c r="Y675" i="11" a="1"/>
  <c r="Y675" i="11" s="1"/>
  <c r="Z675" i="11"/>
  <c r="AA675" i="11" s="1"/>
  <c r="AM675" i="11" s="1"/>
  <c r="Y803" i="11" a="1"/>
  <c r="Y803" i="11" s="1"/>
  <c r="Z803" i="11"/>
  <c r="AA803" i="11" s="1"/>
  <c r="AM803" i="11" s="1"/>
  <c r="Y931" i="11" a="1"/>
  <c r="Y931" i="11" s="1"/>
  <c r="Z931" i="11"/>
  <c r="AA931" i="11" s="1"/>
  <c r="AM931" i="11" s="1"/>
  <c r="X1422" i="11"/>
  <c r="AL1422" i="11"/>
  <c r="X1329" i="11"/>
  <c r="AL1329" i="11"/>
  <c r="X1239" i="11"/>
  <c r="AL1239" i="11"/>
  <c r="X1495" i="11"/>
  <c r="AL1495" i="11"/>
  <c r="X990" i="11"/>
  <c r="AL990" i="11"/>
  <c r="X617" i="11"/>
  <c r="AL617" i="11"/>
  <c r="X897" i="11"/>
  <c r="AL897" i="11"/>
  <c r="X671" i="11"/>
  <c r="AL671" i="11"/>
  <c r="Z810" i="11"/>
  <c r="AA810" i="11" s="1"/>
  <c r="AM810" i="11" s="1"/>
  <c r="Y810" i="11" a="1"/>
  <c r="Y810" i="11" s="1"/>
  <c r="X29" i="11"/>
  <c r="AL29" i="11"/>
  <c r="X544" i="11"/>
  <c r="AL544" i="11"/>
  <c r="X800" i="11"/>
  <c r="AL800" i="11"/>
  <c r="X242" i="11"/>
  <c r="AL242" i="11"/>
  <c r="Z818" i="11"/>
  <c r="AA818" i="11" s="1"/>
  <c r="AM818" i="11" s="1"/>
  <c r="Y818" i="11" a="1"/>
  <c r="Y818" i="11" s="1"/>
  <c r="X449" i="11"/>
  <c r="AL449" i="11"/>
  <c r="X713" i="11"/>
  <c r="AL713" i="11"/>
  <c r="X1445" i="11"/>
  <c r="AL1445" i="11"/>
  <c r="X767" i="11"/>
  <c r="AL767" i="11"/>
  <c r="X45" i="11"/>
  <c r="AL45" i="11"/>
  <c r="X1361" i="11"/>
  <c r="AL1361" i="11"/>
  <c r="Y172" i="11" a="1"/>
  <c r="Y172" i="11" s="1"/>
  <c r="Z172" i="11"/>
  <c r="AA172" i="11" s="1"/>
  <c r="AM172" i="11" s="1"/>
  <c r="Y1210" i="11" a="1"/>
  <c r="Y1210" i="11" s="1"/>
  <c r="AB1210" i="11" s="1"/>
  <c r="AD1210" i="11" s="1"/>
  <c r="Z1210" i="11"/>
  <c r="AA1210" i="11" s="1"/>
  <c r="AM1210" i="11" s="1"/>
  <c r="Y1341" i="11" a="1"/>
  <c r="Y1341" i="11" s="1"/>
  <c r="Z1341" i="11"/>
  <c r="AA1341" i="11" s="1"/>
  <c r="AM1341" i="11" s="1"/>
  <c r="Y482" i="11" a="1"/>
  <c r="Y482" i="11" s="1"/>
  <c r="Z482" i="11"/>
  <c r="AA482" i="11" s="1"/>
  <c r="AM482" i="11" s="1"/>
  <c r="Y1248" i="11" a="1"/>
  <c r="Y1248" i="11" s="1"/>
  <c r="Z1248" i="11"/>
  <c r="AA1248" i="11" s="1"/>
  <c r="AM1248" i="11" s="1"/>
  <c r="Y1065" i="11" a="1"/>
  <c r="Y1065" i="11" s="1"/>
  <c r="Z1065" i="11"/>
  <c r="AA1065" i="11" s="1"/>
  <c r="AM1065" i="11" s="1"/>
  <c r="X1305" i="11"/>
  <c r="AL1305" i="11"/>
  <c r="Y86" i="11" a="1"/>
  <c r="Y86" i="11" s="1"/>
  <c r="Z86" i="11"/>
  <c r="AA86" i="11" s="1"/>
  <c r="AM86" i="11" s="1"/>
  <c r="Y214" i="11" a="1"/>
  <c r="Y214" i="11" s="1"/>
  <c r="Z214" i="11"/>
  <c r="AA214" i="11" s="1"/>
  <c r="AM214" i="11" s="1"/>
  <c r="Y342" i="11" a="1"/>
  <c r="Y342" i="11" s="1"/>
  <c r="Z342" i="11"/>
  <c r="AA342" i="11" s="1"/>
  <c r="AM342" i="11" s="1"/>
  <c r="Y470" i="11" a="1"/>
  <c r="Y470" i="11" s="1"/>
  <c r="Z470" i="11"/>
  <c r="AA470" i="11" s="1"/>
  <c r="AM470" i="11" s="1"/>
  <c r="X1335" i="11"/>
  <c r="AL1335" i="11"/>
  <c r="X1249" i="11"/>
  <c r="AL1249" i="11"/>
  <c r="X1505" i="11"/>
  <c r="AL1505" i="11"/>
  <c r="X1407" i="11"/>
  <c r="AL1407" i="11"/>
  <c r="Y252" i="11" a="1"/>
  <c r="Y252" i="11" s="1"/>
  <c r="Z252" i="11"/>
  <c r="AA252" i="11" s="1"/>
  <c r="AM252" i="11" s="1"/>
  <c r="Y1266" i="11" a="1"/>
  <c r="Y1266" i="11" s="1"/>
  <c r="Z1266" i="11"/>
  <c r="AA1266" i="11" s="1"/>
  <c r="AM1266" i="11" s="1"/>
  <c r="Z1373" i="11"/>
  <c r="AA1373" i="11" s="1"/>
  <c r="AM1373" i="11" s="1"/>
  <c r="Y1373" i="11" a="1"/>
  <c r="Y1373" i="11" s="1"/>
  <c r="Y530" i="11" a="1"/>
  <c r="Y530" i="11" s="1"/>
  <c r="Z530" i="11"/>
  <c r="AA530" i="11" s="1"/>
  <c r="AM530" i="11" s="1"/>
  <c r="Z1264" i="11"/>
  <c r="AA1264" i="11" s="1"/>
  <c r="AM1264" i="11" s="1"/>
  <c r="Y1264" i="11" a="1"/>
  <c r="Y1264" i="11" s="1"/>
  <c r="Y1073" i="11" a="1"/>
  <c r="Y1073" i="11" s="1"/>
  <c r="Z1073" i="11"/>
  <c r="AA1073" i="11" s="1"/>
  <c r="AM1073" i="11" s="1"/>
  <c r="X1321" i="11"/>
  <c r="AL1321" i="11"/>
  <c r="Y94" i="11" a="1"/>
  <c r="Y94" i="11" s="1"/>
  <c r="Z94" i="11"/>
  <c r="AA94" i="11" s="1"/>
  <c r="AM94" i="11" s="1"/>
  <c r="Y222" i="11" a="1"/>
  <c r="Y222" i="11" s="1"/>
  <c r="Z222" i="11"/>
  <c r="AA222" i="11" s="1"/>
  <c r="AM222" i="11" s="1"/>
  <c r="Y350" i="11" a="1"/>
  <c r="Y350" i="11" s="1"/>
  <c r="Z350" i="11"/>
  <c r="AA350" i="11" s="1"/>
  <c r="AM350" i="11" s="1"/>
  <c r="Y478" i="11" a="1"/>
  <c r="Y478" i="11" s="1"/>
  <c r="Z478" i="11"/>
  <c r="AA478" i="11" s="1"/>
  <c r="AM478" i="11" s="1"/>
  <c r="X1287" i="11"/>
  <c r="AL1287" i="11"/>
  <c r="X1231" i="11"/>
  <c r="AL1231" i="11"/>
  <c r="X1487" i="11"/>
  <c r="AL1487" i="11"/>
  <c r="X141" i="11"/>
  <c r="AL141" i="11"/>
  <c r="X688" i="11"/>
  <c r="AL688" i="11"/>
  <c r="X1093" i="11"/>
  <c r="AL1093" i="11"/>
  <c r="X408" i="11"/>
  <c r="AL408" i="11"/>
  <c r="X950" i="11"/>
  <c r="AL950" i="11"/>
  <c r="X716" i="11"/>
  <c r="AL716" i="11"/>
  <c r="X980" i="11"/>
  <c r="AL980" i="11"/>
  <c r="X962" i="11"/>
  <c r="AL962" i="11"/>
  <c r="X69" i="11"/>
  <c r="AL69" i="11"/>
  <c r="X781" i="11"/>
  <c r="AL781" i="11"/>
  <c r="X632" i="11"/>
  <c r="AL632" i="11"/>
  <c r="X912" i="11"/>
  <c r="AL912" i="11"/>
  <c r="X645" i="11"/>
  <c r="AL645" i="11"/>
  <c r="X878" i="11"/>
  <c r="AL878" i="11"/>
  <c r="X51" i="11"/>
  <c r="AL51" i="11"/>
  <c r="X936" i="11"/>
  <c r="AL936" i="11"/>
  <c r="X895" i="11"/>
  <c r="AL895" i="11"/>
  <c r="X829" i="11"/>
  <c r="AL829" i="11"/>
  <c r="X598" i="11"/>
  <c r="AL598" i="11"/>
  <c r="X789" i="11"/>
  <c r="AL789" i="11"/>
  <c r="X640" i="11"/>
  <c r="AL640" i="11"/>
  <c r="X952" i="11"/>
  <c r="AL952" i="11"/>
  <c r="X741" i="11"/>
  <c r="AL741" i="11"/>
  <c r="X886" i="11"/>
  <c r="AL886" i="11"/>
  <c r="X1039" i="11"/>
  <c r="AL1039" i="11"/>
  <c r="X944" i="11"/>
  <c r="AL944" i="11"/>
  <c r="X935" i="11"/>
  <c r="AL935" i="11"/>
  <c r="X837" i="11"/>
  <c r="AL837" i="11"/>
  <c r="X457" i="11"/>
  <c r="AL457" i="11"/>
  <c r="X721" i="11"/>
  <c r="AL721" i="11"/>
  <c r="X1453" i="11"/>
  <c r="AL1453" i="11"/>
  <c r="X775" i="11"/>
  <c r="AL775" i="11"/>
  <c r="X465" i="11"/>
  <c r="AL465" i="11"/>
  <c r="X729" i="11"/>
  <c r="AL729" i="11"/>
  <c r="X1461" i="11"/>
  <c r="AL1461" i="11"/>
  <c r="X783" i="11"/>
  <c r="AL783" i="11"/>
  <c r="X545" i="11"/>
  <c r="AL545" i="11"/>
  <c r="X825" i="11"/>
  <c r="AL825" i="11"/>
  <c r="X1516" i="11"/>
  <c r="AL1516" i="11"/>
  <c r="X1419" i="11"/>
  <c r="AL1419" i="11"/>
  <c r="X734" i="11"/>
  <c r="AL734" i="11"/>
  <c r="X869" i="11"/>
  <c r="AL869" i="11"/>
  <c r="X680" i="11"/>
  <c r="AL680" i="11"/>
  <c r="X1003" i="11"/>
  <c r="AL1003" i="11"/>
  <c r="X1157" i="11"/>
  <c r="AL1157" i="11"/>
  <c r="X942" i="11"/>
  <c r="AL942" i="11"/>
  <c r="X708" i="11"/>
  <c r="AL708" i="11"/>
  <c r="X1000" i="11"/>
  <c r="AL1000" i="11"/>
  <c r="X1125" i="11"/>
  <c r="AL1125" i="11"/>
  <c r="X805" i="11"/>
  <c r="AL805" i="11"/>
  <c r="X861" i="11"/>
  <c r="AL861" i="11"/>
  <c r="X584" i="11"/>
  <c r="AL584" i="11"/>
  <c r="X864" i="11"/>
  <c r="AL864" i="11"/>
  <c r="X858" i="11"/>
  <c r="AL858" i="11"/>
  <c r="X830" i="11"/>
  <c r="AL830" i="11"/>
  <c r="X945" i="11"/>
  <c r="AL945" i="11"/>
  <c r="X1049" i="11"/>
  <c r="AL1049" i="11"/>
  <c r="X839" i="11"/>
  <c r="AL839" i="11"/>
  <c r="X1041" i="11"/>
  <c r="AL1041" i="11"/>
  <c r="X21" i="11"/>
  <c r="AL21" i="11"/>
  <c r="X656" i="11"/>
  <c r="AL656" i="11"/>
  <c r="X979" i="11"/>
  <c r="AL979" i="11"/>
  <c r="X773" i="11"/>
  <c r="AL773" i="11"/>
  <c r="X902" i="11"/>
  <c r="AL902" i="11"/>
  <c r="X612" i="11"/>
  <c r="AL612" i="11"/>
  <c r="X968" i="11"/>
  <c r="AL968" i="11"/>
  <c r="X967" i="11"/>
  <c r="AL967" i="11"/>
  <c r="X853" i="11"/>
  <c r="AL853" i="11"/>
  <c r="X600" i="11"/>
  <c r="AL600" i="11"/>
  <c r="X880" i="11"/>
  <c r="AL880" i="11"/>
  <c r="X149" i="11"/>
  <c r="AL149" i="11"/>
  <c r="X846" i="11"/>
  <c r="AL846" i="11"/>
  <c r="X985" i="11"/>
  <c r="AL985" i="11"/>
  <c r="X840" i="11"/>
  <c r="AL840" i="11"/>
  <c r="X855" i="11"/>
  <c r="AL855" i="11"/>
  <c r="X125" i="11"/>
  <c r="AL125" i="11"/>
  <c r="X101" i="11"/>
  <c r="AL101" i="11"/>
  <c r="X709" i="11"/>
  <c r="AL709" i="11"/>
  <c r="X790" i="11"/>
  <c r="AL790" i="11"/>
  <c r="X777" i="11"/>
  <c r="AL777" i="11"/>
  <c r="X964" i="11"/>
  <c r="AL964" i="11"/>
  <c r="X1066" i="11"/>
  <c r="AL1066" i="11"/>
  <c r="X930" i="11"/>
  <c r="AL930" i="11"/>
  <c r="X1010" i="11"/>
  <c r="AL1010" i="11"/>
  <c r="X928" i="11"/>
  <c r="AL928" i="11"/>
  <c r="Z1191" i="11"/>
  <c r="AA1191" i="11" s="1"/>
  <c r="AM1191" i="11" s="1"/>
  <c r="Y1191" i="11" a="1"/>
  <c r="Y1191" i="11" s="1"/>
  <c r="Y1090" i="11" a="1"/>
  <c r="Y1090" i="11" s="1"/>
  <c r="Z1090" i="11"/>
  <c r="AA1090" i="11" s="1"/>
  <c r="AM1090" i="11" s="1"/>
  <c r="Z1293" i="11"/>
  <c r="AA1293" i="11" s="1"/>
  <c r="AM1293" i="11" s="1"/>
  <c r="Y1293" i="11" a="1"/>
  <c r="Y1293" i="11" s="1"/>
  <c r="Z298" i="11"/>
  <c r="AA298" i="11" s="1"/>
  <c r="AM298" i="11" s="1"/>
  <c r="Y298" i="11" a="1"/>
  <c r="Y298" i="11" s="1"/>
  <c r="Y1116" i="11" a="1"/>
  <c r="Y1116" i="11" s="1"/>
  <c r="Z1116" i="11"/>
  <c r="AA1116" i="11" s="1"/>
  <c r="AM1116" i="11" s="1"/>
  <c r="Y1244" i="11" a="1"/>
  <c r="Y1244" i="11" s="1"/>
  <c r="Z1244" i="11"/>
  <c r="AA1244" i="11" s="1"/>
  <c r="AM1244" i="11" s="1"/>
  <c r="Y1372" i="11" a="1"/>
  <c r="Y1372" i="11" s="1"/>
  <c r="Z1372" i="11"/>
  <c r="AA1372" i="11" s="1"/>
  <c r="AM1372" i="11" s="1"/>
  <c r="Y1500" i="11" a="1"/>
  <c r="Y1500" i="11" s="1"/>
  <c r="Z1500" i="11"/>
  <c r="AA1500" i="11" s="1"/>
  <c r="AM1500" i="11" s="1"/>
  <c r="Y153" i="11" a="1"/>
  <c r="Y153" i="11" s="1"/>
  <c r="Z153" i="11"/>
  <c r="AA153" i="11" s="1"/>
  <c r="AM153" i="11" s="1"/>
  <c r="Y313" i="11" a="1"/>
  <c r="Y313" i="11" s="1"/>
  <c r="Z313" i="11"/>
  <c r="AA313" i="11" s="1"/>
  <c r="AM313" i="11" s="1"/>
  <c r="Y772" i="11" a="1"/>
  <c r="Y772" i="11" s="1"/>
  <c r="Z772" i="11"/>
  <c r="AA772" i="11" s="1"/>
  <c r="AM772" i="11" s="1"/>
  <c r="Y13" i="11" a="1"/>
  <c r="Y13" i="11" s="1"/>
  <c r="Z13" i="11"/>
  <c r="AA13" i="11" s="1"/>
  <c r="AM13" i="11" s="1"/>
  <c r="Z1506" i="11"/>
  <c r="AA1506" i="11" s="1"/>
  <c r="AM1506" i="11" s="1"/>
  <c r="Y1506" i="11" a="1"/>
  <c r="Y1506" i="11" s="1"/>
  <c r="Z127" i="11"/>
  <c r="AA127" i="11" s="1"/>
  <c r="AM127" i="11" s="1"/>
  <c r="Y127" i="11" a="1"/>
  <c r="Y127" i="11" s="1"/>
  <c r="Z279" i="11"/>
  <c r="AA279" i="11" s="1"/>
  <c r="AM279" i="11" s="1"/>
  <c r="Y279" i="11" a="1"/>
  <c r="Y279" i="11" s="1"/>
  <c r="Z415" i="11"/>
  <c r="AA415" i="11" s="1"/>
  <c r="AM415" i="11" s="1"/>
  <c r="Y415" i="11" a="1"/>
  <c r="Y415" i="11" s="1"/>
  <c r="Z543" i="11"/>
  <c r="AA543" i="11" s="1"/>
  <c r="AM543" i="11" s="1"/>
  <c r="Y543" i="11" a="1"/>
  <c r="Y543" i="11" s="1"/>
  <c r="Y636" i="11" a="1"/>
  <c r="Y636" i="11" s="1"/>
  <c r="Z636" i="11"/>
  <c r="AA636" i="11" s="1"/>
  <c r="AM636" i="11" s="1"/>
  <c r="Z292" i="11"/>
  <c r="AA292" i="11" s="1"/>
  <c r="AM292" i="11" s="1"/>
  <c r="Y292" i="11" a="1"/>
  <c r="Y292" i="11" s="1"/>
  <c r="Y1013" i="11" a="1"/>
  <c r="Y1013" i="11" s="1"/>
  <c r="Z1013" i="11"/>
  <c r="AA1013" i="11" s="1"/>
  <c r="AM1013" i="11" s="1"/>
  <c r="Y418" i="11" a="1"/>
  <c r="Y418" i="11" s="1"/>
  <c r="Z418" i="11"/>
  <c r="AA418" i="11" s="1"/>
  <c r="AM418" i="11" s="1"/>
  <c r="Y1088" i="11" a="1"/>
  <c r="Y1088" i="11" s="1"/>
  <c r="Z1088" i="11"/>
  <c r="AA1088" i="11" s="1"/>
  <c r="AM1088" i="11" s="1"/>
  <c r="Y1440" i="11" a="1"/>
  <c r="Y1440" i="11" s="1"/>
  <c r="Z1440" i="11"/>
  <c r="AA1440" i="11" s="1"/>
  <c r="AM1440" i="11" s="1"/>
  <c r="Y1075" i="11" a="1"/>
  <c r="Y1075" i="11" s="1"/>
  <c r="Z1075" i="11"/>
  <c r="AA1075" i="11" s="1"/>
  <c r="AM1075" i="11" s="1"/>
  <c r="Y1203" i="11" a="1"/>
  <c r="Y1203" i="11" s="1"/>
  <c r="Z1203" i="11"/>
  <c r="AA1203" i="11" s="1"/>
  <c r="AM1203" i="11" s="1"/>
  <c r="Y1331" i="11" a="1"/>
  <c r="Y1331" i="11" s="1"/>
  <c r="Z1331" i="11"/>
  <c r="AA1331" i="11" s="1"/>
  <c r="AM1331" i="11" s="1"/>
  <c r="Y16" i="11" a="1"/>
  <c r="Y16" i="11" s="1"/>
  <c r="Z16" i="11"/>
  <c r="AA16" i="11" s="1"/>
  <c r="AM16" i="11" s="1"/>
  <c r="Y144" i="11" a="1"/>
  <c r="Y144" i="11" s="1"/>
  <c r="Z144" i="11"/>
  <c r="AA144" i="11" s="1"/>
  <c r="AM144" i="11" s="1"/>
  <c r="Y272" i="11" a="1"/>
  <c r="Y272" i="11" s="1"/>
  <c r="Z272" i="11"/>
  <c r="AA272" i="11" s="1"/>
  <c r="AM272" i="11" s="1"/>
  <c r="Z416" i="11"/>
  <c r="AA416" i="11" s="1"/>
  <c r="AM416" i="11" s="1"/>
  <c r="Y416" i="11" a="1"/>
  <c r="Y416" i="11" s="1"/>
  <c r="Y92" i="11" a="1"/>
  <c r="Y92" i="11" s="1"/>
  <c r="Z92" i="11"/>
  <c r="AA92" i="11" s="1"/>
  <c r="AM92" i="11" s="1"/>
  <c r="Y588" i="11" a="1"/>
  <c r="Y588" i="11" s="1"/>
  <c r="Z588" i="11"/>
  <c r="AA588" i="11" s="1"/>
  <c r="AM588" i="11" s="1"/>
  <c r="Y146" i="11" a="1"/>
  <c r="Y146" i="11" s="1"/>
  <c r="Z146" i="11"/>
  <c r="AA146" i="11" s="1"/>
  <c r="AM146" i="11" s="1"/>
  <c r="Y554" i="11" a="1"/>
  <c r="Y554" i="11" s="1"/>
  <c r="Z554" i="11"/>
  <c r="AA554" i="11" s="1"/>
  <c r="AM554" i="11" s="1"/>
  <c r="Y1160" i="11" a="1"/>
  <c r="Y1160" i="11" s="1"/>
  <c r="Z1160" i="11"/>
  <c r="AA1160" i="11" s="1"/>
  <c r="AM1160" i="11" s="1"/>
  <c r="Z205" i="11"/>
  <c r="AA205" i="11" s="1"/>
  <c r="AM205" i="11" s="1"/>
  <c r="Y205" i="11" a="1"/>
  <c r="Y205" i="11" s="1"/>
  <c r="Y1150" i="11" a="1"/>
  <c r="Y1150" i="11" s="1"/>
  <c r="Z1150" i="11"/>
  <c r="AA1150" i="11" s="1"/>
  <c r="AM1150" i="11" s="1"/>
  <c r="X1294" i="11"/>
  <c r="AL1294" i="11"/>
  <c r="Y35" i="11" a="1"/>
  <c r="Y35" i="11" s="1"/>
  <c r="Z35" i="11"/>
  <c r="AA35" i="11" s="1"/>
  <c r="AM35" i="11" s="1"/>
  <c r="Z203" i="11"/>
  <c r="AA203" i="11" s="1"/>
  <c r="AM203" i="11" s="1"/>
  <c r="Y203" i="11" a="1"/>
  <c r="Y203" i="11" s="1"/>
  <c r="Z355" i="11"/>
  <c r="AA355" i="11" s="1"/>
  <c r="AM355" i="11" s="1"/>
  <c r="Y355" i="11" a="1"/>
  <c r="Y355" i="11" s="1"/>
  <c r="Y483" i="11" a="1"/>
  <c r="Y483" i="11" s="1"/>
  <c r="Z483" i="11"/>
  <c r="AA483" i="11" s="1"/>
  <c r="AM483" i="11" s="1"/>
  <c r="Y619" i="11" a="1"/>
  <c r="Y619" i="11" s="1"/>
  <c r="Z619" i="11"/>
  <c r="AA619" i="11" s="1"/>
  <c r="AM619" i="11" s="1"/>
  <c r="Y747" i="11" a="1"/>
  <c r="Y747" i="11" s="1"/>
  <c r="Z747" i="11"/>
  <c r="AA747" i="11" s="1"/>
  <c r="AM747" i="11" s="1"/>
  <c r="Y875" i="11" a="1"/>
  <c r="Y875" i="11" s="1"/>
  <c r="Z875" i="11"/>
  <c r="AA875" i="11" s="1"/>
  <c r="AM875" i="11" s="1"/>
  <c r="Y1111" i="11" a="1"/>
  <c r="Y1111" i="11" s="1"/>
  <c r="Z1111" i="11"/>
  <c r="AA1111" i="11" s="1"/>
  <c r="AM1111" i="11" s="1"/>
  <c r="Y5" i="11" a="1"/>
  <c r="Y5" i="11" s="1"/>
  <c r="Z5" i="11"/>
  <c r="AA5" i="11" s="1"/>
  <c r="AM5" i="11" s="1"/>
  <c r="Y1069" i="11" a="1"/>
  <c r="Y1069" i="11" s="1"/>
  <c r="Z1069" i="11"/>
  <c r="AA1069" i="11" s="1"/>
  <c r="AM1069" i="11" s="1"/>
  <c r="Z314" i="11"/>
  <c r="AA314" i="11" s="1"/>
  <c r="AM314" i="11" s="1"/>
  <c r="Y314" i="11" a="1"/>
  <c r="Y314" i="11" s="1"/>
  <c r="Y1128" i="11" a="1"/>
  <c r="Y1128" i="11" s="1"/>
  <c r="Z1128" i="11"/>
  <c r="AA1128" i="11" s="1"/>
  <c r="AM1128" i="11" s="1"/>
  <c r="Y1512" i="11" a="1"/>
  <c r="Y1512" i="11" s="1"/>
  <c r="Z1512" i="11"/>
  <c r="AA1512" i="11" s="1"/>
  <c r="AM1512" i="11" s="1"/>
  <c r="X1209" i="11"/>
  <c r="AL1209" i="11"/>
  <c r="Y38" i="11" a="1"/>
  <c r="Y38" i="11" s="1"/>
  <c r="Z38" i="11"/>
  <c r="AA38" i="11" s="1"/>
  <c r="AM38" i="11" s="1"/>
  <c r="Y166" i="11" a="1"/>
  <c r="Y166" i="11" s="1"/>
  <c r="Z166" i="11"/>
  <c r="AA166" i="11" s="1"/>
  <c r="AM166" i="11" s="1"/>
  <c r="Z294" i="11"/>
  <c r="AA294" i="11" s="1"/>
  <c r="AM294" i="11" s="1"/>
  <c r="Y294" i="11" a="1"/>
  <c r="Y294" i="11" s="1"/>
  <c r="Z422" i="11"/>
  <c r="AA422" i="11" s="1"/>
  <c r="AM422" i="11" s="1"/>
  <c r="Y422" i="11" a="1"/>
  <c r="Y422" i="11" s="1"/>
  <c r="X1247" i="11"/>
  <c r="AL1247" i="11"/>
  <c r="X1503" i="11"/>
  <c r="AL1503" i="11"/>
  <c r="X1097" i="11"/>
  <c r="AL1097" i="11"/>
  <c r="X625" i="11"/>
  <c r="AL625" i="11"/>
  <c r="X905" i="11"/>
  <c r="AL905" i="11"/>
  <c r="X679" i="11"/>
  <c r="AL679" i="11"/>
  <c r="X1366" i="11"/>
  <c r="AL1366" i="11"/>
  <c r="X1217" i="11"/>
  <c r="AL1217" i="11"/>
  <c r="X1473" i="11"/>
  <c r="AL1473" i="11"/>
  <c r="X1447" i="11"/>
  <c r="AL1447" i="11"/>
  <c r="X569" i="11"/>
  <c r="AL569" i="11"/>
  <c r="X849" i="11"/>
  <c r="AL849" i="11"/>
  <c r="X623" i="11"/>
  <c r="AL623" i="11"/>
  <c r="Y1103" i="11" a="1"/>
  <c r="Y1103" i="11" s="1"/>
  <c r="Z1103" i="11"/>
  <c r="AA1103" i="11" s="1"/>
  <c r="AM1103" i="11" s="1"/>
  <c r="Z452" i="11"/>
  <c r="AA452" i="11" s="1"/>
  <c r="AM452" i="11" s="1"/>
  <c r="Y452" i="11" a="1"/>
  <c r="Y452" i="11" s="1"/>
  <c r="Z1229" i="11"/>
  <c r="AA1229" i="11" s="1"/>
  <c r="AM1229" i="11" s="1"/>
  <c r="Y1229" i="11" a="1"/>
  <c r="Y1229" i="11" s="1"/>
  <c r="Z202" i="11"/>
  <c r="AA202" i="11" s="1"/>
  <c r="AM202" i="11" s="1"/>
  <c r="Y202" i="11" a="1"/>
  <c r="Y202" i="11" s="1"/>
  <c r="Y1092" i="11" a="1"/>
  <c r="Y1092" i="11" s="1"/>
  <c r="Z1092" i="11"/>
  <c r="AA1092" i="11" s="1"/>
  <c r="AM1092" i="11" s="1"/>
  <c r="Y1220" i="11" a="1"/>
  <c r="Y1220" i="11" s="1"/>
  <c r="Z1220" i="11"/>
  <c r="AA1220" i="11" s="1"/>
  <c r="AM1220" i="11" s="1"/>
  <c r="Y1348" i="11" a="1"/>
  <c r="Y1348" i="11" s="1"/>
  <c r="Z1348" i="11"/>
  <c r="AA1348" i="11" s="1"/>
  <c r="AM1348" i="11" s="1"/>
  <c r="Y1476" i="11" a="1"/>
  <c r="Y1476" i="11" s="1"/>
  <c r="Z1476" i="11"/>
  <c r="AA1476" i="11" s="1"/>
  <c r="AM1476" i="11" s="1"/>
  <c r="Z121" i="11"/>
  <c r="AA121" i="11" s="1"/>
  <c r="AM121" i="11" s="1"/>
  <c r="Y121" i="11" a="1"/>
  <c r="Y121" i="11" s="1"/>
  <c r="Z289" i="11"/>
  <c r="AA289" i="11" s="1"/>
  <c r="AM289" i="11" s="1"/>
  <c r="Y289" i="11" a="1"/>
  <c r="Y289" i="11" s="1"/>
  <c r="Y748" i="11" a="1"/>
  <c r="Y748" i="11" s="1"/>
  <c r="Z748" i="11"/>
  <c r="AA748" i="11" s="1"/>
  <c r="AM748" i="11" s="1"/>
  <c r="Y508" i="11" a="1"/>
  <c r="Y508" i="11" s="1"/>
  <c r="Z508" i="11"/>
  <c r="AA508" i="11" s="1"/>
  <c r="AM508" i="11" s="1"/>
  <c r="Y1482" i="11" a="1"/>
  <c r="Y1482" i="11" s="1"/>
  <c r="Z1482" i="11"/>
  <c r="AA1482" i="11" s="1"/>
  <c r="AM1482" i="11" s="1"/>
  <c r="Y103" i="11" a="1"/>
  <c r="Y103" i="11" s="1"/>
  <c r="Z103" i="11"/>
  <c r="AA103" i="11" s="1"/>
  <c r="AM103" i="11" s="1"/>
  <c r="Y255" i="11" a="1"/>
  <c r="Y255" i="11" s="1"/>
  <c r="Z255" i="11"/>
  <c r="AA255" i="11" s="1"/>
  <c r="AM255" i="11" s="1"/>
  <c r="Y391" i="11" a="1"/>
  <c r="Y391" i="11" s="1"/>
  <c r="Z391" i="11"/>
  <c r="AA391" i="11" s="1"/>
  <c r="AM391" i="11" s="1"/>
  <c r="Y519" i="11" a="1"/>
  <c r="Y519" i="11" s="1"/>
  <c r="Z519" i="11"/>
  <c r="AA519" i="11" s="1"/>
  <c r="AM519" i="11" s="1"/>
  <c r="Y180" i="11" a="1"/>
  <c r="Y180" i="11" s="1"/>
  <c r="Z180" i="11"/>
  <c r="AA180" i="11" s="1"/>
  <c r="AM180" i="11" s="1"/>
  <c r="Z196" i="11"/>
  <c r="AA196" i="11" s="1"/>
  <c r="AM196" i="11" s="1"/>
  <c r="Y196" i="11" a="1"/>
  <c r="Y196" i="11" s="1"/>
  <c r="Z1234" i="11"/>
  <c r="AA1234" i="11" s="1"/>
  <c r="AM1234" i="11" s="1"/>
  <c r="Y1234" i="11" a="1"/>
  <c r="Y1234" i="11" s="1"/>
  <c r="Y330" i="11" a="1"/>
  <c r="Y330" i="11" s="1"/>
  <c r="Z330" i="11"/>
  <c r="AA330" i="11" s="1"/>
  <c r="AM330" i="11" s="1"/>
  <c r="Y730" i="11" a="1"/>
  <c r="Y730" i="11" s="1"/>
  <c r="Z730" i="11"/>
  <c r="AA730" i="11" s="1"/>
  <c r="AM730" i="11" s="1"/>
  <c r="Y1384" i="11" a="1"/>
  <c r="Y1384" i="11" s="1"/>
  <c r="Z1384" i="11"/>
  <c r="AA1384" i="11" s="1"/>
  <c r="AM1384" i="11" s="1"/>
  <c r="Z1051" i="11"/>
  <c r="AA1051" i="11" s="1"/>
  <c r="AM1051" i="11" s="1"/>
  <c r="Y1051" i="11" a="1"/>
  <c r="Y1051" i="11" s="1"/>
  <c r="Z1179" i="11"/>
  <c r="AA1179" i="11" s="1"/>
  <c r="AM1179" i="11" s="1"/>
  <c r="Y1179" i="11" a="1"/>
  <c r="Y1179" i="11" s="1"/>
  <c r="Z1307" i="11"/>
  <c r="AA1307" i="11" s="1"/>
  <c r="AM1307" i="11" s="1"/>
  <c r="Y1307" i="11" a="1"/>
  <c r="Y1307" i="11" s="1"/>
  <c r="Z1499" i="11"/>
  <c r="AA1499" i="11" s="1"/>
  <c r="AM1499" i="11" s="1"/>
  <c r="Y1499" i="11" a="1"/>
  <c r="Y1499" i="11" s="1"/>
  <c r="Z120" i="11"/>
  <c r="AA120" i="11" s="1"/>
  <c r="AM120" i="11" s="1"/>
  <c r="Y120" i="11" a="1"/>
  <c r="Y120" i="11" s="1"/>
  <c r="Y248" i="11" a="1"/>
  <c r="Y248" i="11" s="1"/>
  <c r="Z248" i="11"/>
  <c r="AA248" i="11" s="1"/>
  <c r="AM248" i="11" s="1"/>
  <c r="Y384" i="11" a="1"/>
  <c r="Y384" i="11" s="1"/>
  <c r="Z384" i="11"/>
  <c r="AA384" i="11" s="1"/>
  <c r="AM384" i="11" s="1"/>
  <c r="Y1151" i="11" a="1"/>
  <c r="Y1151" i="11" s="1"/>
  <c r="Z1151" i="11"/>
  <c r="AA1151" i="11" s="1"/>
  <c r="AM1151" i="11" s="1"/>
  <c r="Y476" i="11" a="1"/>
  <c r="Y476" i="11" s="1"/>
  <c r="Z476" i="11"/>
  <c r="AA476" i="11" s="1"/>
  <c r="AM476" i="11" s="1"/>
  <c r="Y50" i="11" a="1"/>
  <c r="Y50" i="11" s="1"/>
  <c r="Z50" i="11"/>
  <c r="AA50" i="11" s="1"/>
  <c r="AM50" i="11" s="1"/>
  <c r="Y474" i="11" a="1"/>
  <c r="Y474" i="11" s="1"/>
  <c r="Z474" i="11"/>
  <c r="AA474" i="11" s="1"/>
  <c r="AM474" i="11" s="1"/>
  <c r="Y1064" i="11" a="1"/>
  <c r="Y1064" i="11" s="1"/>
  <c r="Z1064" i="11"/>
  <c r="AA1064" i="11" s="1"/>
  <c r="AM1064" i="11" s="1"/>
  <c r="Y1448" i="11" a="1"/>
  <c r="Y1448" i="11" s="1"/>
  <c r="Z1448" i="11"/>
  <c r="AA1448" i="11" s="1"/>
  <c r="AM1448" i="11" s="1"/>
  <c r="Y1126" i="11" a="1"/>
  <c r="Y1126" i="11" s="1"/>
  <c r="Z1126" i="11"/>
  <c r="AA1126" i="11" s="1"/>
  <c r="AM1126" i="11" s="1"/>
  <c r="Y1254" i="11" a="1"/>
  <c r="Y1254" i="11" s="1"/>
  <c r="Z1254" i="11"/>
  <c r="AA1254" i="11" s="1"/>
  <c r="AM1254" i="11" s="1"/>
  <c r="X1510" i="11"/>
  <c r="AL1510" i="11"/>
  <c r="Z163" i="11"/>
  <c r="AA163" i="11" s="1"/>
  <c r="AM163" i="11" s="1"/>
  <c r="Y163" i="11" a="1"/>
  <c r="Y163" i="11" s="1"/>
  <c r="Y331" i="11" a="1"/>
  <c r="Y331" i="11" s="1"/>
  <c r="Z331" i="11"/>
  <c r="AA331" i="11" s="1"/>
  <c r="AM331" i="11" s="1"/>
  <c r="Y459" i="11" a="1"/>
  <c r="Y459" i="11" s="1"/>
  <c r="Z459" i="11"/>
  <c r="AA459" i="11" s="1"/>
  <c r="AM459" i="11" s="1"/>
  <c r="Y595" i="11" a="1"/>
  <c r="Y595" i="11" s="1"/>
  <c r="Z595" i="11"/>
  <c r="AA595" i="11" s="1"/>
  <c r="AM595" i="11" s="1"/>
  <c r="Y723" i="11" a="1"/>
  <c r="Y723" i="11" s="1"/>
  <c r="Z723" i="11"/>
  <c r="AA723" i="11" s="1"/>
  <c r="AM723" i="11" s="1"/>
  <c r="Y851" i="11" a="1"/>
  <c r="Y851" i="11" s="1"/>
  <c r="Z851" i="11"/>
  <c r="AA851" i="11" s="1"/>
  <c r="AM851" i="11" s="1"/>
  <c r="Y1055" i="11" a="1"/>
  <c r="Y1055" i="11" s="1"/>
  <c r="Z1055" i="11"/>
  <c r="AA1055" i="11" s="1"/>
  <c r="AM1055" i="11" s="1"/>
  <c r="Z516" i="11"/>
  <c r="AA516" i="11" s="1"/>
  <c r="AM516" i="11" s="1"/>
  <c r="Y516" i="11" a="1"/>
  <c r="Y516" i="11" s="1"/>
  <c r="Z1021" i="11"/>
  <c r="AA1021" i="11" s="1"/>
  <c r="AM1021" i="11" s="1"/>
  <c r="Y1021" i="11" a="1"/>
  <c r="Y1021" i="11" s="1"/>
  <c r="Y178" i="11" a="1"/>
  <c r="Y178" i="11" s="1"/>
  <c r="Z178" i="11"/>
  <c r="AA178" i="11" s="1"/>
  <c r="AM178" i="11" s="1"/>
  <c r="Y1048" i="11" a="1"/>
  <c r="Y1048" i="11" s="1"/>
  <c r="Z1048" i="11"/>
  <c r="AA1048" i="11" s="1"/>
  <c r="AM1048" i="11" s="1"/>
  <c r="Y1472" i="11" a="1"/>
  <c r="Y1472" i="11" s="1"/>
  <c r="Z1472" i="11"/>
  <c r="AA1472" i="11" s="1"/>
  <c r="AM1472" i="11" s="1"/>
  <c r="X1145" i="11"/>
  <c r="AL1145" i="11"/>
  <c r="X1417" i="11"/>
  <c r="AL1417" i="11"/>
  <c r="Z142" i="11"/>
  <c r="AA142" i="11" s="1"/>
  <c r="AM142" i="11" s="1"/>
  <c r="Y142" i="11" a="1"/>
  <c r="Y142" i="11" s="1"/>
  <c r="Y270" i="11" a="1"/>
  <c r="Y270" i="11" s="1"/>
  <c r="Z270" i="11"/>
  <c r="AA270" i="11" s="1"/>
  <c r="AM270" i="11" s="1"/>
  <c r="Y398" i="11" a="1"/>
  <c r="Y398" i="11" s="1"/>
  <c r="Z398" i="11"/>
  <c r="AA398" i="11" s="1"/>
  <c r="AM398" i="11" s="1"/>
  <c r="X1481" i="11"/>
  <c r="AL1481" i="11"/>
  <c r="X1455" i="11"/>
  <c r="AL1455" i="11"/>
  <c r="X577" i="11"/>
  <c r="AL577" i="11"/>
  <c r="X857" i="11"/>
  <c r="AL857" i="11"/>
  <c r="X631" i="11"/>
  <c r="AL631" i="11"/>
  <c r="X1318" i="11"/>
  <c r="AL1318" i="11"/>
  <c r="Y1119" i="11" a="1"/>
  <c r="Y1119" i="11" s="1"/>
  <c r="Z1119" i="11"/>
  <c r="AA1119" i="11" s="1"/>
  <c r="AM1119" i="11" s="1"/>
  <c r="Y468" i="11" a="1"/>
  <c r="Y468" i="11" s="1"/>
  <c r="Z468" i="11"/>
  <c r="AA468" i="11" s="1"/>
  <c r="AM468" i="11" s="1"/>
  <c r="Y1253" i="11" a="1"/>
  <c r="Y1253" i="11" s="1"/>
  <c r="Z1253" i="11"/>
  <c r="AA1253" i="11" s="1"/>
  <c r="AM1253" i="11" s="1"/>
  <c r="Y250" i="11" a="1"/>
  <c r="Y250" i="11" s="1"/>
  <c r="Z250" i="11"/>
  <c r="AA250" i="11" s="1"/>
  <c r="AM250" i="11" s="1"/>
  <c r="Z1100" i="11"/>
  <c r="AA1100" i="11" s="1"/>
  <c r="AM1100" i="11" s="1"/>
  <c r="Y1100" i="11" a="1"/>
  <c r="Y1100" i="11" s="1"/>
  <c r="Z1228" i="11"/>
  <c r="AA1228" i="11" s="1"/>
  <c r="AM1228" i="11" s="1"/>
  <c r="Y1228" i="11" a="1"/>
  <c r="Y1228" i="11" s="1"/>
  <c r="Z1356" i="11"/>
  <c r="AA1356" i="11" s="1"/>
  <c r="AM1356" i="11" s="1"/>
  <c r="Y1356" i="11" a="1"/>
  <c r="Y1356" i="11" s="1"/>
  <c r="Z1484" i="11"/>
  <c r="AA1484" i="11" s="1"/>
  <c r="AM1484" i="11" s="1"/>
  <c r="Y1484" i="11" a="1"/>
  <c r="Y1484" i="11" s="1"/>
  <c r="Y129" i="11" a="1"/>
  <c r="Y129" i="11" s="1"/>
  <c r="Z129" i="11"/>
  <c r="AA129" i="11" s="1"/>
  <c r="AM129" i="11" s="1"/>
  <c r="Y297" i="11" a="1"/>
  <c r="Y297" i="11" s="1"/>
  <c r="Z297" i="11"/>
  <c r="AA297" i="11" s="1"/>
  <c r="AM297" i="11" s="1"/>
  <c r="Y756" i="11" a="1"/>
  <c r="Y756" i="11" s="1"/>
  <c r="Z756" i="11"/>
  <c r="AA756" i="11" s="1"/>
  <c r="AM756" i="11" s="1"/>
  <c r="Y572" i="11" a="1"/>
  <c r="Y572" i="11" s="1"/>
  <c r="Z572" i="11"/>
  <c r="AA572" i="11" s="1"/>
  <c r="AM572" i="11" s="1"/>
  <c r="Y1490" i="11" a="1"/>
  <c r="Y1490" i="11" s="1"/>
  <c r="Z1490" i="11"/>
  <c r="AA1490" i="11" s="1"/>
  <c r="AM1490" i="11" s="1"/>
  <c r="Y111" i="11" a="1"/>
  <c r="Y111" i="11" s="1"/>
  <c r="Z111" i="11"/>
  <c r="AA111" i="11" s="1"/>
  <c r="AM111" i="11" s="1"/>
  <c r="Y263" i="11" a="1"/>
  <c r="Y263" i="11" s="1"/>
  <c r="Z263" i="11"/>
  <c r="AA263" i="11" s="1"/>
  <c r="AM263" i="11" s="1"/>
  <c r="Y399" i="11" a="1"/>
  <c r="Y399" i="11" s="1"/>
  <c r="Z399" i="11"/>
  <c r="AA399" i="11" s="1"/>
  <c r="AM399" i="11" s="1"/>
  <c r="Y527" i="11" a="1"/>
  <c r="Y527" i="11" s="1"/>
  <c r="Z527" i="11"/>
  <c r="AA527" i="11" s="1"/>
  <c r="AM527" i="11" s="1"/>
  <c r="Y500" i="11" a="1"/>
  <c r="Y500" i="11" s="1"/>
  <c r="Z500" i="11"/>
  <c r="AA500" i="11" s="1"/>
  <c r="AM500" i="11" s="1"/>
  <c r="Y236" i="11" a="1"/>
  <c r="Y236" i="11" s="1"/>
  <c r="Z236" i="11"/>
  <c r="AA236" i="11" s="1"/>
  <c r="AM236" i="11" s="1"/>
  <c r="Y1250" i="11" a="1"/>
  <c r="Y1250" i="11" s="1"/>
  <c r="Z1250" i="11"/>
  <c r="AA1250" i="11" s="1"/>
  <c r="AM1250" i="11" s="1"/>
  <c r="Y378" i="11" a="1"/>
  <c r="Y378" i="11" s="1"/>
  <c r="Z378" i="11"/>
  <c r="AA378" i="11" s="1"/>
  <c r="AM378" i="11" s="1"/>
  <c r="Y1056" i="11" a="1"/>
  <c r="Y1056" i="11" s="1"/>
  <c r="Z1056" i="11"/>
  <c r="AA1056" i="11" s="1"/>
  <c r="AM1056" i="11" s="1"/>
  <c r="Y1416" i="11" a="1"/>
  <c r="Y1416" i="11" s="1"/>
  <c r="Z1416" i="11"/>
  <c r="AA1416" i="11" s="1"/>
  <c r="AM1416" i="11" s="1"/>
  <c r="Y1059" i="11" a="1"/>
  <c r="Y1059" i="11" s="1"/>
  <c r="Z1059" i="11"/>
  <c r="AA1059" i="11" s="1"/>
  <c r="AM1059" i="11" s="1"/>
  <c r="Y1187" i="11" a="1"/>
  <c r="Y1187" i="11" s="1"/>
  <c r="Z1187" i="11"/>
  <c r="AA1187" i="11" s="1"/>
  <c r="AM1187" i="11" s="1"/>
  <c r="Y1315" i="11" a="1"/>
  <c r="Y1315" i="11" s="1"/>
  <c r="Z1315" i="11"/>
  <c r="AA1315" i="11" s="1"/>
  <c r="AM1315" i="11" s="1"/>
  <c r="Y1507" i="11" a="1"/>
  <c r="Y1507" i="11" s="1"/>
  <c r="Z1507" i="11"/>
  <c r="AA1507" i="11" s="1"/>
  <c r="AM1507" i="11" s="1"/>
  <c r="Y128" i="11" a="1"/>
  <c r="Y128" i="11" s="1"/>
  <c r="Z128" i="11"/>
  <c r="AA128" i="11" s="1"/>
  <c r="AM128" i="11" s="1"/>
  <c r="Z256" i="11"/>
  <c r="AA256" i="11" s="1"/>
  <c r="AM256" i="11" s="1"/>
  <c r="Y256" i="11" a="1"/>
  <c r="Y256" i="11" s="1"/>
  <c r="Y392" i="11" a="1"/>
  <c r="Y392" i="11" s="1"/>
  <c r="Z392" i="11"/>
  <c r="AA392" i="11" s="1"/>
  <c r="AM392" i="11" s="1"/>
  <c r="Y1167" i="11" a="1"/>
  <c r="Y1167" i="11" s="1"/>
  <c r="Z1167" i="11"/>
  <c r="AA1167" i="11" s="1"/>
  <c r="AM1167" i="11" s="1"/>
  <c r="Y540" i="11" a="1"/>
  <c r="Y540" i="11" s="1"/>
  <c r="Z540" i="11"/>
  <c r="AA540" i="11" s="1"/>
  <c r="AM540" i="11" s="1"/>
  <c r="Z82" i="11"/>
  <c r="AA82" i="11" s="1"/>
  <c r="AM82" i="11" s="1"/>
  <c r="Y82" i="11" a="1"/>
  <c r="Y82" i="11" s="1"/>
  <c r="Z498" i="11"/>
  <c r="AA498" i="11" s="1"/>
  <c r="AM498" i="11" s="1"/>
  <c r="Y498" i="11" a="1"/>
  <c r="Y498" i="11" s="1"/>
  <c r="Y1096" i="11" a="1"/>
  <c r="Y1096" i="11" s="1"/>
  <c r="Z1096" i="11"/>
  <c r="AA1096" i="11" s="1"/>
  <c r="AM1096" i="11" s="1"/>
  <c r="Z165" i="11"/>
  <c r="AA165" i="11" s="1"/>
  <c r="AM165" i="11" s="1"/>
  <c r="Y165" i="11" a="1"/>
  <c r="Y165" i="11" s="1"/>
  <c r="Y1134" i="11" a="1"/>
  <c r="Y1134" i="11" s="1"/>
  <c r="Z1134" i="11"/>
  <c r="AA1134" i="11" s="1"/>
  <c r="AM1134" i="11" s="1"/>
  <c r="X1262" i="11"/>
  <c r="AL1262" i="11"/>
  <c r="Z19" i="11"/>
  <c r="AA19" i="11" s="1"/>
  <c r="AM19" i="11" s="1"/>
  <c r="Y19" i="11" a="1"/>
  <c r="Y19" i="11" s="1"/>
  <c r="Y179" i="11" a="1"/>
  <c r="Y179" i="11" s="1"/>
  <c r="Z179" i="11"/>
  <c r="AA179" i="11" s="1"/>
  <c r="AM179" i="11" s="1"/>
  <c r="Y339" i="11" a="1"/>
  <c r="Y339" i="11" s="1"/>
  <c r="Z339" i="11"/>
  <c r="AA339" i="11" s="1"/>
  <c r="AM339" i="11" s="1"/>
  <c r="Y467" i="11" a="1"/>
  <c r="Y467" i="11" s="1"/>
  <c r="Z467" i="11"/>
  <c r="AA467" i="11" s="1"/>
  <c r="AM467" i="11" s="1"/>
  <c r="Z603" i="11"/>
  <c r="AA603" i="11" s="1"/>
  <c r="AM603" i="11" s="1"/>
  <c r="Y603" i="11" a="1"/>
  <c r="Y603" i="11" s="1"/>
  <c r="Y731" i="11" a="1"/>
  <c r="Y731" i="11" s="1"/>
  <c r="Z731" i="11"/>
  <c r="AA731" i="11" s="1"/>
  <c r="AM731" i="11" s="1"/>
  <c r="Y859" i="11" a="1"/>
  <c r="Y859" i="11" s="1"/>
  <c r="Z859" i="11"/>
  <c r="AA859" i="11" s="1"/>
  <c r="AM859" i="11" s="1"/>
  <c r="Y1071" i="11" a="1"/>
  <c r="Y1071" i="11" s="1"/>
  <c r="Z1071" i="11"/>
  <c r="AA1071" i="11" s="1"/>
  <c r="AM1071" i="11" s="1"/>
  <c r="X1470" i="11"/>
  <c r="AL1470" i="11"/>
  <c r="Y396" i="11" a="1"/>
  <c r="Y396" i="11" s="1"/>
  <c r="Z396" i="11"/>
  <c r="AA396" i="11" s="1"/>
  <c r="AM396" i="11" s="1"/>
  <c r="Y1133" i="11" a="1"/>
  <c r="Y1133" i="11" s="1"/>
  <c r="Z1133" i="11"/>
  <c r="AA1133" i="11" s="1"/>
  <c r="AM1133" i="11" s="1"/>
  <c r="Z154" i="11"/>
  <c r="AA154" i="11" s="1"/>
  <c r="AM154" i="11" s="1"/>
  <c r="Y154" i="11" a="1"/>
  <c r="Y154" i="11" s="1"/>
  <c r="Y1076" i="11" a="1"/>
  <c r="Y1076" i="11" s="1"/>
  <c r="Z1076" i="11"/>
  <c r="AA1076" i="11" s="1"/>
  <c r="AM1076" i="11" s="1"/>
  <c r="Y1204" i="11" a="1"/>
  <c r="Y1204" i="11" s="1"/>
  <c r="Z1204" i="11"/>
  <c r="AA1204" i="11" s="1"/>
  <c r="AM1204" i="11" s="1"/>
  <c r="Y1332" i="11" a="1"/>
  <c r="Y1332" i="11" s="1"/>
  <c r="Z1332" i="11"/>
  <c r="AA1332" i="11" s="1"/>
  <c r="AM1332" i="11" s="1"/>
  <c r="Y1460" i="11" a="1"/>
  <c r="Y1460" i="11" s="1"/>
  <c r="Z1460" i="11"/>
  <c r="AA1460" i="11" s="1"/>
  <c r="AM1460" i="11" s="1"/>
  <c r="Y97" i="11" a="1"/>
  <c r="Y97" i="11" s="1"/>
  <c r="Z97" i="11"/>
  <c r="AA97" i="11" s="1"/>
  <c r="AM97" i="11" s="1"/>
  <c r="Y273" i="11" a="1"/>
  <c r="Y273" i="11" s="1"/>
  <c r="Z273" i="11"/>
  <c r="AA273" i="11" s="1"/>
  <c r="AM273" i="11" s="1"/>
  <c r="Z684" i="11"/>
  <c r="AA684" i="11" s="1"/>
  <c r="AM684" i="11" s="1"/>
  <c r="Y684" i="11" a="1"/>
  <c r="Y684" i="11" s="1"/>
  <c r="Y1183" i="11" a="1"/>
  <c r="Y1183" i="11" s="1"/>
  <c r="Z1183" i="11"/>
  <c r="AA1183" i="11" s="1"/>
  <c r="AM1183" i="11" s="1"/>
  <c r="Z1458" i="11"/>
  <c r="AA1458" i="11" s="1"/>
  <c r="AM1458" i="11" s="1"/>
  <c r="Y1458" i="11" a="1"/>
  <c r="Y1458" i="11" s="1"/>
  <c r="Z87" i="11"/>
  <c r="AA87" i="11" s="1"/>
  <c r="AM87" i="11" s="1"/>
  <c r="Y87" i="11" a="1"/>
  <c r="Y87" i="11" s="1"/>
  <c r="Z239" i="11"/>
  <c r="AA239" i="11" s="1"/>
  <c r="AM239" i="11" s="1"/>
  <c r="Y239" i="11" a="1"/>
  <c r="Y239" i="11" s="1"/>
  <c r="Z375" i="11"/>
  <c r="AA375" i="11" s="1"/>
  <c r="AM375" i="11" s="1"/>
  <c r="Y375" i="11" a="1"/>
  <c r="Y375" i="11" s="1"/>
  <c r="Z503" i="11"/>
  <c r="AA503" i="11" s="1"/>
  <c r="AM503" i="11" s="1"/>
  <c r="Y503" i="11" a="1"/>
  <c r="Y503" i="11" s="1"/>
  <c r="Y1015" i="11" a="1"/>
  <c r="Y1015" i="11" s="1"/>
  <c r="Z1015" i="11"/>
  <c r="AA1015" i="11" s="1"/>
  <c r="AM1015" i="11" s="1"/>
  <c r="Y116" i="11" a="1"/>
  <c r="Y116" i="11" s="1"/>
  <c r="Z116" i="11"/>
  <c r="AA116" i="11" s="1"/>
  <c r="AM116" i="11" s="1"/>
  <c r="Y1202" i="11" a="1"/>
  <c r="Y1202" i="11" s="1"/>
  <c r="Z1202" i="11"/>
  <c r="AA1202" i="11" s="1"/>
  <c r="AM1202" i="11" s="1"/>
  <c r="Y290" i="11" a="1"/>
  <c r="Y290" i="11" s="1"/>
  <c r="Z290" i="11"/>
  <c r="AA290" i="11" s="1"/>
  <c r="AM290" i="11" s="1"/>
  <c r="Y674" i="11" a="1"/>
  <c r="Y674" i="11" s="1"/>
  <c r="Z674" i="11"/>
  <c r="AA674" i="11" s="1"/>
  <c r="AM674" i="11" s="1"/>
  <c r="Y1320" i="11" a="1"/>
  <c r="Y1320" i="11" s="1"/>
  <c r="Z1320" i="11"/>
  <c r="AA1320" i="11" s="1"/>
  <c r="AM1320" i="11" s="1"/>
  <c r="Y1027" i="11" a="1"/>
  <c r="Y1027" i="11" s="1"/>
  <c r="Z1027" i="11"/>
  <c r="AA1027" i="11" s="1"/>
  <c r="AM1027" i="11" s="1"/>
  <c r="Z1163" i="11"/>
  <c r="AA1163" i="11" s="1"/>
  <c r="AM1163" i="11" s="1"/>
  <c r="Y1163" i="11" a="1"/>
  <c r="Y1163" i="11" s="1"/>
  <c r="Z1291" i="11"/>
  <c r="AA1291" i="11" s="1"/>
  <c r="AM1291" i="11" s="1"/>
  <c r="Y1291" i="11" a="1"/>
  <c r="Y1291" i="11" s="1"/>
  <c r="Z1483" i="11"/>
  <c r="AA1483" i="11" s="1"/>
  <c r="AM1483" i="11" s="1"/>
  <c r="Y1483" i="11" a="1"/>
  <c r="Y1483" i="11" s="1"/>
  <c r="Z104" i="11"/>
  <c r="AA104" i="11" s="1"/>
  <c r="AM104" i="11" s="1"/>
  <c r="Y104" i="11" a="1"/>
  <c r="Y104" i="11" s="1"/>
  <c r="Y232" i="11" a="1"/>
  <c r="Y232" i="11" s="1"/>
  <c r="Z232" i="11"/>
  <c r="AA232" i="11" s="1"/>
  <c r="AM232" i="11" s="1"/>
  <c r="Y360" i="11" a="1"/>
  <c r="Y360" i="11" s="1"/>
  <c r="Z360" i="11"/>
  <c r="AA360" i="11" s="1"/>
  <c r="AM360" i="11" s="1"/>
  <c r="Y1079" i="11" a="1"/>
  <c r="Y1079" i="11" s="1"/>
  <c r="Z1079" i="11"/>
  <c r="AA1079" i="11" s="1"/>
  <c r="AM1079" i="11" s="1"/>
  <c r="Y372" i="11" a="1"/>
  <c r="Y372" i="11" s="1"/>
  <c r="Z372" i="11"/>
  <c r="AA372" i="11" s="1"/>
  <c r="AM372" i="11" s="1"/>
  <c r="Y1397" i="11" a="1"/>
  <c r="Y1397" i="11" s="1"/>
  <c r="Z1397" i="11"/>
  <c r="AA1397" i="11" s="1"/>
  <c r="AM1397" i="11" s="1"/>
  <c r="Y442" i="11" a="1"/>
  <c r="Y442" i="11" s="1"/>
  <c r="Z442" i="11"/>
  <c r="AA442" i="11" s="1"/>
  <c r="AM442" i="11" s="1"/>
  <c r="Y1032" i="11" a="1"/>
  <c r="Y1032" i="11" s="1"/>
  <c r="Z1032" i="11"/>
  <c r="AA1032" i="11" s="1"/>
  <c r="AM1032" i="11" s="1"/>
  <c r="Y1376" i="11" a="1"/>
  <c r="Y1376" i="11" s="1"/>
  <c r="Z1376" i="11"/>
  <c r="AA1376" i="11" s="1"/>
  <c r="AM1376" i="11" s="1"/>
  <c r="Y1110" i="11" a="1"/>
  <c r="Y1110" i="11" s="1"/>
  <c r="Z1110" i="11"/>
  <c r="AA1110" i="11" s="1"/>
  <c r="AM1110" i="11" s="1"/>
  <c r="Y1238" i="11" a="1"/>
  <c r="Y1238" i="11" s="1"/>
  <c r="Z1238" i="11"/>
  <c r="AA1238" i="11" s="1"/>
  <c r="AM1238" i="11" s="1"/>
  <c r="X1478" i="11"/>
  <c r="AL1478" i="11"/>
  <c r="Y131" i="11" a="1"/>
  <c r="Y131" i="11" s="1"/>
  <c r="Z131" i="11"/>
  <c r="AA131" i="11" s="1"/>
  <c r="AM131" i="11" s="1"/>
  <c r="Y299" i="11" a="1"/>
  <c r="Y299" i="11" s="1"/>
  <c r="Z299" i="11"/>
  <c r="AA299" i="11" s="1"/>
  <c r="AM299" i="11" s="1"/>
  <c r="Y443" i="11" a="1"/>
  <c r="Y443" i="11" s="1"/>
  <c r="Z443" i="11"/>
  <c r="AA443" i="11" s="1"/>
  <c r="AM443" i="11" s="1"/>
  <c r="Y579" i="11" a="1"/>
  <c r="Y579" i="11" s="1"/>
  <c r="Z579" i="11"/>
  <c r="AA579" i="11" s="1"/>
  <c r="AM579" i="11" s="1"/>
  <c r="Y707" i="11" a="1"/>
  <c r="Y707" i="11" s="1"/>
  <c r="Z707" i="11"/>
  <c r="AA707" i="11" s="1"/>
  <c r="AM707" i="11" s="1"/>
  <c r="Z835" i="11"/>
  <c r="AA835" i="11" s="1"/>
  <c r="AM835" i="11" s="1"/>
  <c r="Y835" i="11" a="1"/>
  <c r="Y835" i="11" s="1"/>
  <c r="Y963" i="11" a="1"/>
  <c r="Y963" i="11" s="1"/>
  <c r="Z963" i="11"/>
  <c r="AA963" i="11" s="1"/>
  <c r="AM963" i="11" s="1"/>
  <c r="X1486" i="11"/>
  <c r="AL1486" i="11"/>
  <c r="X1393" i="11"/>
  <c r="AL1393" i="11"/>
  <c r="X1303" i="11"/>
  <c r="AL1303" i="11"/>
  <c r="X417" i="11"/>
  <c r="AL417" i="11"/>
  <c r="X681" i="11"/>
  <c r="AL681" i="11"/>
  <c r="X1009" i="11"/>
  <c r="AL1009" i="11"/>
  <c r="X735" i="11"/>
  <c r="AL735" i="11"/>
  <c r="Z882" i="11"/>
  <c r="AA882" i="11" s="1"/>
  <c r="AM882" i="11" s="1"/>
  <c r="Y882" i="11" a="1"/>
  <c r="Y882" i="11" s="1"/>
  <c r="X614" i="11"/>
  <c r="AL614" i="11"/>
  <c r="X93" i="11"/>
  <c r="AL93" i="11"/>
  <c r="X765" i="11"/>
  <c r="AL765" i="11"/>
  <c r="X608" i="11"/>
  <c r="AL608" i="11"/>
  <c r="X888" i="11"/>
  <c r="AL888" i="11"/>
  <c r="X413" i="11"/>
  <c r="AL413" i="11"/>
  <c r="Z890" i="11"/>
  <c r="AA890" i="11" s="1"/>
  <c r="AM890" i="11" s="1"/>
  <c r="Y890" i="11" a="1"/>
  <c r="Y890" i="11" s="1"/>
  <c r="X513" i="11"/>
  <c r="AL513" i="11"/>
  <c r="X801" i="11"/>
  <c r="AL801" i="11"/>
  <c r="X1517" i="11"/>
  <c r="AL1517" i="11"/>
  <c r="X831" i="11"/>
  <c r="AL831" i="11"/>
  <c r="X638" i="11"/>
  <c r="AL638" i="11"/>
  <c r="X109" i="11"/>
  <c r="AL109" i="11"/>
  <c r="X1153" i="11"/>
  <c r="AL1153" i="11"/>
  <c r="X1425" i="11"/>
  <c r="AL1425" i="11"/>
  <c r="Y436" i="11" a="1"/>
  <c r="Y436" i="11" s="1"/>
  <c r="Z436" i="11"/>
  <c r="AA436" i="11" s="1"/>
  <c r="AM436" i="11" s="1"/>
  <c r="Y1338" i="11" a="1"/>
  <c r="Y1338" i="11" s="1"/>
  <c r="Z1338" i="11"/>
  <c r="AA1338" i="11" s="1"/>
  <c r="AM1338" i="11" s="1"/>
  <c r="Z66" i="11"/>
  <c r="AA66" i="11" s="1"/>
  <c r="AM66" i="11" s="1"/>
  <c r="Y66" i="11" a="1"/>
  <c r="Y66" i="11" s="1"/>
  <c r="Z658" i="11"/>
  <c r="AA658" i="11" s="1"/>
  <c r="AM658" i="11" s="1"/>
  <c r="Y658" i="11" a="1"/>
  <c r="Y658" i="11" s="1"/>
  <c r="Y1400" i="11" a="1"/>
  <c r="Y1400" i="11" s="1"/>
  <c r="Z1400" i="11"/>
  <c r="AA1400" i="11" s="1"/>
  <c r="AM1400" i="11" s="1"/>
  <c r="Z1105" i="11"/>
  <c r="AA1105" i="11" s="1"/>
  <c r="AM1105" i="11" s="1"/>
  <c r="Y1105" i="11" a="1"/>
  <c r="Y1105" i="11" s="1"/>
  <c r="X1369" i="11"/>
  <c r="AL1369" i="11"/>
  <c r="Y118" i="11" a="1"/>
  <c r="Y118" i="11" s="1"/>
  <c r="Z118" i="11"/>
  <c r="AA118" i="11" s="1"/>
  <c r="AM118" i="11" s="1"/>
  <c r="Y246" i="11" a="1"/>
  <c r="Y246" i="11" s="1"/>
  <c r="Z246" i="11"/>
  <c r="AA246" i="11" s="1"/>
  <c r="AM246" i="11" s="1"/>
  <c r="Y374" i="11" a="1"/>
  <c r="Y374" i="11" s="1"/>
  <c r="Z374" i="11"/>
  <c r="AA374" i="11" s="1"/>
  <c r="AM374" i="11" s="1"/>
  <c r="X1433" i="11"/>
  <c r="AL1433" i="11"/>
  <c r="X1399" i="11"/>
  <c r="AL1399" i="11"/>
  <c r="X1313" i="11"/>
  <c r="AL1313" i="11"/>
  <c r="X1215" i="11"/>
  <c r="AL1215" i="11"/>
  <c r="X1471" i="11"/>
  <c r="AL1471" i="11"/>
  <c r="Y460" i="11" a="1"/>
  <c r="Y460" i="11" s="1"/>
  <c r="Z460" i="11"/>
  <c r="AA460" i="11" s="1"/>
  <c r="AM460" i="11" s="1"/>
  <c r="Y1354" i="11" a="1"/>
  <c r="Y1354" i="11" s="1"/>
  <c r="Z1354" i="11"/>
  <c r="AA1354" i="11" s="1"/>
  <c r="AM1354" i="11" s="1"/>
  <c r="Y106" i="11" a="1"/>
  <c r="Y106" i="11" s="1"/>
  <c r="Z106" i="11"/>
  <c r="AA106" i="11" s="1"/>
  <c r="AM106" i="11" s="1"/>
  <c r="Z11" i="11"/>
  <c r="AA11" i="11" s="1"/>
  <c r="AM11" i="11" s="1"/>
  <c r="Y11" i="11" a="1"/>
  <c r="Y11" i="11" s="1"/>
  <c r="Y1424" i="11" a="1"/>
  <c r="Y1424" i="11" s="1"/>
  <c r="Z1424" i="11"/>
  <c r="AA1424" i="11" s="1"/>
  <c r="AM1424" i="11" s="1"/>
  <c r="Y1113" i="11" a="1"/>
  <c r="Y1113" i="11" s="1"/>
  <c r="Z1113" i="11"/>
  <c r="AA1113" i="11" s="1"/>
  <c r="AM1113" i="11" s="1"/>
  <c r="X1385" i="11"/>
  <c r="AL1385" i="11"/>
  <c r="Y126" i="11" a="1"/>
  <c r="Y126" i="11" s="1"/>
  <c r="Z126" i="11"/>
  <c r="AA126" i="11" s="1"/>
  <c r="AM126" i="11" s="1"/>
  <c r="Y254" i="11" a="1"/>
  <c r="Y254" i="11" s="1"/>
  <c r="Z254" i="11"/>
  <c r="AA254" i="11" s="1"/>
  <c r="AM254" i="11" s="1"/>
  <c r="Y382" i="11" a="1"/>
  <c r="Y382" i="11" s="1"/>
  <c r="Z382" i="11"/>
  <c r="AA382" i="11" s="1"/>
  <c r="AM382" i="11" s="1"/>
  <c r="X1449" i="11"/>
  <c r="AL1449" i="11"/>
  <c r="X1351" i="11"/>
  <c r="AL1351" i="11"/>
  <c r="X1295" i="11"/>
  <c r="AL1295" i="11"/>
  <c r="X654" i="11"/>
  <c r="AL654" i="11"/>
  <c r="X496" i="11"/>
  <c r="AL496" i="11"/>
  <c r="X752" i="11"/>
  <c r="AL752" i="11"/>
  <c r="X607" i="11"/>
  <c r="AL607" i="11"/>
  <c r="X630" i="11"/>
  <c r="AL630" i="11"/>
  <c r="X1017" i="11"/>
  <c r="AL1017" i="11"/>
  <c r="X892" i="11"/>
  <c r="AL892" i="11"/>
  <c r="X887" i="11"/>
  <c r="AL887" i="11"/>
  <c r="X821" i="11"/>
  <c r="AL821" i="11"/>
  <c r="X925" i="11"/>
  <c r="AL925" i="11"/>
  <c r="X696" i="11"/>
  <c r="AL696" i="11"/>
  <c r="X1413" i="11"/>
  <c r="AL1413" i="11"/>
  <c r="X1030" i="11"/>
  <c r="AL1030" i="11"/>
  <c r="X958" i="11"/>
  <c r="AL958" i="11"/>
  <c r="X724" i="11"/>
  <c r="AL724" i="11"/>
  <c r="X307" i="11"/>
  <c r="AL307" i="11"/>
  <c r="X1012" i="11"/>
  <c r="AL1012" i="11"/>
  <c r="X917" i="11"/>
  <c r="AL917" i="11"/>
  <c r="X694" i="11"/>
  <c r="AL694" i="11"/>
  <c r="X933" i="11"/>
  <c r="AL933" i="11"/>
  <c r="X704" i="11"/>
  <c r="AL704" i="11"/>
  <c r="X1034" i="11"/>
  <c r="AL1034" i="11"/>
  <c r="X1406" i="11"/>
  <c r="AL1406" i="11"/>
  <c r="X966" i="11"/>
  <c r="AL966" i="11"/>
  <c r="X732" i="11"/>
  <c r="AL732" i="11"/>
  <c r="X315" i="11"/>
  <c r="AL315" i="11"/>
  <c r="X321" i="11"/>
  <c r="AL321" i="11"/>
  <c r="X941" i="11"/>
  <c r="AL941" i="11"/>
  <c r="X521" i="11"/>
  <c r="AL521" i="11"/>
  <c r="X809" i="11"/>
  <c r="AL809" i="11"/>
  <c r="X1046" i="11"/>
  <c r="AL1046" i="11"/>
  <c r="X983" i="11"/>
  <c r="AL983" i="11"/>
  <c r="X537" i="11"/>
  <c r="AL537" i="11"/>
  <c r="X817" i="11"/>
  <c r="AL817" i="11"/>
  <c r="X1508" i="11"/>
  <c r="AL1508" i="11"/>
  <c r="X991" i="11"/>
  <c r="AL991" i="11"/>
  <c r="X609" i="11"/>
  <c r="AL609" i="11"/>
  <c r="X889" i="11"/>
  <c r="AL889" i="11"/>
  <c r="X663" i="11"/>
  <c r="AL663" i="11"/>
  <c r="X982" i="11"/>
  <c r="AL982" i="11"/>
  <c r="X488" i="11"/>
  <c r="AL488" i="11"/>
  <c r="X744" i="11"/>
  <c r="AL744" i="11"/>
  <c r="X591" i="11"/>
  <c r="AL591" i="11"/>
  <c r="X542" i="11"/>
  <c r="AL542" i="11"/>
  <c r="X563" i="11"/>
  <c r="AL563" i="11"/>
  <c r="X884" i="11"/>
  <c r="AL884" i="11"/>
  <c r="X1418" i="11"/>
  <c r="AL1418" i="11"/>
  <c r="X954" i="11"/>
  <c r="AL954" i="11"/>
  <c r="X606" i="11"/>
  <c r="AL606" i="11"/>
  <c r="X965" i="11"/>
  <c r="AL965" i="11"/>
  <c r="X725" i="11"/>
  <c r="AL725" i="11"/>
  <c r="X622" i="11"/>
  <c r="AL622" i="11"/>
  <c r="X648" i="11"/>
  <c r="AL648" i="11"/>
  <c r="X984" i="11"/>
  <c r="AL984" i="11"/>
  <c r="X757" i="11"/>
  <c r="AL757" i="11"/>
  <c r="X894" i="11"/>
  <c r="AL894" i="11"/>
  <c r="X524" i="11"/>
  <c r="AL524" i="11"/>
  <c r="X960" i="11"/>
  <c r="AL960" i="11"/>
  <c r="X943" i="11"/>
  <c r="AL943" i="11"/>
  <c r="X845" i="11"/>
  <c r="AL845" i="11"/>
  <c r="X85" i="11"/>
  <c r="AL85" i="11"/>
  <c r="X720" i="11"/>
  <c r="AL720" i="11"/>
  <c r="X143" i="11"/>
  <c r="AL143" i="11"/>
  <c r="X1057" i="11"/>
  <c r="AL1057" i="11"/>
  <c r="X1006" i="11"/>
  <c r="AL1006" i="11"/>
  <c r="X860" i="11"/>
  <c r="AL860" i="11"/>
  <c r="X529" i="11"/>
  <c r="AL529" i="11"/>
  <c r="X1061" i="11"/>
  <c r="AL1061" i="11"/>
  <c r="X973" i="11"/>
  <c r="AL973" i="11"/>
  <c r="X664" i="11"/>
  <c r="AL664" i="11"/>
  <c r="X987" i="11"/>
  <c r="AL987" i="11"/>
  <c r="X920" i="11"/>
  <c r="AL920" i="11"/>
  <c r="X910" i="11"/>
  <c r="AL910" i="11"/>
  <c r="X620" i="11"/>
  <c r="AL620" i="11"/>
  <c r="X976" i="11"/>
  <c r="AL976" i="11"/>
  <c r="X975" i="11"/>
  <c r="AL975" i="11"/>
  <c r="X885" i="11"/>
  <c r="AL885" i="11"/>
  <c r="X797" i="11"/>
  <c r="AL797" i="11"/>
  <c r="X854" i="11"/>
  <c r="AL854" i="11"/>
  <c r="X993" i="11"/>
  <c r="AL993" i="11"/>
  <c r="X848" i="11"/>
  <c r="AL848" i="11"/>
  <c r="X871" i="11"/>
  <c r="AL871" i="11"/>
  <c r="X621" i="11"/>
  <c r="AL621" i="11"/>
  <c r="X231" i="11"/>
  <c r="AL231" i="11"/>
  <c r="Z778" i="11"/>
  <c r="AA778" i="11" s="1"/>
  <c r="AM778" i="11" s="1"/>
  <c r="X1002" i="11"/>
  <c r="AL1002" i="11"/>
  <c r="X893" i="11"/>
  <c r="Y893" i="11" s="1" a="1"/>
  <c r="Y893" i="11" s="1"/>
  <c r="AL893" i="11"/>
  <c r="Y76" i="11" a="1"/>
  <c r="Y76" i="11" s="1"/>
  <c r="Z76" i="11"/>
  <c r="AA76" i="11" s="1"/>
  <c r="AM76" i="11" s="1"/>
  <c r="Y1226" i="11" a="1"/>
  <c r="Y1226" i="11" s="1"/>
  <c r="Z1226" i="11"/>
  <c r="AA1226" i="11" s="1"/>
  <c r="AM1226" i="11" s="1"/>
  <c r="Y1381" i="11" a="1"/>
  <c r="Y1381" i="11" s="1"/>
  <c r="Z1381" i="11"/>
  <c r="AA1381" i="11" s="1"/>
  <c r="AM1381" i="11" s="1"/>
  <c r="Z1020" i="11"/>
  <c r="AA1020" i="11" s="1"/>
  <c r="AM1020" i="11" s="1"/>
  <c r="Y1020" i="11" a="1"/>
  <c r="Y1020" i="11" s="1"/>
  <c r="Y1148" i="11" a="1"/>
  <c r="Y1148" i="11" s="1"/>
  <c r="Z1148" i="11"/>
  <c r="AA1148" i="11" s="1"/>
  <c r="AM1148" i="11" s="1"/>
  <c r="Y1276" i="11" a="1"/>
  <c r="Y1276" i="11" s="1"/>
  <c r="Z1276" i="11"/>
  <c r="AA1276" i="11" s="1"/>
  <c r="AM1276" i="11" s="1"/>
  <c r="Y1404" i="11" a="1"/>
  <c r="Y1404" i="11" s="1"/>
  <c r="Z1404" i="11"/>
  <c r="AA1404" i="11" s="1"/>
  <c r="AM1404" i="11" s="1"/>
  <c r="Y41" i="11" a="1"/>
  <c r="Y41" i="11" s="1"/>
  <c r="Z41" i="11"/>
  <c r="AA41" i="11" s="1"/>
  <c r="AM41" i="11" s="1"/>
  <c r="Y209" i="11" a="1"/>
  <c r="Y209" i="11" s="1"/>
  <c r="Z209" i="11"/>
  <c r="AA209" i="11" s="1"/>
  <c r="AM209" i="11" s="1"/>
  <c r="Y353" i="11" a="1"/>
  <c r="Y353" i="11" s="1"/>
  <c r="Z353" i="11"/>
  <c r="AA353" i="11" s="1"/>
  <c r="AM353" i="11" s="1"/>
  <c r="Y804" i="11" a="1"/>
  <c r="Y804" i="11" s="1"/>
  <c r="Z804" i="11"/>
  <c r="AA804" i="11" s="1"/>
  <c r="AM804" i="11" s="1"/>
  <c r="Y1394" i="11" a="1"/>
  <c r="Y1394" i="11" s="1"/>
  <c r="Z1394" i="11"/>
  <c r="AA1394" i="11" s="1"/>
  <c r="AM1394" i="11" s="1"/>
  <c r="Y31" i="11" a="1"/>
  <c r="Y31" i="11" s="1"/>
  <c r="Z31" i="11"/>
  <c r="AA31" i="11" s="1"/>
  <c r="AM31" i="11" s="1"/>
  <c r="Y167" i="11" a="1"/>
  <c r="Y167" i="11" s="1"/>
  <c r="Z167" i="11"/>
  <c r="AA167" i="11" s="1"/>
  <c r="AM167" i="11" s="1"/>
  <c r="Y311" i="11" a="1"/>
  <c r="Y311" i="11" s="1"/>
  <c r="Z311" i="11"/>
  <c r="AA311" i="11" s="1"/>
  <c r="AM311" i="11" s="1"/>
  <c r="Y447" i="11" a="1"/>
  <c r="Y447" i="11" s="1"/>
  <c r="Z447" i="11"/>
  <c r="AA447" i="11" s="1"/>
  <c r="AM447" i="11" s="1"/>
  <c r="Y148" i="11" a="1"/>
  <c r="Y148" i="11" s="1"/>
  <c r="Z148" i="11"/>
  <c r="AA148" i="11" s="1"/>
  <c r="AM148" i="11" s="1"/>
  <c r="Y10" i="11" a="1"/>
  <c r="Y10" i="11" s="1"/>
  <c r="Z10" i="11"/>
  <c r="AA10" i="11" s="1"/>
  <c r="AM10" i="11" s="1"/>
  <c r="Y492" i="11" a="1"/>
  <c r="Y492" i="11" s="1"/>
  <c r="Z492" i="11"/>
  <c r="AA492" i="11" s="1"/>
  <c r="AM492" i="11" s="1"/>
  <c r="Z1309" i="11"/>
  <c r="AA1309" i="11" s="1"/>
  <c r="AM1309" i="11" s="1"/>
  <c r="Y1309" i="11" a="1"/>
  <c r="Y1309" i="11" s="1"/>
  <c r="Y514" i="11" a="1"/>
  <c r="Y514" i="11" s="1"/>
  <c r="Z514" i="11"/>
  <c r="AA514" i="11" s="1"/>
  <c r="AM514" i="11" s="1"/>
  <c r="Z1200" i="11"/>
  <c r="AA1200" i="11" s="1"/>
  <c r="AM1200" i="11" s="1"/>
  <c r="Y1200" i="11" a="1"/>
  <c r="Y1200" i="11" s="1"/>
  <c r="Z1520" i="11"/>
  <c r="AA1520" i="11" s="1"/>
  <c r="AM1520" i="11" s="1"/>
  <c r="Y1520" i="11" a="1"/>
  <c r="Y1520" i="11" s="1"/>
  <c r="Y1107" i="11" a="1"/>
  <c r="Y1107" i="11" s="1"/>
  <c r="Z1107" i="11"/>
  <c r="AA1107" i="11" s="1"/>
  <c r="AM1107" i="11" s="1"/>
  <c r="Y1235" i="11" a="1"/>
  <c r="Y1235" i="11" s="1"/>
  <c r="Z1235" i="11"/>
  <c r="AA1235" i="11" s="1"/>
  <c r="AM1235" i="11" s="1"/>
  <c r="Y1363" i="11" a="1"/>
  <c r="Y1363" i="11" s="1"/>
  <c r="Z1363" i="11"/>
  <c r="AA1363" i="11" s="1"/>
  <c r="AM1363" i="11" s="1"/>
  <c r="Y48" i="11" a="1"/>
  <c r="Y48" i="11" s="1"/>
  <c r="Z48" i="11"/>
  <c r="AA48" i="11" s="1"/>
  <c r="AM48" i="11" s="1"/>
  <c r="Y176" i="11" a="1"/>
  <c r="Y176" i="11" s="1"/>
  <c r="Z176" i="11"/>
  <c r="AA176" i="11" s="1"/>
  <c r="AM176" i="11" s="1"/>
  <c r="Y304" i="11" a="1"/>
  <c r="Y304" i="11" s="1"/>
  <c r="Z304" i="11"/>
  <c r="AA304" i="11" s="1"/>
  <c r="AM304" i="11" s="1"/>
  <c r="Z448" i="11"/>
  <c r="AA448" i="11" s="1"/>
  <c r="AM448" i="11" s="1"/>
  <c r="Y448" i="11" a="1"/>
  <c r="Y448" i="11" s="1"/>
  <c r="Y212" i="11" a="1"/>
  <c r="Y212" i="11" s="1"/>
  <c r="Z212" i="11"/>
  <c r="AA212" i="11" s="1"/>
  <c r="AM212" i="11" s="1"/>
  <c r="Y1298" i="11" a="1"/>
  <c r="Y1298" i="11" s="1"/>
  <c r="Z1298" i="11"/>
  <c r="AA1298" i="11" s="1"/>
  <c r="AM1298" i="11" s="1"/>
  <c r="Y226" i="11" a="1"/>
  <c r="Y226" i="11" s="1"/>
  <c r="Z226" i="11"/>
  <c r="AA226" i="11" s="1"/>
  <c r="AM226" i="11" s="1"/>
  <c r="Z626" i="11"/>
  <c r="AA626" i="11" s="1"/>
  <c r="AM626" i="11" s="1"/>
  <c r="Y626" i="11" a="1"/>
  <c r="Y626" i="11" s="1"/>
  <c r="Y1240" i="11" a="1"/>
  <c r="Y1240" i="11" s="1"/>
  <c r="Z1240" i="11"/>
  <c r="AA1240" i="11" s="1"/>
  <c r="AM1240" i="11" s="1"/>
  <c r="Z1022" i="11"/>
  <c r="AA1022" i="11" s="1"/>
  <c r="AM1022" i="11" s="1"/>
  <c r="Y1022" i="11" a="1"/>
  <c r="Y1022" i="11" s="1"/>
  <c r="Y1182" i="11" a="1"/>
  <c r="Y1182" i="11" s="1"/>
  <c r="Z1182" i="11"/>
  <c r="AA1182" i="11" s="1"/>
  <c r="AM1182" i="11" s="1"/>
  <c r="X1358" i="11"/>
  <c r="AL1358" i="11"/>
  <c r="Z75" i="11"/>
  <c r="AA75" i="11" s="1"/>
  <c r="AM75" i="11" s="1"/>
  <c r="Y75" i="11" a="1"/>
  <c r="Y75" i="11" s="1"/>
  <c r="Z243" i="11"/>
  <c r="AA243" i="11" s="1"/>
  <c r="AM243" i="11" s="1"/>
  <c r="Y243" i="11" a="1"/>
  <c r="Y243" i="11" s="1"/>
  <c r="Z387" i="11"/>
  <c r="AA387" i="11" s="1"/>
  <c r="AM387" i="11" s="1"/>
  <c r="Y387" i="11" a="1"/>
  <c r="Y387" i="11" s="1"/>
  <c r="Y515" i="11" a="1"/>
  <c r="Y515" i="11" s="1"/>
  <c r="Z515" i="11"/>
  <c r="AA515" i="11" s="1"/>
  <c r="AM515" i="11" s="1"/>
  <c r="Y651" i="11" a="1"/>
  <c r="Y651" i="11" s="1"/>
  <c r="Z651" i="11"/>
  <c r="AA651" i="11" s="1"/>
  <c r="AM651" i="11" s="1"/>
  <c r="Y779" i="11" a="1"/>
  <c r="Y779" i="11" s="1"/>
  <c r="Z779" i="11"/>
  <c r="AA779" i="11" s="1"/>
  <c r="AM779" i="11" s="1"/>
  <c r="Y907" i="11" a="1"/>
  <c r="Y907" i="11" s="1"/>
  <c r="Z907" i="11"/>
  <c r="AA907" i="11" s="1"/>
  <c r="AM907" i="11" s="1"/>
  <c r="Y1199" i="11" a="1"/>
  <c r="Y1199" i="11" s="1"/>
  <c r="Z1199" i="11"/>
  <c r="AA1199" i="11" s="1"/>
  <c r="AM1199" i="11" s="1"/>
  <c r="Y1146" i="11" a="1"/>
  <c r="Y1146" i="11" s="1"/>
  <c r="Z1146" i="11"/>
  <c r="AA1146" i="11" s="1"/>
  <c r="AM1146" i="11" s="1"/>
  <c r="Y1301" i="11" a="1"/>
  <c r="Y1301" i="11" s="1"/>
  <c r="Z1301" i="11"/>
  <c r="AA1301" i="11" s="1"/>
  <c r="AM1301" i="11" s="1"/>
  <c r="Y410" i="11" a="1"/>
  <c r="Y410" i="11" s="1"/>
  <c r="Z410" i="11"/>
  <c r="AA410" i="11" s="1"/>
  <c r="AM410" i="11" s="1"/>
  <c r="Y1192" i="11" a="1"/>
  <c r="Y1192" i="11" s="1"/>
  <c r="Z1192" i="11"/>
  <c r="AA1192" i="11" s="1"/>
  <c r="AM1192" i="11" s="1"/>
  <c r="Y1025" i="11" a="1"/>
  <c r="Y1025" i="11" s="1"/>
  <c r="Z1025" i="11"/>
  <c r="AA1025" i="11" s="1"/>
  <c r="AM1025" i="11" s="1"/>
  <c r="X1273" i="11"/>
  <c r="AL1273" i="11"/>
  <c r="Z70" i="11"/>
  <c r="AA70" i="11" s="1"/>
  <c r="AM70" i="11" s="1"/>
  <c r="Y70" i="11" a="1"/>
  <c r="Y70" i="11" s="1"/>
  <c r="Y198" i="11" a="1"/>
  <c r="Y198" i="11" s="1"/>
  <c r="Z198" i="11"/>
  <c r="AA198" i="11" s="1"/>
  <c r="AM198" i="11" s="1"/>
  <c r="Z326" i="11"/>
  <c r="AA326" i="11" s="1"/>
  <c r="AM326" i="11" s="1"/>
  <c r="Y326" i="11" a="1"/>
  <c r="Y326" i="11" s="1"/>
  <c r="Z454" i="11"/>
  <c r="AA454" i="11" s="1"/>
  <c r="AM454" i="11" s="1"/>
  <c r="Y454" i="11" a="1"/>
  <c r="Y454" i="11" s="1"/>
  <c r="X1311" i="11"/>
  <c r="AL1311" i="11"/>
  <c r="X425" i="11"/>
  <c r="AL425" i="11"/>
  <c r="X689" i="11"/>
  <c r="AL689" i="11"/>
  <c r="X1421" i="11"/>
  <c r="AL1421" i="11"/>
  <c r="X743" i="11"/>
  <c r="AL743" i="11"/>
  <c r="X1438" i="11"/>
  <c r="AL1438" i="11"/>
  <c r="X1281" i="11"/>
  <c r="AL1281" i="11"/>
  <c r="X1255" i="11"/>
  <c r="AL1255" i="11"/>
  <c r="X1511" i="11"/>
  <c r="AL1511" i="11"/>
  <c r="X369" i="11"/>
  <c r="AL369" i="11"/>
  <c r="X633" i="11"/>
  <c r="AL633" i="11"/>
  <c r="X913" i="11"/>
  <c r="AL913" i="11"/>
  <c r="X687" i="11"/>
  <c r="AL687" i="11"/>
  <c r="Y20" i="11" a="1"/>
  <c r="Y20" i="11" s="1"/>
  <c r="Z20" i="11"/>
  <c r="AA20" i="11" s="1"/>
  <c r="AM20" i="11" s="1"/>
  <c r="Z1106" i="11"/>
  <c r="AA1106" i="11" s="1"/>
  <c r="AM1106" i="11" s="1"/>
  <c r="Y1106" i="11" a="1"/>
  <c r="Y1106" i="11" s="1"/>
  <c r="Y1333" i="11" a="1"/>
  <c r="Y1333" i="11" s="1"/>
  <c r="Z1333" i="11"/>
  <c r="AA1333" i="11" s="1"/>
  <c r="AM1333" i="11" s="1"/>
  <c r="Y322" i="11" a="1"/>
  <c r="Y322" i="11" s="1"/>
  <c r="Z322" i="11"/>
  <c r="AA322" i="11" s="1"/>
  <c r="AM322" i="11" s="1"/>
  <c r="Y1124" i="11" a="1"/>
  <c r="Y1124" i="11" s="1"/>
  <c r="Z1124" i="11"/>
  <c r="AA1124" i="11" s="1"/>
  <c r="AM1124" i="11" s="1"/>
  <c r="Y1252" i="11" a="1"/>
  <c r="Y1252" i="11" s="1"/>
  <c r="Z1252" i="11"/>
  <c r="AA1252" i="11" s="1"/>
  <c r="AM1252" i="11" s="1"/>
  <c r="Y1380" i="11" a="1"/>
  <c r="Y1380" i="11" s="1"/>
  <c r="Z1380" i="11"/>
  <c r="AA1380" i="11" s="1"/>
  <c r="AM1380" i="11" s="1"/>
  <c r="Z17" i="11"/>
  <c r="AA17" i="11" s="1"/>
  <c r="AM17" i="11" s="1"/>
  <c r="Y17" i="11" a="1"/>
  <c r="Y17" i="11" s="1"/>
  <c r="Z169" i="11"/>
  <c r="AA169" i="11" s="1"/>
  <c r="AM169" i="11" s="1"/>
  <c r="Y169" i="11" a="1"/>
  <c r="Y169" i="11" s="1"/>
  <c r="Z329" i="11"/>
  <c r="AA329" i="11" s="1"/>
  <c r="AM329" i="11" s="1"/>
  <c r="Y329" i="11" a="1"/>
  <c r="Y329" i="11" s="1"/>
  <c r="Y780" i="11" a="1"/>
  <c r="Y780" i="11" s="1"/>
  <c r="Z780" i="11"/>
  <c r="AA780" i="11" s="1"/>
  <c r="AM780" i="11" s="1"/>
  <c r="Y1242" i="11" a="1"/>
  <c r="Y1242" i="11" s="1"/>
  <c r="Z1242" i="11"/>
  <c r="AA1242" i="11" s="1"/>
  <c r="AM1242" i="11" s="1"/>
  <c r="Y1514" i="11" a="1"/>
  <c r="Y1514" i="11" s="1"/>
  <c r="Z1514" i="11"/>
  <c r="AA1514" i="11" s="1"/>
  <c r="AM1514" i="11" s="1"/>
  <c r="Y135" i="11" a="1"/>
  <c r="Y135" i="11" s="1"/>
  <c r="Z135" i="11"/>
  <c r="AA135" i="11" s="1"/>
  <c r="AM135" i="11" s="1"/>
  <c r="Y287" i="11" a="1"/>
  <c r="Y287" i="11" s="1"/>
  <c r="Z287" i="11"/>
  <c r="AA287" i="11" s="1"/>
  <c r="AM287" i="11" s="1"/>
  <c r="Y423" i="11" a="1"/>
  <c r="Y423" i="11" s="1"/>
  <c r="Z423" i="11"/>
  <c r="AA423" i="11" s="1"/>
  <c r="AM423" i="11" s="1"/>
  <c r="Y551" i="11" a="1"/>
  <c r="Y551" i="11" s="1"/>
  <c r="Z551" i="11"/>
  <c r="AA551" i="11" s="1"/>
  <c r="AM551" i="11" s="1"/>
  <c r="Z652" i="11"/>
  <c r="AA652" i="11" s="1"/>
  <c r="AM652" i="11" s="1"/>
  <c r="Y652" i="11" a="1"/>
  <c r="Y652" i="11" s="1"/>
  <c r="Y308" i="11" a="1"/>
  <c r="Y308" i="11" s="1"/>
  <c r="Z308" i="11"/>
  <c r="AA308" i="11" s="1"/>
  <c r="AM308" i="11" s="1"/>
  <c r="Z1117" i="11"/>
  <c r="AA1117" i="11" s="1"/>
  <c r="AM1117" i="11" s="1"/>
  <c r="Y1117" i="11" a="1"/>
  <c r="Y1117" i="11" s="1"/>
  <c r="Y466" i="11" a="1"/>
  <c r="Y466" i="11" s="1"/>
  <c r="Z466" i="11"/>
  <c r="AA466" i="11" s="1"/>
  <c r="AM466" i="11" s="1"/>
  <c r="Y1104" i="11" a="1"/>
  <c r="Y1104" i="11" s="1"/>
  <c r="Z1104" i="11"/>
  <c r="AA1104" i="11" s="1"/>
  <c r="AM1104" i="11" s="1"/>
  <c r="Y1464" i="11" a="1"/>
  <c r="Y1464" i="11" s="1"/>
  <c r="Z1464" i="11"/>
  <c r="AA1464" i="11" s="1"/>
  <c r="AM1464" i="11" s="1"/>
  <c r="Y1083" i="11" a="1"/>
  <c r="Y1083" i="11" s="1"/>
  <c r="Z1083" i="11"/>
  <c r="AA1083" i="11" s="1"/>
  <c r="AM1083" i="11" s="1"/>
  <c r="Y1211" i="11" a="1"/>
  <c r="Y1211" i="11" s="1"/>
  <c r="Z1211" i="11"/>
  <c r="AA1211" i="11" s="1"/>
  <c r="AM1211" i="11" s="1"/>
  <c r="Y1339" i="11" a="1"/>
  <c r="Y1339" i="11" s="1"/>
  <c r="Z1339" i="11"/>
  <c r="AA1339" i="11" s="1"/>
  <c r="AM1339" i="11" s="1"/>
  <c r="Y24" i="11" a="1"/>
  <c r="Y24" i="11" s="1"/>
  <c r="Z24" i="11"/>
  <c r="AA24" i="11" s="1"/>
  <c r="AM24" i="11" s="1"/>
  <c r="Y152" i="11" a="1"/>
  <c r="Y152" i="11" s="1"/>
  <c r="Z152" i="11"/>
  <c r="AA152" i="11" s="1"/>
  <c r="AM152" i="11" s="1"/>
  <c r="Y280" i="11" a="1"/>
  <c r="Y280" i="11" s="1"/>
  <c r="Z280" i="11"/>
  <c r="AA280" i="11" s="1"/>
  <c r="AM280" i="11" s="1"/>
  <c r="Y424" i="11" a="1"/>
  <c r="Y424" i="11" s="1"/>
  <c r="Z424" i="11"/>
  <c r="AA424" i="11" s="1"/>
  <c r="AM424" i="11" s="1"/>
  <c r="Y108" i="11" a="1"/>
  <c r="Y108" i="11" s="1"/>
  <c r="Z108" i="11"/>
  <c r="AA108" i="11" s="1"/>
  <c r="AM108" i="11" s="1"/>
  <c r="Y1042" i="11" a="1"/>
  <c r="Y1042" i="11" s="1"/>
  <c r="Z1042" i="11"/>
  <c r="AA1042" i="11" s="1"/>
  <c r="AM1042" i="11" s="1"/>
  <c r="Y186" i="11" a="1"/>
  <c r="Y186" i="11" s="1"/>
  <c r="Z186" i="11"/>
  <c r="AA186" i="11" s="1"/>
  <c r="AM186" i="11" s="1"/>
  <c r="Z562" i="11"/>
  <c r="AA562" i="11" s="1"/>
  <c r="AM562" i="11" s="1"/>
  <c r="Y562" i="11" a="1"/>
  <c r="Y562" i="11" s="1"/>
  <c r="Y1168" i="11" a="1"/>
  <c r="Y1168" i="11" s="1"/>
  <c r="Z1168" i="11"/>
  <c r="AA1168" i="11" s="1"/>
  <c r="AM1168" i="11" s="1"/>
  <c r="Y6" i="11" a="1"/>
  <c r="Y6" i="11" s="1"/>
  <c r="Z6" i="11"/>
  <c r="AA6" i="11" s="1"/>
  <c r="AM6" i="11" s="1"/>
  <c r="Y1158" i="11" a="1"/>
  <c r="Y1158" i="11" s="1"/>
  <c r="Z1158" i="11"/>
  <c r="AA1158" i="11" s="1"/>
  <c r="AM1158" i="11" s="1"/>
  <c r="X1310" i="11"/>
  <c r="AL1310" i="11"/>
  <c r="Y43" i="11" a="1"/>
  <c r="Y43" i="11" s="1"/>
  <c r="Z43" i="11"/>
  <c r="AA43" i="11" s="1"/>
  <c r="AM43" i="11" s="1"/>
  <c r="Y219" i="11" a="1"/>
  <c r="Y219" i="11" s="1"/>
  <c r="Z219" i="11"/>
  <c r="AA219" i="11" s="1"/>
  <c r="AM219" i="11" s="1"/>
  <c r="Y363" i="11" a="1"/>
  <c r="Y363" i="11" s="1"/>
  <c r="Z363" i="11"/>
  <c r="AA363" i="11" s="1"/>
  <c r="AM363" i="11" s="1"/>
  <c r="Z491" i="11"/>
  <c r="AA491" i="11" s="1"/>
  <c r="AM491" i="11" s="1"/>
  <c r="Y491" i="11" a="1"/>
  <c r="Y491" i="11" s="1"/>
  <c r="Y627" i="11" a="1"/>
  <c r="Y627" i="11" s="1"/>
  <c r="Z627" i="11"/>
  <c r="AA627" i="11" s="1"/>
  <c r="AM627" i="11" s="1"/>
  <c r="Z755" i="11"/>
  <c r="AA755" i="11" s="1"/>
  <c r="AM755" i="11" s="1"/>
  <c r="Y755" i="11" a="1"/>
  <c r="Y755" i="11" s="1"/>
  <c r="Y883" i="11" a="1"/>
  <c r="Y883" i="11" s="1"/>
  <c r="Z883" i="11"/>
  <c r="AA883" i="11" s="1"/>
  <c r="AM883" i="11" s="1"/>
  <c r="Z1127" i="11"/>
  <c r="AA1127" i="11" s="1"/>
  <c r="AM1127" i="11" s="1"/>
  <c r="Y1127" i="11" a="1"/>
  <c r="Y1127" i="11" s="1"/>
  <c r="Y1082" i="11" a="1"/>
  <c r="Y1082" i="11" s="1"/>
  <c r="Z1082" i="11"/>
  <c r="AA1082" i="11" s="1"/>
  <c r="AM1082" i="11" s="1"/>
  <c r="Y1101" i="11" a="1"/>
  <c r="Y1101" i="11" s="1"/>
  <c r="Z1101" i="11"/>
  <c r="AA1101" i="11" s="1"/>
  <c r="AM1101" i="11" s="1"/>
  <c r="Y338" i="11" a="1"/>
  <c r="Y338" i="11" s="1"/>
  <c r="Z338" i="11"/>
  <c r="AA338" i="11" s="1"/>
  <c r="AM338" i="11" s="1"/>
  <c r="Y1144" i="11" a="1"/>
  <c r="Y1144" i="11" s="1"/>
  <c r="Z1144" i="11"/>
  <c r="AA1144" i="11" s="1"/>
  <c r="AM1144" i="11" s="1"/>
  <c r="Y157" i="11" a="1"/>
  <c r="Y157" i="11" s="1"/>
  <c r="Z157" i="11"/>
  <c r="AA157" i="11" s="1"/>
  <c r="AM157" i="11" s="1"/>
  <c r="X1225" i="11"/>
  <c r="AL1225" i="11"/>
  <c r="Y46" i="11" a="1"/>
  <c r="Y46" i="11" s="1"/>
  <c r="Z46" i="11"/>
  <c r="AA46" i="11" s="1"/>
  <c r="AM46" i="11" s="1"/>
  <c r="Y174" i="11" a="1"/>
  <c r="Y174" i="11" s="1"/>
  <c r="Z174" i="11"/>
  <c r="AA174" i="11" s="1"/>
  <c r="AM174" i="11" s="1"/>
  <c r="Y302" i="11" a="1"/>
  <c r="Y302" i="11" s="1"/>
  <c r="Z302" i="11"/>
  <c r="AA302" i="11" s="1"/>
  <c r="AM302" i="11" s="1"/>
  <c r="Y430" i="11" a="1"/>
  <c r="Y430" i="11" s="1"/>
  <c r="Z430" i="11"/>
  <c r="AA430" i="11" s="1"/>
  <c r="AM430" i="11" s="1"/>
  <c r="X1263" i="11"/>
  <c r="AL1263" i="11"/>
  <c r="X1519" i="11"/>
  <c r="AL1519" i="11"/>
  <c r="X377" i="11"/>
  <c r="AL377" i="11"/>
  <c r="X641" i="11"/>
  <c r="AL641" i="11"/>
  <c r="X921" i="11"/>
  <c r="AL921" i="11"/>
  <c r="X695" i="11"/>
  <c r="AL695" i="11"/>
  <c r="X1382" i="11"/>
  <c r="AL1382" i="11"/>
  <c r="Z36" i="11"/>
  <c r="AA36" i="11" s="1"/>
  <c r="AM36" i="11" s="1"/>
  <c r="Y36" i="11" a="1"/>
  <c r="Y36" i="11" s="1"/>
  <c r="Y1162" i="11" a="1"/>
  <c r="Y1162" i="11" s="1"/>
  <c r="Z1162" i="11"/>
  <c r="AA1162" i="11" s="1"/>
  <c r="AM1162" i="11" s="1"/>
  <c r="Y1349" i="11" a="1"/>
  <c r="Y1349" i="11" s="1"/>
  <c r="Z1349" i="11"/>
  <c r="AA1349" i="11" s="1"/>
  <c r="AM1349" i="11" s="1"/>
  <c r="Z346" i="11"/>
  <c r="AA346" i="11" s="1"/>
  <c r="AM346" i="11" s="1"/>
  <c r="Y346" i="11" a="1"/>
  <c r="Y346" i="11" s="1"/>
  <c r="Z1132" i="11"/>
  <c r="AA1132" i="11" s="1"/>
  <c r="AM1132" i="11" s="1"/>
  <c r="Y1132" i="11" a="1"/>
  <c r="Y1132" i="11" s="1"/>
  <c r="Z1260" i="11"/>
  <c r="AA1260" i="11" s="1"/>
  <c r="AM1260" i="11" s="1"/>
  <c r="Y1260" i="11" a="1"/>
  <c r="Y1260" i="11" s="1"/>
  <c r="Z1388" i="11"/>
  <c r="AA1388" i="11" s="1"/>
  <c r="AM1388" i="11" s="1"/>
  <c r="Y1388" i="11" a="1"/>
  <c r="Y1388" i="11" s="1"/>
  <c r="Y25" i="11" a="1"/>
  <c r="Y25" i="11" s="1"/>
  <c r="Z25" i="11"/>
  <c r="AA25" i="11" s="1"/>
  <c r="AM25" i="11" s="1"/>
  <c r="Y177" i="11" a="1"/>
  <c r="Y177" i="11" s="1"/>
  <c r="Z177" i="11"/>
  <c r="AA177" i="11" s="1"/>
  <c r="AM177" i="11" s="1"/>
  <c r="Y337" i="11" a="1"/>
  <c r="Y337" i="11" s="1"/>
  <c r="Z337" i="11"/>
  <c r="AA337" i="11" s="1"/>
  <c r="AM337" i="11" s="1"/>
  <c r="Z788" i="11"/>
  <c r="AA788" i="11" s="1"/>
  <c r="AM788" i="11" s="1"/>
  <c r="Y788" i="11" a="1"/>
  <c r="Y788" i="11" s="1"/>
  <c r="Y1370" i="11" a="1"/>
  <c r="Y1370" i="11" s="1"/>
  <c r="Z1370" i="11"/>
  <c r="AA1370" i="11" s="1"/>
  <c r="AM1370" i="11" s="1"/>
  <c r="Y15" i="11" a="1"/>
  <c r="Y15" i="11" s="1"/>
  <c r="Z15" i="11"/>
  <c r="AA15" i="11" s="1"/>
  <c r="AM15" i="11" s="1"/>
  <c r="Y151" i="11" a="1"/>
  <c r="Y151" i="11" s="1"/>
  <c r="Z151" i="11"/>
  <c r="AA151" i="11" s="1"/>
  <c r="AM151" i="11" s="1"/>
  <c r="Y295" i="11" a="1"/>
  <c r="Y295" i="11" s="1"/>
  <c r="Z295" i="11"/>
  <c r="AA295" i="11" s="1"/>
  <c r="AM295" i="11" s="1"/>
  <c r="Y431" i="11" a="1"/>
  <c r="Y431" i="11" s="1"/>
  <c r="Z431" i="11"/>
  <c r="AA431" i="11" s="1"/>
  <c r="AM431" i="11" s="1"/>
  <c r="Y567" i="11" a="1"/>
  <c r="Y567" i="11" s="1"/>
  <c r="Z567" i="11"/>
  <c r="AA567" i="11" s="1"/>
  <c r="AM567" i="11" s="1"/>
  <c r="Y1029" i="11" a="1"/>
  <c r="Y1029" i="11" s="1"/>
  <c r="Z1029" i="11"/>
  <c r="AA1029" i="11" s="1"/>
  <c r="AM1029" i="11" s="1"/>
  <c r="Z388" i="11"/>
  <c r="AA388" i="11" s="1"/>
  <c r="AM388" i="11" s="1"/>
  <c r="Y388" i="11" a="1"/>
  <c r="Y388" i="11" s="1"/>
  <c r="Y1205" i="11" a="1"/>
  <c r="Y1205" i="11" s="1"/>
  <c r="Z1205" i="11"/>
  <c r="AA1205" i="11" s="1"/>
  <c r="AM1205" i="11" s="1"/>
  <c r="Y490" i="11" a="1"/>
  <c r="Y490" i="11" s="1"/>
  <c r="Z490" i="11"/>
  <c r="AA490" i="11" s="1"/>
  <c r="AM490" i="11" s="1"/>
  <c r="Z1112" i="11"/>
  <c r="AA1112" i="11" s="1"/>
  <c r="AM1112" i="11" s="1"/>
  <c r="Y1112" i="11" a="1"/>
  <c r="Y1112" i="11" s="1"/>
  <c r="Y1480" i="11" a="1"/>
  <c r="Y1480" i="11" s="1"/>
  <c r="Z1480" i="11"/>
  <c r="AA1480" i="11" s="1"/>
  <c r="AM1480" i="11" s="1"/>
  <c r="Y1091" i="11" a="1"/>
  <c r="Y1091" i="11" s="1"/>
  <c r="Z1091" i="11"/>
  <c r="AA1091" i="11" s="1"/>
  <c r="AM1091" i="11" s="1"/>
  <c r="Y1219" i="11" a="1"/>
  <c r="Y1219" i="11" s="1"/>
  <c r="Z1219" i="11"/>
  <c r="AA1219" i="11" s="1"/>
  <c r="AM1219" i="11" s="1"/>
  <c r="Y1347" i="11" a="1"/>
  <c r="Y1347" i="11" s="1"/>
  <c r="Z1347" i="11"/>
  <c r="AA1347" i="11" s="1"/>
  <c r="AM1347" i="11" s="1"/>
  <c r="Y32" i="11" a="1"/>
  <c r="Y32" i="11" s="1"/>
  <c r="Z32" i="11"/>
  <c r="AA32" i="11" s="1"/>
  <c r="AM32" i="11" s="1"/>
  <c r="Y160" i="11" a="1"/>
  <c r="Y160" i="11" s="1"/>
  <c r="Z160" i="11"/>
  <c r="AA160" i="11" s="1"/>
  <c r="AM160" i="11" s="1"/>
  <c r="Y288" i="11" a="1"/>
  <c r="Y288" i="11" s="1"/>
  <c r="Z288" i="11"/>
  <c r="AA288" i="11" s="1"/>
  <c r="AM288" i="11" s="1"/>
  <c r="Y432" i="11" a="1"/>
  <c r="Y432" i="11" s="1"/>
  <c r="Z432" i="11"/>
  <c r="AA432" i="11" s="1"/>
  <c r="AM432" i="11" s="1"/>
  <c r="Y156" i="11" a="1"/>
  <c r="Y156" i="11" s="1"/>
  <c r="Z156" i="11"/>
  <c r="AA156" i="11" s="1"/>
  <c r="AM156" i="11" s="1"/>
  <c r="Y1130" i="11" a="1"/>
  <c r="Y1130" i="11" s="1"/>
  <c r="Z1130" i="11"/>
  <c r="AA1130" i="11" s="1"/>
  <c r="AM1130" i="11" s="1"/>
  <c r="Y194" i="11" a="1"/>
  <c r="Y194" i="11" s="1"/>
  <c r="Z194" i="11"/>
  <c r="AA194" i="11" s="1"/>
  <c r="AM194" i="11" s="1"/>
  <c r="Y578" i="11" a="1"/>
  <c r="Y578" i="11" s="1"/>
  <c r="Z578" i="11"/>
  <c r="AA578" i="11" s="1"/>
  <c r="AM578" i="11" s="1"/>
  <c r="Y1216" i="11" a="1"/>
  <c r="Y1216" i="11" s="1"/>
  <c r="Z1216" i="11"/>
  <c r="AA1216" i="11" s="1"/>
  <c r="AM1216" i="11" s="1"/>
  <c r="Y9" i="11" a="1"/>
  <c r="Y9" i="11" s="1"/>
  <c r="Z9" i="11"/>
  <c r="AA9" i="11" s="1"/>
  <c r="AM9" i="11" s="1"/>
  <c r="Z1166" i="11"/>
  <c r="AA1166" i="11" s="1"/>
  <c r="AM1166" i="11" s="1"/>
  <c r="Y1166" i="11" a="1"/>
  <c r="Y1166" i="11" s="1"/>
  <c r="X1326" i="11"/>
  <c r="AL1326" i="11"/>
  <c r="Z59" i="11"/>
  <c r="AA59" i="11" s="1"/>
  <c r="AM59" i="11" s="1"/>
  <c r="Y59" i="11" a="1"/>
  <c r="Y59" i="11" s="1"/>
  <c r="Y227" i="11" a="1"/>
  <c r="Y227" i="11" s="1"/>
  <c r="Z227" i="11"/>
  <c r="AA227" i="11" s="1"/>
  <c r="AM227" i="11" s="1"/>
  <c r="Y371" i="11" a="1"/>
  <c r="Y371" i="11" s="1"/>
  <c r="Z371" i="11"/>
  <c r="AA371" i="11" s="1"/>
  <c r="AM371" i="11" s="1"/>
  <c r="Y499" i="11" a="1"/>
  <c r="Y499" i="11" s="1"/>
  <c r="Z499" i="11"/>
  <c r="AA499" i="11" s="1"/>
  <c r="AM499" i="11" s="1"/>
  <c r="Y635" i="11" a="1"/>
  <c r="Y635" i="11" s="1"/>
  <c r="Z635" i="11"/>
  <c r="AA635" i="11" s="1"/>
  <c r="AM635" i="11" s="1"/>
  <c r="Y763" i="11" a="1"/>
  <c r="Y763" i="11" s="1"/>
  <c r="Z763" i="11"/>
  <c r="AA763" i="11" s="1"/>
  <c r="AM763" i="11" s="1"/>
  <c r="Y891" i="11" a="1"/>
  <c r="Y891" i="11" s="1"/>
  <c r="Z891" i="11"/>
  <c r="AA891" i="11" s="1"/>
  <c r="AM891" i="11" s="1"/>
  <c r="X1270" i="11"/>
  <c r="AL1270" i="11"/>
  <c r="Y1175" i="11" a="1"/>
  <c r="Y1175" i="11" s="1"/>
  <c r="Z1175" i="11"/>
  <c r="AA1175" i="11" s="1"/>
  <c r="AM1175" i="11" s="1"/>
  <c r="Y548" i="11" a="1"/>
  <c r="Y548" i="11" s="1"/>
  <c r="Z548" i="11"/>
  <c r="AA548" i="11" s="1"/>
  <c r="AM548" i="11" s="1"/>
  <c r="Y1277" i="11" a="1"/>
  <c r="Y1277" i="11" s="1"/>
  <c r="Z1277" i="11"/>
  <c r="AA1277" i="11" s="1"/>
  <c r="AM1277" i="11" s="1"/>
  <c r="Y258" i="11" a="1"/>
  <c r="Y258" i="11" s="1"/>
  <c r="Z258" i="11"/>
  <c r="AA258" i="11" s="1"/>
  <c r="AM258" i="11" s="1"/>
  <c r="Y1108" i="11" a="1"/>
  <c r="Y1108" i="11" s="1"/>
  <c r="Z1108" i="11"/>
  <c r="AA1108" i="11" s="1"/>
  <c r="AM1108" i="11" s="1"/>
  <c r="Y1236" i="11" a="1"/>
  <c r="Y1236" i="11" s="1"/>
  <c r="Z1236" i="11"/>
  <c r="AA1236" i="11" s="1"/>
  <c r="AM1236" i="11" s="1"/>
  <c r="Y1364" i="11" a="1"/>
  <c r="Y1364" i="11" s="1"/>
  <c r="Z1364" i="11"/>
  <c r="AA1364" i="11" s="1"/>
  <c r="AM1364" i="11" s="1"/>
  <c r="Y1492" i="11" a="1"/>
  <c r="Y1492" i="11" s="1"/>
  <c r="Z1492" i="11"/>
  <c r="AA1492" i="11" s="1"/>
  <c r="AM1492" i="11" s="1"/>
  <c r="Z145" i="11"/>
  <c r="AA145" i="11" s="1"/>
  <c r="AM145" i="11" s="1"/>
  <c r="Y145" i="11" a="1"/>
  <c r="Y145" i="11" s="1"/>
  <c r="Z305" i="11"/>
  <c r="AA305" i="11" s="1"/>
  <c r="AM305" i="11" s="1"/>
  <c r="Y305" i="11" a="1"/>
  <c r="Y305" i="11" s="1"/>
  <c r="Y764" i="11" a="1"/>
  <c r="Y764" i="11" s="1"/>
  <c r="Z764" i="11"/>
  <c r="AA764" i="11" s="1"/>
  <c r="AM764" i="11" s="1"/>
  <c r="Y644" i="11" a="1"/>
  <c r="Y644" i="11" s="1"/>
  <c r="Z644" i="11"/>
  <c r="AA644" i="11" s="1"/>
  <c r="AM644" i="11" s="1"/>
  <c r="Y1498" i="11" a="1"/>
  <c r="Y1498" i="11" s="1"/>
  <c r="Z1498" i="11"/>
  <c r="AA1498" i="11" s="1"/>
  <c r="AM1498" i="11" s="1"/>
  <c r="Y119" i="11" a="1"/>
  <c r="Y119" i="11" s="1"/>
  <c r="Z119" i="11"/>
  <c r="AA119" i="11" s="1"/>
  <c r="AM119" i="11" s="1"/>
  <c r="Y271" i="11" a="1"/>
  <c r="Y271" i="11" s="1"/>
  <c r="Z271" i="11"/>
  <c r="AA271" i="11" s="1"/>
  <c r="AM271" i="11" s="1"/>
  <c r="Y407" i="11" a="1"/>
  <c r="Y407" i="11" s="1"/>
  <c r="Z407" i="11"/>
  <c r="AA407" i="11" s="1"/>
  <c r="AM407" i="11" s="1"/>
  <c r="Y535" i="11" a="1"/>
  <c r="Y535" i="11" s="1"/>
  <c r="Z535" i="11"/>
  <c r="AA535" i="11" s="1"/>
  <c r="AM535" i="11" s="1"/>
  <c r="Z596" i="11"/>
  <c r="AA596" i="11" s="1"/>
  <c r="AM596" i="11" s="1"/>
  <c r="Y596" i="11" a="1"/>
  <c r="Y596" i="11" s="1"/>
  <c r="Y268" i="11" a="1"/>
  <c r="Y268" i="11" s="1"/>
  <c r="Z268" i="11"/>
  <c r="AA268" i="11" s="1"/>
  <c r="AM268" i="11" s="1"/>
  <c r="Y1314" i="11" a="1"/>
  <c r="Y1314" i="11" s="1"/>
  <c r="Z1314" i="11"/>
  <c r="AA1314" i="11" s="1"/>
  <c r="AM1314" i="11" s="1"/>
  <c r="Y402" i="11" a="1"/>
  <c r="Y402" i="11" s="1"/>
  <c r="Z402" i="11"/>
  <c r="AA402" i="11" s="1"/>
  <c r="AM402" i="11" s="1"/>
  <c r="Y1072" i="11" a="1"/>
  <c r="Y1072" i="11" s="1"/>
  <c r="Z1072" i="11"/>
  <c r="AA1072" i="11" s="1"/>
  <c r="AM1072" i="11" s="1"/>
  <c r="Z1432" i="11"/>
  <c r="AA1432" i="11" s="1"/>
  <c r="AM1432" i="11" s="1"/>
  <c r="Y1432" i="11" a="1"/>
  <c r="Y1432" i="11" s="1"/>
  <c r="Y1067" i="11" a="1"/>
  <c r="Y1067" i="11" s="1"/>
  <c r="Z1067" i="11"/>
  <c r="AA1067" i="11" s="1"/>
  <c r="AM1067" i="11" s="1"/>
  <c r="Z1195" i="11"/>
  <c r="AA1195" i="11" s="1"/>
  <c r="AM1195" i="11" s="1"/>
  <c r="Y1195" i="11" a="1"/>
  <c r="Y1195" i="11" s="1"/>
  <c r="Z1323" i="11"/>
  <c r="AA1323" i="11" s="1"/>
  <c r="AM1323" i="11" s="1"/>
  <c r="Y1323" i="11" a="1"/>
  <c r="Y1323" i="11" s="1"/>
  <c r="Z1515" i="11"/>
  <c r="AA1515" i="11" s="1"/>
  <c r="AM1515" i="11" s="1"/>
  <c r="Y1515" i="11" a="1"/>
  <c r="Y1515" i="11" s="1"/>
  <c r="Z136" i="11"/>
  <c r="AA136" i="11" s="1"/>
  <c r="AM136" i="11" s="1"/>
  <c r="Y136" i="11" a="1"/>
  <c r="Y136" i="11" s="1"/>
  <c r="Y264" i="11" a="1"/>
  <c r="Y264" i="11" s="1"/>
  <c r="Z264" i="11"/>
  <c r="AA264" i="11" s="1"/>
  <c r="AM264" i="11" s="1"/>
  <c r="Z400" i="11"/>
  <c r="AA400" i="11" s="1"/>
  <c r="AM400" i="11" s="1"/>
  <c r="Y400" i="11" a="1"/>
  <c r="Y400" i="11" s="1"/>
  <c r="Y44" i="11" a="1"/>
  <c r="Y44" i="11" s="1"/>
  <c r="Z44" i="11"/>
  <c r="AA44" i="11" s="1"/>
  <c r="AM44" i="11" s="1"/>
  <c r="Z556" i="11"/>
  <c r="AA556" i="11" s="1"/>
  <c r="AM556" i="11" s="1"/>
  <c r="Y556" i="11" a="1"/>
  <c r="Y556" i="11" s="1"/>
  <c r="Y114" i="11" a="1"/>
  <c r="Y114" i="11" s="1"/>
  <c r="Z114" i="11"/>
  <c r="AA114" i="11" s="1"/>
  <c r="AM114" i="11" s="1"/>
  <c r="Y522" i="11" a="1"/>
  <c r="Y522" i="11" s="1"/>
  <c r="Z522" i="11"/>
  <c r="AA522" i="11" s="1"/>
  <c r="AM522" i="11" s="1"/>
  <c r="Z1136" i="11"/>
  <c r="AA1136" i="11" s="1"/>
  <c r="AM1136" i="11" s="1"/>
  <c r="Y1136" i="11" a="1"/>
  <c r="Y1136" i="11" s="1"/>
  <c r="Z189" i="11"/>
  <c r="AA189" i="11" s="1"/>
  <c r="AM189" i="11" s="1"/>
  <c r="Y189" i="11" a="1"/>
  <c r="Y189" i="11" s="1"/>
  <c r="Z1142" i="11"/>
  <c r="AA1142" i="11" s="1"/>
  <c r="AM1142" i="11" s="1"/>
  <c r="Y1142" i="11" a="1"/>
  <c r="Y1142" i="11" s="1"/>
  <c r="X1278" i="11"/>
  <c r="AL1278" i="11"/>
  <c r="Y27" i="11" a="1"/>
  <c r="Y27" i="11" s="1"/>
  <c r="Z27" i="11"/>
  <c r="AA27" i="11" s="1"/>
  <c r="AM27" i="11" s="1"/>
  <c r="Z195" i="11"/>
  <c r="AA195" i="11" s="1"/>
  <c r="AM195" i="11" s="1"/>
  <c r="Y195" i="11" a="1"/>
  <c r="Y195" i="11" s="1"/>
  <c r="Z347" i="11"/>
  <c r="AA347" i="11" s="1"/>
  <c r="AM347" i="11" s="1"/>
  <c r="Y347" i="11" a="1"/>
  <c r="Y347" i="11" s="1"/>
  <c r="Y475" i="11" a="1"/>
  <c r="Y475" i="11" s="1"/>
  <c r="Z475" i="11"/>
  <c r="AA475" i="11" s="1"/>
  <c r="AM475" i="11" s="1"/>
  <c r="Y611" i="11" a="1"/>
  <c r="Y611" i="11" s="1"/>
  <c r="Z611" i="11"/>
  <c r="AA611" i="11" s="1"/>
  <c r="AM611" i="11" s="1"/>
  <c r="Y739" i="11" a="1"/>
  <c r="Y739" i="11" s="1"/>
  <c r="Z739" i="11"/>
  <c r="AA739" i="11" s="1"/>
  <c r="AM739" i="11" s="1"/>
  <c r="Z867" i="11"/>
  <c r="AA867" i="11" s="1"/>
  <c r="AM867" i="11" s="1"/>
  <c r="Y867" i="11" a="1"/>
  <c r="Y867" i="11" s="1"/>
  <c r="X1286" i="11"/>
  <c r="AL1286" i="11"/>
  <c r="X1201" i="11"/>
  <c r="AL1201" i="11"/>
  <c r="X1457" i="11"/>
  <c r="AL1457" i="11"/>
  <c r="X1367" i="11"/>
  <c r="AL1367" i="11"/>
  <c r="X481" i="11"/>
  <c r="AL481" i="11"/>
  <c r="X745" i="11"/>
  <c r="AL745" i="11"/>
  <c r="X1477" i="11"/>
  <c r="AL1477" i="11"/>
  <c r="X799" i="11"/>
  <c r="AL799" i="11"/>
  <c r="Y978" i="11" a="1"/>
  <c r="Y978" i="11" s="1"/>
  <c r="Z978" i="11"/>
  <c r="AA978" i="11" s="1"/>
  <c r="AM978" i="11" s="1"/>
  <c r="X710" i="11"/>
  <c r="AL710" i="11"/>
  <c r="X877" i="11"/>
  <c r="AL877" i="11"/>
  <c r="X672" i="11"/>
  <c r="AL672" i="11"/>
  <c r="X995" i="11"/>
  <c r="AL995" i="11"/>
  <c r="X1077" i="11"/>
  <c r="AL1077" i="11"/>
  <c r="X1403" i="11"/>
  <c r="AL1403" i="11"/>
  <c r="X585" i="11"/>
  <c r="AL585" i="11"/>
  <c r="X865" i="11"/>
  <c r="AL865" i="11"/>
  <c r="X639" i="11"/>
  <c r="AL639" i="11"/>
  <c r="X1411" i="11"/>
  <c r="AL1411" i="11"/>
  <c r="X726" i="11"/>
  <c r="AL726" i="11"/>
  <c r="X1233" i="11"/>
  <c r="AL1233" i="11"/>
  <c r="X1489" i="11"/>
  <c r="AL1489" i="11"/>
  <c r="Y532" i="11" a="1"/>
  <c r="Y532" i="11" s="1"/>
  <c r="Z532" i="11"/>
  <c r="AA532" i="11" s="1"/>
  <c r="AM532" i="11" s="1"/>
  <c r="Z1037" i="11"/>
  <c r="AA1037" i="11" s="1"/>
  <c r="AM1037" i="11" s="1"/>
  <c r="Y1037" i="11" a="1"/>
  <c r="Y1037" i="11" s="1"/>
  <c r="Z218" i="11"/>
  <c r="AA218" i="11" s="1"/>
  <c r="AM218" i="11" s="1"/>
  <c r="Y218" i="11" a="1"/>
  <c r="Y218" i="11" s="1"/>
  <c r="Y1080" i="11" a="1"/>
  <c r="Y1080" i="11" s="1"/>
  <c r="Z1080" i="11"/>
  <c r="AA1080" i="11" s="1"/>
  <c r="AM1080" i="11" s="1"/>
  <c r="Y1488" i="11" a="1"/>
  <c r="Y1488" i="11" s="1"/>
  <c r="Z1488" i="11"/>
  <c r="AA1488" i="11" s="1"/>
  <c r="AM1488" i="11" s="1"/>
  <c r="X1169" i="11"/>
  <c r="AL1169" i="11"/>
  <c r="Y22" i="11" a="1"/>
  <c r="Y22" i="11" s="1"/>
  <c r="Z22" i="11"/>
  <c r="AA22" i="11" s="1"/>
  <c r="AM22" i="11" s="1"/>
  <c r="Z150" i="11"/>
  <c r="AA150" i="11" s="1"/>
  <c r="AM150" i="11" s="1"/>
  <c r="Y150" i="11" a="1"/>
  <c r="Y150" i="11" s="1"/>
  <c r="Y278" i="11" a="1"/>
  <c r="Y278" i="11" s="1"/>
  <c r="Z278" i="11"/>
  <c r="AA278" i="11" s="1"/>
  <c r="AM278" i="11" s="1"/>
  <c r="Y406" i="11" a="1"/>
  <c r="Y406" i="11" s="1"/>
  <c r="Z406" i="11"/>
  <c r="AA406" i="11" s="1"/>
  <c r="AM406" i="11" s="1"/>
  <c r="X1497" i="11"/>
  <c r="AL1497" i="11"/>
  <c r="X1463" i="11"/>
  <c r="AL1463" i="11"/>
  <c r="X1377" i="11"/>
  <c r="AL1377" i="11"/>
  <c r="X1279" i="11"/>
  <c r="AL1279" i="11"/>
  <c r="Z1095" i="11"/>
  <c r="AA1095" i="11" s="1"/>
  <c r="AM1095" i="11" s="1"/>
  <c r="Y1095" i="11" a="1"/>
  <c r="Y1095" i="11" s="1"/>
  <c r="Y580" i="11" a="1"/>
  <c r="Y580" i="11" s="1"/>
  <c r="Z580" i="11"/>
  <c r="AA580" i="11" s="1"/>
  <c r="AM580" i="11" s="1"/>
  <c r="Y1053" i="11" a="1"/>
  <c r="Y1053" i="11" s="1"/>
  <c r="Z1053" i="11"/>
  <c r="AA1053" i="11" s="1"/>
  <c r="AM1053" i="11" s="1"/>
  <c r="Z234" i="11"/>
  <c r="AA234" i="11" s="1"/>
  <c r="AM234" i="11" s="1"/>
  <c r="Y234" i="11" a="1"/>
  <c r="Y234" i="11" s="1"/>
  <c r="Y1120" i="11" a="1"/>
  <c r="Y1120" i="11" s="1"/>
  <c r="Z1120" i="11"/>
  <c r="AA1120" i="11" s="1"/>
  <c r="AM1120" i="11" s="1"/>
  <c r="Y1504" i="11" a="1"/>
  <c r="Y1504" i="11" s="1"/>
  <c r="Z1504" i="11"/>
  <c r="AA1504" i="11" s="1"/>
  <c r="AM1504" i="11" s="1"/>
  <c r="X1185" i="11"/>
  <c r="AL1185" i="11"/>
  <c r="Y30" i="11" a="1"/>
  <c r="Y30" i="11" s="1"/>
  <c r="Z30" i="11"/>
  <c r="AA30" i="11" s="1"/>
  <c r="AM30" i="11" s="1"/>
  <c r="Y158" i="11" a="1"/>
  <c r="Y158" i="11" s="1"/>
  <c r="Z158" i="11"/>
  <c r="AA158" i="11" s="1"/>
  <c r="AM158" i="11" s="1"/>
  <c r="Y286" i="11" a="1"/>
  <c r="Y286" i="11" s="1"/>
  <c r="Z286" i="11"/>
  <c r="AA286" i="11" s="1"/>
  <c r="AM286" i="11" s="1"/>
  <c r="Y414" i="11" a="1"/>
  <c r="Y414" i="11" s="1"/>
  <c r="Z414" i="11"/>
  <c r="AA414" i="11" s="1"/>
  <c r="AM414" i="11" s="1"/>
  <c r="X1513" i="11"/>
  <c r="AL1513" i="11"/>
  <c r="X1415" i="11"/>
  <c r="AL1415" i="11"/>
  <c r="X1359" i="11"/>
  <c r="AL1359" i="11"/>
  <c r="X147" i="11"/>
  <c r="AL147" i="11"/>
  <c r="X1387" i="11"/>
  <c r="AL1387" i="11"/>
  <c r="X1427" i="11"/>
  <c r="AL1427" i="11"/>
  <c r="X742" i="11"/>
  <c r="AL742" i="11"/>
  <c r="X560" i="11"/>
  <c r="AL560" i="11"/>
  <c r="X816" i="11"/>
  <c r="AL816" i="11"/>
  <c r="X666" i="11"/>
  <c r="AL666" i="11"/>
  <c r="X806" i="11"/>
  <c r="AL806" i="11"/>
  <c r="X793" i="11"/>
  <c r="AL793" i="11"/>
  <c r="X996" i="11"/>
  <c r="AL996" i="11"/>
  <c r="X1129" i="11"/>
  <c r="AL1129" i="11"/>
  <c r="X909" i="11"/>
  <c r="AL909" i="11"/>
  <c r="X662" i="11"/>
  <c r="AL662" i="11"/>
  <c r="X504" i="11"/>
  <c r="AL504" i="11"/>
  <c r="X760" i="11"/>
  <c r="AL760" i="11"/>
  <c r="X863" i="11"/>
  <c r="AL863" i="11"/>
  <c r="X670" i="11"/>
  <c r="AL670" i="11"/>
  <c r="X137" i="11"/>
  <c r="AL137" i="11"/>
  <c r="X900" i="11"/>
  <c r="AL900" i="11"/>
  <c r="X988" i="11"/>
  <c r="AL988" i="11"/>
  <c r="X1173" i="11"/>
  <c r="AL1173" i="11"/>
  <c r="X1443" i="11"/>
  <c r="AL1443" i="11"/>
  <c r="X758" i="11"/>
  <c r="AL758" i="11"/>
  <c r="X512" i="11"/>
  <c r="AL512" i="11"/>
  <c r="X768" i="11"/>
  <c r="AL768" i="11"/>
  <c r="X951" i="11"/>
  <c r="AL951" i="11"/>
  <c r="X678" i="11"/>
  <c r="AL678" i="11"/>
  <c r="X161" i="11"/>
  <c r="AL161" i="11"/>
  <c r="X908" i="11"/>
  <c r="AL908" i="11"/>
  <c r="X628" i="11"/>
  <c r="AL628" i="11"/>
  <c r="X1509" i="11"/>
  <c r="AL1509" i="11"/>
  <c r="X593" i="11"/>
  <c r="AL593" i="11"/>
  <c r="X873" i="11"/>
  <c r="AL873" i="11"/>
  <c r="X647" i="11"/>
  <c r="AL647" i="11"/>
  <c r="X187" i="11"/>
  <c r="AL187" i="11"/>
  <c r="X601" i="11"/>
  <c r="AL601" i="11"/>
  <c r="X881" i="11"/>
  <c r="AL881" i="11"/>
  <c r="X655" i="11"/>
  <c r="AL655" i="11"/>
  <c r="X409" i="11"/>
  <c r="AL409" i="11"/>
  <c r="X673" i="11"/>
  <c r="AL673" i="11"/>
  <c r="X1001" i="11"/>
  <c r="AL1001" i="11"/>
  <c r="X727" i="11"/>
  <c r="AL727" i="11"/>
  <c r="X53" i="11"/>
  <c r="AL53" i="11"/>
  <c r="X552" i="11"/>
  <c r="AL552" i="11"/>
  <c r="X808" i="11"/>
  <c r="AL808" i="11"/>
  <c r="X266" i="11"/>
  <c r="AL266" i="11"/>
  <c r="X798" i="11"/>
  <c r="AL798" i="11"/>
  <c r="X785" i="11"/>
  <c r="AL785" i="11"/>
  <c r="X972" i="11"/>
  <c r="AL972" i="11"/>
  <c r="X879" i="11"/>
  <c r="AL879" i="11"/>
  <c r="X677" i="11"/>
  <c r="AL677" i="11"/>
  <c r="X702" i="11"/>
  <c r="AL702" i="11"/>
  <c r="X813" i="11"/>
  <c r="AL813" i="11"/>
  <c r="X718" i="11"/>
  <c r="AL718" i="11"/>
  <c r="X911" i="11"/>
  <c r="AL911" i="11"/>
  <c r="X712" i="11"/>
  <c r="AL712" i="11"/>
  <c r="X1466" i="11"/>
  <c r="AL1466" i="11"/>
  <c r="X211" i="11"/>
  <c r="AL211" i="11"/>
  <c r="X998" i="11"/>
  <c r="AL998" i="11"/>
  <c r="X740" i="11"/>
  <c r="AL740" i="11"/>
  <c r="X1054" i="11"/>
  <c r="AL1054" i="11"/>
  <c r="X564" i="11"/>
  <c r="AL564" i="11"/>
  <c r="X949" i="11"/>
  <c r="AL949" i="11"/>
  <c r="X528" i="11"/>
  <c r="AL528" i="11"/>
  <c r="X784" i="11"/>
  <c r="AL784" i="11"/>
  <c r="X1045" i="11"/>
  <c r="AL1045" i="11"/>
  <c r="X774" i="11"/>
  <c r="AL774" i="11"/>
  <c r="X201" i="11"/>
  <c r="AL201" i="11"/>
  <c r="X932" i="11"/>
  <c r="AL932" i="11"/>
  <c r="X1026" i="11"/>
  <c r="AL1026" i="11"/>
  <c r="X714" i="11"/>
  <c r="AL714" i="11"/>
  <c r="X927" i="11"/>
  <c r="AL927" i="11"/>
  <c r="X728" i="11"/>
  <c r="AL728" i="11"/>
  <c r="X175" i="11"/>
  <c r="AL175" i="11"/>
  <c r="X1161" i="11"/>
  <c r="AL1161" i="11"/>
  <c r="X155" i="11"/>
  <c r="AL155" i="11"/>
  <c r="X868" i="11"/>
  <c r="AL868" i="11"/>
  <c r="X924" i="11"/>
  <c r="AL924" i="11"/>
  <c r="X1085" i="11"/>
  <c r="AL1085" i="11"/>
  <c r="X981" i="11"/>
  <c r="AL981" i="11"/>
  <c r="X957" i="11"/>
  <c r="AL957" i="11"/>
  <c r="X918" i="11"/>
  <c r="AL918" i="11"/>
  <c r="X700" i="11"/>
  <c r="AL700" i="11"/>
  <c r="X992" i="11"/>
  <c r="AL992" i="11"/>
  <c r="X999" i="11"/>
  <c r="AL999" i="11"/>
  <c r="X1005" i="11"/>
  <c r="AL1005" i="11"/>
  <c r="AA533" i="11"/>
  <c r="AM533" i="11" s="1"/>
  <c r="AA437" i="11"/>
  <c r="AM437" i="11" s="1"/>
  <c r="AA389" i="11"/>
  <c r="AM389" i="11" s="1"/>
  <c r="AA589" i="11"/>
  <c r="AM589" i="11" s="1"/>
  <c r="AA597" i="11"/>
  <c r="AM597" i="11" s="1"/>
  <c r="AA429" i="11"/>
  <c r="AM429" i="11" s="1"/>
  <c r="AA574" i="11"/>
  <c r="AM574" i="11" s="1"/>
  <c r="AA557" i="11"/>
  <c r="AM557" i="11" s="1"/>
  <c r="AA373" i="11"/>
  <c r="AM373" i="11" s="1"/>
  <c r="AA253" i="11"/>
  <c r="AM253" i="11" s="1"/>
  <c r="AA477" i="11"/>
  <c r="AM477" i="11" s="1"/>
  <c r="AA349" i="11"/>
  <c r="AM349" i="11" s="1"/>
  <c r="AA637" i="11"/>
  <c r="AM637" i="11" s="1"/>
  <c r="AA501" i="11"/>
  <c r="AM501" i="11" s="1"/>
  <c r="AA581" i="11"/>
  <c r="AM581" i="11" s="1"/>
  <c r="AA997" i="11"/>
  <c r="AM997" i="11" s="1"/>
  <c r="AA453" i="11"/>
  <c r="AM453" i="11" s="1"/>
  <c r="AA381" i="11"/>
  <c r="AM381" i="11" s="1"/>
  <c r="AA573" i="11"/>
  <c r="AM573" i="11" s="1"/>
  <c r="AA405" i="11"/>
  <c r="AM405" i="11" s="1"/>
  <c r="AA229" i="11"/>
  <c r="AM229" i="11" s="1"/>
  <c r="AA661" i="11"/>
  <c r="AM661" i="11" s="1"/>
  <c r="AA525" i="11"/>
  <c r="AM525" i="11" s="1"/>
  <c r="AA469" i="11"/>
  <c r="AM469" i="11" s="1"/>
  <c r="AA526" i="11"/>
  <c r="AM526" i="11" s="1"/>
  <c r="AA517" i="11"/>
  <c r="AM517" i="11" s="1"/>
  <c r="AA653" i="11"/>
  <c r="AM653" i="11" s="1"/>
  <c r="AA213" i="11"/>
  <c r="AM213" i="11" s="1"/>
  <c r="AA605" i="11"/>
  <c r="AM605" i="11" s="1"/>
  <c r="Y928" i="11" a="1"/>
  <c r="Y928" i="11" s="1"/>
  <c r="Z928" i="11"/>
  <c r="AA928" i="11" s="1"/>
  <c r="AM928" i="11" s="1"/>
  <c r="Z231" i="11"/>
  <c r="Y956" i="11" a="1"/>
  <c r="Y956" i="11" s="1"/>
  <c r="Z956" i="11"/>
  <c r="W1421" i="7"/>
  <c r="X1421" i="7" s="1"/>
  <c r="W1037" i="7"/>
  <c r="X1037" i="7" s="1"/>
  <c r="W1234" i="7"/>
  <c r="X1234" i="7" s="1"/>
  <c r="C1110" i="7"/>
  <c r="D1110" i="7" s="1"/>
  <c r="Y1110" i="7" s="1"/>
  <c r="Z1110" i="7" s="1"/>
  <c r="AA1110" i="7" s="1"/>
  <c r="C1513" i="7"/>
  <c r="D1513" i="7" s="1"/>
  <c r="Y1513" i="7" s="1"/>
  <c r="Z1513" i="7" s="1"/>
  <c r="AA1513" i="7" s="1"/>
  <c r="W1304" i="7"/>
  <c r="X1304" i="7" s="1"/>
  <c r="C571" i="7"/>
  <c r="D571" i="7" s="1"/>
  <c r="Y571" i="7" s="1"/>
  <c r="Z571" i="7" s="1"/>
  <c r="AA571" i="7" s="1"/>
  <c r="W993" i="7"/>
  <c r="X993" i="7" s="1"/>
  <c r="W379" i="7"/>
  <c r="X379" i="7" s="1"/>
  <c r="C269" i="7"/>
  <c r="D269" i="7" s="1"/>
  <c r="Y269" i="7" s="1"/>
  <c r="Z269" i="7" s="1"/>
  <c r="AA269" i="7" s="1"/>
  <c r="W290" i="7"/>
  <c r="X290" i="7" s="1"/>
  <c r="C1311" i="7"/>
  <c r="D1311" i="7" s="1"/>
  <c r="Y1311" i="7" s="1"/>
  <c r="Z1311" i="7" s="1"/>
  <c r="AA1311" i="7" s="1"/>
  <c r="W1267" i="7"/>
  <c r="X1267" i="7" s="1"/>
  <c r="C426" i="7"/>
  <c r="D426" i="7" s="1"/>
  <c r="Y426" i="7" s="1"/>
  <c r="Z426" i="7" s="1"/>
  <c r="AA426" i="7" s="1"/>
  <c r="W1011" i="7"/>
  <c r="X1011" i="7" s="1"/>
  <c r="C1246" i="7"/>
  <c r="D1246" i="7" s="1"/>
  <c r="Y1246" i="7" s="1"/>
  <c r="Z1246" i="7" s="1"/>
  <c r="AA1246" i="7" s="1"/>
  <c r="W1299" i="7"/>
  <c r="X1299" i="7" s="1"/>
  <c r="C1252" i="7"/>
  <c r="D1252" i="7" s="1"/>
  <c r="Y1252" i="7" s="1"/>
  <c r="Z1252" i="7" s="1"/>
  <c r="AA1252" i="7" s="1"/>
  <c r="C1461" i="7"/>
  <c r="D1461" i="7" s="1"/>
  <c r="Y1461" i="7" s="1"/>
  <c r="Z1461" i="7" s="1"/>
  <c r="AA1461" i="7" s="1"/>
  <c r="C1613" i="7"/>
  <c r="D1613" i="7" s="1"/>
  <c r="Y1613" i="7" s="1"/>
  <c r="Z1613" i="7" s="1"/>
  <c r="AA1613" i="7" s="1"/>
  <c r="C1282" i="7"/>
  <c r="D1282" i="7" s="1"/>
  <c r="Y1282" i="7" s="1"/>
  <c r="Z1282" i="7" s="1"/>
  <c r="AA1282" i="7" s="1"/>
  <c r="C96" i="7"/>
  <c r="D96" i="7" s="1"/>
  <c r="Y96" i="7" s="1"/>
  <c r="Z96" i="7" s="1"/>
  <c r="AA96" i="7" s="1"/>
  <c r="C1447" i="7"/>
  <c r="D1447" i="7" s="1"/>
  <c r="Y1447" i="7" s="1"/>
  <c r="Z1447" i="7" s="1"/>
  <c r="AA1447" i="7" s="1"/>
  <c r="W61" i="7"/>
  <c r="X61" i="7" s="1"/>
  <c r="W568" i="7"/>
  <c r="X568" i="7" s="1"/>
  <c r="W1036" i="7"/>
  <c r="X1036" i="7" s="1"/>
  <c r="W1519" i="7"/>
  <c r="X1519" i="7" s="1"/>
  <c r="C615" i="7"/>
  <c r="D615" i="7" s="1"/>
  <c r="Y615" i="7" s="1"/>
  <c r="Z615" i="7" s="1"/>
  <c r="AA615" i="7" s="1"/>
  <c r="C590" i="7"/>
  <c r="D590" i="7" s="1"/>
  <c r="Y590" i="7" s="1"/>
  <c r="Z590" i="7" s="1"/>
  <c r="AA590" i="7" s="1"/>
  <c r="C1597" i="7"/>
  <c r="D1597" i="7" s="1"/>
  <c r="Y1597" i="7" s="1"/>
  <c r="Z1597" i="7" s="1"/>
  <c r="AA1597" i="7" s="1"/>
  <c r="W42" i="7"/>
  <c r="X42" i="7" s="1"/>
  <c r="W997" i="7"/>
  <c r="X997" i="7" s="1"/>
  <c r="W938" i="7"/>
  <c r="X938" i="7" s="1"/>
  <c r="W1437" i="7"/>
  <c r="X1437" i="7" s="1"/>
  <c r="W1292" i="7"/>
  <c r="X1292" i="7" s="1"/>
  <c r="W342" i="7"/>
  <c r="X342" i="7" s="1"/>
  <c r="C418" i="7"/>
  <c r="D418" i="7" s="1"/>
  <c r="Y418" i="7" s="1"/>
  <c r="Z418" i="7" s="1"/>
  <c r="AA418" i="7" s="1"/>
  <c r="W757" i="7"/>
  <c r="X757" i="7" s="1"/>
  <c r="C1295" i="7"/>
  <c r="D1295" i="7" s="1"/>
  <c r="Y1295" i="7" s="1"/>
  <c r="Z1295" i="7" s="1"/>
  <c r="AA1295" i="7" s="1"/>
  <c r="C257" i="7"/>
  <c r="D257" i="7" s="1"/>
  <c r="Y257" i="7" s="1"/>
  <c r="Z257" i="7" s="1"/>
  <c r="AA257" i="7" s="1"/>
  <c r="W1577" i="7"/>
  <c r="X1577" i="7" s="1"/>
  <c r="C1228" i="7"/>
  <c r="D1228" i="7" s="1"/>
  <c r="Y1228" i="7" s="1"/>
  <c r="Z1228" i="7" s="1"/>
  <c r="AA1228" i="7" s="1"/>
  <c r="W1442" i="7"/>
  <c r="X1442" i="7" s="1"/>
  <c r="W957" i="7"/>
  <c r="X957" i="7" s="1"/>
  <c r="W403" i="7"/>
  <c r="X403" i="7" s="1"/>
  <c r="C1165" i="7"/>
  <c r="D1165" i="7" s="1"/>
  <c r="Y1165" i="7" s="1"/>
  <c r="Z1165" i="7" s="1"/>
  <c r="AA1165" i="7" s="1"/>
  <c r="C1735" i="7"/>
  <c r="D1735" i="7" s="1"/>
  <c r="Y1735" i="7" s="1"/>
  <c r="Z1735" i="7" s="1"/>
  <c r="AA1735" i="7" s="1"/>
  <c r="W1076" i="7"/>
  <c r="X1076" i="7" s="1"/>
  <c r="W1343" i="7"/>
  <c r="X1343" i="7" s="1"/>
  <c r="W1250" i="7"/>
  <c r="X1250" i="7" s="1"/>
  <c r="W1216" i="7"/>
  <c r="X1216" i="7" s="1"/>
  <c r="C1340" i="7"/>
  <c r="D1340" i="7" s="1"/>
  <c r="Y1340" i="7" s="1"/>
  <c r="Z1340" i="7" s="1"/>
  <c r="AA1340" i="7" s="1"/>
  <c r="W626" i="7"/>
  <c r="X626" i="7" s="1"/>
  <c r="C900" i="7"/>
  <c r="D900" i="7" s="1"/>
  <c r="Y900" i="7" s="1"/>
  <c r="Z900" i="7" s="1"/>
  <c r="AA900" i="7" s="1"/>
  <c r="C1188" i="7"/>
  <c r="D1188" i="7" s="1"/>
  <c r="Y1188" i="7" s="1"/>
  <c r="Z1188" i="7" s="1"/>
  <c r="AA1188" i="7" s="1"/>
  <c r="W1300" i="7"/>
  <c r="X1300" i="7" s="1"/>
  <c r="C1260" i="7"/>
  <c r="D1260" i="7" s="1"/>
  <c r="Y1260" i="7" s="1"/>
  <c r="Z1260" i="7" s="1"/>
  <c r="AA1260" i="7" s="1"/>
  <c r="C1455" i="7"/>
  <c r="D1455" i="7" s="1"/>
  <c r="Y1455" i="7" s="1"/>
  <c r="Z1455" i="7" s="1"/>
  <c r="AA1455" i="7" s="1"/>
  <c r="W1711" i="7"/>
  <c r="X1711" i="7" s="1"/>
  <c r="C1583" i="7"/>
  <c r="D1583" i="7" s="1"/>
  <c r="Y1583" i="7" s="1"/>
  <c r="Z1583" i="7" s="1"/>
  <c r="AA1583" i="7" s="1"/>
  <c r="W102" i="7"/>
  <c r="X102" i="7" s="1"/>
  <c r="W543" i="7"/>
  <c r="X543" i="7" s="1"/>
  <c r="W678" i="7"/>
  <c r="X678" i="7" s="1"/>
  <c r="W838" i="7"/>
  <c r="X838" i="7" s="1"/>
  <c r="C961" i="7"/>
  <c r="D961" i="7" s="1"/>
  <c r="Y961" i="7" s="1"/>
  <c r="Z961" i="7" s="1"/>
  <c r="AA961" i="7" s="1"/>
  <c r="C890" i="7"/>
  <c r="D890" i="7" s="1"/>
  <c r="Y890" i="7" s="1"/>
  <c r="Z890" i="7" s="1"/>
  <c r="AA890" i="7" s="1"/>
  <c r="W1416" i="7"/>
  <c r="X1416" i="7" s="1"/>
  <c r="W1471" i="7"/>
  <c r="X1471" i="7" s="1"/>
  <c r="W1431" i="7"/>
  <c r="X1431" i="7" s="1"/>
  <c r="C1333" i="7"/>
  <c r="D1333" i="7" s="1"/>
  <c r="Y1333" i="7" s="1"/>
  <c r="Z1333" i="7" s="1"/>
  <c r="AA1333" i="7" s="1"/>
  <c r="W748" i="7"/>
  <c r="X748" i="7" s="1"/>
  <c r="C21" i="7"/>
  <c r="D21" i="7" s="1"/>
  <c r="Y21" i="7" s="1"/>
  <c r="Z21" i="7" s="1"/>
  <c r="AA21" i="7" s="1"/>
  <c r="C1751" i="7"/>
  <c r="D1751" i="7" s="1"/>
  <c r="Y1751" i="7" s="1"/>
  <c r="Z1751" i="7" s="1"/>
  <c r="AA1751" i="7" s="1"/>
  <c r="W1574" i="7"/>
  <c r="X1574" i="7" s="1"/>
  <c r="C1247" i="7"/>
  <c r="D1247" i="7" s="1"/>
  <c r="Y1247" i="7" s="1"/>
  <c r="Z1247" i="7" s="1"/>
  <c r="AA1247" i="7" s="1"/>
  <c r="W1648" i="7"/>
  <c r="X1648" i="7" s="1"/>
  <c r="W1244" i="7"/>
  <c r="X1244" i="7" s="1"/>
  <c r="W872" i="7"/>
  <c r="X872" i="7" s="1"/>
  <c r="W1708" i="7"/>
  <c r="X1708" i="7" s="1"/>
  <c r="C1683" i="7"/>
  <c r="D1683" i="7" s="1"/>
  <c r="Y1683" i="7" s="1"/>
  <c r="Z1683" i="7" s="1"/>
  <c r="AA1683" i="7" s="1"/>
  <c r="C1121" i="7"/>
  <c r="D1121" i="7" s="1"/>
  <c r="Y1121" i="7" s="1"/>
  <c r="Z1121" i="7" s="1"/>
  <c r="AA1121" i="7" s="1"/>
  <c r="C691" i="7"/>
  <c r="D691" i="7" s="1"/>
  <c r="Y691" i="7" s="1"/>
  <c r="Z691" i="7" s="1"/>
  <c r="AA691" i="7" s="1"/>
  <c r="W576" i="7"/>
  <c r="X576" i="7" s="1"/>
  <c r="W540" i="7"/>
  <c r="X540" i="7" s="1"/>
  <c r="C794" i="7"/>
  <c r="D794" i="7" s="1"/>
  <c r="Y794" i="7" s="1"/>
  <c r="Z794" i="7" s="1"/>
  <c r="AA794" i="7" s="1"/>
  <c r="W1059" i="7"/>
  <c r="X1059" i="7" s="1"/>
  <c r="W1270" i="7"/>
  <c r="X1270" i="7" s="1"/>
  <c r="W1346" i="7"/>
  <c r="X1346" i="7" s="1"/>
  <c r="W1318" i="7"/>
  <c r="X1318" i="7" s="1"/>
  <c r="C17" i="7"/>
  <c r="D17" i="7" s="1"/>
  <c r="Y17" i="7" s="1"/>
  <c r="Z17" i="7" s="1"/>
  <c r="AA17" i="7" s="1"/>
  <c r="C1039" i="7"/>
  <c r="D1039" i="7" s="1"/>
  <c r="Y1039" i="7" s="1"/>
  <c r="Z1039" i="7" s="1"/>
  <c r="AA1039" i="7" s="1"/>
  <c r="C1239" i="7"/>
  <c r="D1239" i="7" s="1"/>
  <c r="Y1239" i="7" s="1"/>
  <c r="Z1239" i="7" s="1"/>
  <c r="AA1239" i="7" s="1"/>
  <c r="W1200" i="7"/>
  <c r="X1200" i="7" s="1"/>
  <c r="W885" i="7"/>
  <c r="X885" i="7" s="1"/>
  <c r="C27" i="7"/>
  <c r="D27" i="7" s="1"/>
  <c r="Y27" i="7" s="1"/>
  <c r="Z27" i="7" s="1"/>
  <c r="AA27" i="7" s="1"/>
  <c r="C352" i="7"/>
  <c r="D352" i="7" s="1"/>
  <c r="Y352" i="7" s="1"/>
  <c r="Z352" i="7" s="1"/>
  <c r="AA352" i="7" s="1"/>
  <c r="C420" i="7"/>
  <c r="D420" i="7" s="1"/>
  <c r="Y420" i="7" s="1"/>
  <c r="Z420" i="7" s="1"/>
  <c r="AA420" i="7" s="1"/>
  <c r="W80" i="7"/>
  <c r="X80" i="7" s="1"/>
  <c r="C133" i="7"/>
  <c r="D133" i="7" s="1"/>
  <c r="Y133" i="7" s="1"/>
  <c r="Z133" i="7" s="1"/>
  <c r="AA133" i="7" s="1"/>
  <c r="W294" i="7"/>
  <c r="X294" i="7" s="1"/>
  <c r="C222" i="7"/>
  <c r="D222" i="7" s="1"/>
  <c r="Y222" i="7" s="1"/>
  <c r="Z222" i="7" s="1"/>
  <c r="AA222" i="7" s="1"/>
  <c r="W104" i="7"/>
  <c r="X104" i="7" s="1"/>
  <c r="W95" i="7"/>
  <c r="X95" i="7" s="1"/>
  <c r="W272" i="7"/>
  <c r="X272" i="7" s="1"/>
  <c r="C684" i="7"/>
  <c r="D684" i="7" s="1"/>
  <c r="Y684" i="7" s="1"/>
  <c r="Z684" i="7" s="1"/>
  <c r="AA684" i="7" s="1"/>
  <c r="W1141" i="7"/>
  <c r="X1141" i="7" s="1"/>
  <c r="W1521" i="7"/>
  <c r="X1521" i="7" s="1"/>
  <c r="W1688" i="7"/>
  <c r="X1688" i="7" s="1"/>
  <c r="W1489" i="7"/>
  <c r="X1489" i="7" s="1"/>
  <c r="W31" i="7"/>
  <c r="X31" i="7" s="1"/>
  <c r="W919" i="7"/>
  <c r="X919" i="7" s="1"/>
  <c r="W817" i="7"/>
  <c r="X817" i="7" s="1"/>
  <c r="W736" i="7"/>
  <c r="X736" i="7" s="1"/>
  <c r="W178" i="7"/>
  <c r="X178" i="7" s="1"/>
  <c r="W1618" i="7"/>
  <c r="X1618" i="7" s="1"/>
  <c r="W244" i="7"/>
  <c r="X244" i="7" s="1"/>
  <c r="W1068" i="7"/>
  <c r="X1068" i="7" s="1"/>
  <c r="W1000" i="7"/>
  <c r="X1000" i="7" s="1"/>
  <c r="W18" i="7"/>
  <c r="X18" i="7" s="1"/>
  <c r="W212" i="7"/>
  <c r="X212" i="7" s="1"/>
  <c r="C906" i="7"/>
  <c r="D906" i="7" s="1"/>
  <c r="Y906" i="7" s="1"/>
  <c r="Z906" i="7" s="1"/>
  <c r="AA906" i="7" s="1"/>
  <c r="C879" i="7"/>
  <c r="D879" i="7" s="1"/>
  <c r="Y879" i="7" s="1"/>
  <c r="Z879" i="7" s="1"/>
  <c r="AA879" i="7" s="1"/>
  <c r="W841" i="7"/>
  <c r="X841" i="7" s="1"/>
  <c r="W808" i="7"/>
  <c r="X808" i="7" s="1"/>
  <c r="C767" i="7"/>
  <c r="D767" i="7" s="1"/>
  <c r="Y767" i="7" s="1"/>
  <c r="Z767" i="7" s="1"/>
  <c r="AA767" i="7" s="1"/>
  <c r="C1507" i="7"/>
  <c r="D1507" i="7" s="1"/>
  <c r="Y1507" i="7" s="1"/>
  <c r="Z1507" i="7" s="1"/>
  <c r="AA1507" i="7" s="1"/>
  <c r="C1687" i="7"/>
  <c r="D1687" i="7" s="1"/>
  <c r="Y1687" i="7" s="1"/>
  <c r="Z1687" i="7" s="1"/>
  <c r="AA1687" i="7" s="1"/>
  <c r="W1399" i="7"/>
  <c r="X1399" i="7" s="1"/>
  <c r="W306" i="7"/>
  <c r="X306" i="7" s="1"/>
  <c r="W353" i="7"/>
  <c r="X353" i="7" s="1"/>
  <c r="C466" i="7"/>
  <c r="D466" i="7" s="1"/>
  <c r="Y466" i="7" s="1"/>
  <c r="Z466" i="7" s="1"/>
  <c r="AA466" i="7" s="1"/>
  <c r="W118" i="7"/>
  <c r="X118" i="7" s="1"/>
  <c r="C532" i="7"/>
  <c r="D532" i="7" s="1"/>
  <c r="Y532" i="7" s="1"/>
  <c r="Z532" i="7" s="1"/>
  <c r="AA532" i="7" s="1"/>
  <c r="C1662" i="7"/>
  <c r="D1662" i="7" s="1"/>
  <c r="Y1662" i="7" s="1"/>
  <c r="Z1662" i="7" s="1"/>
  <c r="AA1662" i="7" s="1"/>
  <c r="W107" i="7"/>
  <c r="X107" i="7" s="1"/>
  <c r="C611" i="7"/>
  <c r="D611" i="7" s="1"/>
  <c r="Y611" i="7" s="1"/>
  <c r="Z611" i="7" s="1"/>
  <c r="AA611" i="7" s="1"/>
  <c r="W1275" i="7"/>
  <c r="X1275" i="7" s="1"/>
  <c r="C1249" i="7"/>
  <c r="D1249" i="7" s="1"/>
  <c r="Y1249" i="7" s="1"/>
  <c r="Z1249" i="7" s="1"/>
  <c r="AA1249" i="7" s="1"/>
  <c r="C392" i="7"/>
  <c r="D392" i="7" s="1"/>
  <c r="Y392" i="7" s="1"/>
  <c r="Z392" i="7" s="1"/>
  <c r="AA392" i="7" s="1"/>
  <c r="W91" i="7"/>
  <c r="X91" i="7" s="1"/>
  <c r="W798" i="7"/>
  <c r="X798" i="7" s="1"/>
  <c r="W1541" i="7"/>
  <c r="X1541" i="7" s="1"/>
  <c r="C356" i="7"/>
  <c r="D356" i="7" s="1"/>
  <c r="Y356" i="7" s="1"/>
  <c r="Z356" i="7" s="1"/>
  <c r="AA356" i="7" s="1"/>
  <c r="C499" i="7"/>
  <c r="D499" i="7" s="1"/>
  <c r="Y499" i="7" s="1"/>
  <c r="Z499" i="7" s="1"/>
  <c r="AA499" i="7" s="1"/>
  <c r="W1137" i="7"/>
  <c r="X1137" i="7" s="1"/>
  <c r="W1072" i="7"/>
  <c r="X1072" i="7" s="1"/>
  <c r="W1429" i="7"/>
  <c r="X1429" i="7" s="1"/>
  <c r="W1357" i="7"/>
  <c r="X1357" i="7" s="1"/>
  <c r="W743" i="7"/>
  <c r="X743" i="7" s="1"/>
  <c r="W1332" i="7"/>
  <c r="X1332" i="7" s="1"/>
  <c r="W1734" i="7"/>
  <c r="X1734" i="7" s="1"/>
  <c r="C65" i="7"/>
  <c r="D65" i="7" s="1"/>
  <c r="Y65" i="7" s="1"/>
  <c r="Z65" i="7" s="1"/>
  <c r="AA65" i="7" s="1"/>
  <c r="C183" i="7"/>
  <c r="D183" i="7" s="1"/>
  <c r="Y183" i="7" s="1"/>
  <c r="Z183" i="7" s="1"/>
  <c r="AA183" i="7" s="1"/>
  <c r="C275" i="7"/>
  <c r="D275" i="7" s="1"/>
  <c r="Y275" i="7" s="1"/>
  <c r="Z275" i="7" s="1"/>
  <c r="AA275" i="7" s="1"/>
  <c r="C695" i="7"/>
  <c r="D695" i="7" s="1"/>
  <c r="Y695" i="7" s="1"/>
  <c r="Z695" i="7" s="1"/>
  <c r="AA695" i="7" s="1"/>
  <c r="C826" i="7"/>
  <c r="D826" i="7" s="1"/>
  <c r="Y826" i="7" s="1"/>
  <c r="Z826" i="7" s="1"/>
  <c r="AA826" i="7" s="1"/>
  <c r="C719" i="7"/>
  <c r="D719" i="7" s="1"/>
  <c r="Y719" i="7" s="1"/>
  <c r="Z719" i="7" s="1"/>
  <c r="AA719" i="7" s="1"/>
  <c r="W769" i="7"/>
  <c r="X769" i="7" s="1"/>
  <c r="C1025" i="7"/>
  <c r="D1025" i="7" s="1"/>
  <c r="Y1025" i="7" s="1"/>
  <c r="Z1025" i="7" s="1"/>
  <c r="AA1025" i="7" s="1"/>
  <c r="C1116" i="7"/>
  <c r="D1116" i="7" s="1"/>
  <c r="Y1116" i="7" s="1"/>
  <c r="Z1116" i="7" s="1"/>
  <c r="AA1116" i="7" s="1"/>
  <c r="C1571" i="7"/>
  <c r="D1571" i="7" s="1"/>
  <c r="Y1571" i="7" s="1"/>
  <c r="Z1571" i="7" s="1"/>
  <c r="AA1571" i="7" s="1"/>
  <c r="W1320" i="7"/>
  <c r="X1320" i="7" s="1"/>
  <c r="W1512" i="7"/>
  <c r="X1512" i="7" s="1"/>
  <c r="W1732" i="7"/>
  <c r="X1732" i="7" s="1"/>
  <c r="C1673" i="7"/>
  <c r="D1673" i="7" s="1"/>
  <c r="Y1673" i="7" s="1"/>
  <c r="Z1673" i="7" s="1"/>
  <c r="AA1673" i="7" s="1"/>
  <c r="C54" i="7"/>
  <c r="D54" i="7" s="1"/>
  <c r="Y54" i="7" s="1"/>
  <c r="Z54" i="7" s="1"/>
  <c r="AA54" i="7" s="1"/>
  <c r="W289" i="7"/>
  <c r="X289" i="7" s="1"/>
  <c r="W322" i="7"/>
  <c r="X322" i="7" s="1"/>
  <c r="W1143" i="7"/>
  <c r="X1143" i="7" s="1"/>
  <c r="C1700" i="7"/>
  <c r="D1700" i="7" s="1"/>
  <c r="Y1700" i="7" s="1"/>
  <c r="Z1700" i="7" s="1"/>
  <c r="AA1700" i="7" s="1"/>
  <c r="W9" i="7"/>
  <c r="X9" i="7" s="1"/>
  <c r="W809" i="7"/>
  <c r="X809" i="7" s="1"/>
  <c r="C1078" i="7"/>
  <c r="D1078" i="7" s="1"/>
  <c r="Y1078" i="7" s="1"/>
  <c r="Z1078" i="7" s="1"/>
  <c r="AA1078" i="7" s="1"/>
  <c r="W1074" i="7"/>
  <c r="X1074" i="7" s="1"/>
  <c r="C1191" i="7"/>
  <c r="D1191" i="7" s="1"/>
  <c r="Y1191" i="7" s="1"/>
  <c r="Z1191" i="7" s="1"/>
  <c r="AA1191" i="7" s="1"/>
  <c r="C1386" i="7"/>
  <c r="D1386" i="7" s="1"/>
  <c r="Y1386" i="7" s="1"/>
  <c r="Z1386" i="7" s="1"/>
  <c r="AA1386" i="7" s="1"/>
  <c r="W882" i="7"/>
  <c r="X882" i="7" s="1"/>
  <c r="C825" i="7"/>
  <c r="D825" i="7" s="1"/>
  <c r="Y825" i="7" s="1"/>
  <c r="Z825" i="7" s="1"/>
  <c r="AA825" i="7" s="1"/>
  <c r="C451" i="7"/>
  <c r="D451" i="7" s="1"/>
  <c r="Y451" i="7" s="1"/>
  <c r="Z451" i="7" s="1"/>
  <c r="AA451" i="7" s="1"/>
  <c r="W592" i="7"/>
  <c r="X592" i="7" s="1"/>
  <c r="C901" i="7"/>
  <c r="D901" i="7" s="1"/>
  <c r="Y901" i="7" s="1"/>
  <c r="Z901" i="7" s="1"/>
  <c r="AA901" i="7" s="1"/>
  <c r="W1201" i="7"/>
  <c r="X1201" i="7" s="1"/>
  <c r="W1328" i="7"/>
  <c r="X1328" i="7" s="1"/>
  <c r="C1177" i="7"/>
  <c r="D1177" i="7" s="1"/>
  <c r="Y1177" i="7" s="1"/>
  <c r="Z1177" i="7" s="1"/>
  <c r="AA1177" i="7" s="1"/>
  <c r="C1028" i="7"/>
  <c r="D1028" i="7" s="1"/>
  <c r="Y1028" i="7" s="1"/>
  <c r="Z1028" i="7" s="1"/>
  <c r="AA1028" i="7" s="1"/>
  <c r="W1031" i="7"/>
  <c r="X1031" i="7" s="1"/>
  <c r="W1364" i="7"/>
  <c r="X1364" i="7" s="1"/>
  <c r="W1048" i="7"/>
  <c r="X1048" i="7" s="1"/>
  <c r="C1208" i="7"/>
  <c r="D1208" i="7" s="1"/>
  <c r="Y1208" i="7" s="1"/>
  <c r="Z1208" i="7" s="1"/>
  <c r="AA1208" i="7" s="1"/>
  <c r="C1660" i="7"/>
  <c r="D1660" i="7" s="1"/>
  <c r="Y1660" i="7" s="1"/>
  <c r="Z1660" i="7" s="1"/>
  <c r="AA1660" i="7" s="1"/>
  <c r="C1548" i="7"/>
  <c r="D1548" i="7" s="1"/>
  <c r="Y1548" i="7" s="1"/>
  <c r="Z1548" i="7" s="1"/>
  <c r="AA1548" i="7" s="1"/>
  <c r="W916" i="7"/>
  <c r="X916" i="7" s="1"/>
  <c r="W1224" i="7"/>
  <c r="X1224" i="7" s="1"/>
  <c r="W1132" i="7"/>
  <c r="X1132" i="7" s="1"/>
  <c r="C167" i="7"/>
  <c r="D167" i="7" s="1"/>
  <c r="Y167" i="7" s="1"/>
  <c r="Z167" i="7" s="1"/>
  <c r="AA167" i="7" s="1"/>
  <c r="W128" i="7"/>
  <c r="X128" i="7" s="1"/>
  <c r="W223" i="7"/>
  <c r="X223" i="7" s="1"/>
  <c r="C396" i="7"/>
  <c r="D396" i="7" s="1"/>
  <c r="Y396" i="7" s="1"/>
  <c r="Z396" i="7" s="1"/>
  <c r="AA396" i="7" s="1"/>
  <c r="W569" i="7"/>
  <c r="X569" i="7" s="1"/>
  <c r="W59" i="7"/>
  <c r="X59" i="7" s="1"/>
  <c r="W428" i="7"/>
  <c r="X428" i="7" s="1"/>
  <c r="C1106" i="7"/>
  <c r="D1106" i="7" s="1"/>
  <c r="Y1106" i="7" s="1"/>
  <c r="Z1106" i="7" s="1"/>
  <c r="AA1106" i="7" s="1"/>
  <c r="C531" i="7"/>
  <c r="D531" i="7" s="1"/>
  <c r="Y531" i="7" s="1"/>
  <c r="Z531" i="7" s="1"/>
  <c r="AA531" i="7" s="1"/>
  <c r="C647" i="7"/>
  <c r="D647" i="7" s="1"/>
  <c r="Y647" i="7" s="1"/>
  <c r="Z647" i="7" s="1"/>
  <c r="AA647" i="7" s="1"/>
  <c r="C1051" i="7"/>
  <c r="D1051" i="7" s="1"/>
  <c r="Y1051" i="7" s="1"/>
  <c r="Z1051" i="7" s="1"/>
  <c r="AA1051" i="7" s="1"/>
  <c r="C1452" i="7"/>
  <c r="D1452" i="7" s="1"/>
  <c r="Y1452" i="7" s="1"/>
  <c r="Z1452" i="7" s="1"/>
  <c r="AA1452" i="7" s="1"/>
  <c r="C434" i="7"/>
  <c r="D434" i="7" s="1"/>
  <c r="Y434" i="7" s="1"/>
  <c r="Z434" i="7" s="1"/>
  <c r="AA434" i="7" s="1"/>
  <c r="W1377" i="7"/>
  <c r="X1377" i="7" s="1"/>
  <c r="W1284" i="7"/>
  <c r="X1284" i="7" s="1"/>
  <c r="C51" i="7"/>
  <c r="D51" i="7" s="1"/>
  <c r="Y51" i="7" s="1"/>
  <c r="Z51" i="7" s="1"/>
  <c r="AA51" i="7" s="1"/>
  <c r="W139" i="7"/>
  <c r="X139" i="7" s="1"/>
  <c r="W182" i="7"/>
  <c r="X182" i="7" s="1"/>
  <c r="W478" i="7"/>
  <c r="X478" i="7" s="1"/>
  <c r="W650" i="7"/>
  <c r="X650" i="7" s="1"/>
  <c r="C674" i="7"/>
  <c r="D674" i="7" s="1"/>
  <c r="Y674" i="7" s="1"/>
  <c r="Z674" i="7" s="1"/>
  <c r="AA674" i="7" s="1"/>
  <c r="C657" i="7"/>
  <c r="D657" i="7" s="1"/>
  <c r="Y657" i="7" s="1"/>
  <c r="Z657" i="7" s="1"/>
  <c r="AA657" i="7" s="1"/>
  <c r="W397" i="7"/>
  <c r="X397" i="7" s="1"/>
  <c r="W874" i="7"/>
  <c r="X874" i="7" s="1"/>
  <c r="C925" i="7"/>
  <c r="D925" i="7" s="1"/>
  <c r="Y925" i="7" s="1"/>
  <c r="Z925" i="7" s="1"/>
  <c r="AA925" i="7" s="1"/>
  <c r="W1013" i="7"/>
  <c r="X1013" i="7" s="1"/>
  <c r="W958" i="7"/>
  <c r="X958" i="7" s="1"/>
  <c r="C1114" i="7"/>
  <c r="D1114" i="7" s="1"/>
  <c r="Y1114" i="7" s="1"/>
  <c r="Z1114" i="7" s="1"/>
  <c r="AA1114" i="7" s="1"/>
  <c r="W978" i="7"/>
  <c r="X978" i="7" s="1"/>
  <c r="W1276" i="7"/>
  <c r="X1276" i="7" s="1"/>
  <c r="C1527" i="7"/>
  <c r="D1527" i="7" s="1"/>
  <c r="Y1527" i="7" s="1"/>
  <c r="Z1527" i="7" s="1"/>
  <c r="AA1527" i="7" s="1"/>
  <c r="W1288" i="7"/>
  <c r="X1288" i="7" s="1"/>
  <c r="C1499" i="7"/>
  <c r="D1499" i="7" s="1"/>
  <c r="Y1499" i="7" s="1"/>
  <c r="Z1499" i="7" s="1"/>
  <c r="AA1499" i="7" s="1"/>
  <c r="W1740" i="7"/>
  <c r="X1740" i="7" s="1"/>
  <c r="C1405" i="7"/>
  <c r="D1405" i="7" s="1"/>
  <c r="Y1405" i="7" s="1"/>
  <c r="Z1405" i="7" s="1"/>
  <c r="AA1405" i="7" s="1"/>
  <c r="C1582" i="7"/>
  <c r="D1582" i="7" s="1"/>
  <c r="Y1582" i="7" s="1"/>
  <c r="Z1582" i="7" s="1"/>
  <c r="AA1582" i="7" s="1"/>
  <c r="C1601" i="7"/>
  <c r="D1601" i="7" s="1"/>
  <c r="Y1601" i="7" s="1"/>
  <c r="Z1601" i="7" s="1"/>
  <c r="AA1601" i="7" s="1"/>
  <c r="C1614" i="7"/>
  <c r="D1614" i="7" s="1"/>
  <c r="Y1614" i="7" s="1"/>
  <c r="Z1614" i="7" s="1"/>
  <c r="AA1614" i="7" s="1"/>
  <c r="C700" i="7"/>
  <c r="D700" i="7" s="1"/>
  <c r="Y700" i="7" s="1"/>
  <c r="Z700" i="7" s="1"/>
  <c r="AA700" i="7" s="1"/>
  <c r="W1762" i="7"/>
  <c r="X1762" i="7" s="1"/>
  <c r="W801" i="7"/>
  <c r="X801" i="7" s="1"/>
  <c r="C656" i="7"/>
  <c r="D656" i="7" s="1"/>
  <c r="Y656" i="7" s="1"/>
  <c r="Z656" i="7" s="1"/>
  <c r="AA656" i="7" s="1"/>
  <c r="W1017" i="7"/>
  <c r="X1017" i="7" s="1"/>
  <c r="W90" i="7"/>
  <c r="X90" i="7" s="1"/>
  <c r="W164" i="7"/>
  <c r="X164" i="7" s="1"/>
  <c r="C1475" i="7"/>
  <c r="D1475" i="7" s="1"/>
  <c r="Y1475" i="7" s="1"/>
  <c r="Z1475" i="7" s="1"/>
  <c r="AA1475" i="7" s="1"/>
  <c r="C1463" i="7"/>
  <c r="D1463" i="7" s="1"/>
  <c r="Y1463" i="7" s="1"/>
  <c r="Z1463" i="7" s="1"/>
  <c r="AA1463" i="7" s="1"/>
  <c r="C1029" i="7"/>
  <c r="D1029" i="7" s="1"/>
  <c r="Y1029" i="7" s="1"/>
  <c r="Z1029" i="7" s="1"/>
  <c r="AA1029" i="7" s="1"/>
  <c r="W614" i="7"/>
  <c r="X614" i="7" s="1"/>
  <c r="C280" i="7"/>
  <c r="D280" i="7" s="1"/>
  <c r="Y280" i="7" s="1"/>
  <c r="Z280" i="7" s="1"/>
  <c r="AA280" i="7" s="1"/>
  <c r="W245" i="7"/>
  <c r="X245" i="7" s="1"/>
  <c r="W450" i="7"/>
  <c r="X450" i="7" s="1"/>
  <c r="C789" i="7"/>
  <c r="D789" i="7" s="1"/>
  <c r="Y789" i="7" s="1"/>
  <c r="Z789" i="7" s="1"/>
  <c r="AA789" i="7" s="1"/>
  <c r="W782" i="7"/>
  <c r="X782" i="7" s="1"/>
  <c r="C1126" i="7"/>
  <c r="D1126" i="7" s="1"/>
  <c r="Y1126" i="7" s="1"/>
  <c r="Z1126" i="7" s="1"/>
  <c r="AA1126" i="7" s="1"/>
  <c r="C1236" i="7"/>
  <c r="D1236" i="7" s="1"/>
  <c r="Y1236" i="7" s="1"/>
  <c r="Z1236" i="7" s="1"/>
  <c r="AA1236" i="7" s="1"/>
  <c r="W933" i="7"/>
  <c r="X933" i="7" s="1"/>
  <c r="C1451" i="7"/>
  <c r="D1451" i="7" s="1"/>
  <c r="Y1451" i="7" s="1"/>
  <c r="Z1451" i="7" s="1"/>
  <c r="AA1451" i="7" s="1"/>
  <c r="C484" i="7"/>
  <c r="D484" i="7" s="1"/>
  <c r="Y484" i="7" s="1"/>
  <c r="Z484" i="7" s="1"/>
  <c r="AA484" i="7" s="1"/>
  <c r="W1638" i="7"/>
  <c r="X1638" i="7" s="1"/>
  <c r="C1602" i="7"/>
  <c r="D1602" i="7" s="1"/>
  <c r="Y1602" i="7" s="1"/>
  <c r="Z1602" i="7" s="1"/>
  <c r="AA1602" i="7" s="1"/>
  <c r="C120" i="7"/>
  <c r="D120" i="7" s="1"/>
  <c r="Y120" i="7" s="1"/>
  <c r="Z120" i="7" s="1"/>
  <c r="AA120" i="7" s="1"/>
  <c r="W694" i="7"/>
  <c r="X694" i="7" s="1"/>
  <c r="W1259" i="7"/>
  <c r="X1259" i="7" s="1"/>
  <c r="W1123" i="7"/>
  <c r="X1123" i="7" s="1"/>
  <c r="C673" i="7"/>
  <c r="D673" i="7" s="1"/>
  <c r="Y673" i="7" s="1"/>
  <c r="Z673" i="7" s="1"/>
  <c r="AA673" i="7" s="1"/>
  <c r="C963" i="7"/>
  <c r="D963" i="7" s="1"/>
  <c r="Y963" i="7" s="1"/>
  <c r="Z963" i="7" s="1"/>
  <c r="AA963" i="7" s="1"/>
  <c r="C1367" i="7"/>
  <c r="D1367" i="7" s="1"/>
  <c r="Y1367" i="7" s="1"/>
  <c r="Z1367" i="7" s="1"/>
  <c r="AA1367" i="7" s="1"/>
  <c r="W1274" i="7"/>
  <c r="X1274" i="7" s="1"/>
  <c r="C1628" i="7"/>
  <c r="D1628" i="7" s="1"/>
  <c r="Y1628" i="7" s="1"/>
  <c r="Z1628" i="7" s="1"/>
  <c r="AA1628" i="7" s="1"/>
  <c r="W1742" i="7"/>
  <c r="X1742" i="7" s="1"/>
  <c r="C857" i="7"/>
  <c r="D857" i="7" s="1"/>
  <c r="Y857" i="7" s="1"/>
  <c r="Z857" i="7" s="1"/>
  <c r="AA857" i="7" s="1"/>
  <c r="C1124" i="7"/>
  <c r="D1124" i="7" s="1"/>
  <c r="Y1124" i="7" s="1"/>
  <c r="Z1124" i="7" s="1"/>
  <c r="AA1124" i="7" s="1"/>
  <c r="W893" i="7"/>
  <c r="X893" i="7" s="1"/>
  <c r="W754" i="7"/>
  <c r="X754" i="7" s="1"/>
  <c r="C946" i="7"/>
  <c r="D946" i="7" s="1"/>
  <c r="Y946" i="7" s="1"/>
  <c r="Z946" i="7" s="1"/>
  <c r="AA946" i="7" s="1"/>
  <c r="W1402" i="7"/>
  <c r="X1402" i="7" s="1"/>
  <c r="C116" i="7"/>
  <c r="D116" i="7" s="1"/>
  <c r="Y116" i="7" s="1"/>
  <c r="Z116" i="7" s="1"/>
  <c r="AA116" i="7" s="1"/>
  <c r="W944" i="7"/>
  <c r="X944" i="7" s="1"/>
  <c r="W1101" i="7"/>
  <c r="X1101" i="7" s="1"/>
  <c r="W1248" i="7"/>
  <c r="X1248" i="7" s="1"/>
  <c r="W1592" i="7"/>
  <c r="X1592" i="7" s="1"/>
  <c r="C1526" i="7"/>
  <c r="D1526" i="7" s="1"/>
  <c r="Y1526" i="7" s="1"/>
  <c r="Z1526" i="7" s="1"/>
  <c r="AA1526" i="7" s="1"/>
  <c r="W1371" i="7"/>
  <c r="X1371" i="7" s="1"/>
  <c r="W1757" i="7"/>
  <c r="X1757" i="7" s="1"/>
  <c r="C895" i="7"/>
  <c r="D895" i="7" s="1"/>
  <c r="Y895" i="7" s="1"/>
  <c r="Z895" i="7" s="1"/>
  <c r="AA895" i="7" s="1"/>
  <c r="C455" i="7"/>
  <c r="D455" i="7" s="1"/>
  <c r="Y455" i="7" s="1"/>
  <c r="Z455" i="7" s="1"/>
  <c r="AA455" i="7" s="1"/>
  <c r="W1649" i="7"/>
  <c r="X1649" i="7" s="1"/>
  <c r="W1135" i="7"/>
  <c r="X1135" i="7" s="1"/>
  <c r="C365" i="7"/>
  <c r="D365" i="7" s="1"/>
  <c r="Y365" i="7" s="1"/>
  <c r="Z365" i="7" s="1"/>
  <c r="AA365" i="7" s="1"/>
  <c r="W580" i="7"/>
  <c r="X580" i="7" s="1"/>
  <c r="W1050" i="7"/>
  <c r="X1050" i="7" s="1"/>
  <c r="W243" i="7"/>
  <c r="X243" i="7" s="1"/>
  <c r="C333" i="7"/>
  <c r="D333" i="7" s="1"/>
  <c r="Y333" i="7" s="1"/>
  <c r="Z333" i="7" s="1"/>
  <c r="AA333" i="7" s="1"/>
  <c r="W504" i="7"/>
  <c r="X504" i="7" s="1"/>
  <c r="W295" i="7"/>
  <c r="X295" i="7" s="1"/>
  <c r="W776" i="7"/>
  <c r="X776" i="7" s="1"/>
  <c r="C542" i="7"/>
  <c r="D542" i="7" s="1"/>
  <c r="Y542" i="7" s="1"/>
  <c r="Z542" i="7" s="1"/>
  <c r="AA542" i="7" s="1"/>
  <c r="C1075" i="7"/>
  <c r="D1075" i="7" s="1"/>
  <c r="Y1075" i="7" s="1"/>
  <c r="Z1075" i="7" s="1"/>
  <c r="AA1075" i="7" s="1"/>
  <c r="C1109" i="7"/>
  <c r="D1109" i="7" s="1"/>
  <c r="Y1109" i="7" s="1"/>
  <c r="Z1109" i="7" s="1"/>
  <c r="AA1109" i="7" s="1"/>
  <c r="C1254" i="7"/>
  <c r="D1254" i="7" s="1"/>
  <c r="Y1254" i="7" s="1"/>
  <c r="Z1254" i="7" s="1"/>
  <c r="AA1254" i="7" s="1"/>
  <c r="W1321" i="7"/>
  <c r="X1321" i="7" s="1"/>
  <c r="W447" i="7"/>
  <c r="X447" i="7" s="1"/>
  <c r="W1674" i="7"/>
  <c r="X1674" i="7" s="1"/>
  <c r="W533" i="7"/>
  <c r="X533" i="7" s="1"/>
  <c r="C195" i="7"/>
  <c r="D195" i="7" s="1"/>
  <c r="Y195" i="7" s="1"/>
  <c r="Z195" i="7" s="1"/>
  <c r="AA195" i="7" s="1"/>
  <c r="C1314" i="7"/>
  <c r="D1314" i="7" s="1"/>
  <c r="Y1314" i="7" s="1"/>
  <c r="Z1314" i="7" s="1"/>
  <c r="AA1314" i="7" s="1"/>
  <c r="C607" i="7"/>
  <c r="D607" i="7" s="1"/>
  <c r="Y607" i="7" s="1"/>
  <c r="Z607" i="7" s="1"/>
  <c r="AA607" i="7" s="1"/>
  <c r="W166" i="7"/>
  <c r="X166" i="7" s="1"/>
  <c r="C1540" i="7"/>
  <c r="D1540" i="7" s="1"/>
  <c r="Y1540" i="7" s="1"/>
  <c r="Z1540" i="7" s="1"/>
  <c r="AA1540" i="7" s="1"/>
  <c r="C224" i="7"/>
  <c r="D224" i="7" s="1"/>
  <c r="Y224" i="7" s="1"/>
  <c r="Z224" i="7" s="1"/>
  <c r="AA224" i="7" s="1"/>
  <c r="C481" i="7"/>
  <c r="D481" i="7" s="1"/>
  <c r="Y481" i="7" s="1"/>
  <c r="Z481" i="7" s="1"/>
  <c r="AA481" i="7" s="1"/>
  <c r="W1717" i="7"/>
  <c r="X1717" i="7" s="1"/>
  <c r="W148" i="7"/>
  <c r="X148" i="7" s="1"/>
  <c r="W412" i="7"/>
  <c r="X412" i="7" s="1"/>
  <c r="W734" i="7"/>
  <c r="X734" i="7" s="1"/>
  <c r="W972" i="7"/>
  <c r="X972" i="7" s="1"/>
  <c r="W908" i="7"/>
  <c r="X908" i="7" s="1"/>
  <c r="W865" i="7"/>
  <c r="X865" i="7" s="1"/>
  <c r="W1194" i="7"/>
  <c r="X1194" i="7" s="1"/>
  <c r="C1646" i="7"/>
  <c r="D1646" i="7" s="1"/>
  <c r="Y1646" i="7" s="1"/>
  <c r="Z1646" i="7" s="1"/>
  <c r="AA1646" i="7" s="1"/>
  <c r="C505" i="7"/>
  <c r="D505" i="7" s="1"/>
  <c r="Y505" i="7" s="1"/>
  <c r="Z505" i="7" s="1"/>
  <c r="AA505" i="7" s="1"/>
  <c r="W308" i="7"/>
  <c r="X308" i="7" s="1"/>
  <c r="W489" i="7"/>
  <c r="X489" i="7" s="1"/>
  <c r="W16" i="7"/>
  <c r="X16" i="7" s="1"/>
  <c r="W488" i="7"/>
  <c r="X488" i="7" s="1"/>
  <c r="C1120" i="7"/>
  <c r="D1120" i="7" s="1"/>
  <c r="Y1120" i="7" s="1"/>
  <c r="Z1120" i="7" s="1"/>
  <c r="AA1120" i="7" s="1"/>
  <c r="C1187" i="7"/>
  <c r="D1187" i="7" s="1"/>
  <c r="Y1187" i="7" s="1"/>
  <c r="Z1187" i="7" s="1"/>
  <c r="AA1187" i="7" s="1"/>
  <c r="W1417" i="7"/>
  <c r="X1417" i="7" s="1"/>
  <c r="W1408" i="7"/>
  <c r="X1408" i="7" s="1"/>
  <c r="W1225" i="7"/>
  <c r="X1225" i="7" s="1"/>
  <c r="W1361" i="7"/>
  <c r="X1361" i="7" s="1"/>
  <c r="C1643" i="7"/>
  <c r="D1643" i="7" s="1"/>
  <c r="Y1643" i="7" s="1"/>
  <c r="Z1643" i="7" s="1"/>
  <c r="AA1643" i="7" s="1"/>
  <c r="C1589" i="7"/>
  <c r="D1589" i="7" s="1"/>
  <c r="Y1589" i="7" s="1"/>
  <c r="Z1589" i="7" s="1"/>
  <c r="AA1589" i="7" s="1"/>
  <c r="C6" i="7"/>
  <c r="D6" i="7" s="1"/>
  <c r="Y6" i="7" s="1"/>
  <c r="Z6" i="7" s="1"/>
  <c r="AA6" i="7" s="1"/>
  <c r="C63" i="7"/>
  <c r="D63" i="7" s="1"/>
  <c r="Y63" i="7" s="1"/>
  <c r="Z63" i="7" s="1"/>
  <c r="AA63" i="7" s="1"/>
  <c r="W399" i="7"/>
  <c r="X399" i="7" s="1"/>
  <c r="C659" i="7"/>
  <c r="D659" i="7" s="1"/>
  <c r="Y659" i="7" s="1"/>
  <c r="Z659" i="7" s="1"/>
  <c r="AA659" i="7" s="1"/>
  <c r="W1369" i="7"/>
  <c r="X1369" i="7" s="1"/>
  <c r="W1290" i="7"/>
  <c r="X1290" i="7" s="1"/>
  <c r="C863" i="7"/>
  <c r="D863" i="7" s="1"/>
  <c r="Y863" i="7" s="1"/>
  <c r="Z863" i="7" s="1"/>
  <c r="AA863" i="7" s="1"/>
  <c r="W981" i="7"/>
  <c r="X981" i="7" s="1"/>
  <c r="W1372" i="7"/>
  <c r="X1372" i="7" s="1"/>
  <c r="C1478" i="7"/>
  <c r="D1478" i="7" s="1"/>
  <c r="Y1478" i="7" s="1"/>
  <c r="Z1478" i="7" s="1"/>
  <c r="AA1478" i="7" s="1"/>
  <c r="W753" i="7"/>
  <c r="X753" i="7" s="1"/>
  <c r="C1465" i="7"/>
  <c r="D1465" i="7" s="1"/>
  <c r="Y1465" i="7" s="1"/>
  <c r="Z1465" i="7" s="1"/>
  <c r="AA1465" i="7" s="1"/>
  <c r="W1671" i="7"/>
  <c r="X1671" i="7" s="1"/>
  <c r="W1639" i="7"/>
  <c r="X1639" i="7" s="1"/>
  <c r="C1664" i="7"/>
  <c r="D1664" i="7" s="1"/>
  <c r="Y1664" i="7" s="1"/>
  <c r="Z1664" i="7" s="1"/>
  <c r="AA1664" i="7" s="1"/>
  <c r="W1685" i="7"/>
  <c r="X1685" i="7" s="1"/>
  <c r="W1457" i="7"/>
  <c r="X1457" i="7" s="1"/>
  <c r="W501" i="7"/>
  <c r="X501" i="7" s="1"/>
  <c r="W718" i="7"/>
  <c r="X718" i="7" s="1"/>
  <c r="C836" i="7"/>
  <c r="D836" i="7" s="1"/>
  <c r="Y836" i="7" s="1"/>
  <c r="Z836" i="7" s="1"/>
  <c r="AA836" i="7" s="1"/>
  <c r="W1217" i="7"/>
  <c r="X1217" i="7" s="1"/>
  <c r="C1053" i="7"/>
  <c r="D1053" i="7" s="1"/>
  <c r="Y1053" i="7" s="1"/>
  <c r="Z1053" i="7" s="1"/>
  <c r="AA1053" i="7" s="1"/>
  <c r="W1242" i="7"/>
  <c r="X1242" i="7" s="1"/>
  <c r="C194" i="7"/>
  <c r="D194" i="7" s="1"/>
  <c r="Y194" i="7" s="1"/>
  <c r="Z194" i="7" s="1"/>
  <c r="AA194" i="7" s="1"/>
  <c r="W199" i="7"/>
  <c r="X199" i="7" s="1"/>
  <c r="C237" i="7"/>
  <c r="D237" i="7" s="1"/>
  <c r="Y237" i="7" s="1"/>
  <c r="Z237" i="7" s="1"/>
  <c r="AA237" i="7" s="1"/>
  <c r="C438" i="7"/>
  <c r="D438" i="7" s="1"/>
  <c r="Y438" i="7" s="1"/>
  <c r="Z438" i="7" s="1"/>
  <c r="AA438" i="7" s="1"/>
  <c r="W409" i="7"/>
  <c r="X409" i="7" s="1"/>
  <c r="C1204" i="7"/>
  <c r="D1204" i="7" s="1"/>
  <c r="Y1204" i="7" s="1"/>
  <c r="Z1204" i="7" s="1"/>
  <c r="AA1204" i="7" s="1"/>
  <c r="C1443" i="7"/>
  <c r="D1443" i="7" s="1"/>
  <c r="Y1443" i="7" s="1"/>
  <c r="Z1443" i="7" s="1"/>
  <c r="AA1443" i="7" s="1"/>
  <c r="W1561" i="7"/>
  <c r="X1561" i="7" s="1"/>
  <c r="W522" i="7"/>
  <c r="X522" i="7" s="1"/>
  <c r="W398" i="7"/>
  <c r="X398" i="7" s="1"/>
  <c r="W729" i="7"/>
  <c r="X729" i="7" s="1"/>
  <c r="W845" i="7"/>
  <c r="X845" i="7" s="1"/>
  <c r="C932" i="7"/>
  <c r="D932" i="7" s="1"/>
  <c r="Y932" i="7" s="1"/>
  <c r="Z932" i="7" s="1"/>
  <c r="AA932" i="7" s="1"/>
  <c r="W842" i="7"/>
  <c r="X842" i="7" s="1"/>
  <c r="C1632" i="7"/>
  <c r="D1632" i="7" s="1"/>
  <c r="Y1632" i="7" s="1"/>
  <c r="Z1632" i="7" s="1"/>
  <c r="AA1632" i="7" s="1"/>
  <c r="W1538" i="7"/>
  <c r="X1538" i="7" s="1"/>
  <c r="C1754" i="7"/>
  <c r="D1754" i="7" s="1"/>
  <c r="Y1754" i="7" s="1"/>
  <c r="Z1754" i="7" s="1"/>
  <c r="AA1754" i="7" s="1"/>
  <c r="C1289" i="7"/>
  <c r="D1289" i="7" s="1"/>
  <c r="Y1289" i="7" s="1"/>
  <c r="Z1289" i="7" s="1"/>
  <c r="AA1289" i="7" s="1"/>
  <c r="W310" i="7"/>
  <c r="X310" i="7" s="1"/>
  <c r="C1043" i="7"/>
  <c r="D1043" i="7" s="1"/>
  <c r="Y1043" i="7" s="1"/>
  <c r="Z1043" i="7" s="1"/>
  <c r="AA1043" i="7" s="1"/>
  <c r="C1680" i="7"/>
  <c r="D1680" i="7" s="1"/>
  <c r="Y1680" i="7" s="1"/>
  <c r="Z1680" i="7" s="1"/>
  <c r="AA1680" i="7" s="1"/>
  <c r="C115" i="7"/>
  <c r="D115" i="7" s="1"/>
  <c r="Y115" i="7" s="1"/>
  <c r="Z115" i="7" s="1"/>
  <c r="AA115" i="7" s="1"/>
  <c r="W57" i="7"/>
  <c r="X57" i="7" s="1"/>
  <c r="W538" i="7"/>
  <c r="X538" i="7" s="1"/>
  <c r="C344" i="7"/>
  <c r="D344" i="7" s="1"/>
  <c r="Y344" i="7" s="1"/>
  <c r="Z344" i="7" s="1"/>
  <c r="AA344" i="7" s="1"/>
  <c r="C1049" i="7"/>
  <c r="D1049" i="7" s="1"/>
  <c r="Y1049" i="7" s="1"/>
  <c r="Z1049" i="7" s="1"/>
  <c r="AA1049" i="7" s="1"/>
  <c r="C510" i="7"/>
  <c r="D510" i="7" s="1"/>
  <c r="Y510" i="7" s="1"/>
  <c r="Z510" i="7" s="1"/>
  <c r="AA510" i="7" s="1"/>
  <c r="W97" i="7"/>
  <c r="X97" i="7" s="1"/>
  <c r="C175" i="7"/>
  <c r="D175" i="7" s="1"/>
  <c r="Y175" i="7" s="1"/>
  <c r="Z175" i="7" s="1"/>
  <c r="AA175" i="7" s="1"/>
  <c r="W844" i="7"/>
  <c r="X844" i="7" s="1"/>
  <c r="W1073" i="7"/>
  <c r="X1073" i="7" s="1"/>
  <c r="C897" i="7"/>
  <c r="D897" i="7" s="1"/>
  <c r="Y897" i="7" s="1"/>
  <c r="Z897" i="7" s="1"/>
  <c r="AA897" i="7" s="1"/>
  <c r="C1012" i="7"/>
  <c r="D1012" i="7" s="1"/>
  <c r="Y1012" i="7" s="1"/>
  <c r="Z1012" i="7" s="1"/>
  <c r="AA1012" i="7" s="1"/>
  <c r="C913" i="7"/>
  <c r="D913" i="7" s="1"/>
  <c r="Y913" i="7" s="1"/>
  <c r="Z913" i="7" s="1"/>
  <c r="AA913" i="7" s="1"/>
  <c r="W1667" i="7"/>
  <c r="X1667" i="7" s="1"/>
  <c r="W989" i="7"/>
  <c r="X989" i="7" s="1"/>
  <c r="C1669" i="7"/>
  <c r="D1669" i="7" s="1"/>
  <c r="Y1669" i="7" s="1"/>
  <c r="Z1669" i="7" s="1"/>
  <c r="AA1669" i="7" s="1"/>
  <c r="W172" i="7"/>
  <c r="X172" i="7" s="1"/>
  <c r="W750" i="7"/>
  <c r="X750" i="7" s="1"/>
  <c r="W157" i="7"/>
  <c r="X157" i="7" s="1"/>
  <c r="W29" i="7"/>
  <c r="X29" i="7" s="1"/>
  <c r="W68" i="7"/>
  <c r="X68" i="7" s="1"/>
  <c r="W201" i="7"/>
  <c r="X201" i="7" s="1"/>
  <c r="W660" i="7"/>
  <c r="X660" i="7" s="1"/>
  <c r="C158" i="7"/>
  <c r="D158" i="7" s="1"/>
  <c r="Y158" i="7" s="1"/>
  <c r="Z158" i="7" s="1"/>
  <c r="AA158" i="7" s="1"/>
  <c r="W593" i="7"/>
  <c r="X593" i="7" s="1"/>
  <c r="C747" i="7"/>
  <c r="D747" i="7" s="1"/>
  <c r="Y747" i="7" s="1"/>
  <c r="Z747" i="7" s="1"/>
  <c r="AA747" i="7" s="1"/>
  <c r="W744" i="7"/>
  <c r="X744" i="7" s="1"/>
  <c r="C953" i="7"/>
  <c r="D953" i="7" s="1"/>
  <c r="Y953" i="7" s="1"/>
  <c r="Z953" i="7" s="1"/>
  <c r="AA953" i="7" s="1"/>
  <c r="C1221" i="7"/>
  <c r="D1221" i="7" s="1"/>
  <c r="Y1221" i="7" s="1"/>
  <c r="Z1221" i="7" s="1"/>
  <c r="AA1221" i="7" s="1"/>
  <c r="W1213" i="7"/>
  <c r="X1213" i="7" s="1"/>
  <c r="W1565" i="7"/>
  <c r="X1565" i="7" s="1"/>
  <c r="C1459" i="7"/>
  <c r="D1459" i="7" s="1"/>
  <c r="Y1459" i="7" s="1"/>
  <c r="Z1459" i="7" s="1"/>
  <c r="AA1459" i="7" s="1"/>
  <c r="W1542" i="7"/>
  <c r="X1542" i="7" s="1"/>
  <c r="C71" i="7"/>
  <c r="D71" i="7" s="1"/>
  <c r="Y71" i="7" s="1"/>
  <c r="Z71" i="7" s="1"/>
  <c r="AA71" i="7" s="1"/>
  <c r="C15" i="7"/>
  <c r="D15" i="7" s="1"/>
  <c r="Y15" i="7" s="1"/>
  <c r="Z15" i="7" s="1"/>
  <c r="AA15" i="7" s="1"/>
  <c r="W56" i="7"/>
  <c r="X56" i="7" s="1"/>
  <c r="W192" i="7"/>
  <c r="X192" i="7" s="1"/>
  <c r="W67" i="7"/>
  <c r="X67" i="7" s="1"/>
  <c r="C631" i="7"/>
  <c r="D631" i="7" s="1"/>
  <c r="Y631" i="7" s="1"/>
  <c r="Z631" i="7" s="1"/>
  <c r="AA631" i="7" s="1"/>
  <c r="W721" i="7"/>
  <c r="X721" i="7" s="1"/>
  <c r="W970" i="7"/>
  <c r="X970" i="7" s="1"/>
  <c r="W1373" i="7"/>
  <c r="X1373" i="7" s="1"/>
  <c r="W1210" i="7"/>
  <c r="X1210" i="7" s="1"/>
  <c r="W1387" i="7"/>
  <c r="X1387" i="7" s="1"/>
  <c r="C1497" i="7"/>
  <c r="D1497" i="7" s="1"/>
  <c r="Y1497" i="7" s="1"/>
  <c r="Z1497" i="7" s="1"/>
  <c r="AA1497" i="7" s="1"/>
  <c r="W1635" i="7"/>
  <c r="X1635" i="7" s="1"/>
  <c r="W1698" i="7"/>
  <c r="X1698" i="7" s="1"/>
  <c r="C439" i="7"/>
  <c r="D439" i="7" s="1"/>
  <c r="Y439" i="7" s="1"/>
  <c r="Z439" i="7" s="1"/>
  <c r="AA439" i="7" s="1"/>
  <c r="W8" i="7"/>
  <c r="X8" i="7" s="1"/>
  <c r="W425" i="7"/>
  <c r="X425" i="7" s="1"/>
  <c r="C378" i="7"/>
  <c r="D378" i="7" s="1"/>
  <c r="Y378" i="7" s="1"/>
  <c r="Z378" i="7" s="1"/>
  <c r="AA378" i="7" s="1"/>
  <c r="C768" i="7"/>
  <c r="D768" i="7" s="1"/>
  <c r="Y768" i="7" s="1"/>
  <c r="Z768" i="7" s="1"/>
  <c r="AA768" i="7" s="1"/>
  <c r="C781" i="7"/>
  <c r="D781" i="7" s="1"/>
  <c r="Y781" i="7" s="1"/>
  <c r="Z781" i="7" s="1"/>
  <c r="AA781" i="7" s="1"/>
  <c r="C980" i="7"/>
  <c r="D980" i="7" s="1"/>
  <c r="Y980" i="7" s="1"/>
  <c r="Z980" i="7" s="1"/>
  <c r="AA980" i="7" s="1"/>
  <c r="C724" i="7"/>
  <c r="D724" i="7" s="1"/>
  <c r="Y724" i="7" s="1"/>
  <c r="Z724" i="7" s="1"/>
  <c r="AA724" i="7" s="1"/>
  <c r="W1258" i="7"/>
  <c r="X1258" i="7" s="1"/>
  <c r="C154" i="7"/>
  <c r="D154" i="7" s="1"/>
  <c r="Y154" i="7" s="1"/>
  <c r="Z154" i="7" s="1"/>
  <c r="AA154" i="7" s="1"/>
  <c r="W184" i="7"/>
  <c r="X184" i="7" s="1"/>
  <c r="W442" i="7"/>
  <c r="X442" i="7" s="1"/>
  <c r="W811" i="7"/>
  <c r="X811" i="7" s="1"/>
  <c r="W851" i="7"/>
  <c r="X851" i="7" s="1"/>
  <c r="W810" i="7"/>
  <c r="X810" i="7" s="1"/>
  <c r="C1070" i="7"/>
  <c r="D1070" i="7" s="1"/>
  <c r="Y1070" i="7" s="1"/>
  <c r="Z1070" i="7" s="1"/>
  <c r="AA1070" i="7" s="1"/>
  <c r="C1065" i="7"/>
  <c r="D1065" i="7" s="1"/>
  <c r="Y1065" i="7" s="1"/>
  <c r="Z1065" i="7" s="1"/>
  <c r="AA1065" i="7" s="1"/>
  <c r="C964" i="7"/>
  <c r="D964" i="7" s="1"/>
  <c r="Y964" i="7" s="1"/>
  <c r="Z964" i="7" s="1"/>
  <c r="AA964" i="7" s="1"/>
  <c r="W1307" i="7"/>
  <c r="X1307" i="7" s="1"/>
  <c r="C1607" i="7"/>
  <c r="D1607" i="7" s="1"/>
  <c r="Y1607" i="7" s="1"/>
  <c r="Z1607" i="7" s="1"/>
  <c r="AA1607" i="7" s="1"/>
  <c r="C252" i="7"/>
  <c r="D252" i="7" s="1"/>
  <c r="Y252" i="7" s="1"/>
  <c r="Z252" i="7" s="1"/>
  <c r="AA252" i="7" s="1"/>
  <c r="C1636" i="7"/>
  <c r="D1636" i="7" s="1"/>
  <c r="Y1636" i="7" s="1"/>
  <c r="Z1636" i="7" s="1"/>
  <c r="AA1636" i="7" s="1"/>
  <c r="C1610" i="7"/>
  <c r="D1610" i="7" s="1"/>
  <c r="Y1610" i="7" s="1"/>
  <c r="Z1610" i="7" s="1"/>
  <c r="AA1610" i="7" s="1"/>
  <c r="C777" i="7"/>
  <c r="D777" i="7" s="1"/>
  <c r="Y777" i="7" s="1"/>
  <c r="Z777" i="7" s="1"/>
  <c r="AA777" i="7" s="1"/>
  <c r="W1395" i="7"/>
  <c r="X1395" i="7" s="1"/>
  <c r="C894" i="7"/>
  <c r="D894" i="7" s="1"/>
  <c r="Y894" i="7" s="1"/>
  <c r="Z894" i="7" s="1"/>
  <c r="AA894" i="7" s="1"/>
  <c r="W255" i="7"/>
  <c r="X255" i="7" s="1"/>
  <c r="C331" i="7"/>
  <c r="D331" i="7" s="1"/>
  <c r="Y331" i="7" s="1"/>
  <c r="Z331" i="7" s="1"/>
  <c r="AA331" i="7" s="1"/>
  <c r="W1480" i="7"/>
  <c r="X1480" i="7" s="1"/>
  <c r="C680" i="7"/>
  <c r="D680" i="7" s="1"/>
  <c r="Y680" i="7" s="1"/>
  <c r="Z680" i="7" s="1"/>
  <c r="AA680" i="7" s="1"/>
  <c r="C472" i="7"/>
  <c r="D472" i="7" s="1"/>
  <c r="Y472" i="7" s="1"/>
  <c r="Z472" i="7" s="1"/>
  <c r="AA472" i="7" s="1"/>
  <c r="W796" i="7"/>
  <c r="X796" i="7" s="1"/>
  <c r="W772" i="7"/>
  <c r="X772" i="7" s="1"/>
  <c r="C943" i="7"/>
  <c r="D943" i="7" s="1"/>
  <c r="Y943" i="7" s="1"/>
  <c r="Z943" i="7" s="1"/>
  <c r="AA943" i="7" s="1"/>
  <c r="W1301" i="7"/>
  <c r="X1301" i="7" s="1"/>
  <c r="W1729" i="7"/>
  <c r="X1729" i="7" s="1"/>
  <c r="C135" i="7"/>
  <c r="D135" i="7" s="1"/>
  <c r="Y135" i="7" s="1"/>
  <c r="Z135" i="7" s="1"/>
  <c r="AA135" i="7" s="1"/>
  <c r="W281" i="7"/>
  <c r="X281" i="7" s="1"/>
  <c r="C411" i="7"/>
  <c r="D411" i="7" s="1"/>
  <c r="Y411" i="7" s="1"/>
  <c r="Z411" i="7" s="1"/>
  <c r="AA411" i="7" s="1"/>
  <c r="W692" i="7"/>
  <c r="X692" i="7" s="1"/>
  <c r="C635" i="7"/>
  <c r="D635" i="7" s="1"/>
  <c r="Y635" i="7" s="1"/>
  <c r="Z635" i="7" s="1"/>
  <c r="AA635" i="7" s="1"/>
  <c r="W739" i="7"/>
  <c r="X739" i="7" s="1"/>
  <c r="W696" i="7"/>
  <c r="X696" i="7" s="1"/>
  <c r="W1133" i="7"/>
  <c r="X1133" i="7" s="1"/>
  <c r="C1034" i="7"/>
  <c r="D1034" i="7" s="1"/>
  <c r="Y1034" i="7" s="1"/>
  <c r="Z1034" i="7" s="1"/>
  <c r="AA1034" i="7" s="1"/>
  <c r="C1146" i="7"/>
  <c r="D1146" i="7" s="1"/>
  <c r="Y1146" i="7" s="1"/>
  <c r="Z1146" i="7" s="1"/>
  <c r="AA1146" i="7" s="1"/>
  <c r="C1268" i="7"/>
  <c r="D1268" i="7" s="1"/>
  <c r="Y1268" i="7" s="1"/>
  <c r="Z1268" i="7" s="1"/>
  <c r="AA1268" i="7" s="1"/>
  <c r="C1269" i="7"/>
  <c r="D1269" i="7" s="1"/>
  <c r="Y1269" i="7" s="1"/>
  <c r="Z1269" i="7" s="1"/>
  <c r="AA1269" i="7" s="1"/>
  <c r="C1105" i="7"/>
  <c r="D1105" i="7" s="1"/>
  <c r="Y1105" i="7" s="1"/>
  <c r="Z1105" i="7" s="1"/>
  <c r="AA1105" i="7" s="1"/>
  <c r="C1398" i="7"/>
  <c r="D1398" i="7" s="1"/>
  <c r="Y1398" i="7" s="1"/>
  <c r="Z1398" i="7" s="1"/>
  <c r="AA1398" i="7" s="1"/>
  <c r="C1553" i="7"/>
  <c r="D1553" i="7" s="1"/>
  <c r="Y1553" i="7" s="1"/>
  <c r="Z1553" i="7" s="1"/>
  <c r="AA1553" i="7" s="1"/>
  <c r="C1564" i="7"/>
  <c r="D1564" i="7" s="1"/>
  <c r="Y1564" i="7" s="1"/>
  <c r="Z1564" i="7" s="1"/>
  <c r="AA1564" i="7" s="1"/>
  <c r="C1396" i="7"/>
  <c r="D1396" i="7" s="1"/>
  <c r="Y1396" i="7" s="1"/>
  <c r="Z1396" i="7" s="1"/>
  <c r="AA1396" i="7" s="1"/>
  <c r="C795" i="7"/>
  <c r="D795" i="7" s="1"/>
  <c r="Y795" i="7" s="1"/>
  <c r="Z795" i="7" s="1"/>
  <c r="AA795" i="7" s="1"/>
  <c r="W36" i="7"/>
  <c r="X36" i="7" s="1"/>
  <c r="W1630" i="7"/>
  <c r="X1630" i="7" s="1"/>
  <c r="C261" i="7"/>
  <c r="D261" i="7" s="1"/>
  <c r="Y261" i="7" s="1"/>
  <c r="Z261" i="7" s="1"/>
  <c r="AA261" i="7" s="1"/>
  <c r="C113" i="7"/>
  <c r="D113" i="7" s="1"/>
  <c r="Y113" i="7" s="1"/>
  <c r="Z113" i="7" s="1"/>
  <c r="AA113" i="7" s="1"/>
  <c r="C254" i="7"/>
  <c r="D254" i="7" s="1"/>
  <c r="Y254" i="7" s="1"/>
  <c r="Z254" i="7" s="1"/>
  <c r="AA254" i="7" s="1"/>
  <c r="C388" i="7"/>
  <c r="D388" i="7" s="1"/>
  <c r="Y388" i="7" s="1"/>
  <c r="Z388" i="7" s="1"/>
  <c r="AA388" i="7" s="1"/>
  <c r="C646" i="7"/>
  <c r="D646" i="7" s="1"/>
  <c r="Y646" i="7" s="1"/>
  <c r="Z646" i="7" s="1"/>
  <c r="AA646" i="7" s="1"/>
  <c r="W702" i="7"/>
  <c r="X702" i="7" s="1"/>
  <c r="C634" i="7"/>
  <c r="D634" i="7" s="1"/>
  <c r="Y634" i="7" s="1"/>
  <c r="Z634" i="7" s="1"/>
  <c r="AA634" i="7" s="1"/>
  <c r="W832" i="7"/>
  <c r="X832" i="7" s="1"/>
  <c r="W672" i="7"/>
  <c r="X672" i="7" s="1"/>
  <c r="C931" i="7"/>
  <c r="D931" i="7" s="1"/>
  <c r="Y931" i="7" s="1"/>
  <c r="Z931" i="7" s="1"/>
  <c r="AA931" i="7" s="1"/>
  <c r="W1245" i="7"/>
  <c r="X1245" i="7" s="1"/>
  <c r="W924" i="7"/>
  <c r="X924" i="7" s="1"/>
  <c r="W1285" i="7"/>
  <c r="X1285" i="7" s="1"/>
  <c r="W1449" i="7"/>
  <c r="X1449" i="7" s="1"/>
  <c r="C1424" i="7"/>
  <c r="D1424" i="7" s="1"/>
  <c r="Y1424" i="7" s="1"/>
  <c r="Z1424" i="7" s="1"/>
  <c r="AA1424" i="7" s="1"/>
  <c r="C1566" i="7"/>
  <c r="D1566" i="7" s="1"/>
  <c r="Y1566" i="7" s="1"/>
  <c r="Z1566" i="7" s="1"/>
  <c r="AA1566" i="7" s="1"/>
  <c r="W1439" i="7"/>
  <c r="X1439" i="7" s="1"/>
  <c r="W253" i="7"/>
  <c r="X253" i="7" s="1"/>
  <c r="C713" i="7"/>
  <c r="D713" i="7" s="1"/>
  <c r="Y713" i="7" s="1"/>
  <c r="Z713" i="7" s="1"/>
  <c r="AA713" i="7" s="1"/>
  <c r="W263" i="7"/>
  <c r="X263" i="7" s="1"/>
  <c r="W1334" i="7"/>
  <c r="X1334" i="7" s="1"/>
  <c r="W1505" i="7"/>
  <c r="X1505" i="7" s="1"/>
  <c r="C1608" i="7"/>
  <c r="D1608" i="7" s="1"/>
  <c r="Y1608" i="7" s="1"/>
  <c r="Z1608" i="7" s="1"/>
  <c r="AA1608" i="7" s="1"/>
  <c r="C559" i="7"/>
  <c r="D559" i="7" s="1"/>
  <c r="Y559" i="7" s="1"/>
  <c r="Z559" i="7" s="1"/>
  <c r="AA559" i="7" s="1"/>
  <c r="C262" i="7"/>
  <c r="D262" i="7" s="1"/>
  <c r="Y262" i="7" s="1"/>
  <c r="Z262" i="7" s="1"/>
  <c r="AA262" i="7" s="1"/>
  <c r="C1184" i="7"/>
  <c r="D1184" i="7" s="1"/>
  <c r="Y1184" i="7" s="1"/>
  <c r="Z1184" i="7" s="1"/>
  <c r="AA1184" i="7" s="1"/>
  <c r="C1061" i="7"/>
  <c r="D1061" i="7" s="1"/>
  <c r="Y1061" i="7" s="1"/>
  <c r="Z1061" i="7" s="1"/>
  <c r="AA1061" i="7" s="1"/>
  <c r="W1551" i="7"/>
  <c r="X1551" i="7" s="1"/>
  <c r="C202" i="7"/>
  <c r="D202" i="7" s="1"/>
  <c r="Y202" i="7" s="1"/>
  <c r="Z202" i="7" s="1"/>
  <c r="AA202" i="7" s="1"/>
  <c r="C405" i="7"/>
  <c r="D405" i="7" s="1"/>
  <c r="Y405" i="7" s="1"/>
  <c r="Z405" i="7" s="1"/>
  <c r="AA405" i="7" s="1"/>
  <c r="W423" i="7"/>
  <c r="X423" i="7" s="1"/>
  <c r="W1112" i="7"/>
  <c r="X1112" i="7" s="1"/>
  <c r="W110" i="7"/>
  <c r="X110" i="7" s="1"/>
  <c r="W477" i="7"/>
  <c r="X477" i="7" s="1"/>
  <c r="W564" i="7"/>
  <c r="X564" i="7" s="1"/>
  <c r="C714" i="7"/>
  <c r="D714" i="7" s="1"/>
  <c r="Y714" i="7" s="1"/>
  <c r="Z714" i="7" s="1"/>
  <c r="AA714" i="7" s="1"/>
  <c r="W820" i="7"/>
  <c r="X820" i="7" s="1"/>
  <c r="C711" i="7"/>
  <c r="D711" i="7" s="1"/>
  <c r="Y711" i="7" s="1"/>
  <c r="Z711" i="7" s="1"/>
  <c r="AA711" i="7" s="1"/>
  <c r="C740" i="7"/>
  <c r="D740" i="7" s="1"/>
  <c r="Y740" i="7" s="1"/>
  <c r="Z740" i="7" s="1"/>
  <c r="AA740" i="7" s="1"/>
  <c r="C1030" i="7"/>
  <c r="D1030" i="7" s="1"/>
  <c r="Y1030" i="7" s="1"/>
  <c r="Z1030" i="7" s="1"/>
  <c r="AA1030" i="7" s="1"/>
  <c r="C1103" i="7"/>
  <c r="D1103" i="7" s="1"/>
  <c r="Y1103" i="7" s="1"/>
  <c r="Z1103" i="7" s="1"/>
  <c r="AA1103" i="7" s="1"/>
  <c r="C1329" i="7"/>
  <c r="D1329" i="7" s="1"/>
  <c r="Y1329" i="7" s="1"/>
  <c r="Z1329" i="7" s="1"/>
  <c r="AA1329" i="7" s="1"/>
  <c r="C1323" i="7"/>
  <c r="D1323" i="7" s="1"/>
  <c r="Y1323" i="7" s="1"/>
  <c r="Z1323" i="7" s="1"/>
  <c r="AA1323" i="7" s="1"/>
  <c r="C1578" i="7"/>
  <c r="D1578" i="7" s="1"/>
  <c r="Y1578" i="7" s="1"/>
  <c r="Z1578" i="7" s="1"/>
  <c r="AA1578" i="7" s="1"/>
  <c r="C1383" i="7"/>
  <c r="D1383" i="7" s="1"/>
  <c r="Y1383" i="7" s="1"/>
  <c r="Z1383" i="7" s="1"/>
  <c r="AA1383" i="7" s="1"/>
  <c r="C858" i="7"/>
  <c r="D858" i="7" s="1"/>
  <c r="Y858" i="7" s="1"/>
  <c r="Z858" i="7" s="1"/>
  <c r="AA858" i="7" s="1"/>
  <c r="W268" i="7"/>
  <c r="X268" i="7" s="1"/>
  <c r="W459" i="7"/>
  <c r="X459" i="7" s="1"/>
  <c r="C1828" i="7"/>
  <c r="D1828" i="7" s="1"/>
  <c r="Y1828" i="7" s="1"/>
  <c r="Z1828" i="7" s="1"/>
  <c r="AA1828" i="7" s="1"/>
  <c r="C1851" i="7"/>
  <c r="D1851" i="7" s="1"/>
  <c r="Y1851" i="7" s="1"/>
  <c r="Z1851" i="7" s="1"/>
  <c r="AA1851" i="7" s="1"/>
  <c r="C43" i="7"/>
  <c r="D43" i="7" s="1"/>
  <c r="Y43" i="7" s="1"/>
  <c r="Z43" i="7" s="1"/>
  <c r="AA43" i="7" s="1"/>
  <c r="W141" i="7"/>
  <c r="X141" i="7" s="1"/>
  <c r="W265" i="7"/>
  <c r="X265" i="7" s="1"/>
  <c r="C285" i="7"/>
  <c r="D285" i="7" s="1"/>
  <c r="Y285" i="7" s="1"/>
  <c r="Z285" i="7" s="1"/>
  <c r="AA285" i="7" s="1"/>
  <c r="C497" i="7"/>
  <c r="D497" i="7" s="1"/>
  <c r="Y497" i="7" s="1"/>
  <c r="Z497" i="7" s="1"/>
  <c r="AA497" i="7" s="1"/>
  <c r="C514" i="7"/>
  <c r="D514" i="7" s="1"/>
  <c r="Y514" i="7" s="1"/>
  <c r="Z514" i="7" s="1"/>
  <c r="AA514" i="7" s="1"/>
  <c r="W506" i="7"/>
  <c r="X506" i="7" s="1"/>
  <c r="C393" i="7"/>
  <c r="D393" i="7" s="1"/>
  <c r="Y393" i="7" s="1"/>
  <c r="Z393" i="7" s="1"/>
  <c r="AA393" i="7" s="1"/>
  <c r="W567" i="7"/>
  <c r="X567" i="7" s="1"/>
  <c r="W603" i="7"/>
  <c r="X603" i="7" s="1"/>
  <c r="W698" i="7"/>
  <c r="X698" i="7" s="1"/>
  <c r="W912" i="7"/>
  <c r="X912" i="7" s="1"/>
  <c r="W1032" i="7"/>
  <c r="X1032" i="7" s="1"/>
  <c r="W1159" i="7"/>
  <c r="X1159" i="7" s="1"/>
  <c r="C873" i="7"/>
  <c r="D873" i="7" s="1"/>
  <c r="Y873" i="7" s="1"/>
  <c r="Z873" i="7" s="1"/>
  <c r="AA873" i="7" s="1"/>
  <c r="W1514" i="7"/>
  <c r="X1514" i="7" s="1"/>
  <c r="W1350" i="7"/>
  <c r="X1350" i="7" s="1"/>
  <c r="C1366" i="7"/>
  <c r="D1366" i="7" s="1"/>
  <c r="Y1366" i="7" s="1"/>
  <c r="Z1366" i="7" s="1"/>
  <c r="AA1366" i="7" s="1"/>
  <c r="W1467" i="7"/>
  <c r="X1467" i="7" s="1"/>
  <c r="W830" i="7"/>
  <c r="X830" i="7" s="1"/>
  <c r="C360" i="7"/>
  <c r="D360" i="7" s="1"/>
  <c r="Y360" i="7" s="1"/>
  <c r="Z360" i="7" s="1"/>
  <c r="AA360" i="7" s="1"/>
  <c r="C351" i="7"/>
  <c r="D351" i="7" s="1"/>
  <c r="Y351" i="7" s="1"/>
  <c r="Z351" i="7" s="1"/>
  <c r="AA351" i="7" s="1"/>
  <c r="C1094" i="7"/>
  <c r="D1094" i="7" s="1"/>
  <c r="Y1094" i="7" s="1"/>
  <c r="Z1094" i="7" s="1"/>
  <c r="AA1094" i="7" s="1"/>
  <c r="C1756" i="7"/>
  <c r="D1756" i="7" s="1"/>
  <c r="Y1756" i="7" s="1"/>
  <c r="Z1756" i="7" s="1"/>
  <c r="AA1756" i="7" s="1"/>
  <c r="W755" i="7"/>
  <c r="X755" i="7" s="1"/>
  <c r="C819" i="7"/>
  <c r="D819" i="7" s="1"/>
  <c r="Y819" i="7" s="1"/>
  <c r="Z819" i="7" s="1"/>
  <c r="AA819" i="7" s="1"/>
  <c r="C1326" i="7"/>
  <c r="D1326" i="7" s="1"/>
  <c r="Y1326" i="7" s="1"/>
  <c r="Z1326" i="7" s="1"/>
  <c r="AA1326" i="7" s="1"/>
  <c r="W687" i="7"/>
  <c r="X687" i="7" s="1"/>
  <c r="W335" i="7"/>
  <c r="X335" i="7" s="1"/>
  <c r="W266" i="7"/>
  <c r="X266" i="7" s="1"/>
  <c r="W1479" i="7"/>
  <c r="X1479" i="7" s="1"/>
  <c r="C142" i="7"/>
  <c r="D142" i="7" s="1"/>
  <c r="Y142" i="7" s="1"/>
  <c r="Z142" i="7" s="1"/>
  <c r="AA142" i="7" s="1"/>
  <c r="W93" i="7"/>
  <c r="X93" i="7" s="1"/>
  <c r="W136" i="7"/>
  <c r="X136" i="7" s="1"/>
  <c r="W432" i="7"/>
  <c r="X432" i="7" s="1"/>
  <c r="W627" i="7"/>
  <c r="X627" i="7" s="1"/>
  <c r="C441" i="7"/>
  <c r="D441" i="7" s="1"/>
  <c r="Y441" i="7" s="1"/>
  <c r="Z441" i="7" s="1"/>
  <c r="AA441" i="7" s="1"/>
  <c r="W880" i="7"/>
  <c r="X880" i="7" s="1"/>
  <c r="C867" i="7"/>
  <c r="D867" i="7" s="1"/>
  <c r="Y867" i="7" s="1"/>
  <c r="Z867" i="7" s="1"/>
  <c r="AA867" i="7" s="1"/>
  <c r="C985" i="7"/>
  <c r="D985" i="7" s="1"/>
  <c r="Y985" i="7" s="1"/>
  <c r="Z985" i="7" s="1"/>
  <c r="AA985" i="7" s="1"/>
  <c r="C1058" i="7"/>
  <c r="D1058" i="7" s="1"/>
  <c r="Y1058" i="7" s="1"/>
  <c r="Z1058" i="7" s="1"/>
  <c r="AA1058" i="7" s="1"/>
  <c r="C1046" i="7"/>
  <c r="D1046" i="7" s="1"/>
  <c r="Y1046" i="7" s="1"/>
  <c r="Z1046" i="7" s="1"/>
  <c r="AA1046" i="7" s="1"/>
  <c r="W1063" i="7"/>
  <c r="X1063" i="7" s="1"/>
  <c r="C945" i="7"/>
  <c r="D945" i="7" s="1"/>
  <c r="Y945" i="7" s="1"/>
  <c r="Z945" i="7" s="1"/>
  <c r="AA945" i="7" s="1"/>
  <c r="C1281" i="7"/>
  <c r="D1281" i="7" s="1"/>
  <c r="Y1281" i="7" s="1"/>
  <c r="Z1281" i="7" s="1"/>
  <c r="AA1281" i="7" s="1"/>
  <c r="W1633" i="7"/>
  <c r="X1633" i="7" s="1"/>
  <c r="C1482" i="7"/>
  <c r="D1482" i="7" s="1"/>
  <c r="Y1482" i="7" s="1"/>
  <c r="Z1482" i="7" s="1"/>
  <c r="AA1482" i="7" s="1"/>
  <c r="W1344" i="7"/>
  <c r="X1344" i="7" s="1"/>
  <c r="W52" i="7"/>
  <c r="X52" i="7" s="1"/>
  <c r="W878" i="7"/>
  <c r="X878" i="7" s="1"/>
  <c r="W1090" i="7"/>
  <c r="X1090" i="7" s="1"/>
  <c r="W802" i="7"/>
  <c r="X802" i="7" s="1"/>
  <c r="W762" i="7"/>
  <c r="X762" i="7" s="1"/>
  <c r="C891" i="7"/>
  <c r="D891" i="7" s="1"/>
  <c r="Y891" i="7" s="1"/>
  <c r="Z891" i="7" s="1"/>
  <c r="AA891" i="7" s="1"/>
  <c r="C1087" i="7"/>
  <c r="D1087" i="7" s="1"/>
  <c r="Y1087" i="7" s="1"/>
  <c r="Z1087" i="7" s="1"/>
  <c r="AA1087" i="7" s="1"/>
  <c r="C1306" i="7"/>
  <c r="D1306" i="7" s="1"/>
  <c r="Y1306" i="7" s="1"/>
  <c r="Z1306" i="7" s="1"/>
  <c r="AA1306" i="7" s="1"/>
  <c r="W599" i="7"/>
  <c r="X599" i="7" s="1"/>
  <c r="W578" i="7"/>
  <c r="X578" i="7" s="1"/>
  <c r="C1211" i="7"/>
  <c r="D1211" i="7" s="1"/>
  <c r="Y1211" i="7" s="1"/>
  <c r="Z1211" i="7" s="1"/>
  <c r="AA1211" i="7" s="1"/>
  <c r="C435" i="7"/>
  <c r="D435" i="7" s="1"/>
  <c r="Y435" i="7" s="1"/>
  <c r="Z435" i="7" s="1"/>
  <c r="AA435" i="7" s="1"/>
  <c r="C730" i="7"/>
  <c r="D730" i="7" s="1"/>
  <c r="Y730" i="7" s="1"/>
  <c r="Z730" i="7" s="1"/>
  <c r="AA730" i="7" s="1"/>
  <c r="W644" i="7"/>
  <c r="X644" i="7" s="1"/>
  <c r="C1433" i="7"/>
  <c r="D1433" i="7" s="1"/>
  <c r="Y1433" i="7" s="1"/>
  <c r="Z1433" i="7" s="1"/>
  <c r="AA1433" i="7" s="1"/>
  <c r="W452" i="7"/>
  <c r="X452" i="7" s="1"/>
  <c r="W410" i="7"/>
  <c r="X410" i="7" s="1"/>
  <c r="W710" i="7"/>
  <c r="X710" i="7" s="1"/>
  <c r="W926" i="7"/>
  <c r="X926" i="7" s="1"/>
  <c r="C121" i="7"/>
  <c r="D121" i="7" s="1"/>
  <c r="Y121" i="7" s="1"/>
  <c r="Z121" i="7" s="1"/>
  <c r="AA121" i="7" s="1"/>
  <c r="C234" i="7"/>
  <c r="D234" i="7" s="1"/>
  <c r="Y234" i="7" s="1"/>
  <c r="Z234" i="7" s="1"/>
  <c r="AA234" i="7" s="1"/>
  <c r="C1198" i="7"/>
  <c r="D1198" i="7" s="1"/>
  <c r="Y1198" i="7" s="1"/>
  <c r="Z1198" i="7" s="1"/>
  <c r="AA1198" i="7" s="1"/>
  <c r="C1748" i="7"/>
  <c r="D1748" i="7" s="1"/>
  <c r="Y1748" i="7" s="1"/>
  <c r="Z1748" i="7" s="1"/>
  <c r="AA1748" i="7" s="1"/>
  <c r="W210" i="7"/>
  <c r="X210" i="7" s="1"/>
  <c r="W1745" i="7"/>
  <c r="X1745" i="7" s="1"/>
  <c r="C1556" i="7"/>
  <c r="D1556" i="7" s="1"/>
  <c r="Y1556" i="7" s="1"/>
  <c r="Z1556" i="7" s="1"/>
  <c r="AA1556" i="7" s="1"/>
  <c r="C655" i="7"/>
  <c r="D655" i="7" s="1"/>
  <c r="Y655" i="7" s="1"/>
  <c r="Z655" i="7" s="1"/>
  <c r="AA655" i="7" s="1"/>
  <c r="W1360" i="7"/>
  <c r="X1360" i="7" s="1"/>
  <c r="C1722" i="7"/>
  <c r="D1722" i="7" s="1"/>
  <c r="Y1722" i="7" s="1"/>
  <c r="Z1722" i="7" s="1"/>
  <c r="AA1722" i="7" s="1"/>
  <c r="C1730" i="7"/>
  <c r="D1730" i="7" s="1"/>
  <c r="Y1730" i="7" s="1"/>
  <c r="Z1730" i="7" s="1"/>
  <c r="AA1730" i="7" s="1"/>
  <c r="C1712" i="7"/>
  <c r="D1712" i="7" s="1"/>
  <c r="Y1712" i="7" s="1"/>
  <c r="Z1712" i="7" s="1"/>
  <c r="AA1712" i="7" s="1"/>
  <c r="C1472" i="7"/>
  <c r="D1472" i="7" s="1"/>
  <c r="Y1472" i="7" s="1"/>
  <c r="Z1472" i="7" s="1"/>
  <c r="AA1472" i="7" s="1"/>
  <c r="C462" i="7"/>
  <c r="D462" i="7" s="1"/>
  <c r="Y462" i="7" s="1"/>
  <c r="Z462" i="7" s="1"/>
  <c r="AA462" i="7" s="1"/>
  <c r="W247" i="7"/>
  <c r="X247" i="7" s="1"/>
  <c r="W535" i="7"/>
  <c r="X535" i="7" s="1"/>
  <c r="W123" i="7"/>
  <c r="X123" i="7" s="1"/>
  <c r="W793" i="7"/>
  <c r="X793" i="7" s="1"/>
  <c r="W1716" i="7"/>
  <c r="X1716" i="7" s="1"/>
  <c r="W1645" i="7"/>
  <c r="X1645" i="7" s="1"/>
  <c r="C156" i="7"/>
  <c r="D156" i="7" s="1"/>
  <c r="Y156" i="7" s="1"/>
  <c r="Z156" i="7" s="1"/>
  <c r="AA156" i="7" s="1"/>
  <c r="C784" i="7"/>
  <c r="D784" i="7" s="1"/>
  <c r="Y784" i="7" s="1"/>
  <c r="Z784" i="7" s="1"/>
  <c r="AA784" i="7" s="1"/>
  <c r="W457" i="7"/>
  <c r="X457" i="7" s="1"/>
  <c r="C1362" i="7"/>
  <c r="D1362" i="7" s="1"/>
  <c r="Y1362" i="7" s="1"/>
  <c r="Z1362" i="7" s="1"/>
  <c r="AA1362" i="7" s="1"/>
  <c r="W298" i="7"/>
  <c r="X298" i="7" s="1"/>
  <c r="W241" i="7"/>
  <c r="X241" i="7" s="1"/>
  <c r="C1706" i="7"/>
  <c r="D1706" i="7" s="1"/>
  <c r="Y1706" i="7" s="1"/>
  <c r="Z1706" i="7" s="1"/>
  <c r="AA1706" i="7" s="1"/>
  <c r="W277" i="7"/>
  <c r="X277" i="7" s="1"/>
  <c r="W1672" i="7"/>
  <c r="X1672" i="7" s="1"/>
  <c r="C1035" i="7"/>
  <c r="D1035" i="7" s="1"/>
  <c r="Y1035" i="7" s="1"/>
  <c r="Z1035" i="7" s="1"/>
  <c r="AA1035" i="7" s="1"/>
  <c r="W495" i="7"/>
  <c r="X495" i="7" s="1"/>
  <c r="W1111" i="7"/>
  <c r="X1111" i="7" s="1"/>
  <c r="C1420" i="7"/>
  <c r="D1420" i="7" s="1"/>
  <c r="Y1420" i="7" s="1"/>
  <c r="Z1420" i="7" s="1"/>
  <c r="AA1420" i="7" s="1"/>
  <c r="W66" i="7"/>
  <c r="X66" i="7" s="1"/>
  <c r="W1604" i="7"/>
  <c r="X1604" i="7" s="1"/>
  <c r="C1006" i="7"/>
  <c r="D1006" i="7" s="1"/>
  <c r="Y1006" i="7" s="1"/>
  <c r="Z1006" i="7" s="1"/>
  <c r="AA1006" i="7" s="1"/>
  <c r="C976" i="7"/>
  <c r="D976" i="7" s="1"/>
  <c r="Y976" i="7" s="1"/>
  <c r="Z976" i="7" s="1"/>
  <c r="AA976" i="7" s="1"/>
  <c r="C1144" i="7"/>
  <c r="D1144" i="7" s="1"/>
  <c r="Y1144" i="7" s="1"/>
  <c r="Z1144" i="7" s="1"/>
  <c r="AA1144" i="7" s="1"/>
  <c r="W911" i="7"/>
  <c r="X911" i="7" s="1"/>
  <c r="C1095" i="7"/>
  <c r="D1095" i="7" s="1"/>
  <c r="Y1095" i="7" s="1"/>
  <c r="Z1095" i="7" s="1"/>
  <c r="AA1095" i="7" s="1"/>
  <c r="W1139" i="7"/>
  <c r="X1139" i="7" s="1"/>
  <c r="W1426" i="7"/>
  <c r="X1426" i="7" s="1"/>
  <c r="W1365" i="7"/>
  <c r="X1365" i="7" s="1"/>
  <c r="C1231" i="7"/>
  <c r="D1231" i="7" s="1"/>
  <c r="Y1231" i="7" s="1"/>
  <c r="Z1231" i="7" s="1"/>
  <c r="AA1231" i="7" s="1"/>
  <c r="C1523" i="7"/>
  <c r="D1523" i="7" s="1"/>
  <c r="Y1523" i="7" s="1"/>
  <c r="Z1523" i="7" s="1"/>
  <c r="AA1523" i="7" s="1"/>
  <c r="W1435" i="7"/>
  <c r="X1435" i="7" s="1"/>
  <c r="C1388" i="7"/>
  <c r="D1388" i="7" s="1"/>
  <c r="Y1388" i="7" s="1"/>
  <c r="Z1388" i="7" s="1"/>
  <c r="AA1388" i="7" s="1"/>
  <c r="C1627" i="7"/>
  <c r="D1627" i="7" s="1"/>
  <c r="Y1627" i="7" s="1"/>
  <c r="Z1627" i="7" s="1"/>
  <c r="AA1627" i="7" s="1"/>
  <c r="W470" i="7"/>
  <c r="X470" i="7" s="1"/>
  <c r="W1476" i="7"/>
  <c r="X1476" i="7" s="1"/>
  <c r="W1536" i="7"/>
  <c r="X1536" i="7" s="1"/>
  <c r="C1218" i="7"/>
  <c r="D1218" i="7" s="1"/>
  <c r="Y1218" i="7" s="1"/>
  <c r="Z1218" i="7" s="1"/>
  <c r="AA1218" i="7" s="1"/>
  <c r="C903" i="7"/>
  <c r="D903" i="7" s="1"/>
  <c r="Y903" i="7" s="1"/>
  <c r="Z903" i="7" s="1"/>
  <c r="AA903" i="7" s="1"/>
  <c r="C1568" i="7"/>
  <c r="D1568" i="7" s="1"/>
  <c r="Y1568" i="7" s="1"/>
  <c r="Z1568" i="7" s="1"/>
  <c r="AA1568" i="7" s="1"/>
  <c r="W386" i="7"/>
  <c r="X386" i="7" s="1"/>
  <c r="W1596" i="7"/>
  <c r="X1596" i="7" s="1"/>
  <c r="W187" i="7"/>
  <c r="X187" i="7" s="1"/>
  <c r="C513" i="7"/>
  <c r="D513" i="7" s="1"/>
  <c r="Y513" i="7" s="1"/>
  <c r="Z513" i="7" s="1"/>
  <c r="AA513" i="7" s="1"/>
  <c r="C629" i="7"/>
  <c r="D629" i="7" s="1"/>
  <c r="Y629" i="7" s="1"/>
  <c r="Z629" i="7" s="1"/>
  <c r="AA629" i="7" s="1"/>
  <c r="W853" i="7"/>
  <c r="X853" i="7" s="1"/>
  <c r="C519" i="7"/>
  <c r="D519" i="7" s="1"/>
  <c r="Y519" i="7" s="1"/>
  <c r="Z519" i="7" s="1"/>
  <c r="AA519" i="7" s="1"/>
  <c r="C494" i="7"/>
  <c r="D494" i="7" s="1"/>
  <c r="Y494" i="7" s="1"/>
  <c r="Z494" i="7" s="1"/>
  <c r="AA494" i="7" s="1"/>
  <c r="C480" i="7"/>
  <c r="D480" i="7" s="1"/>
  <c r="Y480" i="7" s="1"/>
  <c r="Z480" i="7" s="1"/>
  <c r="AA480" i="7" s="1"/>
  <c r="C706" i="7"/>
  <c r="D706" i="7" s="1"/>
  <c r="Y706" i="7" s="1"/>
  <c r="Z706" i="7" s="1"/>
  <c r="AA706" i="7" s="1"/>
  <c r="W905" i="7"/>
  <c r="X905" i="7" s="1"/>
  <c r="C877" i="7"/>
  <c r="D877" i="7" s="1"/>
  <c r="Y877" i="7" s="1"/>
  <c r="Z877" i="7" s="1"/>
  <c r="AA877" i="7" s="1"/>
  <c r="W1205" i="7"/>
  <c r="X1205" i="7" s="1"/>
  <c r="W1347" i="7"/>
  <c r="X1347" i="7" s="1"/>
  <c r="W1409" i="7"/>
  <c r="X1409" i="7" s="1"/>
  <c r="C1720" i="7"/>
  <c r="D1720" i="7" s="1"/>
  <c r="Y1720" i="7" s="1"/>
  <c r="Z1720" i="7" s="1"/>
  <c r="AA1720" i="7" s="1"/>
  <c r="C1675" i="7"/>
  <c r="D1675" i="7" s="1"/>
  <c r="Y1675" i="7" s="1"/>
  <c r="Z1675" i="7" s="1"/>
  <c r="AA1675" i="7" s="1"/>
  <c r="W1444" i="7"/>
  <c r="X1444" i="7" s="1"/>
  <c r="W323" i="7"/>
  <c r="X323" i="7" s="1"/>
  <c r="C585" i="7"/>
  <c r="D585" i="7" s="1"/>
  <c r="Y585" i="7" s="1"/>
  <c r="Z585" i="7" s="1"/>
  <c r="AA585" i="7" s="1"/>
  <c r="W1170" i="7"/>
  <c r="X1170" i="7" s="1"/>
  <c r="C1062" i="7"/>
  <c r="D1062" i="7" s="1"/>
  <c r="Y1062" i="7" s="1"/>
  <c r="Z1062" i="7" s="1"/>
  <c r="AA1062" i="7" s="1"/>
  <c r="W1158" i="7"/>
  <c r="X1158" i="7" s="1"/>
  <c r="W471" i="7"/>
  <c r="X471" i="7" s="1"/>
  <c r="C367" i="7"/>
  <c r="D367" i="7" s="1"/>
  <c r="Y367" i="7" s="1"/>
  <c r="Z367" i="7" s="1"/>
  <c r="AA367" i="7" s="1"/>
  <c r="C973" i="7"/>
  <c r="D973" i="7" s="1"/>
  <c r="Y973" i="7" s="1"/>
  <c r="Z973" i="7" s="1"/>
  <c r="AA973" i="7" s="1"/>
  <c r="C1609" i="7"/>
  <c r="D1609" i="7" s="1"/>
  <c r="Y1609" i="7" s="1"/>
  <c r="Z1609" i="7" s="1"/>
  <c r="AA1609" i="7" s="1"/>
  <c r="W1474" i="7"/>
  <c r="X1474" i="7" s="1"/>
  <c r="C10" i="7"/>
  <c r="D10" i="7" s="1"/>
  <c r="Y10" i="7" s="1"/>
  <c r="Z10" i="7" s="1"/>
  <c r="AA10" i="7" s="1"/>
  <c r="W1686" i="7"/>
  <c r="X1686" i="7" s="1"/>
  <c r="C1655" i="7"/>
  <c r="D1655" i="7" s="1"/>
  <c r="Y1655" i="7" s="1"/>
  <c r="Z1655" i="7" s="1"/>
  <c r="AA1655" i="7" s="1"/>
  <c r="W1621" i="7"/>
  <c r="X1621" i="7" s="1"/>
  <c r="W572" i="7"/>
  <c r="X572" i="7" s="1"/>
  <c r="W32" i="7"/>
  <c r="X32" i="7" s="1"/>
  <c r="C39" i="7"/>
  <c r="D39" i="7" s="1"/>
  <c r="Y39" i="7" s="1"/>
  <c r="Z39" i="7" s="1"/>
  <c r="AA39" i="7" s="1"/>
  <c r="W1150" i="7"/>
  <c r="X1150" i="7" s="1"/>
  <c r="C1501" i="7"/>
  <c r="D1501" i="7" s="1"/>
  <c r="Y1501" i="7" s="1"/>
  <c r="Z1501" i="7" s="1"/>
  <c r="AA1501" i="7" s="1"/>
  <c r="W1385" i="7"/>
  <c r="X1385" i="7" s="1"/>
  <c r="C143" i="7"/>
  <c r="D143" i="7" s="1"/>
  <c r="Y143" i="7" s="1"/>
  <c r="Z143" i="7" s="1"/>
  <c r="AA143" i="7" s="1"/>
  <c r="C643" i="7"/>
  <c r="D643" i="7" s="1"/>
  <c r="Y643" i="7" s="1"/>
  <c r="Z643" i="7" s="1"/>
  <c r="AA643" i="7" s="1"/>
  <c r="C89" i="7"/>
  <c r="D89" i="7" s="1"/>
  <c r="Y89" i="7" s="1"/>
  <c r="Z89" i="7" s="1"/>
  <c r="AA89" i="7" s="1"/>
  <c r="C1488" i="7"/>
  <c r="D1488" i="7" s="1"/>
  <c r="Y1488" i="7" s="1"/>
  <c r="Z1488" i="7" s="1"/>
  <c r="AA1488" i="7" s="1"/>
  <c r="C664" i="7"/>
  <c r="D664" i="7" s="1"/>
  <c r="Y664" i="7" s="1"/>
  <c r="Z664" i="7" s="1"/>
  <c r="AA664" i="7" s="1"/>
  <c r="W927" i="7"/>
  <c r="X927" i="7" s="1"/>
  <c r="C181" i="7"/>
  <c r="D181" i="7" s="1"/>
  <c r="Y181" i="7" s="1"/>
  <c r="Z181" i="7" s="1"/>
  <c r="AA181" i="7" s="1"/>
  <c r="W155" i="7"/>
  <c r="X155" i="7" s="1"/>
  <c r="C100" i="7"/>
  <c r="D100" i="7" s="1"/>
  <c r="Y100" i="7" s="1"/>
  <c r="Z100" i="7" s="1"/>
  <c r="AA100" i="7" s="1"/>
  <c r="W207" i="7"/>
  <c r="X207" i="7" s="1"/>
  <c r="C413" i="7"/>
  <c r="D413" i="7" s="1"/>
  <c r="Y413" i="7" s="1"/>
  <c r="Z413" i="7" s="1"/>
  <c r="AA413" i="7" s="1"/>
  <c r="W512" i="7"/>
  <c r="X512" i="7" s="1"/>
  <c r="C554" i="7"/>
  <c r="D554" i="7" s="1"/>
  <c r="Y554" i="7" s="1"/>
  <c r="Z554" i="7" s="1"/>
  <c r="AA554" i="7" s="1"/>
  <c r="C414" i="7"/>
  <c r="D414" i="7" s="1"/>
  <c r="Y414" i="7" s="1"/>
  <c r="Z414" i="7" s="1"/>
  <c r="AA414" i="7" s="1"/>
  <c r="C407" i="7"/>
  <c r="D407" i="7" s="1"/>
  <c r="Y407" i="7" s="1"/>
  <c r="Z407" i="7" s="1"/>
  <c r="AA407" i="7" s="1"/>
  <c r="C584" i="7"/>
  <c r="D584" i="7" s="1"/>
  <c r="Y584" i="7" s="1"/>
  <c r="Z584" i="7" s="1"/>
  <c r="AA584" i="7" s="1"/>
  <c r="C995" i="7"/>
  <c r="D995" i="7" s="1"/>
  <c r="Y995" i="7" s="1"/>
  <c r="Z995" i="7" s="1"/>
  <c r="AA995" i="7" s="1"/>
  <c r="C967" i="7"/>
  <c r="D967" i="7" s="1"/>
  <c r="Y967" i="7" s="1"/>
  <c r="Z967" i="7" s="1"/>
  <c r="AA967" i="7" s="1"/>
  <c r="C556" i="7"/>
  <c r="D556" i="7" s="1"/>
  <c r="Y556" i="7" s="1"/>
  <c r="Z556" i="7" s="1"/>
  <c r="AA556" i="7" s="1"/>
  <c r="W1018" i="7"/>
  <c r="X1018" i="7" s="1"/>
  <c r="C929" i="7"/>
  <c r="D929" i="7" s="1"/>
  <c r="Y929" i="7" s="1"/>
  <c r="Z929" i="7" s="1"/>
  <c r="AA929" i="7" s="1"/>
  <c r="W1097" i="7"/>
  <c r="X1097" i="7" s="1"/>
  <c r="C982" i="7"/>
  <c r="D982" i="7" s="1"/>
  <c r="Y982" i="7" s="1"/>
  <c r="Z982" i="7" s="1"/>
  <c r="AA982" i="7" s="1"/>
  <c r="C1181" i="7"/>
  <c r="D1181" i="7" s="1"/>
  <c r="Y1181" i="7" s="1"/>
  <c r="Z1181" i="7" s="1"/>
  <c r="AA1181" i="7" s="1"/>
  <c r="C1436" i="7"/>
  <c r="D1436" i="7" s="1"/>
  <c r="Y1436" i="7" s="1"/>
  <c r="Z1436" i="7" s="1"/>
  <c r="AA1436" i="7" s="1"/>
  <c r="C1677" i="7"/>
  <c r="D1677" i="7" s="1"/>
  <c r="Y1677" i="7" s="1"/>
  <c r="Z1677" i="7" s="1"/>
  <c r="AA1677" i="7" s="1"/>
  <c r="C1533" i="7"/>
  <c r="D1533" i="7" s="1"/>
  <c r="Y1533" i="7" s="1"/>
  <c r="Z1533" i="7" s="1"/>
  <c r="AA1533" i="7" s="1"/>
  <c r="W1721" i="7"/>
  <c r="X1721" i="7" s="1"/>
  <c r="W1752" i="7"/>
  <c r="X1752" i="7" s="1"/>
  <c r="W704" i="7"/>
  <c r="X704" i="7" s="1"/>
  <c r="C64" i="7"/>
  <c r="D64" i="7" s="1"/>
  <c r="Y64" i="7" s="1"/>
  <c r="Z64" i="7" s="1"/>
  <c r="AA64" i="7" s="1"/>
  <c r="W1166" i="7"/>
  <c r="X1166" i="7" s="1"/>
  <c r="C1156" i="7"/>
  <c r="D1156" i="7" s="1"/>
  <c r="Y1156" i="7" s="1"/>
  <c r="Z1156" i="7" s="1"/>
  <c r="AA1156" i="7" s="1"/>
  <c r="C19" i="7"/>
  <c r="D19" i="7" s="1"/>
  <c r="Y19" i="7" s="1"/>
  <c r="Z19" i="7" s="1"/>
  <c r="AA19" i="7" s="1"/>
  <c r="W887" i="7"/>
  <c r="X887" i="7" s="1"/>
  <c r="C421" i="7"/>
  <c r="D421" i="7" s="1"/>
  <c r="Y421" i="7" s="1"/>
  <c r="Z421" i="7" s="1"/>
  <c r="AA421" i="7" s="1"/>
  <c r="W79" i="7"/>
  <c r="X79" i="7" s="1"/>
  <c r="W366" i="7"/>
  <c r="X366" i="7" s="1"/>
  <c r="W723" i="7"/>
  <c r="X723" i="7" s="1"/>
  <c r="C132" i="7"/>
  <c r="D132" i="7" s="1"/>
  <c r="Y132" i="7" s="1"/>
  <c r="Z132" i="7" s="1"/>
  <c r="AA132" i="7" s="1"/>
  <c r="W193" i="7"/>
  <c r="X193" i="7" s="1"/>
  <c r="W467" i="7"/>
  <c r="X467" i="7" s="1"/>
  <c r="C623" i="7"/>
  <c r="D623" i="7" s="1"/>
  <c r="Y623" i="7" s="1"/>
  <c r="Z623" i="7" s="1"/>
  <c r="AA623" i="7" s="1"/>
  <c r="W685" i="7"/>
  <c r="X685" i="7" s="1"/>
  <c r="W720" i="7"/>
  <c r="X720" i="7" s="1"/>
  <c r="W823" i="7"/>
  <c r="X823" i="7" s="1"/>
  <c r="C665" i="7"/>
  <c r="D665" i="7" s="1"/>
  <c r="Y665" i="7" s="1"/>
  <c r="Z665" i="7" s="1"/>
  <c r="AA665" i="7" s="1"/>
  <c r="W992" i="7"/>
  <c r="X992" i="7" s="1"/>
  <c r="C699" i="7"/>
  <c r="D699" i="7" s="1"/>
  <c r="Y699" i="7" s="1"/>
  <c r="Z699" i="7" s="1"/>
  <c r="AA699" i="7" s="1"/>
  <c r="W991" i="7"/>
  <c r="X991" i="7" s="1"/>
  <c r="C1033" i="7"/>
  <c r="D1033" i="7" s="1"/>
  <c r="Y1033" i="7" s="1"/>
  <c r="Z1033" i="7" s="1"/>
  <c r="AA1033" i="7" s="1"/>
  <c r="C1356" i="7"/>
  <c r="D1356" i="7" s="1"/>
  <c r="Y1356" i="7" s="1"/>
  <c r="Z1356" i="7" s="1"/>
  <c r="AA1356" i="7" s="1"/>
  <c r="C1747" i="7"/>
  <c r="D1747" i="7" s="1"/>
  <c r="Y1747" i="7" s="1"/>
  <c r="Z1747" i="7" s="1"/>
  <c r="AA1747" i="7" s="1"/>
  <c r="W1659" i="7"/>
  <c r="X1659" i="7" s="1"/>
  <c r="C1651" i="7"/>
  <c r="D1651" i="7" s="1"/>
  <c r="Y1651" i="7" s="1"/>
  <c r="Z1651" i="7" s="1"/>
  <c r="AA1651" i="7" s="1"/>
  <c r="W242" i="7"/>
  <c r="X242" i="7" s="1"/>
  <c r="C1001" i="7"/>
  <c r="D1001" i="7" s="1"/>
  <c r="Y1001" i="7" s="1"/>
  <c r="Z1001" i="7" s="1"/>
  <c r="AA1001" i="7" s="1"/>
  <c r="C1595" i="7"/>
  <c r="D1595" i="7" s="1"/>
  <c r="Y1595" i="7" s="1"/>
  <c r="Z1595" i="7" s="1"/>
  <c r="AA1595" i="7" s="1"/>
  <c r="C1368" i="7"/>
  <c r="D1368" i="7" s="1"/>
  <c r="Y1368" i="7" s="1"/>
  <c r="Z1368" i="7" s="1"/>
  <c r="AA1368" i="7" s="1"/>
  <c r="C898" i="7"/>
  <c r="D898" i="7" s="1"/>
  <c r="Y898" i="7" s="1"/>
  <c r="Z898" i="7" s="1"/>
  <c r="AA898" i="7" s="1"/>
  <c r="W370" i="7"/>
  <c r="X370" i="7" s="1"/>
  <c r="W947" i="7"/>
  <c r="X947" i="7" s="1"/>
  <c r="W300" i="7"/>
  <c r="X300" i="7" s="1"/>
  <c r="W278" i="7"/>
  <c r="X278" i="7" s="1"/>
  <c r="C474" i="7"/>
  <c r="D474" i="7" s="1"/>
  <c r="Y474" i="7" s="1"/>
  <c r="Z474" i="7" s="1"/>
  <c r="AA474" i="7" s="1"/>
  <c r="C153" i="7"/>
  <c r="D153" i="7" s="1"/>
  <c r="Y153" i="7" s="1"/>
  <c r="Z153" i="7" s="1"/>
  <c r="AA153" i="7" s="1"/>
  <c r="C190" i="7"/>
  <c r="D190" i="7" s="1"/>
  <c r="Y190" i="7" s="1"/>
  <c r="Z190" i="7" s="1"/>
  <c r="AA190" i="7" s="1"/>
  <c r="W191" i="7"/>
  <c r="X191" i="7" s="1"/>
  <c r="W174" i="7"/>
  <c r="X174" i="7" s="1"/>
  <c r="W492" i="7"/>
  <c r="X492" i="7" s="1"/>
  <c r="W555" i="7"/>
  <c r="X555" i="7" s="1"/>
  <c r="C583" i="7"/>
  <c r="D583" i="7" s="1"/>
  <c r="Y583" i="7" s="1"/>
  <c r="Z583" i="7" s="1"/>
  <c r="AA583" i="7" s="1"/>
  <c r="W588" i="7"/>
  <c r="X588" i="7" s="1"/>
  <c r="C889" i="7"/>
  <c r="D889" i="7" s="1"/>
  <c r="Y889" i="7" s="1"/>
  <c r="Z889" i="7" s="1"/>
  <c r="AA889" i="7" s="1"/>
  <c r="C1186" i="7"/>
  <c r="D1186" i="7" s="1"/>
  <c r="Y1186" i="7" s="1"/>
  <c r="Z1186" i="7" s="1"/>
  <c r="AA1186" i="7" s="1"/>
  <c r="C1530" i="7"/>
  <c r="D1530" i="7" s="1"/>
  <c r="Y1530" i="7" s="1"/>
  <c r="Z1530" i="7" s="1"/>
  <c r="AA1530" i="7" s="1"/>
  <c r="W1760" i="7"/>
  <c r="X1760" i="7" s="1"/>
  <c r="C1663" i="7"/>
  <c r="D1663" i="7" s="1"/>
  <c r="Y1663" i="7" s="1"/>
  <c r="Z1663" i="7" s="1"/>
  <c r="AA1663" i="7" s="1"/>
  <c r="C1229" i="7"/>
  <c r="D1229" i="7" s="1"/>
  <c r="Y1229" i="7" s="1"/>
  <c r="Z1229" i="7" s="1"/>
  <c r="AA1229" i="7" s="1"/>
  <c r="C1656" i="7"/>
  <c r="D1656" i="7" s="1"/>
  <c r="Y1656" i="7" s="1"/>
  <c r="Z1656" i="7" s="1"/>
  <c r="AA1656" i="7" s="1"/>
  <c r="W1174" i="7"/>
  <c r="X1174" i="7" s="1"/>
  <c r="C1676" i="7"/>
  <c r="D1676" i="7" s="1"/>
  <c r="Y1676" i="7" s="1"/>
  <c r="Z1676" i="7" s="1"/>
  <c r="AA1676" i="7" s="1"/>
  <c r="C1654" i="7"/>
  <c r="D1654" i="7" s="1"/>
  <c r="Y1654" i="7" s="1"/>
  <c r="Z1654" i="7" s="1"/>
  <c r="AA1654" i="7" s="1"/>
  <c r="W624" i="7"/>
  <c r="X624" i="7" s="1"/>
  <c r="C55" i="7"/>
  <c r="D55" i="7" s="1"/>
  <c r="Y55" i="7" s="1"/>
  <c r="Z55" i="7" s="1"/>
  <c r="AA55" i="7" s="1"/>
  <c r="C669" i="7"/>
  <c r="D669" i="7" s="1"/>
  <c r="Y669" i="7" s="1"/>
  <c r="Z669" i="7" s="1"/>
  <c r="AA669" i="7" s="1"/>
  <c r="W833" i="7"/>
  <c r="X833" i="7" s="1"/>
  <c r="W1233" i="7"/>
  <c r="X1233" i="7" s="1"/>
  <c r="C1100" i="7"/>
  <c r="D1100" i="7" s="1"/>
  <c r="Y1100" i="7" s="1"/>
  <c r="Z1100" i="7" s="1"/>
  <c r="AA1100" i="7" s="1"/>
  <c r="C1199" i="7"/>
  <c r="D1199" i="7" s="1"/>
  <c r="Y1199" i="7" s="1"/>
  <c r="Z1199" i="7" s="1"/>
  <c r="AA1199" i="7" s="1"/>
  <c r="C1265" i="7"/>
  <c r="D1265" i="7" s="1"/>
  <c r="Y1265" i="7" s="1"/>
  <c r="Z1265" i="7" s="1"/>
  <c r="AA1265" i="7" s="1"/>
  <c r="W1532" i="7"/>
  <c r="X1532" i="7" s="1"/>
  <c r="C712" i="7"/>
  <c r="D712" i="7" s="1"/>
  <c r="Y712" i="7" s="1"/>
  <c r="Z712" i="7" s="1"/>
  <c r="AA712" i="7" s="1"/>
  <c r="C921" i="7"/>
  <c r="D921" i="7" s="1"/>
  <c r="Y921" i="7" s="1"/>
  <c r="Z921" i="7" s="1"/>
  <c r="AA921" i="7" s="1"/>
  <c r="C1668" i="7"/>
  <c r="D1668" i="7" s="1"/>
  <c r="Y1668" i="7" s="1"/>
  <c r="Z1668" i="7" s="1"/>
  <c r="AA1668" i="7" s="1"/>
  <c r="C1206" i="7"/>
  <c r="D1206" i="7" s="1"/>
  <c r="Y1206" i="7" s="1"/>
  <c r="Z1206" i="7" s="1"/>
  <c r="AA1206" i="7" s="1"/>
  <c r="W205" i="7"/>
  <c r="X205" i="7" s="1"/>
  <c r="C1232" i="7"/>
  <c r="D1232" i="7" s="1"/>
  <c r="Y1232" i="7" s="1"/>
  <c r="Z1232" i="7" s="1"/>
  <c r="AA1232" i="7" s="1"/>
  <c r="C1203" i="7"/>
  <c r="D1203" i="7" s="1"/>
  <c r="Y1203" i="7" s="1"/>
  <c r="Z1203" i="7" s="1"/>
  <c r="AA1203" i="7" s="1"/>
  <c r="W1690" i="7"/>
  <c r="X1690" i="7" s="1"/>
  <c r="W1723" i="7"/>
  <c r="X1723" i="7" s="1"/>
  <c r="W1579" i="7"/>
  <c r="X1579" i="7" s="1"/>
  <c r="W307" i="7"/>
  <c r="X307" i="7" s="1"/>
  <c r="W316" i="7"/>
  <c r="X316" i="7" s="1"/>
  <c r="C1515" i="7"/>
  <c r="D1515" i="7" s="1"/>
  <c r="Y1515" i="7" s="1"/>
  <c r="Z1515" i="7" s="1"/>
  <c r="AA1515" i="7" s="1"/>
  <c r="C1401" i="7"/>
  <c r="D1401" i="7" s="1"/>
  <c r="Y1401" i="7" s="1"/>
  <c r="Z1401" i="7" s="1"/>
  <c r="AA1401" i="7" s="1"/>
  <c r="C163" i="7"/>
  <c r="D163" i="7" s="1"/>
  <c r="Y163" i="7" s="1"/>
  <c r="Z163" i="7" s="1"/>
  <c r="AA163" i="7" s="1"/>
  <c r="W283" i="7"/>
  <c r="X283" i="7" s="1"/>
  <c r="W387" i="7"/>
  <c r="X387" i="7" s="1"/>
  <c r="C645" i="7"/>
  <c r="D645" i="7" s="1"/>
  <c r="Y645" i="7" s="1"/>
  <c r="Z645" i="7" s="1"/>
  <c r="AA645" i="7" s="1"/>
  <c r="W259" i="7"/>
  <c r="X259" i="7" s="1"/>
  <c r="W709" i="7"/>
  <c r="X709" i="7" s="1"/>
  <c r="C1128" i="7"/>
  <c r="D1128" i="7" s="1"/>
  <c r="Y1128" i="7" s="1"/>
  <c r="Z1128" i="7" s="1"/>
  <c r="AA1128" i="7" s="1"/>
  <c r="C1737" i="7"/>
  <c r="D1737" i="7" s="1"/>
  <c r="Y1737" i="7" s="1"/>
  <c r="Z1737" i="7" s="1"/>
  <c r="AA1737" i="7" s="1"/>
  <c r="C1403" i="7"/>
  <c r="D1403" i="7" s="1"/>
  <c r="Y1403" i="7" s="1"/>
  <c r="Z1403" i="7" s="1"/>
  <c r="AA1403" i="7" s="1"/>
  <c r="W860" i="7"/>
  <c r="X860" i="7" s="1"/>
  <c r="W189" i="7"/>
  <c r="X189" i="7" s="1"/>
  <c r="C1091" i="7"/>
  <c r="D1091" i="7" s="1"/>
  <c r="Y1091" i="7" s="1"/>
  <c r="Z1091" i="7" s="1"/>
  <c r="AA1091" i="7" s="1"/>
  <c r="C722" i="7"/>
  <c r="D722" i="7" s="1"/>
  <c r="Y722" i="7" s="1"/>
  <c r="Z722" i="7" s="1"/>
  <c r="AA722" i="7" s="1"/>
  <c r="C58" i="7"/>
  <c r="D58" i="7" s="1"/>
  <c r="Y58" i="7" s="1"/>
  <c r="Z58" i="7" s="1"/>
  <c r="AA58" i="7" s="1"/>
  <c r="W235" i="7"/>
  <c r="X235" i="7" s="1"/>
  <c r="W465" i="7"/>
  <c r="X465" i="7" s="1"/>
  <c r="C368" i="7"/>
  <c r="D368" i="7" s="1"/>
  <c r="Y368" i="7" s="1"/>
  <c r="Z368" i="7" s="1"/>
  <c r="AA368" i="7" s="1"/>
  <c r="W803" i="7"/>
  <c r="X803" i="7" s="1"/>
  <c r="W1003" i="7"/>
  <c r="X1003" i="7" s="1"/>
  <c r="W1138" i="7"/>
  <c r="X1138" i="7" s="1"/>
  <c r="C1423" i="7"/>
  <c r="D1423" i="7" s="1"/>
  <c r="Y1423" i="7" s="1"/>
  <c r="Z1423" i="7" s="1"/>
  <c r="AA1423" i="7" s="1"/>
  <c r="C1434" i="7"/>
  <c r="D1434" i="7" s="1"/>
  <c r="Y1434" i="7" s="1"/>
  <c r="Z1434" i="7" s="1"/>
  <c r="AA1434" i="7" s="1"/>
  <c r="W1147" i="7"/>
  <c r="X1147" i="7" s="1"/>
  <c r="W1576" i="7"/>
  <c r="X1576" i="7" s="1"/>
  <c r="W1142" i="7"/>
  <c r="X1142" i="7" s="1"/>
  <c r="C1549" i="7"/>
  <c r="D1549" i="7" s="1"/>
  <c r="Y1549" i="7" s="1"/>
  <c r="Z1549" i="7" s="1"/>
  <c r="AA1549" i="7" s="1"/>
  <c r="W688" i="7"/>
  <c r="X688" i="7" s="1"/>
  <c r="C688" i="7"/>
  <c r="D688" i="7" s="1"/>
  <c r="Y688" i="7" s="1"/>
  <c r="Z688" i="7" s="1"/>
  <c r="AA688" i="7" s="1"/>
  <c r="W299" i="7"/>
  <c r="X299" i="7" s="1"/>
  <c r="W109" i="7"/>
  <c r="X109" i="7" s="1"/>
  <c r="W648" i="7"/>
  <c r="X648" i="7" s="1"/>
  <c r="W641" i="7"/>
  <c r="X641" i="7" s="1"/>
  <c r="W1294" i="7"/>
  <c r="X1294" i="7" s="1"/>
  <c r="C1427" i="7"/>
  <c r="D1427" i="7" s="1"/>
  <c r="Y1427" i="7" s="1"/>
  <c r="Z1427" i="7" s="1"/>
  <c r="AA1427" i="7" s="1"/>
  <c r="C518" i="7"/>
  <c r="D518" i="7" s="1"/>
  <c r="Y518" i="7" s="1"/>
  <c r="Z518" i="7" s="1"/>
  <c r="AA518" i="7" s="1"/>
  <c r="C783" i="7"/>
  <c r="D783" i="7" s="1"/>
  <c r="Y783" i="7" s="1"/>
  <c r="Z783" i="7" s="1"/>
  <c r="AA783" i="7" s="1"/>
  <c r="C1407" i="7"/>
  <c r="D1407" i="7" s="1"/>
  <c r="Y1407" i="7" s="1"/>
  <c r="Z1407" i="7" s="1"/>
  <c r="AA1407" i="7" s="1"/>
  <c r="C1119" i="7"/>
  <c r="D1119" i="7" s="1"/>
  <c r="Y1119" i="7" s="1"/>
  <c r="Z1119" i="7" s="1"/>
  <c r="AA1119" i="7" s="1"/>
  <c r="W1119" i="7"/>
  <c r="X1119" i="7" s="1"/>
  <c r="C1390" i="7"/>
  <c r="D1390" i="7" s="1"/>
  <c r="Y1390" i="7" s="1"/>
  <c r="Z1390" i="7" s="1"/>
  <c r="AA1390" i="7" s="1"/>
  <c r="W1341" i="7"/>
  <c r="X1341" i="7" s="1"/>
  <c r="W1083" i="7"/>
  <c r="X1083" i="7" s="1"/>
  <c r="C806" i="7"/>
  <c r="D806" i="7" s="1"/>
  <c r="Y806" i="7" s="1"/>
  <c r="Z806" i="7" s="1"/>
  <c r="AA806" i="7" s="1"/>
  <c r="W807" i="7"/>
  <c r="X807" i="7" s="1"/>
  <c r="C44" i="7"/>
  <c r="D44" i="7" s="1"/>
  <c r="Y44" i="7" s="1"/>
  <c r="Z44" i="7" s="1"/>
  <c r="AA44" i="7" s="1"/>
  <c r="W391" i="7"/>
  <c r="X391" i="7" s="1"/>
  <c r="C1168" i="7"/>
  <c r="D1168" i="7" s="1"/>
  <c r="Y1168" i="7" s="1"/>
  <c r="Z1168" i="7" s="1"/>
  <c r="AA1168" i="7" s="1"/>
  <c r="C1537" i="7"/>
  <c r="D1537" i="7" s="1"/>
  <c r="Y1537" i="7" s="1"/>
  <c r="Z1537" i="7" s="1"/>
  <c r="AA1537" i="7" s="1"/>
  <c r="W1600" i="7"/>
  <c r="X1600" i="7" s="1"/>
  <c r="C1445" i="7"/>
  <c r="D1445" i="7" s="1"/>
  <c r="Y1445" i="7" s="1"/>
  <c r="Z1445" i="7" s="1"/>
  <c r="AA1445" i="7" s="1"/>
  <c r="C764" i="7"/>
  <c r="D764" i="7" s="1"/>
  <c r="Y764" i="7" s="1"/>
  <c r="Z764" i="7" s="1"/>
  <c r="AA764" i="7" s="1"/>
  <c r="W764" i="7"/>
  <c r="X764" i="7" s="1"/>
  <c r="W1082" i="7"/>
  <c r="X1082" i="7" s="1"/>
  <c r="W491" i="7"/>
  <c r="X491" i="7" s="1"/>
  <c r="C742" i="7"/>
  <c r="D742" i="7" s="1"/>
  <c r="Y742" i="7" s="1"/>
  <c r="Z742" i="7" s="1"/>
  <c r="AA742" i="7" s="1"/>
  <c r="C1122" i="7"/>
  <c r="D1122" i="7" s="1"/>
  <c r="Y1122" i="7" s="1"/>
  <c r="Z1122" i="7" s="1"/>
  <c r="AA1122" i="7" s="1"/>
  <c r="W1487" i="7"/>
  <c r="X1487" i="7" s="1"/>
  <c r="W1492" i="7"/>
  <c r="X1492" i="7" s="1"/>
  <c r="W780" i="7"/>
  <c r="X780" i="7" s="1"/>
  <c r="C1852" i="7"/>
  <c r="D1852" i="7" s="1"/>
  <c r="Y1852" i="7" s="1"/>
  <c r="Z1852" i="7" s="1"/>
  <c r="AA1852" i="7" s="1"/>
  <c r="C82" i="7"/>
  <c r="D82" i="7" s="1"/>
  <c r="Y82" i="7" s="1"/>
  <c r="Z82" i="7" s="1"/>
  <c r="AA82" i="7" s="1"/>
  <c r="W173" i="7"/>
  <c r="X173" i="7" s="1"/>
  <c r="C35" i="7"/>
  <c r="D35" i="7" s="1"/>
  <c r="Y35" i="7" s="1"/>
  <c r="Z35" i="7" s="1"/>
  <c r="AA35" i="7" s="1"/>
  <c r="C150" i="7"/>
  <c r="D150" i="7" s="1"/>
  <c r="Y150" i="7" s="1"/>
  <c r="Z150" i="7" s="1"/>
  <c r="AA150" i="7" s="1"/>
  <c r="C179" i="7"/>
  <c r="D179" i="7" s="1"/>
  <c r="Y179" i="7" s="1"/>
  <c r="Z179" i="7" s="1"/>
  <c r="AA179" i="7" s="1"/>
  <c r="C324" i="7"/>
  <c r="D324" i="7" s="1"/>
  <c r="Y324" i="7" s="1"/>
  <c r="Z324" i="7" s="1"/>
  <c r="AA324" i="7" s="1"/>
  <c r="W320" i="7"/>
  <c r="X320" i="7" s="1"/>
  <c r="C575" i="7"/>
  <c r="D575" i="7" s="1"/>
  <c r="Y575" i="7" s="1"/>
  <c r="Z575" i="7" s="1"/>
  <c r="AA575" i="7" s="1"/>
  <c r="W340" i="7"/>
  <c r="X340" i="7" s="1"/>
  <c r="C601" i="7"/>
  <c r="D601" i="7" s="1"/>
  <c r="Y601" i="7" s="1"/>
  <c r="Z601" i="7" s="1"/>
  <c r="AA601" i="7" s="1"/>
  <c r="C625" i="7"/>
  <c r="D625" i="7" s="1"/>
  <c r="Y625" i="7" s="1"/>
  <c r="Z625" i="7" s="1"/>
  <c r="AA625" i="7" s="1"/>
  <c r="W493" i="7"/>
  <c r="X493" i="7" s="1"/>
  <c r="W545" i="7"/>
  <c r="X545" i="7" s="1"/>
  <c r="W746" i="7"/>
  <c r="X746" i="7" s="1"/>
  <c r="W990" i="7"/>
  <c r="X990" i="7" s="1"/>
  <c r="W994" i="7"/>
  <c r="X994" i="7" s="1"/>
  <c r="W1080" i="7"/>
  <c r="X1080" i="7" s="1"/>
  <c r="C1113" i="7"/>
  <c r="D1113" i="7" s="1"/>
  <c r="Y1113" i="7" s="1"/>
  <c r="Z1113" i="7" s="1"/>
  <c r="AA1113" i="7" s="1"/>
  <c r="C1196" i="7"/>
  <c r="D1196" i="7" s="1"/>
  <c r="Y1196" i="7" s="1"/>
  <c r="Z1196" i="7" s="1"/>
  <c r="AA1196" i="7" s="1"/>
  <c r="W1454" i="7"/>
  <c r="X1454" i="7" s="1"/>
  <c r="C1554" i="7"/>
  <c r="D1554" i="7" s="1"/>
  <c r="Y1554" i="7" s="1"/>
  <c r="Z1554" i="7" s="1"/>
  <c r="AA1554" i="7" s="1"/>
  <c r="C1413" i="7"/>
  <c r="D1413" i="7" s="1"/>
  <c r="Y1413" i="7" s="1"/>
  <c r="Z1413" i="7" s="1"/>
  <c r="AA1413" i="7" s="1"/>
  <c r="C1494" i="7"/>
  <c r="D1494" i="7" s="1"/>
  <c r="Y1494" i="7" s="1"/>
  <c r="Z1494" i="7" s="1"/>
  <c r="AA1494" i="7" s="1"/>
  <c r="C1310" i="7"/>
  <c r="D1310" i="7" s="1"/>
  <c r="Y1310" i="7" s="1"/>
  <c r="Z1310" i="7" s="1"/>
  <c r="AA1310" i="7" s="1"/>
  <c r="C1508" i="7"/>
  <c r="D1508" i="7" s="1"/>
  <c r="Y1508" i="7" s="1"/>
  <c r="Z1508" i="7" s="1"/>
  <c r="AA1508" i="7" s="1"/>
  <c r="C1620" i="7"/>
  <c r="D1620" i="7" s="1"/>
  <c r="Y1620" i="7" s="1"/>
  <c r="Z1620" i="7" s="1"/>
  <c r="AA1620" i="7" s="1"/>
  <c r="W1154" i="7"/>
  <c r="X1154" i="7" s="1"/>
  <c r="W69" i="7"/>
  <c r="X69" i="7" s="1"/>
  <c r="C1280" i="7"/>
  <c r="D1280" i="7" s="1"/>
  <c r="Y1280" i="7" s="1"/>
  <c r="Z1280" i="7" s="1"/>
  <c r="AA1280" i="7" s="1"/>
  <c r="C1125" i="7"/>
  <c r="D1125" i="7" s="1"/>
  <c r="Y1125" i="7" s="1"/>
  <c r="Z1125" i="7" s="1"/>
  <c r="AA1125" i="7" s="1"/>
  <c r="C1131" i="7"/>
  <c r="D1131" i="7" s="1"/>
  <c r="Y1131" i="7" s="1"/>
  <c r="Z1131" i="7" s="1"/>
  <c r="AA1131" i="7" s="1"/>
  <c r="W1131" i="7"/>
  <c r="X1131" i="7" s="1"/>
  <c r="W1473" i="7"/>
  <c r="X1473" i="7" s="1"/>
  <c r="C1473" i="7"/>
  <c r="D1473" i="7" s="1"/>
  <c r="Y1473" i="7" s="1"/>
  <c r="Z1473" i="7" s="1"/>
  <c r="AA1473" i="7" s="1"/>
  <c r="C1759" i="7"/>
  <c r="D1759" i="7" s="1"/>
  <c r="Y1759" i="7" s="1"/>
  <c r="Z1759" i="7" s="1"/>
  <c r="AA1759" i="7" s="1"/>
  <c r="W1593" i="7"/>
  <c r="X1593" i="7" s="1"/>
  <c r="C1593" i="7"/>
  <c r="D1593" i="7" s="1"/>
  <c r="Y1593" i="7" s="1"/>
  <c r="Z1593" i="7" s="1"/>
  <c r="AA1593" i="7" s="1"/>
  <c r="W974" i="7"/>
  <c r="X974" i="7" s="1"/>
  <c r="C1647" i="7"/>
  <c r="D1647" i="7" s="1"/>
  <c r="Y1647" i="7" s="1"/>
  <c r="Z1647" i="7" s="1"/>
  <c r="AA1647" i="7" s="1"/>
  <c r="W198" i="7"/>
  <c r="X198" i="7" s="1"/>
  <c r="C119" i="7"/>
  <c r="D119" i="7" s="1"/>
  <c r="Y119" i="7" s="1"/>
  <c r="Z119" i="7" s="1"/>
  <c r="AA119" i="7" s="1"/>
  <c r="W330" i="7"/>
  <c r="X330" i="7" s="1"/>
  <c r="W464" i="7"/>
  <c r="X464" i="7" s="1"/>
  <c r="C374" i="7"/>
  <c r="D374" i="7" s="1"/>
  <c r="Y374" i="7" s="1"/>
  <c r="Z374" i="7" s="1"/>
  <c r="AA374" i="7" s="1"/>
  <c r="C429" i="7"/>
  <c r="D429" i="7" s="1"/>
  <c r="Y429" i="7" s="1"/>
  <c r="Z429" i="7" s="1"/>
  <c r="AA429" i="7" s="1"/>
  <c r="W829" i="7"/>
  <c r="X829" i="7" s="1"/>
  <c r="W770" i="7"/>
  <c r="X770" i="7" s="1"/>
  <c r="W1084" i="7"/>
  <c r="X1084" i="7" s="1"/>
  <c r="C1108" i="7"/>
  <c r="D1108" i="7" s="1"/>
  <c r="Y1108" i="7" s="1"/>
  <c r="Z1108" i="7" s="1"/>
  <c r="AA1108" i="7" s="1"/>
  <c r="W1176" i="7"/>
  <c r="X1176" i="7" s="1"/>
  <c r="C1149" i="7"/>
  <c r="D1149" i="7" s="1"/>
  <c r="Y1149" i="7" s="1"/>
  <c r="Z1149" i="7" s="1"/>
  <c r="AA1149" i="7" s="1"/>
  <c r="C1117" i="7"/>
  <c r="D1117" i="7" s="1"/>
  <c r="Y1117" i="7" s="1"/>
  <c r="Z1117" i="7" s="1"/>
  <c r="AA1117" i="7" s="1"/>
  <c r="W881" i="7"/>
  <c r="X881" i="7" s="1"/>
  <c r="C1352" i="7"/>
  <c r="D1352" i="7" s="1"/>
  <c r="Y1352" i="7" s="1"/>
  <c r="Z1352" i="7" s="1"/>
  <c r="AA1352" i="7" s="1"/>
  <c r="W1658" i="7"/>
  <c r="X1658" i="7" s="1"/>
  <c r="C1392" i="7"/>
  <c r="D1392" i="7" s="1"/>
  <c r="Y1392" i="7" s="1"/>
  <c r="Z1392" i="7" s="1"/>
  <c r="AA1392" i="7" s="1"/>
  <c r="W1381" i="7"/>
  <c r="X1381" i="7" s="1"/>
  <c r="W1336" i="7"/>
  <c r="X1336" i="7" s="1"/>
  <c r="W1696" i="7"/>
  <c r="X1696" i="7" s="1"/>
  <c r="W1363" i="7"/>
  <c r="X1363" i="7" s="1"/>
  <c r="C558" i="7"/>
  <c r="D558" i="7" s="1"/>
  <c r="Y558" i="7" s="1"/>
  <c r="Z558" i="7" s="1"/>
  <c r="AA558" i="7" s="1"/>
  <c r="C1615" i="7"/>
  <c r="D1615" i="7" s="1"/>
  <c r="Y1615" i="7" s="1"/>
  <c r="Z1615" i="7" s="1"/>
  <c r="AA1615" i="7" s="1"/>
  <c r="C334" i="7"/>
  <c r="D334" i="7" s="1"/>
  <c r="Y334" i="7" s="1"/>
  <c r="Z334" i="7" s="1"/>
  <c r="AA334" i="7" s="1"/>
  <c r="W1222" i="7"/>
  <c r="X1222" i="7" s="1"/>
  <c r="W1585" i="7"/>
  <c r="X1585" i="7" s="1"/>
  <c r="W595" i="7"/>
  <c r="X595" i="7" s="1"/>
  <c r="C595" i="7"/>
  <c r="D595" i="7" s="1"/>
  <c r="Y595" i="7" s="1"/>
  <c r="Z595" i="7" s="1"/>
  <c r="AA595" i="7" s="1"/>
  <c r="C279" i="7"/>
  <c r="D279" i="7" s="1"/>
  <c r="Y279" i="7" s="1"/>
  <c r="Z279" i="7" s="1"/>
  <c r="AA279" i="7" s="1"/>
  <c r="C84" i="7"/>
  <c r="D84" i="7" s="1"/>
  <c r="Y84" i="7" s="1"/>
  <c r="Z84" i="7" s="1"/>
  <c r="AA84" i="7" s="1"/>
  <c r="C47" i="7"/>
  <c r="D47" i="7" s="1"/>
  <c r="Y47" i="7" s="1"/>
  <c r="Z47" i="7" s="1"/>
  <c r="AA47" i="7" s="1"/>
  <c r="W229" i="7"/>
  <c r="X229" i="7" s="1"/>
  <c r="W170" i="7"/>
  <c r="X170" i="7" s="1"/>
  <c r="C147" i="7"/>
  <c r="D147" i="7" s="1"/>
  <c r="Y147" i="7" s="1"/>
  <c r="Z147" i="7" s="1"/>
  <c r="AA147" i="7" s="1"/>
  <c r="W337" i="7"/>
  <c r="X337" i="7" s="1"/>
  <c r="C642" i="7"/>
  <c r="D642" i="7" s="1"/>
  <c r="Y642" i="7" s="1"/>
  <c r="Z642" i="7" s="1"/>
  <c r="AA642" i="7" s="1"/>
  <c r="W325" i="7"/>
  <c r="X325" i="7" s="1"/>
  <c r="W638" i="7"/>
  <c r="X638" i="7" s="1"/>
  <c r="W541" i="7"/>
  <c r="X541" i="7" s="1"/>
  <c r="C312" i="7"/>
  <c r="D312" i="7" s="1"/>
  <c r="Y312" i="7" s="1"/>
  <c r="Z312" i="7" s="1"/>
  <c r="AA312" i="7" s="1"/>
  <c r="C606" i="7"/>
  <c r="D606" i="7" s="1"/>
  <c r="Y606" i="7" s="1"/>
  <c r="Z606" i="7" s="1"/>
  <c r="AA606" i="7" s="1"/>
  <c r="C1009" i="7"/>
  <c r="D1009" i="7" s="1"/>
  <c r="Y1009" i="7" s="1"/>
  <c r="Z1009" i="7" s="1"/>
  <c r="AA1009" i="7" s="1"/>
  <c r="C1397" i="7"/>
  <c r="D1397" i="7" s="1"/>
  <c r="Y1397" i="7" s="1"/>
  <c r="Z1397" i="7" s="1"/>
  <c r="AA1397" i="7" s="1"/>
  <c r="W1724" i="7"/>
  <c r="X1724" i="7" s="1"/>
  <c r="C1641" i="7"/>
  <c r="D1641" i="7" s="1"/>
  <c r="Y1641" i="7" s="1"/>
  <c r="Z1641" i="7" s="1"/>
  <c r="AA1641" i="7" s="1"/>
  <c r="C1432" i="7"/>
  <c r="D1432" i="7" s="1"/>
  <c r="Y1432" i="7" s="1"/>
  <c r="Z1432" i="7" s="1"/>
  <c r="AA1432" i="7" s="1"/>
  <c r="C679" i="7"/>
  <c r="D679" i="7" s="1"/>
  <c r="Y679" i="7" s="1"/>
  <c r="Z679" i="7" s="1"/>
  <c r="AA679" i="7" s="1"/>
  <c r="C904" i="7"/>
  <c r="D904" i="7" s="1"/>
  <c r="Y904" i="7" s="1"/>
  <c r="Z904" i="7" s="1"/>
  <c r="AA904" i="7" s="1"/>
  <c r="W904" i="7"/>
  <c r="X904" i="7" s="1"/>
  <c r="C1631" i="7"/>
  <c r="D1631" i="7" s="1"/>
  <c r="Y1631" i="7" s="1"/>
  <c r="Z1631" i="7" s="1"/>
  <c r="AA1631" i="7" s="1"/>
  <c r="W1631" i="7"/>
  <c r="X1631" i="7" s="1"/>
  <c r="C979" i="7"/>
  <c r="D979" i="7" s="1"/>
  <c r="Y979" i="7" s="1"/>
  <c r="Z979" i="7" s="1"/>
  <c r="AA979" i="7" s="1"/>
  <c r="W752" i="7"/>
  <c r="X752" i="7" s="1"/>
  <c r="C752" i="7"/>
  <c r="D752" i="7" s="1"/>
  <c r="Y752" i="7" s="1"/>
  <c r="Z752" i="7" s="1"/>
  <c r="AA752" i="7" s="1"/>
  <c r="C14" i="7"/>
  <c r="D14" i="7" s="1"/>
  <c r="Y14" i="7" s="1"/>
  <c r="Z14" i="7" s="1"/>
  <c r="AA14" i="7" s="1"/>
  <c r="C362" i="7"/>
  <c r="D362" i="7" s="1"/>
  <c r="Y362" i="7" s="1"/>
  <c r="Z362" i="7" s="1"/>
  <c r="AA362" i="7" s="1"/>
  <c r="W613" i="7"/>
  <c r="X613" i="7" s="1"/>
  <c r="C1172" i="7"/>
  <c r="D1172" i="7" s="1"/>
  <c r="Y1172" i="7" s="1"/>
  <c r="Z1172" i="7" s="1"/>
  <c r="AA1172" i="7" s="1"/>
  <c r="C73" i="7"/>
  <c r="D73" i="7" s="1"/>
  <c r="Y73" i="7" s="1"/>
  <c r="Z73" i="7" s="1"/>
  <c r="AA73" i="7" s="1"/>
  <c r="C24" i="7"/>
  <c r="D24" i="7" s="1"/>
  <c r="Y24" i="7" s="1"/>
  <c r="Z24" i="7" s="1"/>
  <c r="AA24" i="7" s="1"/>
  <c r="C271" i="7"/>
  <c r="D271" i="7" s="1"/>
  <c r="Y271" i="7" s="1"/>
  <c r="Z271" i="7" s="1"/>
  <c r="AA271" i="7" s="1"/>
  <c r="W350" i="7"/>
  <c r="X350" i="7" s="1"/>
  <c r="W416" i="7"/>
  <c r="X416" i="7" s="1"/>
  <c r="C355" i="7"/>
  <c r="D355" i="7" s="1"/>
  <c r="Y355" i="7" s="1"/>
  <c r="Z355" i="7" s="1"/>
  <c r="AA355" i="7" s="1"/>
  <c r="W328" i="7"/>
  <c r="X328" i="7" s="1"/>
  <c r="C884" i="7"/>
  <c r="D884" i="7" s="1"/>
  <c r="Y884" i="7" s="1"/>
  <c r="Z884" i="7" s="1"/>
  <c r="AA884" i="7" s="1"/>
  <c r="C1098" i="7"/>
  <c r="D1098" i="7" s="1"/>
  <c r="Y1098" i="7" s="1"/>
  <c r="Z1098" i="7" s="1"/>
  <c r="AA1098" i="7" s="1"/>
  <c r="W1099" i="7"/>
  <c r="X1099" i="7" s="1"/>
  <c r="C1185" i="7"/>
  <c r="D1185" i="7" s="1"/>
  <c r="Y1185" i="7" s="1"/>
  <c r="Z1185" i="7" s="1"/>
  <c r="AA1185" i="7" s="1"/>
  <c r="C1251" i="7"/>
  <c r="D1251" i="7" s="1"/>
  <c r="Y1251" i="7" s="1"/>
  <c r="Z1251" i="7" s="1"/>
  <c r="AA1251" i="7" s="1"/>
  <c r="C1325" i="7"/>
  <c r="D1325" i="7" s="1"/>
  <c r="Y1325" i="7" s="1"/>
  <c r="Z1325" i="7" s="1"/>
  <c r="AA1325" i="7" s="1"/>
  <c r="C1626" i="7"/>
  <c r="D1626" i="7" s="1"/>
  <c r="Y1626" i="7" s="1"/>
  <c r="Z1626" i="7" s="1"/>
  <c r="AA1626" i="7" s="1"/>
  <c r="W1746" i="7"/>
  <c r="X1746" i="7" s="1"/>
  <c r="W1504" i="7"/>
  <c r="X1504" i="7" s="1"/>
  <c r="C1534" i="7"/>
  <c r="D1534" i="7" s="1"/>
  <c r="Y1534" i="7" s="1"/>
  <c r="Z1534" i="7" s="1"/>
  <c r="AA1534" i="7" s="1"/>
  <c r="C186" i="7"/>
  <c r="D186" i="7" s="1"/>
  <c r="Y186" i="7" s="1"/>
  <c r="Z186" i="7" s="1"/>
  <c r="AA186" i="7" s="1"/>
  <c r="C232" i="7"/>
  <c r="D232" i="7" s="1"/>
  <c r="Y232" i="7" s="1"/>
  <c r="Z232" i="7" s="1"/>
  <c r="AA232" i="7" s="1"/>
  <c r="W381" i="7"/>
  <c r="X381" i="7" s="1"/>
  <c r="C552" i="7"/>
  <c r="D552" i="7" s="1"/>
  <c r="Y552" i="7" s="1"/>
  <c r="Z552" i="7" s="1"/>
  <c r="AA552" i="7" s="1"/>
  <c r="C160" i="7"/>
  <c r="D160" i="7" s="1"/>
  <c r="Y160" i="7" s="1"/>
  <c r="Z160" i="7" s="1"/>
  <c r="AA160" i="7" s="1"/>
  <c r="C965" i="7"/>
  <c r="D965" i="7" s="1"/>
  <c r="Y965" i="7" s="1"/>
  <c r="Z965" i="7" s="1"/>
  <c r="AA965" i="7" s="1"/>
  <c r="C839" i="7"/>
  <c r="D839" i="7" s="1"/>
  <c r="Y839" i="7" s="1"/>
  <c r="Z839" i="7" s="1"/>
  <c r="AA839" i="7" s="1"/>
  <c r="C1718" i="7"/>
  <c r="D1718" i="7" s="1"/>
  <c r="Y1718" i="7" s="1"/>
  <c r="Z1718" i="7" s="1"/>
  <c r="AA1718" i="7" s="1"/>
  <c r="C1761" i="7"/>
  <c r="D1761" i="7" s="1"/>
  <c r="Y1761" i="7" s="1"/>
  <c r="Z1761" i="7" s="1"/>
  <c r="AA1761" i="7" s="1"/>
  <c r="C959" i="7"/>
  <c r="D959" i="7" s="1"/>
  <c r="Y959" i="7" s="1"/>
  <c r="Z959" i="7" s="1"/>
  <c r="AA959" i="7" s="1"/>
  <c r="W959" i="7"/>
  <c r="X959" i="7" s="1"/>
  <c r="C790" i="7"/>
  <c r="D790" i="7" s="1"/>
  <c r="Y790" i="7" s="1"/>
  <c r="Z790" i="7" s="1"/>
  <c r="AA790" i="7" s="1"/>
  <c r="C971" i="7"/>
  <c r="D971" i="7" s="1"/>
  <c r="Y971" i="7" s="1"/>
  <c r="Z971" i="7" s="1"/>
  <c r="AA971" i="7" s="1"/>
  <c r="C1026" i="7"/>
  <c r="D1026" i="7" s="1"/>
  <c r="Y1026" i="7" s="1"/>
  <c r="Z1026" i="7" s="1"/>
  <c r="AA1026" i="7" s="1"/>
  <c r="C1535" i="7"/>
  <c r="D1535" i="7" s="1"/>
  <c r="Y1535" i="7" s="1"/>
  <c r="Z1535" i="7" s="1"/>
  <c r="AA1535" i="7" s="1"/>
  <c r="C1573" i="7"/>
  <c r="D1573" i="7" s="1"/>
  <c r="Y1573" i="7" s="1"/>
  <c r="Z1573" i="7" s="1"/>
  <c r="AA1573" i="7" s="1"/>
  <c r="C1710" i="7"/>
  <c r="D1710" i="7" s="1"/>
  <c r="Y1710" i="7" s="1"/>
  <c r="Z1710" i="7" s="1"/>
  <c r="AA1710" i="7" s="1"/>
  <c r="C636" i="7"/>
  <c r="D636" i="7" s="1"/>
  <c r="Y636" i="7" s="1"/>
  <c r="Z636" i="7" s="1"/>
  <c r="AA636" i="7" s="1"/>
  <c r="W636" i="7"/>
  <c r="X636" i="7" s="1"/>
  <c r="C523" i="7"/>
  <c r="D523" i="7" s="1"/>
  <c r="Y523" i="7" s="1"/>
  <c r="Z523" i="7" s="1"/>
  <c r="AA523" i="7" s="1"/>
  <c r="C939" i="7"/>
  <c r="D939" i="7" s="1"/>
  <c r="Y939" i="7" s="1"/>
  <c r="Z939" i="7" s="1"/>
  <c r="AA939" i="7" s="1"/>
  <c r="W939" i="7"/>
  <c r="X939" i="7" s="1"/>
  <c r="W1277" i="7"/>
  <c r="X1277" i="7" s="1"/>
  <c r="C1277" i="7"/>
  <c r="D1277" i="7" s="1"/>
  <c r="Y1277" i="7" s="1"/>
  <c r="Z1277" i="7" s="1"/>
  <c r="AA1277" i="7" s="1"/>
  <c r="W1102" i="7"/>
  <c r="X1102" i="7" s="1"/>
  <c r="C1102" i="7"/>
  <c r="D1102" i="7" s="1"/>
  <c r="Y1102" i="7" s="1"/>
  <c r="Z1102" i="7" s="1"/>
  <c r="AA1102" i="7" s="1"/>
  <c r="W111" i="7"/>
  <c r="X111" i="7" s="1"/>
  <c r="W1335" i="7"/>
  <c r="X1335" i="7" s="1"/>
  <c r="C1335" i="7"/>
  <c r="D1335" i="7" s="1"/>
  <c r="Y1335" i="7" s="1"/>
  <c r="Z1335" i="7" s="1"/>
  <c r="AA1335" i="7" s="1"/>
  <c r="W835" i="7"/>
  <c r="X835" i="7" s="1"/>
  <c r="C835" i="7"/>
  <c r="D835" i="7" s="1"/>
  <c r="Y835" i="7" s="1"/>
  <c r="Z835" i="7" s="1"/>
  <c r="AA835" i="7" s="1"/>
  <c r="W1283" i="7"/>
  <c r="X1283" i="7" s="1"/>
  <c r="W785" i="7"/>
  <c r="X785" i="7" s="1"/>
  <c r="C369" i="7"/>
  <c r="D369" i="7" s="1"/>
  <c r="Y369" i="7" s="1"/>
  <c r="Z369" i="7" s="1"/>
  <c r="AA369" i="7" s="1"/>
  <c r="W602" i="7"/>
  <c r="X602" i="7" s="1"/>
  <c r="W977" i="7"/>
  <c r="X977" i="7" s="1"/>
  <c r="C956" i="7"/>
  <c r="D956" i="7" s="1"/>
  <c r="Y956" i="7" s="1"/>
  <c r="Z956" i="7" s="1"/>
  <c r="AA956" i="7" s="1"/>
  <c r="W951" i="7"/>
  <c r="X951" i="7" s="1"/>
  <c r="W1510" i="7"/>
  <c r="X1510" i="7" s="1"/>
  <c r="W1481" i="7"/>
  <c r="X1481" i="7" s="1"/>
  <c r="C1517" i="7"/>
  <c r="D1517" i="7" s="1"/>
  <c r="Y1517" i="7" s="1"/>
  <c r="Z1517" i="7" s="1"/>
  <c r="AA1517" i="7" s="1"/>
  <c r="C821" i="7"/>
  <c r="D821" i="7" s="1"/>
  <c r="Y821" i="7" s="1"/>
  <c r="Z821" i="7" s="1"/>
  <c r="AA821" i="7" s="1"/>
  <c r="W821" i="7"/>
  <c r="X821" i="7" s="1"/>
  <c r="W779" i="7"/>
  <c r="X779" i="7" s="1"/>
  <c r="C779" i="7"/>
  <c r="D779" i="7" s="1"/>
  <c r="Y779" i="7" s="1"/>
  <c r="Z779" i="7" s="1"/>
  <c r="AA779" i="7" s="1"/>
  <c r="C1291" i="7"/>
  <c r="D1291" i="7" s="1"/>
  <c r="Y1291" i="7" s="1"/>
  <c r="Z1291" i="7" s="1"/>
  <c r="AA1291" i="7" s="1"/>
  <c r="W1291" i="7"/>
  <c r="X1291" i="7" s="1"/>
  <c r="C1202" i="7"/>
  <c r="D1202" i="7" s="1"/>
  <c r="Y1202" i="7" s="1"/>
  <c r="Z1202" i="7" s="1"/>
  <c r="AA1202" i="7" s="1"/>
  <c r="W1202" i="7"/>
  <c r="X1202" i="7" s="1"/>
  <c r="C847" i="7"/>
  <c r="D847" i="7" s="1"/>
  <c r="Y847" i="7" s="1"/>
  <c r="Z847" i="7" s="1"/>
  <c r="AA847" i="7" s="1"/>
  <c r="W847" i="7"/>
  <c r="X847" i="7" s="1"/>
  <c r="C1502" i="7"/>
  <c r="D1502" i="7" s="1"/>
  <c r="Y1502" i="7" s="1"/>
  <c r="Z1502" i="7" s="1"/>
  <c r="AA1502" i="7" s="1"/>
  <c r="W1502" i="7"/>
  <c r="X1502" i="7" s="1"/>
  <c r="C1047" i="7"/>
  <c r="D1047" i="7" s="1"/>
  <c r="Y1047" i="7" s="1"/>
  <c r="Z1047" i="7" s="1"/>
  <c r="AA1047" i="7" s="1"/>
  <c r="W1047" i="7"/>
  <c r="X1047" i="7" s="1"/>
  <c r="W759" i="7"/>
  <c r="X759" i="7" s="1"/>
  <c r="C759" i="7"/>
  <c r="D759" i="7" s="1"/>
  <c r="Y759" i="7" s="1"/>
  <c r="Z759" i="7" s="1"/>
  <c r="AA759" i="7" s="1"/>
  <c r="C1704" i="7"/>
  <c r="D1704" i="7" s="1"/>
  <c r="Y1704" i="7" s="1"/>
  <c r="Z1704" i="7" s="1"/>
  <c r="AA1704" i="7" s="1"/>
  <c r="C1394" i="7"/>
  <c r="D1394" i="7" s="1"/>
  <c r="Y1394" i="7" s="1"/>
  <c r="Z1394" i="7" s="1"/>
  <c r="AA1394" i="7" s="1"/>
  <c r="W1394" i="7"/>
  <c r="X1394" i="7" s="1"/>
  <c r="C1562" i="7"/>
  <c r="D1562" i="7" s="1"/>
  <c r="Y1562" i="7" s="1"/>
  <c r="Z1562" i="7" s="1"/>
  <c r="AA1562" i="7" s="1"/>
  <c r="W1562" i="7"/>
  <c r="X1562" i="7" s="1"/>
  <c r="C577" i="7"/>
  <c r="D577" i="7" s="1"/>
  <c r="Y577" i="7" s="1"/>
  <c r="Z577" i="7" s="1"/>
  <c r="AA577" i="7" s="1"/>
  <c r="W1715" i="7"/>
  <c r="X1715" i="7" s="1"/>
  <c r="W129" i="7"/>
  <c r="X129" i="7" s="1"/>
  <c r="C129" i="7"/>
  <c r="D129" i="7" s="1"/>
  <c r="Y129" i="7" s="1"/>
  <c r="Z129" i="7" s="1"/>
  <c r="AA129" i="7" s="1"/>
  <c r="W1167" i="7"/>
  <c r="X1167" i="7" s="1"/>
  <c r="W612" i="7"/>
  <c r="X612" i="7" s="1"/>
  <c r="C1707" i="7"/>
  <c r="D1707" i="7" s="1"/>
  <c r="Y1707" i="7" s="1"/>
  <c r="Z1707" i="7" s="1"/>
  <c r="AA1707" i="7" s="1"/>
  <c r="W402" i="7"/>
  <c r="X402" i="7" s="1"/>
  <c r="W815" i="7"/>
  <c r="X815" i="7" s="1"/>
  <c r="W731" i="7"/>
  <c r="X731" i="7" s="1"/>
  <c r="W1293" i="7"/>
  <c r="X1293" i="7" s="1"/>
  <c r="C1415" i="7"/>
  <c r="D1415" i="7" s="1"/>
  <c r="Y1415" i="7" s="1"/>
  <c r="Z1415" i="7" s="1"/>
  <c r="AA1415" i="7" s="1"/>
  <c r="C50" i="7"/>
  <c r="D50" i="7" s="1"/>
  <c r="Y50" i="7" s="1"/>
  <c r="Z50" i="7" s="1"/>
  <c r="AA50" i="7" s="1"/>
  <c r="W12" i="7"/>
  <c r="X12" i="7" s="1"/>
  <c r="C226" i="7"/>
  <c r="D226" i="7" s="1"/>
  <c r="Y226" i="7" s="1"/>
  <c r="Z226" i="7" s="1"/>
  <c r="AA226" i="7" s="1"/>
  <c r="W273" i="7"/>
  <c r="X273" i="7" s="1"/>
  <c r="W313" i="7"/>
  <c r="X313" i="7" s="1"/>
  <c r="C430" i="7"/>
  <c r="D430" i="7" s="1"/>
  <c r="Y430" i="7" s="1"/>
  <c r="Z430" i="7" s="1"/>
  <c r="AA430" i="7" s="1"/>
  <c r="C433" i="7"/>
  <c r="D433" i="7" s="1"/>
  <c r="Y433" i="7" s="1"/>
  <c r="Z433" i="7" s="1"/>
  <c r="AA433" i="7" s="1"/>
  <c r="W482" i="7"/>
  <c r="X482" i="7" s="1"/>
  <c r="W920" i="7"/>
  <c r="X920" i="7" s="1"/>
  <c r="C1490" i="7"/>
  <c r="D1490" i="7" s="1"/>
  <c r="Y1490" i="7" s="1"/>
  <c r="Z1490" i="7" s="1"/>
  <c r="AA1490" i="7" s="1"/>
  <c r="W140" i="7"/>
  <c r="X140" i="7" s="1"/>
  <c r="C140" i="7"/>
  <c r="D140" i="7" s="1"/>
  <c r="Y140" i="7" s="1"/>
  <c r="Z140" i="7" s="1"/>
  <c r="AA140" i="7" s="1"/>
  <c r="C188" i="7"/>
  <c r="D188" i="7" s="1"/>
  <c r="Y188" i="7" s="1"/>
  <c r="Z188" i="7" s="1"/>
  <c r="AA188" i="7" s="1"/>
  <c r="W188" i="7"/>
  <c r="X188" i="7" s="1"/>
  <c r="W837" i="7"/>
  <c r="X837" i="7" s="1"/>
  <c r="C837" i="7"/>
  <c r="D837" i="7" s="1"/>
  <c r="Y837" i="7" s="1"/>
  <c r="Z837" i="7" s="1"/>
  <c r="AA837" i="7" s="1"/>
  <c r="C76" i="7"/>
  <c r="D76" i="7" s="1"/>
  <c r="Y76" i="7" s="1"/>
  <c r="Z76" i="7" s="1"/>
  <c r="AA76" i="7" s="1"/>
  <c r="C1466" i="7"/>
  <c r="D1466" i="7" s="1"/>
  <c r="Y1466" i="7" s="1"/>
  <c r="Z1466" i="7" s="1"/>
  <c r="AA1466" i="7" s="1"/>
  <c r="W1466" i="7"/>
  <c r="X1466" i="7" s="1"/>
  <c r="W1330" i="7"/>
  <c r="X1330" i="7" s="1"/>
  <c r="W319" i="7"/>
  <c r="X319" i="7" s="1"/>
  <c r="C319" i="7"/>
  <c r="D319" i="7" s="1"/>
  <c r="Y319" i="7" s="1"/>
  <c r="Z319" i="7" s="1"/>
  <c r="AA319" i="7" s="1"/>
  <c r="C553" i="7"/>
  <c r="D553" i="7" s="1"/>
  <c r="Y553" i="7" s="1"/>
  <c r="Z553" i="7" s="1"/>
  <c r="AA553" i="7" s="1"/>
  <c r="C561" i="7"/>
  <c r="D561" i="7" s="1"/>
  <c r="Y561" i="7" s="1"/>
  <c r="Z561" i="7" s="1"/>
  <c r="AA561" i="7" s="1"/>
  <c r="C756" i="7"/>
  <c r="D756" i="7" s="1"/>
  <c r="Y756" i="7" s="1"/>
  <c r="Z756" i="7" s="1"/>
  <c r="AA756" i="7" s="1"/>
  <c r="C1027" i="7"/>
  <c r="D1027" i="7" s="1"/>
  <c r="Y1027" i="7" s="1"/>
  <c r="Z1027" i="7" s="1"/>
  <c r="AA1027" i="7" s="1"/>
  <c r="C22" i="7"/>
  <c r="D22" i="7" s="1"/>
  <c r="Y22" i="7" s="1"/>
  <c r="Z22" i="7" s="1"/>
  <c r="AA22" i="7" s="1"/>
  <c r="C149" i="7"/>
  <c r="D149" i="7" s="1"/>
  <c r="Y149" i="7" s="1"/>
  <c r="Z149" i="7" s="1"/>
  <c r="AA149" i="7" s="1"/>
  <c r="W468" i="7"/>
  <c r="X468" i="7" s="1"/>
  <c r="W230" i="7"/>
  <c r="X230" i="7" s="1"/>
  <c r="W671" i="7"/>
  <c r="X671" i="7" s="1"/>
  <c r="C424" i="7"/>
  <c r="D424" i="7" s="1"/>
  <c r="Y424" i="7" s="1"/>
  <c r="Z424" i="7" s="1"/>
  <c r="AA424" i="7" s="1"/>
  <c r="W591" i="7"/>
  <c r="X591" i="7" s="1"/>
  <c r="C1440" i="7"/>
  <c r="D1440" i="7" s="1"/>
  <c r="Y1440" i="7" s="1"/>
  <c r="Z1440" i="7" s="1"/>
  <c r="AA1440" i="7" s="1"/>
  <c r="W321" i="7"/>
  <c r="X321" i="7" s="1"/>
  <c r="C1086" i="7"/>
  <c r="D1086" i="7" s="1"/>
  <c r="Y1086" i="7" s="1"/>
  <c r="Z1086" i="7" s="1"/>
  <c r="AA1086" i="7" s="1"/>
  <c r="C1750" i="7"/>
  <c r="D1750" i="7" s="1"/>
  <c r="Y1750" i="7" s="1"/>
  <c r="Z1750" i="7" s="1"/>
  <c r="AA1750" i="7" s="1"/>
  <c r="W1358" i="7"/>
  <c r="X1358" i="7" s="1"/>
  <c r="C621" i="7"/>
  <c r="D621" i="7" s="1"/>
  <c r="Y621" i="7" s="1"/>
  <c r="Z621" i="7" s="1"/>
  <c r="AA621" i="7" s="1"/>
  <c r="W621" i="7"/>
  <c r="X621" i="7" s="1"/>
  <c r="C536" i="7"/>
  <c r="D536" i="7" s="1"/>
  <c r="Y536" i="7" s="1"/>
  <c r="Z536" i="7" s="1"/>
  <c r="AA536" i="7" s="1"/>
  <c r="W536" i="7"/>
  <c r="X536" i="7" s="1"/>
  <c r="C341" i="7"/>
  <c r="D341" i="7" s="1"/>
  <c r="Y341" i="7" s="1"/>
  <c r="Z341" i="7" s="1"/>
  <c r="AA341" i="7" s="1"/>
  <c r="W1055" i="7"/>
  <c r="X1055" i="7" s="1"/>
  <c r="C1055" i="7"/>
  <c r="D1055" i="7" s="1"/>
  <c r="Y1055" i="7" s="1"/>
  <c r="Z1055" i="7" s="1"/>
  <c r="AA1055" i="7" s="1"/>
  <c r="C1559" i="7"/>
  <c r="D1559" i="7" s="1"/>
  <c r="Y1559" i="7" s="1"/>
  <c r="Z1559" i="7" s="1"/>
  <c r="AA1559" i="7" s="1"/>
  <c r="W1559" i="7"/>
  <c r="X1559" i="7" s="1"/>
  <c r="C1547" i="7"/>
  <c r="D1547" i="7" s="1"/>
  <c r="Y1547" i="7" s="1"/>
  <c r="Z1547" i="7" s="1"/>
  <c r="AA1547" i="7" s="1"/>
  <c r="W23" i="7"/>
  <c r="X23" i="7" s="1"/>
  <c r="C23" i="7"/>
  <c r="D23" i="7" s="1"/>
  <c r="Y23" i="7" s="1"/>
  <c r="Z23" i="7" s="1"/>
  <c r="AA23" i="7" s="1"/>
  <c r="C498" i="7"/>
  <c r="D498" i="7" s="1"/>
  <c r="Y498" i="7" s="1"/>
  <c r="Z498" i="7" s="1"/>
  <c r="AA498" i="7" s="1"/>
  <c r="W498" i="7"/>
  <c r="X498" i="7" s="1"/>
  <c r="W1118" i="7"/>
  <c r="X1118" i="7" s="1"/>
  <c r="C1118" i="7"/>
  <c r="D1118" i="7" s="1"/>
  <c r="Y1118" i="7" s="1"/>
  <c r="Z1118" i="7" s="1"/>
  <c r="AA1118" i="7" s="1"/>
  <c r="W1129" i="7"/>
  <c r="X1129" i="7" s="1"/>
  <c r="C1129" i="7"/>
  <c r="D1129" i="7" s="1"/>
  <c r="Y1129" i="7" s="1"/>
  <c r="Z1129" i="7" s="1"/>
  <c r="AA1129" i="7" s="1"/>
  <c r="C502" i="7"/>
  <c r="D502" i="7" s="1"/>
  <c r="Y502" i="7" s="1"/>
  <c r="Z502" i="7" s="1"/>
  <c r="AA502" i="7" s="1"/>
  <c r="W1257" i="7"/>
  <c r="X1257" i="7" s="1"/>
  <c r="C955" i="7"/>
  <c r="D955" i="7" s="1"/>
  <c r="Y955" i="7" s="1"/>
  <c r="Z955" i="7" s="1"/>
  <c r="AA955" i="7" s="1"/>
  <c r="W955" i="7"/>
  <c r="X955" i="7" s="1"/>
  <c r="C1795" i="7"/>
  <c r="D1795" i="7" s="1"/>
  <c r="Y1795" i="7" s="1"/>
  <c r="Z1795" i="7" s="1"/>
  <c r="AA1795" i="7" s="1"/>
  <c r="C28" i="7"/>
  <c r="D28" i="7" s="1"/>
  <c r="Y28" i="7" s="1"/>
  <c r="Z28" i="7" s="1"/>
  <c r="AA28" i="7" s="1"/>
  <c r="C209" i="7"/>
  <c r="D209" i="7" s="1"/>
  <c r="Y209" i="7" s="1"/>
  <c r="Z209" i="7" s="1"/>
  <c r="AA209" i="7" s="1"/>
  <c r="W314" i="7"/>
  <c r="X314" i="7" s="1"/>
  <c r="C490" i="7"/>
  <c r="D490" i="7" s="1"/>
  <c r="Y490" i="7" s="1"/>
  <c r="Z490" i="7" s="1"/>
  <c r="AA490" i="7" s="1"/>
  <c r="C563" i="7"/>
  <c r="D563" i="7" s="1"/>
  <c r="Y563" i="7" s="1"/>
  <c r="Z563" i="7" s="1"/>
  <c r="AA563" i="7" s="1"/>
  <c r="W562" i="7"/>
  <c r="X562" i="7" s="1"/>
  <c r="W617" i="7"/>
  <c r="X617" i="7" s="1"/>
  <c r="C675" i="7"/>
  <c r="D675" i="7" s="1"/>
  <c r="Y675" i="7" s="1"/>
  <c r="Z675" i="7" s="1"/>
  <c r="AA675" i="7" s="1"/>
  <c r="W786" i="7"/>
  <c r="X786" i="7" s="1"/>
  <c r="C640" i="7"/>
  <c r="D640" i="7" s="1"/>
  <c r="Y640" i="7" s="1"/>
  <c r="Z640" i="7" s="1"/>
  <c r="AA640" i="7" s="1"/>
  <c r="C952" i="7"/>
  <c r="D952" i="7" s="1"/>
  <c r="Y952" i="7" s="1"/>
  <c r="Z952" i="7" s="1"/>
  <c r="AA952" i="7" s="1"/>
  <c r="C1670" i="7"/>
  <c r="D1670" i="7" s="1"/>
  <c r="Y1670" i="7" s="1"/>
  <c r="Z1670" i="7" s="1"/>
  <c r="AA1670" i="7" s="1"/>
  <c r="W1552" i="7"/>
  <c r="X1552" i="7" s="1"/>
  <c r="W215" i="7"/>
  <c r="X215" i="7" s="1"/>
  <c r="W221" i="7"/>
  <c r="X221" i="7" s="1"/>
  <c r="C221" i="7"/>
  <c r="D221" i="7" s="1"/>
  <c r="Y221" i="7" s="1"/>
  <c r="Z221" i="7" s="1"/>
  <c r="AA221" i="7" s="1"/>
  <c r="C448" i="7"/>
  <c r="D448" i="7" s="1"/>
  <c r="Y448" i="7" s="1"/>
  <c r="Z448" i="7" s="1"/>
  <c r="AA448" i="7" s="1"/>
  <c r="W448" i="7"/>
  <c r="X448" i="7" s="1"/>
  <c r="C1007" i="7"/>
  <c r="D1007" i="7" s="1"/>
  <c r="Y1007" i="7" s="1"/>
  <c r="Z1007" i="7" s="1"/>
  <c r="AA1007" i="7" s="1"/>
  <c r="W1007" i="7"/>
  <c r="X1007" i="7" s="1"/>
  <c r="W942" i="7"/>
  <c r="X942" i="7" s="1"/>
  <c r="C942" i="7"/>
  <c r="D942" i="7" s="1"/>
  <c r="Y942" i="7" s="1"/>
  <c r="Z942" i="7" s="1"/>
  <c r="AA942" i="7" s="1"/>
  <c r="W639" i="7"/>
  <c r="X639" i="7" s="1"/>
  <c r="C639" i="7"/>
  <c r="D639" i="7" s="1"/>
  <c r="Y639" i="7" s="1"/>
  <c r="Z639" i="7" s="1"/>
  <c r="AA639" i="7" s="1"/>
  <c r="C940" i="7"/>
  <c r="D940" i="7" s="1"/>
  <c r="Y940" i="7" s="1"/>
  <c r="Z940" i="7" s="1"/>
  <c r="AA940" i="7" s="1"/>
  <c r="C1684" i="7"/>
  <c r="D1684" i="7" s="1"/>
  <c r="Y1684" i="7" s="1"/>
  <c r="Z1684" i="7" s="1"/>
  <c r="AA1684" i="7" s="1"/>
  <c r="W1684" i="7"/>
  <c r="X1684" i="7" s="1"/>
  <c r="C200" i="7"/>
  <c r="D200" i="7" s="1"/>
  <c r="Y200" i="7" s="1"/>
  <c r="Z200" i="7" s="1"/>
  <c r="AA200" i="7" s="1"/>
  <c r="W200" i="7"/>
  <c r="X200" i="7" s="1"/>
  <c r="C217" i="7"/>
  <c r="D217" i="7" s="1"/>
  <c r="Y217" i="7" s="1"/>
  <c r="Z217" i="7" s="1"/>
  <c r="AA217" i="7" s="1"/>
  <c r="W217" i="7"/>
  <c r="X217" i="7" s="1"/>
  <c r="W343" i="7"/>
  <c r="X343" i="7" s="1"/>
  <c r="C343" i="7"/>
  <c r="D343" i="7" s="1"/>
  <c r="Y343" i="7" s="1"/>
  <c r="Z343" i="7" s="1"/>
  <c r="AA343" i="7" s="1"/>
  <c r="W1509" i="7"/>
  <c r="X1509" i="7" s="1"/>
  <c r="C1509" i="7"/>
  <c r="D1509" i="7" s="1"/>
  <c r="Y1509" i="7" s="1"/>
  <c r="Z1509" i="7" s="1"/>
  <c r="AA1509" i="7" s="1"/>
  <c r="C1894" i="7"/>
  <c r="D1894" i="7" s="1"/>
  <c r="Y1894" i="7" s="1"/>
  <c r="Z1894" i="7" s="1"/>
  <c r="AA1894" i="7" s="1"/>
  <c r="C11" i="7"/>
  <c r="D11" i="7" s="1"/>
  <c r="Y11" i="7" s="1"/>
  <c r="Z11" i="7" s="1"/>
  <c r="AA11" i="7" s="1"/>
  <c r="C600" i="7"/>
  <c r="D600" i="7" s="1"/>
  <c r="Y600" i="7" s="1"/>
  <c r="Z600" i="7" s="1"/>
  <c r="AA600" i="7" s="1"/>
  <c r="W1279" i="7"/>
  <c r="X1279" i="7" s="1"/>
  <c r="C1042" i="7"/>
  <c r="D1042" i="7" s="1"/>
  <c r="Y1042" i="7" s="1"/>
  <c r="Z1042" i="7" s="1"/>
  <c r="AA1042" i="7" s="1"/>
  <c r="C1136" i="7"/>
  <c r="D1136" i="7" s="1"/>
  <c r="Y1136" i="7" s="1"/>
  <c r="Z1136" i="7" s="1"/>
  <c r="AA1136" i="7" s="1"/>
  <c r="C1169" i="7"/>
  <c r="D1169" i="7" s="1"/>
  <c r="Y1169" i="7" s="1"/>
  <c r="Z1169" i="7" s="1"/>
  <c r="AA1169" i="7" s="1"/>
  <c r="W1261" i="7"/>
  <c r="X1261" i="7" s="1"/>
  <c r="C1389" i="7"/>
  <c r="D1389" i="7" s="1"/>
  <c r="Y1389" i="7" s="1"/>
  <c r="Z1389" i="7" s="1"/>
  <c r="AA1389" i="7" s="1"/>
  <c r="C1418" i="7"/>
  <c r="D1418" i="7" s="1"/>
  <c r="Y1418" i="7" s="1"/>
  <c r="Z1418" i="7" s="1"/>
  <c r="AA1418" i="7" s="1"/>
  <c r="W1694" i="7"/>
  <c r="X1694" i="7" s="1"/>
  <c r="C1384" i="7"/>
  <c r="D1384" i="7" s="1"/>
  <c r="Y1384" i="7" s="1"/>
  <c r="Z1384" i="7" s="1"/>
  <c r="AA1384" i="7" s="1"/>
  <c r="W1324" i="7"/>
  <c r="X1324" i="7" s="1"/>
  <c r="W1339" i="7"/>
  <c r="X1339" i="7" s="1"/>
  <c r="W1376" i="7"/>
  <c r="X1376" i="7" s="1"/>
  <c r="W1400" i="7"/>
  <c r="X1400" i="7" s="1"/>
  <c r="W1743" i="7"/>
  <c r="X1743" i="7" s="1"/>
  <c r="C565" i="7"/>
  <c r="D565" i="7" s="1"/>
  <c r="Y565" i="7" s="1"/>
  <c r="Z565" i="7" s="1"/>
  <c r="AA565" i="7" s="1"/>
  <c r="W565" i="7"/>
  <c r="X565" i="7" s="1"/>
  <c r="C227" i="7"/>
  <c r="D227" i="7" s="1"/>
  <c r="Y227" i="7" s="1"/>
  <c r="Z227" i="7" s="1"/>
  <c r="AA227" i="7" s="1"/>
  <c r="W227" i="7"/>
  <c r="X227" i="7" s="1"/>
  <c r="C774" i="7"/>
  <c r="D774" i="7" s="1"/>
  <c r="Y774" i="7" s="1"/>
  <c r="Z774" i="7" s="1"/>
  <c r="AA774" i="7" s="1"/>
  <c r="W774" i="7"/>
  <c r="X774" i="7" s="1"/>
  <c r="W633" i="7"/>
  <c r="X633" i="7" s="1"/>
  <c r="C633" i="7"/>
  <c r="D633" i="7" s="1"/>
  <c r="Y633" i="7" s="1"/>
  <c r="Z633" i="7" s="1"/>
  <c r="AA633" i="7" s="1"/>
  <c r="C1703" i="7"/>
  <c r="D1703" i="7" s="1"/>
  <c r="Y1703" i="7" s="1"/>
  <c r="Z1703" i="7" s="1"/>
  <c r="AA1703" i="7" s="1"/>
  <c r="W1703" i="7"/>
  <c r="X1703" i="7" s="1"/>
  <c r="W375" i="7"/>
  <c r="X375" i="7" s="1"/>
  <c r="C1192" i="7"/>
  <c r="D1192" i="7" s="1"/>
  <c r="Y1192" i="7" s="1"/>
  <c r="Z1192" i="7" s="1"/>
  <c r="AA1192" i="7" s="1"/>
  <c r="C1322" i="7"/>
  <c r="D1322" i="7" s="1"/>
  <c r="Y1322" i="7" s="1"/>
  <c r="Z1322" i="7" s="1"/>
  <c r="AA1322" i="7" s="1"/>
  <c r="W876" i="7"/>
  <c r="X876" i="7" s="1"/>
  <c r="C876" i="7"/>
  <c r="D876" i="7" s="1"/>
  <c r="Y876" i="7" s="1"/>
  <c r="Z876" i="7" s="1"/>
  <c r="AA876" i="7" s="1"/>
  <c r="W1052" i="7"/>
  <c r="X1052" i="7" s="1"/>
  <c r="C1052" i="7"/>
  <c r="D1052" i="7" s="1"/>
  <c r="Y1052" i="7" s="1"/>
  <c r="Z1052" i="7" s="1"/>
  <c r="AA1052" i="7" s="1"/>
  <c r="W419" i="7"/>
  <c r="X419" i="7" s="1"/>
  <c r="C1697" i="7"/>
  <c r="D1697" i="7" s="1"/>
  <c r="Y1697" i="7" s="1"/>
  <c r="Z1697" i="7" s="1"/>
  <c r="AA1697" i="7" s="1"/>
  <c r="W1697" i="7"/>
  <c r="X1697" i="7" s="1"/>
  <c r="W727" i="7"/>
  <c r="X727" i="7" s="1"/>
  <c r="C727" i="7"/>
  <c r="D727" i="7" s="1"/>
  <c r="Y727" i="7" s="1"/>
  <c r="Z727" i="7" s="1"/>
  <c r="AA727" i="7" s="1"/>
  <c r="C1115" i="7"/>
  <c r="D1115" i="7" s="1"/>
  <c r="Y1115" i="7" s="1"/>
  <c r="Z1115" i="7" s="1"/>
  <c r="AA1115" i="7" s="1"/>
  <c r="W1115" i="7"/>
  <c r="X1115" i="7" s="1"/>
  <c r="W1382" i="7"/>
  <c r="X1382" i="7" s="1"/>
  <c r="C1382" i="7"/>
  <c r="D1382" i="7" s="1"/>
  <c r="Y1382" i="7" s="1"/>
  <c r="Z1382" i="7" s="1"/>
  <c r="AA1382" i="7" s="1"/>
  <c r="C1370" i="7"/>
  <c r="D1370" i="7" s="1"/>
  <c r="Y1370" i="7" s="1"/>
  <c r="Z1370" i="7" s="1"/>
  <c r="AA1370" i="7" s="1"/>
  <c r="W1370" i="7"/>
  <c r="X1370" i="7" s="1"/>
  <c r="W1412" i="7"/>
  <c r="X1412" i="7" s="1"/>
  <c r="C1412" i="7"/>
  <c r="D1412" i="7" s="1"/>
  <c r="Y1412" i="7" s="1"/>
  <c r="Z1412" i="7" s="1"/>
  <c r="AA1412" i="7" s="1"/>
  <c r="W1545" i="7"/>
  <c r="X1545" i="7" s="1"/>
  <c r="C1545" i="7"/>
  <c r="D1545" i="7" s="1"/>
  <c r="Y1545" i="7" s="1"/>
  <c r="Z1545" i="7" s="1"/>
  <c r="AA1545" i="7" s="1"/>
  <c r="W1653" i="7"/>
  <c r="X1653" i="7" s="1"/>
  <c r="C1653" i="7"/>
  <c r="D1653" i="7" s="1"/>
  <c r="Y1653" i="7" s="1"/>
  <c r="Z1653" i="7" s="1"/>
  <c r="AA1653" i="7" s="1"/>
  <c r="W1701" i="7"/>
  <c r="X1701" i="7" s="1"/>
  <c r="C1701" i="7"/>
  <c r="D1701" i="7" s="1"/>
  <c r="Y1701" i="7" s="1"/>
  <c r="Z1701" i="7" s="1"/>
  <c r="AA1701" i="7" s="1"/>
  <c r="C105" i="7"/>
  <c r="D105" i="7" s="1"/>
  <c r="Y105" i="7" s="1"/>
  <c r="Z105" i="7" s="1"/>
  <c r="AA105" i="7" s="1"/>
  <c r="W105" i="7"/>
  <c r="X105" i="7" s="1"/>
  <c r="C385" i="7"/>
  <c r="D385" i="7" s="1"/>
  <c r="Y385" i="7" s="1"/>
  <c r="Z385" i="7" s="1"/>
  <c r="AA385" i="7" s="1"/>
  <c r="W385" i="7"/>
  <c r="X385" i="7" s="1"/>
  <c r="W338" i="7"/>
  <c r="X338" i="7" s="1"/>
  <c r="C338" i="7"/>
  <c r="D338" i="7" s="1"/>
  <c r="Y338" i="7" s="1"/>
  <c r="Z338" i="7" s="1"/>
  <c r="AA338" i="7" s="1"/>
  <c r="W705" i="7"/>
  <c r="X705" i="7" s="1"/>
  <c r="C705" i="7"/>
  <c r="D705" i="7" s="1"/>
  <c r="Y705" i="7" s="1"/>
  <c r="Z705" i="7" s="1"/>
  <c r="AA705" i="7" s="1"/>
  <c r="C852" i="7"/>
  <c r="D852" i="7" s="1"/>
  <c r="Y852" i="7" s="1"/>
  <c r="Z852" i="7" s="1"/>
  <c r="AA852" i="7" s="1"/>
  <c r="W852" i="7"/>
  <c r="X852" i="7" s="1"/>
  <c r="W848" i="7"/>
  <c r="X848" i="7" s="1"/>
  <c r="C848" i="7"/>
  <c r="D848" i="7" s="1"/>
  <c r="Y848" i="7" s="1"/>
  <c r="Z848" i="7" s="1"/>
  <c r="AA848" i="7" s="1"/>
  <c r="W676" i="7"/>
  <c r="X676" i="7" s="1"/>
  <c r="C676" i="7"/>
  <c r="D676" i="7" s="1"/>
  <c r="Y676" i="7" s="1"/>
  <c r="Z676" i="7" s="1"/>
  <c r="AA676" i="7" s="1"/>
  <c r="C954" i="7"/>
  <c r="D954" i="7" s="1"/>
  <c r="Y954" i="7" s="1"/>
  <c r="Z954" i="7" s="1"/>
  <c r="AA954" i="7" s="1"/>
  <c r="W954" i="7"/>
  <c r="X954" i="7" s="1"/>
  <c r="W984" i="7"/>
  <c r="X984" i="7" s="1"/>
  <c r="C984" i="7"/>
  <c r="D984" i="7" s="1"/>
  <c r="Y984" i="7" s="1"/>
  <c r="Z984" i="7" s="1"/>
  <c r="AA984" i="7" s="1"/>
  <c r="W922" i="7"/>
  <c r="X922" i="7" s="1"/>
  <c r="C922" i="7"/>
  <c r="D922" i="7" s="1"/>
  <c r="Y922" i="7" s="1"/>
  <c r="Z922" i="7" s="1"/>
  <c r="AA922" i="7" s="1"/>
  <c r="W1056" i="7"/>
  <c r="X1056" i="7" s="1"/>
  <c r="C1056" i="7"/>
  <c r="D1056" i="7" s="1"/>
  <c r="Y1056" i="7" s="1"/>
  <c r="Z1056" i="7" s="1"/>
  <c r="AA1056" i="7" s="1"/>
  <c r="W1253" i="7"/>
  <c r="X1253" i="7" s="1"/>
  <c r="C1253" i="7"/>
  <c r="D1253" i="7" s="1"/>
  <c r="Y1253" i="7" s="1"/>
  <c r="Z1253" i="7" s="1"/>
  <c r="AA1253" i="7" s="1"/>
  <c r="W1195" i="7"/>
  <c r="X1195" i="7" s="1"/>
  <c r="C1195" i="7"/>
  <c r="D1195" i="7" s="1"/>
  <c r="Y1195" i="7" s="1"/>
  <c r="Z1195" i="7" s="1"/>
  <c r="AA1195" i="7" s="1"/>
  <c r="W1406" i="7"/>
  <c r="X1406" i="7" s="1"/>
  <c r="C1406" i="7"/>
  <c r="D1406" i="7" s="1"/>
  <c r="Y1406" i="7" s="1"/>
  <c r="Z1406" i="7" s="1"/>
  <c r="AA1406" i="7" s="1"/>
  <c r="W1380" i="7"/>
  <c r="X1380" i="7" s="1"/>
  <c r="C1380" i="7"/>
  <c r="D1380" i="7" s="1"/>
  <c r="Y1380" i="7" s="1"/>
  <c r="Z1380" i="7" s="1"/>
  <c r="AA1380" i="7" s="1"/>
  <c r="W1342" i="7"/>
  <c r="X1342" i="7" s="1"/>
  <c r="C1342" i="7"/>
  <c r="D1342" i="7" s="1"/>
  <c r="Y1342" i="7" s="1"/>
  <c r="Z1342" i="7" s="1"/>
  <c r="AA1342" i="7" s="1"/>
  <c r="W231" i="7"/>
  <c r="X231" i="7" s="1"/>
  <c r="C231" i="7"/>
  <c r="D231" i="7" s="1"/>
  <c r="Y231" i="7" s="1"/>
  <c r="Z231" i="7" s="1"/>
  <c r="AA231" i="7" s="1"/>
  <c r="W546" i="7"/>
  <c r="X546" i="7" s="1"/>
  <c r="C546" i="7"/>
  <c r="D546" i="7" s="1"/>
  <c r="Y546" i="7" s="1"/>
  <c r="Z546" i="7" s="1"/>
  <c r="AA546" i="7" s="1"/>
  <c r="W437" i="7"/>
  <c r="X437" i="7" s="1"/>
  <c r="C437" i="7"/>
  <c r="D437" i="7" s="1"/>
  <c r="Y437" i="7" s="1"/>
  <c r="Z437" i="7" s="1"/>
  <c r="AA437" i="7" s="1"/>
  <c r="C661" i="7"/>
  <c r="D661" i="7" s="1"/>
  <c r="Y661" i="7" s="1"/>
  <c r="Z661" i="7" s="1"/>
  <c r="AA661" i="7" s="1"/>
  <c r="W661" i="7"/>
  <c r="X661" i="7" s="1"/>
  <c r="C1183" i="7"/>
  <c r="D1183" i="7" s="1"/>
  <c r="Y1183" i="7" s="1"/>
  <c r="Z1183" i="7" s="1"/>
  <c r="AA1183" i="7" s="1"/>
  <c r="W1183" i="7"/>
  <c r="X1183" i="7" s="1"/>
  <c r="C1855" i="7"/>
  <c r="D1855" i="7" s="1"/>
  <c r="Y1855" i="7" s="1"/>
  <c r="W94" i="7"/>
  <c r="X94" i="7" s="1"/>
  <c r="C94" i="7"/>
  <c r="D94" i="7" s="1"/>
  <c r="Y94" i="7" s="1"/>
  <c r="Z94" i="7" s="1"/>
  <c r="AA94" i="7" s="1"/>
  <c r="W72" i="7"/>
  <c r="X72" i="7" s="1"/>
  <c r="C72" i="7"/>
  <c r="D72" i="7" s="1"/>
  <c r="Y72" i="7" s="1"/>
  <c r="Z72" i="7" s="1"/>
  <c r="AA72" i="7" s="1"/>
  <c r="C632" i="7"/>
  <c r="D632" i="7" s="1"/>
  <c r="Y632" i="7" s="1"/>
  <c r="Z632" i="7" s="1"/>
  <c r="AA632" i="7" s="1"/>
  <c r="W632" i="7"/>
  <c r="X632" i="7" s="1"/>
  <c r="W707" i="7"/>
  <c r="X707" i="7" s="1"/>
  <c r="C707" i="7"/>
  <c r="D707" i="7" s="1"/>
  <c r="Y707" i="7" s="1"/>
  <c r="Z707" i="7" s="1"/>
  <c r="AA707" i="7" s="1"/>
  <c r="W871" i="7"/>
  <c r="X871" i="7" s="1"/>
  <c r="C871" i="7"/>
  <c r="D871" i="7" s="1"/>
  <c r="Y871" i="7" s="1"/>
  <c r="Z871" i="7" s="1"/>
  <c r="AA871" i="7" s="1"/>
  <c r="C1312" i="7"/>
  <c r="D1312" i="7" s="1"/>
  <c r="Y1312" i="7" s="1"/>
  <c r="Z1312" i="7" s="1"/>
  <c r="AA1312" i="7" s="1"/>
  <c r="W1312" i="7"/>
  <c r="X1312" i="7" s="1"/>
  <c r="W1462" i="7"/>
  <c r="X1462" i="7" s="1"/>
  <c r="C1462" i="7"/>
  <c r="D1462" i="7" s="1"/>
  <c r="Y1462" i="7" s="1"/>
  <c r="Z1462" i="7" s="1"/>
  <c r="AA1462" i="7" s="1"/>
  <c r="W1733" i="7"/>
  <c r="X1733" i="7" s="1"/>
  <c r="C1733" i="7"/>
  <c r="D1733" i="7" s="1"/>
  <c r="Y1733" i="7" s="1"/>
  <c r="Z1733" i="7" s="1"/>
  <c r="AA1733" i="7" s="1"/>
  <c r="W1691" i="7"/>
  <c r="X1691" i="7" s="1"/>
  <c r="C1691" i="7"/>
  <c r="D1691" i="7" s="1"/>
  <c r="Y1691" i="7" s="1"/>
  <c r="Z1691" i="7" s="1"/>
  <c r="AA1691" i="7" s="1"/>
  <c r="W161" i="7"/>
  <c r="X161" i="7" s="1"/>
  <c r="C161" i="7"/>
  <c r="D161" i="7" s="1"/>
  <c r="Y161" i="7" s="1"/>
  <c r="Z161" i="7" s="1"/>
  <c r="AA161" i="7" s="1"/>
  <c r="W127" i="7"/>
  <c r="X127" i="7" s="1"/>
  <c r="C127" i="7"/>
  <c r="D127" i="7" s="1"/>
  <c r="Y127" i="7" s="1"/>
  <c r="Z127" i="7" s="1"/>
  <c r="AA127" i="7" s="1"/>
  <c r="W48" i="7"/>
  <c r="X48" i="7" s="1"/>
  <c r="C48" i="7"/>
  <c r="D48" i="7" s="1"/>
  <c r="Y48" i="7" s="1"/>
  <c r="Z48" i="7" s="1"/>
  <c r="AA48" i="7" s="1"/>
  <c r="W98" i="7"/>
  <c r="X98" i="7" s="1"/>
  <c r="C98" i="7"/>
  <c r="D98" i="7" s="1"/>
  <c r="Y98" i="7" s="1"/>
  <c r="Z98" i="7" s="1"/>
  <c r="AA98" i="7" s="1"/>
  <c r="W137" i="7"/>
  <c r="X137" i="7" s="1"/>
  <c r="C137" i="7"/>
  <c r="D137" i="7" s="1"/>
  <c r="Y137" i="7" s="1"/>
  <c r="Z137" i="7" s="1"/>
  <c r="AA137" i="7" s="1"/>
  <c r="W359" i="7"/>
  <c r="X359" i="7" s="1"/>
  <c r="C359" i="7"/>
  <c r="D359" i="7" s="1"/>
  <c r="Y359" i="7" s="1"/>
  <c r="Z359" i="7" s="1"/>
  <c r="AA359" i="7" s="1"/>
  <c r="W315" i="7"/>
  <c r="X315" i="7" s="1"/>
  <c r="C315" i="7"/>
  <c r="D315" i="7" s="1"/>
  <c r="Y315" i="7" s="1"/>
  <c r="Z315" i="7" s="1"/>
  <c r="AA315" i="7" s="1"/>
  <c r="W348" i="7"/>
  <c r="X348" i="7" s="1"/>
  <c r="C348" i="7"/>
  <c r="D348" i="7" s="1"/>
  <c r="Y348" i="7" s="1"/>
  <c r="Z348" i="7" s="1"/>
  <c r="AA348" i="7" s="1"/>
  <c r="W475" i="7"/>
  <c r="X475" i="7" s="1"/>
  <c r="C475" i="7"/>
  <c r="D475" i="7" s="1"/>
  <c r="Y475" i="7" s="1"/>
  <c r="Z475" i="7" s="1"/>
  <c r="AA475" i="7" s="1"/>
  <c r="W326" i="7"/>
  <c r="X326" i="7" s="1"/>
  <c r="C326" i="7"/>
  <c r="D326" i="7" s="1"/>
  <c r="Y326" i="7" s="1"/>
  <c r="Z326" i="7" s="1"/>
  <c r="AA326" i="7" s="1"/>
  <c r="W693" i="7"/>
  <c r="X693" i="7" s="1"/>
  <c r="C693" i="7"/>
  <c r="D693" i="7" s="1"/>
  <c r="Y693" i="7" s="1"/>
  <c r="Z693" i="7" s="1"/>
  <c r="AA693" i="7" s="1"/>
  <c r="W570" i="7"/>
  <c r="X570" i="7" s="1"/>
  <c r="C570" i="7"/>
  <c r="D570" i="7" s="1"/>
  <c r="Y570" i="7" s="1"/>
  <c r="Z570" i="7" s="1"/>
  <c r="AA570" i="7" s="1"/>
  <c r="C733" i="7"/>
  <c r="D733" i="7" s="1"/>
  <c r="Y733" i="7" s="1"/>
  <c r="Z733" i="7" s="1"/>
  <c r="AA733" i="7" s="1"/>
  <c r="W733" i="7"/>
  <c r="X733" i="7" s="1"/>
  <c r="W834" i="7"/>
  <c r="X834" i="7" s="1"/>
  <c r="C834" i="7"/>
  <c r="D834" i="7" s="1"/>
  <c r="Y834" i="7" s="1"/>
  <c r="Z834" i="7" s="1"/>
  <c r="AA834" i="7" s="1"/>
  <c r="W888" i="7"/>
  <c r="X888" i="7" s="1"/>
  <c r="C888" i="7"/>
  <c r="D888" i="7" s="1"/>
  <c r="Y888" i="7" s="1"/>
  <c r="Z888" i="7" s="1"/>
  <c r="AA888" i="7" s="1"/>
  <c r="C896" i="7"/>
  <c r="D896" i="7" s="1"/>
  <c r="Y896" i="7" s="1"/>
  <c r="Z896" i="7" s="1"/>
  <c r="AA896" i="7" s="1"/>
  <c r="W896" i="7"/>
  <c r="X896" i="7" s="1"/>
  <c r="W1207" i="7"/>
  <c r="X1207" i="7" s="1"/>
  <c r="C1207" i="7"/>
  <c r="D1207" i="7" s="1"/>
  <c r="Y1207" i="7" s="1"/>
  <c r="Z1207" i="7" s="1"/>
  <c r="AA1207" i="7" s="1"/>
  <c r="W1448" i="7"/>
  <c r="X1448" i="7" s="1"/>
  <c r="C1448" i="7"/>
  <c r="D1448" i="7" s="1"/>
  <c r="Y1448" i="7" s="1"/>
  <c r="Z1448" i="7" s="1"/>
  <c r="AA1448" i="7" s="1"/>
  <c r="C1349" i="7"/>
  <c r="D1349" i="7" s="1"/>
  <c r="Y1349" i="7" s="1"/>
  <c r="Z1349" i="7" s="1"/>
  <c r="AA1349" i="7" s="1"/>
  <c r="W1349" i="7"/>
  <c r="X1349" i="7" s="1"/>
  <c r="W246" i="7"/>
  <c r="X246" i="7" s="1"/>
  <c r="C246" i="7"/>
  <c r="D246" i="7" s="1"/>
  <c r="Y246" i="7" s="1"/>
  <c r="Z246" i="7" s="1"/>
  <c r="AA246" i="7" s="1"/>
  <c r="C276" i="7"/>
  <c r="D276" i="7" s="1"/>
  <c r="Y276" i="7" s="1"/>
  <c r="Z276" i="7" s="1"/>
  <c r="AA276" i="7" s="1"/>
  <c r="W276" i="7"/>
  <c r="X276" i="7" s="1"/>
  <c r="W1054" i="7"/>
  <c r="X1054" i="7" s="1"/>
  <c r="C1054" i="7"/>
  <c r="D1054" i="7" s="1"/>
  <c r="Y1054" i="7" s="1"/>
  <c r="Z1054" i="7" s="1"/>
  <c r="AA1054" i="7" s="1"/>
  <c r="W1555" i="7"/>
  <c r="X1555" i="7" s="1"/>
  <c r="C1555" i="7"/>
  <c r="D1555" i="7" s="1"/>
  <c r="Y1555" i="7" s="1"/>
  <c r="Z1555" i="7" s="1"/>
  <c r="AA1555" i="7" s="1"/>
  <c r="W667" i="7"/>
  <c r="X667" i="7" s="1"/>
  <c r="C667" i="7"/>
  <c r="D667" i="7" s="1"/>
  <c r="Y667" i="7" s="1"/>
  <c r="Z667" i="7" s="1"/>
  <c r="AA667" i="7" s="1"/>
  <c r="C1890" i="7"/>
  <c r="D1890" i="7" s="1"/>
  <c r="Y1890" i="7" s="1"/>
  <c r="Z1890" i="7" s="1"/>
  <c r="AA1890" i="7" s="1"/>
  <c r="W371" i="7"/>
  <c r="X371" i="7" s="1"/>
  <c r="C371" i="7"/>
  <c r="D371" i="7" s="1"/>
  <c r="Y371" i="7" s="1"/>
  <c r="Z371" i="7" s="1"/>
  <c r="AA371" i="7" s="1"/>
  <c r="W479" i="7"/>
  <c r="X479" i="7" s="1"/>
  <c r="C479" i="7"/>
  <c r="D479" i="7" s="1"/>
  <c r="Y479" i="7" s="1"/>
  <c r="Z479" i="7" s="1"/>
  <c r="AA479" i="7" s="1"/>
  <c r="W357" i="7"/>
  <c r="X357" i="7" s="1"/>
  <c r="C357" i="7"/>
  <c r="D357" i="7" s="1"/>
  <c r="Y357" i="7" s="1"/>
  <c r="Z357" i="7" s="1"/>
  <c r="AA357" i="7" s="1"/>
  <c r="C581" i="7"/>
  <c r="D581" i="7" s="1"/>
  <c r="Y581" i="7" s="1"/>
  <c r="Z581" i="7" s="1"/>
  <c r="AA581" i="7" s="1"/>
  <c r="W581" i="7"/>
  <c r="X581" i="7" s="1"/>
  <c r="C749" i="7"/>
  <c r="D749" i="7" s="1"/>
  <c r="Y749" i="7" s="1"/>
  <c r="Z749" i="7" s="1"/>
  <c r="AA749" i="7" s="1"/>
  <c r="W749" i="7"/>
  <c r="X749" i="7" s="1"/>
  <c r="C741" i="7"/>
  <c r="D741" i="7" s="1"/>
  <c r="Y741" i="7" s="1"/>
  <c r="Z741" i="7" s="1"/>
  <c r="AA741" i="7" s="1"/>
  <c r="W741" i="7"/>
  <c r="X741" i="7" s="1"/>
  <c r="W548" i="7"/>
  <c r="X548" i="7" s="1"/>
  <c r="C548" i="7"/>
  <c r="D548" i="7" s="1"/>
  <c r="Y548" i="7" s="1"/>
  <c r="Z548" i="7" s="1"/>
  <c r="AA548" i="7" s="1"/>
  <c r="C869" i="7"/>
  <c r="D869" i="7" s="1"/>
  <c r="Y869" i="7" s="1"/>
  <c r="Z869" i="7" s="1"/>
  <c r="AA869" i="7" s="1"/>
  <c r="W869" i="7"/>
  <c r="X869" i="7" s="1"/>
  <c r="C859" i="7"/>
  <c r="D859" i="7" s="1"/>
  <c r="Y859" i="7" s="1"/>
  <c r="Z859" i="7" s="1"/>
  <c r="AA859" i="7" s="1"/>
  <c r="W859" i="7"/>
  <c r="X859" i="7" s="1"/>
  <c r="C986" i="7"/>
  <c r="D986" i="7" s="1"/>
  <c r="Y986" i="7" s="1"/>
  <c r="Z986" i="7" s="1"/>
  <c r="AA986" i="7" s="1"/>
  <c r="W986" i="7"/>
  <c r="X986" i="7" s="1"/>
  <c r="W1506" i="7"/>
  <c r="X1506" i="7" s="1"/>
  <c r="C1506" i="7"/>
  <c r="D1506" i="7" s="1"/>
  <c r="Y1506" i="7" s="1"/>
  <c r="Z1506" i="7" s="1"/>
  <c r="AA1506" i="7" s="1"/>
  <c r="W1616" i="7"/>
  <c r="X1616" i="7" s="1"/>
  <c r="C1616" i="7"/>
  <c r="D1616" i="7" s="1"/>
  <c r="Y1616" i="7" s="1"/>
  <c r="Z1616" i="7" s="1"/>
  <c r="AA1616" i="7" s="1"/>
  <c r="W1736" i="7"/>
  <c r="X1736" i="7" s="1"/>
  <c r="C1736" i="7"/>
  <c r="D1736" i="7" s="1"/>
  <c r="Y1736" i="7" s="1"/>
  <c r="Z1736" i="7" s="1"/>
  <c r="AA1736" i="7" s="1"/>
  <c r="C1709" i="7"/>
  <c r="D1709" i="7" s="1"/>
  <c r="Y1709" i="7" s="1"/>
  <c r="Z1709" i="7" s="1"/>
  <c r="AA1709" i="7" s="1"/>
  <c r="W1709" i="7"/>
  <c r="X1709" i="7" s="1"/>
  <c r="C373" i="7"/>
  <c r="D373" i="7" s="1"/>
  <c r="Y373" i="7" s="1"/>
  <c r="Z373" i="7" s="1"/>
  <c r="AA373" i="7" s="1"/>
  <c r="W373" i="7"/>
  <c r="X373" i="7" s="1"/>
  <c r="W509" i="7"/>
  <c r="X509" i="7" s="1"/>
  <c r="C509" i="7"/>
  <c r="D509" i="7" s="1"/>
  <c r="Y509" i="7" s="1"/>
  <c r="Z509" i="7" s="1"/>
  <c r="AA509" i="7" s="1"/>
  <c r="W453" i="7"/>
  <c r="X453" i="7" s="1"/>
  <c r="C453" i="7"/>
  <c r="D453" i="7" s="1"/>
  <c r="Y453" i="7" s="1"/>
  <c r="Z453" i="7" s="1"/>
  <c r="AA453" i="7" s="1"/>
  <c r="W1404" i="7"/>
  <c r="X1404" i="7" s="1"/>
  <c r="C1404" i="7"/>
  <c r="D1404" i="7" s="1"/>
  <c r="Y1404" i="7" s="1"/>
  <c r="Z1404" i="7" s="1"/>
  <c r="AA1404" i="7" s="1"/>
  <c r="W1570" i="7"/>
  <c r="X1570" i="7" s="1"/>
  <c r="C1570" i="7"/>
  <c r="D1570" i="7" s="1"/>
  <c r="Y1570" i="7" s="1"/>
  <c r="Z1570" i="7" s="1"/>
  <c r="AA1570" i="7" s="1"/>
  <c r="W1414" i="7"/>
  <c r="X1414" i="7" s="1"/>
  <c r="C1414" i="7"/>
  <c r="D1414" i="7" s="1"/>
  <c r="Y1414" i="7" s="1"/>
  <c r="Z1414" i="7" s="1"/>
  <c r="AA1414" i="7" s="1"/>
  <c r="W260" i="7"/>
  <c r="X260" i="7" s="1"/>
  <c r="C260" i="7"/>
  <c r="D260" i="7" s="1"/>
  <c r="Y260" i="7" s="1"/>
  <c r="Z260" i="7" s="1"/>
  <c r="AA260" i="7" s="1"/>
  <c r="W284" i="7"/>
  <c r="X284" i="7" s="1"/>
  <c r="C284" i="7"/>
  <c r="D284" i="7" s="1"/>
  <c r="Y284" i="7" s="1"/>
  <c r="Z284" i="7" s="1"/>
  <c r="AA284" i="7" s="1"/>
  <c r="W286" i="7"/>
  <c r="X286" i="7" s="1"/>
  <c r="C286" i="7"/>
  <c r="D286" i="7" s="1"/>
  <c r="Y286" i="7" s="1"/>
  <c r="Z286" i="7" s="1"/>
  <c r="AA286" i="7" s="1"/>
  <c r="W526" i="7"/>
  <c r="X526" i="7" s="1"/>
  <c r="C526" i="7"/>
  <c r="D526" i="7" s="1"/>
  <c r="Y526" i="7" s="1"/>
  <c r="Z526" i="7" s="1"/>
  <c r="AA526" i="7" s="1"/>
  <c r="C1887" i="7"/>
  <c r="D1887" i="7" s="1"/>
  <c r="Y1887" i="7" s="1"/>
  <c r="Z1887" i="7" s="1"/>
  <c r="AA1887" i="7" s="1"/>
  <c r="C1884" i="7"/>
  <c r="D1884" i="7" s="1"/>
  <c r="Y1884" i="7" s="1"/>
  <c r="Z1884" i="7" s="1"/>
  <c r="AA1884" i="7" s="1"/>
  <c r="W151" i="7"/>
  <c r="X151" i="7" s="1"/>
  <c r="C151" i="7"/>
  <c r="D151" i="7" s="1"/>
  <c r="Y151" i="7" s="1"/>
  <c r="Z151" i="7" s="1"/>
  <c r="AA151" i="7" s="1"/>
  <c r="W236" i="7"/>
  <c r="X236" i="7" s="1"/>
  <c r="C236" i="7"/>
  <c r="D236" i="7" s="1"/>
  <c r="Y236" i="7" s="1"/>
  <c r="Z236" i="7" s="1"/>
  <c r="AA236" i="7" s="1"/>
  <c r="W383" i="7"/>
  <c r="X383" i="7" s="1"/>
  <c r="C383" i="7"/>
  <c r="D383" i="7" s="1"/>
  <c r="Y383" i="7" s="1"/>
  <c r="Z383" i="7" s="1"/>
  <c r="AA383" i="7" s="1"/>
  <c r="W654" i="7"/>
  <c r="X654" i="7" s="1"/>
  <c r="C654" i="7"/>
  <c r="D654" i="7" s="1"/>
  <c r="Y654" i="7" s="1"/>
  <c r="Z654" i="7" s="1"/>
  <c r="AA654" i="7" s="1"/>
  <c r="C792" i="7"/>
  <c r="D792" i="7" s="1"/>
  <c r="Y792" i="7" s="1"/>
  <c r="Z792" i="7" s="1"/>
  <c r="AA792" i="7" s="1"/>
  <c r="W792" i="7"/>
  <c r="X792" i="7" s="1"/>
  <c r="W751" i="7"/>
  <c r="X751" i="7" s="1"/>
  <c r="C751" i="7"/>
  <c r="D751" i="7" s="1"/>
  <c r="Y751" i="7" s="1"/>
  <c r="Z751" i="7" s="1"/>
  <c r="AA751" i="7" s="1"/>
  <c r="W689" i="7"/>
  <c r="X689" i="7" s="1"/>
  <c r="C689" i="7"/>
  <c r="D689" i="7" s="1"/>
  <c r="Y689" i="7" s="1"/>
  <c r="Z689" i="7" s="1"/>
  <c r="AA689" i="7" s="1"/>
  <c r="W715" i="7"/>
  <c r="X715" i="7" s="1"/>
  <c r="C715" i="7"/>
  <c r="D715" i="7" s="1"/>
  <c r="Y715" i="7" s="1"/>
  <c r="Z715" i="7" s="1"/>
  <c r="AA715" i="7" s="1"/>
  <c r="W998" i="7"/>
  <c r="X998" i="7" s="1"/>
  <c r="C998" i="7"/>
  <c r="D998" i="7" s="1"/>
  <c r="Y998" i="7" s="1"/>
  <c r="Z998" i="7" s="1"/>
  <c r="AA998" i="7" s="1"/>
  <c r="W1241" i="7"/>
  <c r="X1241" i="7" s="1"/>
  <c r="C1241" i="7"/>
  <c r="D1241" i="7" s="1"/>
  <c r="Y1241" i="7" s="1"/>
  <c r="Z1241" i="7" s="1"/>
  <c r="AA1241" i="7" s="1"/>
  <c r="C1273" i="7"/>
  <c r="D1273" i="7" s="1"/>
  <c r="Y1273" i="7" s="1"/>
  <c r="Z1273" i="7" s="1"/>
  <c r="AA1273" i="7" s="1"/>
  <c r="W1273" i="7"/>
  <c r="X1273" i="7" s="1"/>
  <c r="C1297" i="7"/>
  <c r="D1297" i="7" s="1"/>
  <c r="Y1297" i="7" s="1"/>
  <c r="Z1297" i="7" s="1"/>
  <c r="AA1297" i="7" s="1"/>
  <c r="W1297" i="7"/>
  <c r="X1297" i="7" s="1"/>
  <c r="W1496" i="7"/>
  <c r="X1496" i="7" s="1"/>
  <c r="C1496" i="7"/>
  <c r="D1496" i="7" s="1"/>
  <c r="Y1496" i="7" s="1"/>
  <c r="Z1496" i="7" s="1"/>
  <c r="AA1496" i="7" s="1"/>
  <c r="W1665" i="7"/>
  <c r="X1665" i="7" s="1"/>
  <c r="C1665" i="7"/>
  <c r="D1665" i="7" s="1"/>
  <c r="Y1665" i="7" s="1"/>
  <c r="Z1665" i="7" s="1"/>
  <c r="AA1665" i="7" s="1"/>
  <c r="W1617" i="7"/>
  <c r="X1617" i="7" s="1"/>
  <c r="C1617" i="7"/>
  <c r="D1617" i="7" s="1"/>
  <c r="Y1617" i="7" s="1"/>
  <c r="Z1617" i="7" s="1"/>
  <c r="AA1617" i="7" s="1"/>
  <c r="W1484" i="7"/>
  <c r="X1484" i="7" s="1"/>
  <c r="C1484" i="7"/>
  <c r="D1484" i="7" s="1"/>
  <c r="Y1484" i="7" s="1"/>
  <c r="Z1484" i="7" s="1"/>
  <c r="AA1484" i="7" s="1"/>
  <c r="W1605" i="7"/>
  <c r="X1605" i="7" s="1"/>
  <c r="C1605" i="7"/>
  <c r="D1605" i="7" s="1"/>
  <c r="Y1605" i="7" s="1"/>
  <c r="Z1605" i="7" s="1"/>
  <c r="AA1605" i="7" s="1"/>
  <c r="W473" i="7"/>
  <c r="X473" i="7" s="1"/>
  <c r="C473" i="7"/>
  <c r="D473" i="7" s="1"/>
  <c r="Y473" i="7" s="1"/>
  <c r="Z473" i="7" s="1"/>
  <c r="AA473" i="7" s="1"/>
  <c r="W608" i="7"/>
  <c r="X608" i="7" s="1"/>
  <c r="C608" i="7"/>
  <c r="D608" i="7" s="1"/>
  <c r="Y608" i="7" s="1"/>
  <c r="Z608" i="7" s="1"/>
  <c r="AA608" i="7" s="1"/>
  <c r="W824" i="7"/>
  <c r="X824" i="7" s="1"/>
  <c r="C824" i="7"/>
  <c r="D824" i="7" s="1"/>
  <c r="Y824" i="7" s="1"/>
  <c r="Z824" i="7" s="1"/>
  <c r="AA824" i="7" s="1"/>
  <c r="W620" i="7"/>
  <c r="X620" i="7" s="1"/>
  <c r="C620" i="7"/>
  <c r="D620" i="7" s="1"/>
  <c r="Y620" i="7" s="1"/>
  <c r="Z620" i="7" s="1"/>
  <c r="AA620" i="7" s="1"/>
  <c r="C1163" i="7"/>
  <c r="D1163" i="7" s="1"/>
  <c r="Y1163" i="7" s="1"/>
  <c r="Z1163" i="7" s="1"/>
  <c r="AA1163" i="7" s="1"/>
  <c r="W1163" i="7"/>
  <c r="X1163" i="7" s="1"/>
  <c r="W347" i="7"/>
  <c r="X347" i="7" s="1"/>
  <c r="C347" i="7"/>
  <c r="D347" i="7" s="1"/>
  <c r="Y347" i="7" s="1"/>
  <c r="Z347" i="7" s="1"/>
  <c r="AA347" i="7" s="1"/>
  <c r="W46" i="7"/>
  <c r="X46" i="7" s="1"/>
  <c r="C46" i="7"/>
  <c r="D46" i="7" s="1"/>
  <c r="Y46" i="7" s="1"/>
  <c r="Z46" i="7" s="1"/>
  <c r="AA46" i="7" s="1"/>
  <c r="W240" i="7"/>
  <c r="X240" i="7" s="1"/>
  <c r="C240" i="7"/>
  <c r="D240" i="7" s="1"/>
  <c r="Y240" i="7" s="1"/>
  <c r="Z240" i="7" s="1"/>
  <c r="AA240" i="7" s="1"/>
  <c r="W206" i="7"/>
  <c r="X206" i="7" s="1"/>
  <c r="C206" i="7"/>
  <c r="D206" i="7" s="1"/>
  <c r="Y206" i="7" s="1"/>
  <c r="Z206" i="7" s="1"/>
  <c r="AA206" i="7" s="1"/>
  <c r="W594" i="7"/>
  <c r="X594" i="7" s="1"/>
  <c r="C594" i="7"/>
  <c r="D594" i="7" s="1"/>
  <c r="Y594" i="7" s="1"/>
  <c r="Z594" i="7" s="1"/>
  <c r="AA594" i="7" s="1"/>
  <c r="W1020" i="7"/>
  <c r="X1020" i="7" s="1"/>
  <c r="C1020" i="7"/>
  <c r="D1020" i="7" s="1"/>
  <c r="Y1020" i="7" s="1"/>
  <c r="Z1020" i="7" s="1"/>
  <c r="AA1020" i="7" s="1"/>
  <c r="W1581" i="7"/>
  <c r="X1581" i="7" s="1"/>
  <c r="C1581" i="7"/>
  <c r="D1581" i="7" s="1"/>
  <c r="Y1581" i="7" s="1"/>
  <c r="Z1581" i="7" s="1"/>
  <c r="AA1581" i="7" s="1"/>
  <c r="W218" i="7"/>
  <c r="X218" i="7" s="1"/>
  <c r="C218" i="7"/>
  <c r="D218" i="7" s="1"/>
  <c r="Y218" i="7" s="1"/>
  <c r="Z218" i="7" s="1"/>
  <c r="AA218" i="7" s="1"/>
  <c r="W788" i="7"/>
  <c r="X788" i="7" s="1"/>
  <c r="C788" i="7"/>
  <c r="D788" i="7" s="1"/>
  <c r="Y788" i="7" s="1"/>
  <c r="Z788" i="7" s="1"/>
  <c r="AA788" i="7" s="1"/>
  <c r="C804" i="7"/>
  <c r="D804" i="7" s="1"/>
  <c r="Y804" i="7" s="1"/>
  <c r="Z804" i="7" s="1"/>
  <c r="AA804" i="7" s="1"/>
  <c r="W804" i="7"/>
  <c r="X804" i="7" s="1"/>
  <c r="C717" i="7"/>
  <c r="D717" i="7" s="1"/>
  <c r="Y717" i="7" s="1"/>
  <c r="Z717" i="7" s="1"/>
  <c r="AA717" i="7" s="1"/>
  <c r="W717" i="7"/>
  <c r="X717" i="7" s="1"/>
  <c r="C902" i="7"/>
  <c r="D902" i="7" s="1"/>
  <c r="Y902" i="7" s="1"/>
  <c r="Z902" i="7" s="1"/>
  <c r="AA902" i="7" s="1"/>
  <c r="W902" i="7"/>
  <c r="X902" i="7" s="1"/>
  <c r="C1151" i="7"/>
  <c r="D1151" i="7" s="1"/>
  <c r="Y1151" i="7" s="1"/>
  <c r="Z1151" i="7" s="1"/>
  <c r="AA1151" i="7" s="1"/>
  <c r="W1151" i="7"/>
  <c r="X1151" i="7" s="1"/>
  <c r="W1215" i="7"/>
  <c r="X1215" i="7" s="1"/>
  <c r="C1215" i="7"/>
  <c r="D1215" i="7" s="1"/>
  <c r="Y1215" i="7" s="1"/>
  <c r="Z1215" i="7" s="1"/>
  <c r="AA1215" i="7" s="1"/>
  <c r="W1255" i="7"/>
  <c r="X1255" i="7" s="1"/>
  <c r="C1255" i="7"/>
  <c r="D1255" i="7" s="1"/>
  <c r="Y1255" i="7" s="1"/>
  <c r="Z1255" i="7" s="1"/>
  <c r="AA1255" i="7" s="1"/>
  <c r="C1309" i="7"/>
  <c r="D1309" i="7" s="1"/>
  <c r="Y1309" i="7" s="1"/>
  <c r="Z1309" i="7" s="1"/>
  <c r="AA1309" i="7" s="1"/>
  <c r="W1309" i="7"/>
  <c r="X1309" i="7" s="1"/>
  <c r="W1498" i="7"/>
  <c r="X1498" i="7" s="1"/>
  <c r="C1498" i="7"/>
  <c r="D1498" i="7" s="1"/>
  <c r="Y1498" i="7" s="1"/>
  <c r="Z1498" i="7" s="1"/>
  <c r="AA1498" i="7" s="1"/>
  <c r="W1652" i="7"/>
  <c r="X1652" i="7" s="1"/>
  <c r="C1652" i="7"/>
  <c r="D1652" i="7" s="1"/>
  <c r="Y1652" i="7" s="1"/>
  <c r="Z1652" i="7" s="1"/>
  <c r="AA1652" i="7" s="1"/>
  <c r="W1486" i="7"/>
  <c r="X1486" i="7" s="1"/>
  <c r="C1486" i="7"/>
  <c r="D1486" i="7" s="1"/>
  <c r="Y1486" i="7" s="1"/>
  <c r="Z1486" i="7" s="1"/>
  <c r="AA1486" i="7" s="1"/>
  <c r="C649" i="7"/>
  <c r="D649" i="7" s="1"/>
  <c r="Y649" i="7" s="1"/>
  <c r="Z649" i="7" s="1"/>
  <c r="AA649" i="7" s="1"/>
  <c r="W649" i="7"/>
  <c r="X649" i="7" s="1"/>
  <c r="C923" i="7"/>
  <c r="D923" i="7" s="1"/>
  <c r="Y923" i="7" s="1"/>
  <c r="Z923" i="7" s="1"/>
  <c r="AA923" i="7" s="1"/>
  <c r="W923" i="7"/>
  <c r="X923" i="7" s="1"/>
  <c r="W1430" i="7"/>
  <c r="X1430" i="7" s="1"/>
  <c r="C1430" i="7"/>
  <c r="D1430" i="7" s="1"/>
  <c r="Y1430" i="7" s="1"/>
  <c r="Z1430" i="7" s="1"/>
  <c r="AA1430" i="7" s="1"/>
  <c r="W238" i="7"/>
  <c r="X238" i="7" s="1"/>
  <c r="C238" i="7"/>
  <c r="D238" i="7" s="1"/>
  <c r="Y238" i="7" s="1"/>
  <c r="Z238" i="7" s="1"/>
  <c r="AA238" i="7" s="1"/>
  <c r="W1428" i="7"/>
  <c r="X1428" i="7" s="1"/>
  <c r="C1428" i="7"/>
  <c r="D1428" i="7" s="1"/>
  <c r="Y1428" i="7" s="1"/>
  <c r="Z1428" i="7" s="1"/>
  <c r="AA1428" i="7" s="1"/>
  <c r="W1460" i="7"/>
  <c r="X1460" i="7" s="1"/>
  <c r="C1460" i="7"/>
  <c r="D1460" i="7" s="1"/>
  <c r="Y1460" i="7" s="1"/>
  <c r="Z1460" i="7" s="1"/>
  <c r="AA1460" i="7" s="1"/>
  <c r="C1774" i="7"/>
  <c r="D1774" i="7" s="1"/>
  <c r="Y1774" i="7" s="1"/>
  <c r="Z1774" i="7" s="1"/>
  <c r="AA1774" i="7" s="1"/>
  <c r="W34" i="7"/>
  <c r="X34" i="7" s="1"/>
  <c r="C34" i="7"/>
  <c r="D34" i="7" s="1"/>
  <c r="Y34" i="7" s="1"/>
  <c r="Z34" i="7" s="1"/>
  <c r="AA34" i="7" s="1"/>
  <c r="W380" i="7"/>
  <c r="X380" i="7" s="1"/>
  <c r="C380" i="7"/>
  <c r="D380" i="7" s="1"/>
  <c r="Y380" i="7" s="1"/>
  <c r="Z380" i="7" s="1"/>
  <c r="AA380" i="7" s="1"/>
  <c r="W208" i="7"/>
  <c r="X208" i="7" s="1"/>
  <c r="C208" i="7"/>
  <c r="D208" i="7" s="1"/>
  <c r="Y208" i="7" s="1"/>
  <c r="Z208" i="7" s="1"/>
  <c r="AA208" i="7" s="1"/>
  <c r="C395" i="7"/>
  <c r="D395" i="7" s="1"/>
  <c r="Y395" i="7" s="1"/>
  <c r="Z395" i="7" s="1"/>
  <c r="AA395" i="7" s="1"/>
  <c r="W395" i="7"/>
  <c r="X395" i="7" s="1"/>
  <c r="C528" i="7"/>
  <c r="D528" i="7" s="1"/>
  <c r="Y528" i="7" s="1"/>
  <c r="Z528" i="7" s="1"/>
  <c r="AA528" i="7" s="1"/>
  <c r="W528" i="7"/>
  <c r="X528" i="7" s="1"/>
  <c r="W511" i="7"/>
  <c r="X511" i="7" s="1"/>
  <c r="C511" i="7"/>
  <c r="D511" i="7" s="1"/>
  <c r="Y511" i="7" s="1"/>
  <c r="Z511" i="7" s="1"/>
  <c r="AA511" i="7" s="1"/>
  <c r="C557" i="7"/>
  <c r="D557" i="7" s="1"/>
  <c r="Y557" i="7" s="1"/>
  <c r="Z557" i="7" s="1"/>
  <c r="AA557" i="7" s="1"/>
  <c r="W557" i="7"/>
  <c r="X557" i="7" s="1"/>
  <c r="W800" i="7"/>
  <c r="X800" i="7" s="1"/>
  <c r="C800" i="7"/>
  <c r="D800" i="7" s="1"/>
  <c r="Y800" i="7" s="1"/>
  <c r="Z800" i="7" s="1"/>
  <c r="AA800" i="7" s="1"/>
  <c r="C816" i="7"/>
  <c r="D816" i="7" s="1"/>
  <c r="Y816" i="7" s="1"/>
  <c r="Z816" i="7" s="1"/>
  <c r="AA816" i="7" s="1"/>
  <c r="W816" i="7"/>
  <c r="X816" i="7" s="1"/>
  <c r="C917" i="7"/>
  <c r="D917" i="7" s="1"/>
  <c r="Y917" i="7" s="1"/>
  <c r="Z917" i="7" s="1"/>
  <c r="AA917" i="7" s="1"/>
  <c r="W917" i="7"/>
  <c r="X917" i="7" s="1"/>
  <c r="C1022" i="7"/>
  <c r="D1022" i="7" s="1"/>
  <c r="Y1022" i="7" s="1"/>
  <c r="Z1022" i="7" s="1"/>
  <c r="AA1022" i="7" s="1"/>
  <c r="W1022" i="7"/>
  <c r="X1022" i="7" s="1"/>
  <c r="C1127" i="7"/>
  <c r="D1127" i="7" s="1"/>
  <c r="Y1127" i="7" s="1"/>
  <c r="Z1127" i="7" s="1"/>
  <c r="AA1127" i="7" s="1"/>
  <c r="W1127" i="7"/>
  <c r="X1127" i="7" s="1"/>
  <c r="W1263" i="7"/>
  <c r="X1263" i="7" s="1"/>
  <c r="C1263" i="7"/>
  <c r="D1263" i="7" s="1"/>
  <c r="Y1263" i="7" s="1"/>
  <c r="Z1263" i="7" s="1"/>
  <c r="AA1263" i="7" s="1"/>
  <c r="W1678" i="7"/>
  <c r="X1678" i="7" s="1"/>
  <c r="C1678" i="7"/>
  <c r="D1678" i="7" s="1"/>
  <c r="Y1678" i="7" s="1"/>
  <c r="Z1678" i="7" s="1"/>
  <c r="AA1678" i="7" s="1"/>
  <c r="W1642" i="7"/>
  <c r="X1642" i="7" s="1"/>
  <c r="C1642" i="7"/>
  <c r="D1642" i="7" s="1"/>
  <c r="Y1642" i="7" s="1"/>
  <c r="Z1642" i="7" s="1"/>
  <c r="AA1642" i="7" s="1"/>
  <c r="C1338" i="7"/>
  <c r="D1338" i="7" s="1"/>
  <c r="Y1338" i="7" s="1"/>
  <c r="Z1338" i="7" s="1"/>
  <c r="AA1338" i="7" s="1"/>
  <c r="W1338" i="7"/>
  <c r="X1338" i="7" s="1"/>
  <c r="W1739" i="7"/>
  <c r="X1739" i="7" s="1"/>
  <c r="C1739" i="7"/>
  <c r="D1739" i="7" s="1"/>
  <c r="Y1739" i="7" s="1"/>
  <c r="Z1739" i="7" s="1"/>
  <c r="AA1739" i="7" s="1"/>
  <c r="W1520" i="7"/>
  <c r="X1520" i="7" s="1"/>
  <c r="C1520" i="7"/>
  <c r="D1520" i="7" s="1"/>
  <c r="Y1520" i="7" s="1"/>
  <c r="Z1520" i="7" s="1"/>
  <c r="AA1520" i="7" s="1"/>
  <c r="C1731" i="7"/>
  <c r="D1731" i="7" s="1"/>
  <c r="Y1731" i="7" s="1"/>
  <c r="Z1731" i="7" s="1"/>
  <c r="AA1731" i="7" s="1"/>
  <c r="W1731" i="7"/>
  <c r="X1731" i="7" s="1"/>
  <c r="W74" i="7"/>
  <c r="X74" i="7" s="1"/>
  <c r="C74" i="7"/>
  <c r="D74" i="7" s="1"/>
  <c r="Y74" i="7" s="1"/>
  <c r="Z74" i="7" s="1"/>
  <c r="AA74" i="7" s="1"/>
  <c r="C1064" i="7"/>
  <c r="D1064" i="7" s="1"/>
  <c r="Y1064" i="7" s="1"/>
  <c r="Z1064" i="7" s="1"/>
  <c r="AA1064" i="7" s="1"/>
  <c r="W1064" i="7"/>
  <c r="X1064" i="7" s="1"/>
  <c r="C1833" i="7"/>
  <c r="D1833" i="7" s="1"/>
  <c r="Y1833" i="7" s="1"/>
  <c r="Z1833" i="7" s="1"/>
  <c r="AA1833" i="7" s="1"/>
  <c r="W1093" i="7"/>
  <c r="X1093" i="7" s="1"/>
  <c r="C1093" i="7"/>
  <c r="D1093" i="7" s="1"/>
  <c r="Y1093" i="7" s="1"/>
  <c r="Z1093" i="7" s="1"/>
  <c r="AA1093" i="7" s="1"/>
  <c r="W1313" i="7"/>
  <c r="X1313" i="7" s="1"/>
  <c r="C1313" i="7"/>
  <c r="D1313" i="7" s="1"/>
  <c r="Y1313" i="7" s="1"/>
  <c r="Z1313" i="7" s="1"/>
  <c r="AA1313" i="7" s="1"/>
  <c r="W1580" i="7"/>
  <c r="X1580" i="7" s="1"/>
  <c r="C1580" i="7"/>
  <c r="D1580" i="7" s="1"/>
  <c r="Y1580" i="7" s="1"/>
  <c r="Z1580" i="7" s="1"/>
  <c r="AA1580" i="7" s="1"/>
  <c r="C1624" i="7"/>
  <c r="D1624" i="7" s="1"/>
  <c r="Y1624" i="7" s="1"/>
  <c r="Z1624" i="7" s="1"/>
  <c r="AA1624" i="7" s="1"/>
  <c r="W1624" i="7"/>
  <c r="X1624" i="7" s="1"/>
  <c r="W1569" i="7"/>
  <c r="X1569" i="7" s="1"/>
  <c r="C1569" i="7"/>
  <c r="D1569" i="7" s="1"/>
  <c r="Y1569" i="7" s="1"/>
  <c r="Z1569" i="7" s="1"/>
  <c r="AA1569" i="7" s="1"/>
  <c r="W1353" i="7"/>
  <c r="X1353" i="7" s="1"/>
  <c r="C1353" i="7"/>
  <c r="D1353" i="7" s="1"/>
  <c r="Y1353" i="7" s="1"/>
  <c r="Z1353" i="7" s="1"/>
  <c r="AA1353" i="7" s="1"/>
  <c r="W303" i="7"/>
  <c r="X303" i="7" s="1"/>
  <c r="C303" i="7"/>
  <c r="D303" i="7" s="1"/>
  <c r="Y303" i="7" s="1"/>
  <c r="Z303" i="7" s="1"/>
  <c r="AA303" i="7" s="1"/>
  <c r="W60" i="7"/>
  <c r="X60" i="7" s="1"/>
  <c r="C60" i="7"/>
  <c r="D60" i="7" s="1"/>
  <c r="Y60" i="7" s="1"/>
  <c r="Z60" i="7" s="1"/>
  <c r="AA60" i="7" s="1"/>
  <c r="W361" i="7"/>
  <c r="X361" i="7" s="1"/>
  <c r="C361" i="7"/>
  <c r="D361" i="7" s="1"/>
  <c r="Y361" i="7" s="1"/>
  <c r="Z361" i="7" s="1"/>
  <c r="AA361" i="7" s="1"/>
  <c r="W461" i="7"/>
  <c r="X461" i="7" s="1"/>
  <c r="C461" i="7"/>
  <c r="D461" i="7" s="1"/>
  <c r="Y461" i="7" s="1"/>
  <c r="Z461" i="7" s="1"/>
  <c r="AA461" i="7" s="1"/>
  <c r="W415" i="7"/>
  <c r="X415" i="7" s="1"/>
  <c r="C415" i="7"/>
  <c r="D415" i="7" s="1"/>
  <c r="Y415" i="7" s="1"/>
  <c r="Z415" i="7" s="1"/>
  <c r="AA415" i="7" s="1"/>
  <c r="W485" i="7"/>
  <c r="X485" i="7" s="1"/>
  <c r="C485" i="7"/>
  <c r="D485" i="7" s="1"/>
  <c r="Y485" i="7" s="1"/>
  <c r="Z485" i="7" s="1"/>
  <c r="AA485" i="7" s="1"/>
  <c r="C605" i="7"/>
  <c r="D605" i="7" s="1"/>
  <c r="Y605" i="7" s="1"/>
  <c r="Z605" i="7" s="1"/>
  <c r="AA605" i="7" s="1"/>
  <c r="W605" i="7"/>
  <c r="X605" i="7" s="1"/>
  <c r="C828" i="7"/>
  <c r="D828" i="7" s="1"/>
  <c r="Y828" i="7" s="1"/>
  <c r="Z828" i="7" s="1"/>
  <c r="AA828" i="7" s="1"/>
  <c r="W828" i="7"/>
  <c r="X828" i="7" s="1"/>
  <c r="C765" i="7"/>
  <c r="D765" i="7" s="1"/>
  <c r="Y765" i="7" s="1"/>
  <c r="Z765" i="7" s="1"/>
  <c r="AA765" i="7" s="1"/>
  <c r="W765" i="7"/>
  <c r="X765" i="7" s="1"/>
  <c r="W725" i="7"/>
  <c r="X725" i="7" s="1"/>
  <c r="C725" i="7"/>
  <c r="D725" i="7" s="1"/>
  <c r="Y725" i="7" s="1"/>
  <c r="Z725" i="7" s="1"/>
  <c r="AA725" i="7" s="1"/>
  <c r="C1040" i="7"/>
  <c r="D1040" i="7" s="1"/>
  <c r="Y1040" i="7" s="1"/>
  <c r="Z1040" i="7" s="1"/>
  <c r="AA1040" i="7" s="1"/>
  <c r="W1040" i="7"/>
  <c r="X1040" i="7" s="1"/>
  <c r="C1010" i="7"/>
  <c r="D1010" i="7" s="1"/>
  <c r="Y1010" i="7" s="1"/>
  <c r="Z1010" i="7" s="1"/>
  <c r="AA1010" i="7" s="1"/>
  <c r="W1010" i="7"/>
  <c r="X1010" i="7" s="1"/>
  <c r="C1175" i="7"/>
  <c r="D1175" i="7" s="1"/>
  <c r="Y1175" i="7" s="1"/>
  <c r="Z1175" i="7" s="1"/>
  <c r="AA1175" i="7" s="1"/>
  <c r="W1175" i="7"/>
  <c r="X1175" i="7" s="1"/>
  <c r="W1060" i="7"/>
  <c r="X1060" i="7" s="1"/>
  <c r="C1060" i="7"/>
  <c r="D1060" i="7" s="1"/>
  <c r="Y1060" i="7" s="1"/>
  <c r="Z1060" i="7" s="1"/>
  <c r="AA1060" i="7" s="1"/>
  <c r="W1227" i="7"/>
  <c r="X1227" i="7" s="1"/>
  <c r="C1227" i="7"/>
  <c r="D1227" i="7" s="1"/>
  <c r="Y1227" i="7" s="1"/>
  <c r="Z1227" i="7" s="1"/>
  <c r="AA1227" i="7" s="1"/>
  <c r="W1319" i="7"/>
  <c r="X1319" i="7" s="1"/>
  <c r="C1319" i="7"/>
  <c r="D1319" i="7" s="1"/>
  <c r="Y1319" i="7" s="1"/>
  <c r="Z1319" i="7" s="1"/>
  <c r="AA1319" i="7" s="1"/>
  <c r="W1303" i="7"/>
  <c r="X1303" i="7" s="1"/>
  <c r="C1303" i="7"/>
  <c r="D1303" i="7" s="1"/>
  <c r="Y1303" i="7" s="1"/>
  <c r="Z1303" i="7" s="1"/>
  <c r="AA1303" i="7" s="1"/>
  <c r="C1354" i="7"/>
  <c r="D1354" i="7" s="1"/>
  <c r="Y1354" i="7" s="1"/>
  <c r="Z1354" i="7" s="1"/>
  <c r="AA1354" i="7" s="1"/>
  <c r="W1354" i="7"/>
  <c r="X1354" i="7" s="1"/>
  <c r="W1725" i="7"/>
  <c r="X1725" i="7" s="1"/>
  <c r="C1725" i="7"/>
  <c r="D1725" i="7" s="1"/>
  <c r="Y1725" i="7" s="1"/>
  <c r="Z1725" i="7" s="1"/>
  <c r="AA1725" i="7" s="1"/>
  <c r="W1544" i="7"/>
  <c r="X1544" i="7" s="1"/>
  <c r="C1544" i="7"/>
  <c r="D1544" i="7" s="1"/>
  <c r="Y1544" i="7" s="1"/>
  <c r="Z1544" i="7" s="1"/>
  <c r="AA1544" i="7" s="1"/>
  <c r="W1749" i="7"/>
  <c r="X1749" i="7" s="1"/>
  <c r="C1749" i="7"/>
  <c r="D1749" i="7" s="1"/>
  <c r="Y1749" i="7" s="1"/>
  <c r="Z1749" i="7" s="1"/>
  <c r="AA1749" i="7" s="1"/>
  <c r="W1522" i="7"/>
  <c r="X1522" i="7" s="1"/>
  <c r="C1522" i="7"/>
  <c r="D1522" i="7" s="1"/>
  <c r="Y1522" i="7" s="1"/>
  <c r="Z1522" i="7" s="1"/>
  <c r="AA1522" i="7" s="1"/>
  <c r="W1446" i="7"/>
  <c r="X1446" i="7" s="1"/>
  <c r="C1446" i="7"/>
  <c r="D1446" i="7" s="1"/>
  <c r="Y1446" i="7" s="1"/>
  <c r="Z1446" i="7" s="1"/>
  <c r="AA1446" i="7" s="1"/>
  <c r="W1558" i="7"/>
  <c r="X1558" i="7" s="1"/>
  <c r="C1558" i="7"/>
  <c r="D1558" i="7" s="1"/>
  <c r="Y1558" i="7" s="1"/>
  <c r="Z1558" i="7" s="1"/>
  <c r="AA1558" i="7" s="1"/>
  <c r="W1727" i="7"/>
  <c r="X1727" i="7" s="1"/>
  <c r="C1727" i="7"/>
  <c r="D1727" i="7" s="1"/>
  <c r="Y1727" i="7" s="1"/>
  <c r="Z1727" i="7" s="1"/>
  <c r="AA1727" i="7" s="1"/>
  <c r="C1815" i="7"/>
  <c r="D1815" i="7" s="1"/>
  <c r="Y1815" i="7" s="1"/>
  <c r="Z1815" i="7" s="1"/>
  <c r="AA1815" i="7" s="1"/>
  <c r="C1879" i="7"/>
  <c r="D1879" i="7" s="1"/>
  <c r="Y1879" i="7" s="1"/>
  <c r="Z1879" i="7" s="1"/>
  <c r="AA1879" i="7" s="1"/>
  <c r="C1875" i="7"/>
  <c r="D1875" i="7" s="1"/>
  <c r="Y1875" i="7" s="1"/>
  <c r="Z1875" i="7" s="1"/>
  <c r="AA1875" i="7" s="1"/>
  <c r="C1857" i="7"/>
  <c r="D1857" i="7" s="1"/>
  <c r="Y1857" i="7" s="1"/>
  <c r="Z1857" i="7" s="1"/>
  <c r="AA1857" i="7" s="1"/>
  <c r="C1800" i="7"/>
  <c r="D1800" i="7" s="1"/>
  <c r="Y1800" i="7" s="1"/>
  <c r="Z1800" i="7" s="1"/>
  <c r="AA1800" i="7" s="1"/>
  <c r="C1812" i="7"/>
  <c r="D1812" i="7" s="1"/>
  <c r="Y1812" i="7" s="1"/>
  <c r="Z1812" i="7" s="1"/>
  <c r="AA1812" i="7" s="1"/>
  <c r="C1874" i="7"/>
  <c r="D1874" i="7" s="1"/>
  <c r="Y1874" i="7" s="1"/>
  <c r="Z1874" i="7" s="1"/>
  <c r="AA1874" i="7" s="1"/>
  <c r="C1876" i="7"/>
  <c r="D1876" i="7" s="1"/>
  <c r="Y1876" i="7" s="1"/>
  <c r="Z1876" i="7" s="1"/>
  <c r="AA1876" i="7" s="1"/>
  <c r="C1886" i="7"/>
  <c r="D1886" i="7" s="1"/>
  <c r="Y1886" i="7" s="1"/>
  <c r="Z1886" i="7" s="1"/>
  <c r="AA1886" i="7" s="1"/>
  <c r="C1827" i="7"/>
  <c r="D1827" i="7" s="1"/>
  <c r="Y1827" i="7" s="1"/>
  <c r="Z1827" i="7" s="1"/>
  <c r="AA1827" i="7" s="1"/>
  <c r="C1870" i="7"/>
  <c r="D1870" i="7" s="1"/>
  <c r="Y1870" i="7" s="1"/>
  <c r="Z1870" i="7" s="1"/>
  <c r="AA1870" i="7" s="1"/>
  <c r="C1802" i="7"/>
  <c r="D1802" i="7" s="1"/>
  <c r="Y1802" i="7" s="1"/>
  <c r="Z1802" i="7" s="1"/>
  <c r="AA1802" i="7" s="1"/>
  <c r="C1869" i="7"/>
  <c r="D1869" i="7" s="1"/>
  <c r="Y1869" i="7" s="1"/>
  <c r="Z1869" i="7" s="1"/>
  <c r="AA1869" i="7" s="1"/>
  <c r="C1891" i="7"/>
  <c r="D1891" i="7" s="1"/>
  <c r="Y1891" i="7" s="1"/>
  <c r="Z1891" i="7" s="1"/>
  <c r="AA1891" i="7" s="1"/>
  <c r="C1814" i="7"/>
  <c r="D1814" i="7" s="1"/>
  <c r="Y1814" i="7" s="1"/>
  <c r="Z1814" i="7" s="1"/>
  <c r="AA1814" i="7" s="1"/>
  <c r="C1912" i="7"/>
  <c r="D1912" i="7" s="1"/>
  <c r="Y1912" i="7" s="1"/>
  <c r="Z1912" i="7" s="1"/>
  <c r="AA1912" i="7" s="1"/>
  <c r="C1903" i="7"/>
  <c r="D1903" i="7" s="1"/>
  <c r="Y1903" i="7" s="1"/>
  <c r="Z1903" i="7" s="1"/>
  <c r="AA1903" i="7" s="1"/>
  <c r="C1872" i="7"/>
  <c r="D1872" i="7" s="1"/>
  <c r="Y1872" i="7" s="1"/>
  <c r="Z1872" i="7" s="1"/>
  <c r="AA1872" i="7" s="1"/>
  <c r="C1816" i="7"/>
  <c r="D1816" i="7" s="1"/>
  <c r="Y1816" i="7" s="1"/>
  <c r="Z1816" i="7" s="1"/>
  <c r="AA1816" i="7" s="1"/>
  <c r="C1840" i="7"/>
  <c r="D1840" i="7" s="1"/>
  <c r="Y1840" i="7" s="1"/>
  <c r="Z1840" i="7" s="1"/>
  <c r="AA1840" i="7" s="1"/>
  <c r="C1810" i="7"/>
  <c r="D1810" i="7" s="1"/>
  <c r="Y1810" i="7" s="1"/>
  <c r="Z1810" i="7" s="1"/>
  <c r="AA1810" i="7" s="1"/>
  <c r="C1826" i="7"/>
  <c r="D1826" i="7" s="1"/>
  <c r="Y1826" i="7" s="1"/>
  <c r="Z1826" i="7" s="1"/>
  <c r="AA1826" i="7" s="1"/>
  <c r="C1801" i="7"/>
  <c r="D1801" i="7" s="1"/>
  <c r="Y1801" i="7" s="1"/>
  <c r="Z1801" i="7" s="1"/>
  <c r="AA1801" i="7" s="1"/>
  <c r="C1768" i="7"/>
  <c r="D1768" i="7" s="1"/>
  <c r="Y1768" i="7" s="1"/>
  <c r="Z1768" i="7" s="1"/>
  <c r="AA1768" i="7" s="1"/>
  <c r="C1853" i="7"/>
  <c r="D1853" i="7" s="1"/>
  <c r="Y1853" i="7" s="1"/>
  <c r="Z1853" i="7" s="1"/>
  <c r="AA1853" i="7" s="1"/>
  <c r="C1839" i="7"/>
  <c r="D1839" i="7" s="1"/>
  <c r="Y1839" i="7" s="1"/>
  <c r="Z1839" i="7" s="1"/>
  <c r="AA1839" i="7" s="1"/>
  <c r="C1807" i="7"/>
  <c r="D1807" i="7" s="1"/>
  <c r="Y1807" i="7" s="1"/>
  <c r="Z1807" i="7" s="1"/>
  <c r="AA1807" i="7" s="1"/>
  <c r="C1822" i="7"/>
  <c r="D1822" i="7" s="1"/>
  <c r="Y1822" i="7" s="1"/>
  <c r="Z1822" i="7" s="1"/>
  <c r="AA1822" i="7" s="1"/>
  <c r="C1821" i="7"/>
  <c r="D1821" i="7" s="1"/>
  <c r="Y1821" i="7" s="1"/>
  <c r="Z1821" i="7" s="1"/>
  <c r="AA1821" i="7" s="1"/>
  <c r="C1888" i="7"/>
  <c r="D1888" i="7" s="1"/>
  <c r="Y1888" i="7" s="1"/>
  <c r="Z1888" i="7" s="1"/>
  <c r="AA1888" i="7" s="1"/>
  <c r="C1819" i="7"/>
  <c r="D1819" i="7" s="1"/>
  <c r="Y1819" i="7" s="1"/>
  <c r="Z1819" i="7" s="1"/>
  <c r="AA1819" i="7" s="1"/>
  <c r="C1898" i="7"/>
  <c r="D1898" i="7" s="1"/>
  <c r="Y1898" i="7" s="1"/>
  <c r="Z1898" i="7" s="1"/>
  <c r="AA1898" i="7" s="1"/>
  <c r="C1873" i="7"/>
  <c r="D1873" i="7" s="1"/>
  <c r="Y1873" i="7" s="1"/>
  <c r="Z1873" i="7" s="1"/>
  <c r="AA1873" i="7" s="1"/>
  <c r="C1780" i="7"/>
  <c r="D1780" i="7" s="1"/>
  <c r="Y1780" i="7" s="1"/>
  <c r="Z1780" i="7" s="1"/>
  <c r="AA1780" i="7" s="1"/>
  <c r="C1781" i="7"/>
  <c r="D1781" i="7" s="1"/>
  <c r="Y1781" i="7" s="1"/>
  <c r="Z1781" i="7" s="1"/>
  <c r="AA1781" i="7" s="1"/>
  <c r="C1910" i="7"/>
  <c r="D1910" i="7" s="1"/>
  <c r="Y1910" i="7" s="1"/>
  <c r="Z1910" i="7" s="1"/>
  <c r="AA1910" i="7" s="1"/>
  <c r="C1805" i="7"/>
  <c r="D1805" i="7" s="1"/>
  <c r="Y1805" i="7" s="1"/>
  <c r="Z1805" i="7" s="1"/>
  <c r="AA1805" i="7" s="1"/>
  <c r="C1897" i="7"/>
  <c r="D1897" i="7" s="1"/>
  <c r="Y1897" i="7" s="1"/>
  <c r="Z1897" i="7" s="1"/>
  <c r="AA1897" i="7" s="1"/>
  <c r="C1909" i="7"/>
  <c r="D1909" i="7" s="1"/>
  <c r="Y1909" i="7" s="1"/>
  <c r="Z1909" i="7" s="1"/>
  <c r="AA1909" i="7" s="1"/>
  <c r="C1864" i="7"/>
  <c r="D1864" i="7" s="1"/>
  <c r="Y1864" i="7" s="1"/>
  <c r="Z1864" i="7" s="1"/>
  <c r="AA1864" i="7" s="1"/>
  <c r="C1817" i="7"/>
  <c r="D1817" i="7" s="1"/>
  <c r="Y1817" i="7" s="1"/>
  <c r="Z1817" i="7" s="1"/>
  <c r="AA1817" i="7" s="1"/>
  <c r="C1797" i="7"/>
  <c r="D1797" i="7" s="1"/>
  <c r="Y1797" i="7" s="1"/>
  <c r="Z1797" i="7" s="1"/>
  <c r="AA1797" i="7" s="1"/>
  <c r="C1911" i="7"/>
  <c r="D1911" i="7" s="1"/>
  <c r="Y1911" i="7" s="1"/>
  <c r="Z1911" i="7" s="1"/>
  <c r="AA1911" i="7" s="1"/>
  <c r="C1777" i="7"/>
  <c r="D1777" i="7" s="1"/>
  <c r="Y1777" i="7" s="1"/>
  <c r="Z1777" i="7" s="1"/>
  <c r="AA1777" i="7" s="1"/>
  <c r="C1766" i="7"/>
  <c r="D1766" i="7" s="1"/>
  <c r="Y1766" i="7" s="1"/>
  <c r="Z1766" i="7" s="1"/>
  <c r="AA1766" i="7" s="1"/>
  <c r="C1792" i="7"/>
  <c r="D1792" i="7" s="1"/>
  <c r="Y1792" i="7" s="1"/>
  <c r="Z1792" i="7" s="1"/>
  <c r="AA1792" i="7" s="1"/>
  <c r="C1900" i="7"/>
  <c r="D1900" i="7" s="1"/>
  <c r="Y1900" i="7" s="1"/>
  <c r="Z1900" i="7" s="1"/>
  <c r="AA1900" i="7" s="1"/>
  <c r="C1862" i="7"/>
  <c r="D1862" i="7" s="1"/>
  <c r="Y1862" i="7" s="1"/>
  <c r="Z1862" i="7" s="1"/>
  <c r="AA1862" i="7" s="1"/>
  <c r="C1837" i="7"/>
  <c r="D1837" i="7" s="1"/>
  <c r="Y1837" i="7" s="1"/>
  <c r="Z1837" i="7" s="1"/>
  <c r="AA1837" i="7" s="1"/>
  <c r="C1806" i="7"/>
  <c r="D1806" i="7" s="1"/>
  <c r="Y1806" i="7" s="1"/>
  <c r="Z1806" i="7" s="1"/>
  <c r="AA1806" i="7" s="1"/>
  <c r="C1889" i="7"/>
  <c r="D1889" i="7" s="1"/>
  <c r="Y1889" i="7" s="1"/>
  <c r="Z1889" i="7" s="1"/>
  <c r="AA1889" i="7" s="1"/>
  <c r="C1798" i="7"/>
  <c r="D1798" i="7" s="1"/>
  <c r="Y1798" i="7" s="1"/>
  <c r="Z1798" i="7" s="1"/>
  <c r="AA1798" i="7" s="1"/>
  <c r="C1776" i="7"/>
  <c r="D1776" i="7" s="1"/>
  <c r="Y1776" i="7" s="1"/>
  <c r="Z1776" i="7" s="1"/>
  <c r="AA1776" i="7" s="1"/>
  <c r="C1846" i="7"/>
  <c r="D1846" i="7" s="1"/>
  <c r="Y1846" i="7" s="1"/>
  <c r="Z1846" i="7" s="1"/>
  <c r="AA1846" i="7" s="1"/>
  <c r="C1844" i="7"/>
  <c r="D1844" i="7" s="1"/>
  <c r="Y1844" i="7" s="1"/>
  <c r="Z1844" i="7" s="1"/>
  <c r="AA1844" i="7" s="1"/>
  <c r="C1895" i="7"/>
  <c r="D1895" i="7" s="1"/>
  <c r="Y1895" i="7" s="1"/>
  <c r="Z1895" i="7" s="1"/>
  <c r="AA1895" i="7" s="1"/>
  <c r="C1885" i="7"/>
  <c r="D1885" i="7" s="1"/>
  <c r="Y1885" i="7" s="1"/>
  <c r="Z1885" i="7" s="1"/>
  <c r="AA1885" i="7" s="1"/>
  <c r="C1804" i="7"/>
  <c r="D1804" i="7" s="1"/>
  <c r="Y1804" i="7" s="1"/>
  <c r="Z1804" i="7" s="1"/>
  <c r="AA1804" i="7" s="1"/>
  <c r="C1854" i="7"/>
  <c r="D1854" i="7" s="1"/>
  <c r="Y1854" i="7" s="1"/>
  <c r="Z1854" i="7" s="1"/>
  <c r="AA1854" i="7" s="1"/>
  <c r="C1793" i="7"/>
  <c r="D1793" i="7" s="1"/>
  <c r="Y1793" i="7" s="1"/>
  <c r="Z1793" i="7" s="1"/>
  <c r="AA1793" i="7" s="1"/>
  <c r="C1779" i="7"/>
  <c r="D1779" i="7" s="1"/>
  <c r="Y1779" i="7" s="1"/>
  <c r="Z1779" i="7" s="1"/>
  <c r="AA1779" i="7" s="1"/>
  <c r="C1906" i="7"/>
  <c r="D1906" i="7" s="1"/>
  <c r="Y1906" i="7" s="1"/>
  <c r="Z1906" i="7" s="1"/>
  <c r="AA1906" i="7" s="1"/>
  <c r="C1836" i="7"/>
  <c r="D1836" i="7" s="1"/>
  <c r="Y1836" i="7" s="1"/>
  <c r="Z1836" i="7" s="1"/>
  <c r="AA1836" i="7" s="1"/>
  <c r="C1899" i="7"/>
  <c r="D1899" i="7" s="1"/>
  <c r="Y1899" i="7" s="1"/>
  <c r="Z1899" i="7" s="1"/>
  <c r="AA1899" i="7" s="1"/>
  <c r="C1850" i="7"/>
  <c r="D1850" i="7" s="1"/>
  <c r="Y1850" i="7" s="1"/>
  <c r="Z1850" i="7" s="1"/>
  <c r="AA1850" i="7" s="1"/>
  <c r="C1825" i="7"/>
  <c r="D1825" i="7" s="1"/>
  <c r="Y1825" i="7" s="1"/>
  <c r="Z1825" i="7" s="1"/>
  <c r="AA1825" i="7" s="1"/>
  <c r="C1783" i="7"/>
  <c r="D1783" i="7" s="1"/>
  <c r="Y1783" i="7" s="1"/>
  <c r="Z1783" i="7" s="1"/>
  <c r="AA1783" i="7" s="1"/>
  <c r="C1849" i="7"/>
  <c r="D1849" i="7" s="1"/>
  <c r="Y1849" i="7" s="1"/>
  <c r="Z1849" i="7" s="1"/>
  <c r="AA1849" i="7" s="1"/>
  <c r="C1818" i="7"/>
  <c r="D1818" i="7" s="1"/>
  <c r="Y1818" i="7" s="1"/>
  <c r="Z1818" i="7" s="1"/>
  <c r="AA1818" i="7" s="1"/>
  <c r="C1861" i="7"/>
  <c r="D1861" i="7" s="1"/>
  <c r="Y1861" i="7" s="1"/>
  <c r="Z1861" i="7" s="1"/>
  <c r="AA1861" i="7" s="1"/>
  <c r="C1791" i="7"/>
  <c r="D1791" i="7" s="1"/>
  <c r="Y1791" i="7" s="1"/>
  <c r="Z1791" i="7" s="1"/>
  <c r="AA1791" i="7" s="1"/>
  <c r="C1848" i="7"/>
  <c r="D1848" i="7" s="1"/>
  <c r="Y1848" i="7" s="1"/>
  <c r="Z1848" i="7" s="1"/>
  <c r="AA1848" i="7" s="1"/>
  <c r="C1769" i="7"/>
  <c r="D1769" i="7" s="1"/>
  <c r="Y1769" i="7" s="1"/>
  <c r="Z1769" i="7" s="1"/>
  <c r="AA1769" i="7" s="1"/>
  <c r="C1913" i="7"/>
  <c r="D1913" i="7" s="1"/>
  <c r="Y1913" i="7" s="1"/>
  <c r="Z1913" i="7" s="1"/>
  <c r="AA1913" i="7" s="1"/>
  <c r="C1834" i="7"/>
  <c r="D1834" i="7" s="1"/>
  <c r="Y1834" i="7" s="1"/>
  <c r="Z1834" i="7" s="1"/>
  <c r="AA1834" i="7" s="1"/>
  <c r="C1842" i="7"/>
  <c r="D1842" i="7" s="1"/>
  <c r="Y1842" i="7" s="1"/>
  <c r="Z1842" i="7" s="1"/>
  <c r="AA1842" i="7" s="1"/>
  <c r="C1767" i="7"/>
  <c r="D1767" i="7" s="1"/>
  <c r="Y1767" i="7" s="1"/>
  <c r="Z1767" i="7" s="1"/>
  <c r="AA1767" i="7" s="1"/>
  <c r="C1831" i="7"/>
  <c r="D1831" i="7" s="1"/>
  <c r="Y1831" i="7" s="1"/>
  <c r="Z1831" i="7" s="1"/>
  <c r="AA1831" i="7" s="1"/>
  <c r="C4" i="7"/>
  <c r="D4" i="7" s="1"/>
  <c r="Y4" i="7" s="1"/>
  <c r="Z4" i="7" s="1"/>
  <c r="AA4" i="7" s="1"/>
  <c r="C1778" i="7"/>
  <c r="D1778" i="7" s="1"/>
  <c r="Y1778" i="7" s="1"/>
  <c r="Z1778" i="7" s="1"/>
  <c r="AA1778" i="7" s="1"/>
  <c r="C1893" i="7"/>
  <c r="D1893" i="7" s="1"/>
  <c r="Y1893" i="7" s="1"/>
  <c r="Z1893" i="7" s="1"/>
  <c r="AA1893" i="7" s="1"/>
  <c r="C1790" i="7"/>
  <c r="D1790" i="7" s="1"/>
  <c r="Y1790" i="7" s="1"/>
  <c r="Z1790" i="7" s="1"/>
  <c r="AA1790" i="7" s="1"/>
  <c r="C1765" i="7"/>
  <c r="D1765" i="7" s="1"/>
  <c r="Y1765" i="7" s="1"/>
  <c r="Z1765" i="7" s="1"/>
  <c r="AA1765" i="7" s="1"/>
  <c r="C1905" i="7"/>
  <c r="D1905" i="7" s="1"/>
  <c r="Y1905" i="7" s="1"/>
  <c r="Z1905" i="7" s="1"/>
  <c r="AA1905" i="7" s="1"/>
  <c r="C1803" i="7"/>
  <c r="D1803" i="7" s="1"/>
  <c r="Y1803" i="7" s="1"/>
  <c r="Z1803" i="7" s="1"/>
  <c r="AA1803" i="7" s="1"/>
  <c r="C1867" i="7"/>
  <c r="D1867" i="7" s="1"/>
  <c r="Y1867" i="7" s="1"/>
  <c r="Z1867" i="7" s="1"/>
  <c r="AA1867" i="7" s="1"/>
  <c r="C1863" i="7"/>
  <c r="D1863" i="7" s="1"/>
  <c r="Y1863" i="7" s="1"/>
  <c r="Z1863" i="7" s="1"/>
  <c r="AA1863" i="7" s="1"/>
  <c r="C1838" i="7"/>
  <c r="D1838" i="7" s="1"/>
  <c r="Y1838" i="7" s="1"/>
  <c r="Z1838" i="7" s="1"/>
  <c r="AA1838" i="7" s="1"/>
  <c r="C1813" i="7"/>
  <c r="D1813" i="7" s="1"/>
  <c r="Y1813" i="7" s="1"/>
  <c r="Z1813" i="7" s="1"/>
  <c r="AA1813" i="7" s="1"/>
  <c r="C1785" i="7"/>
  <c r="D1785" i="7" s="1"/>
  <c r="Y1785" i="7" s="1"/>
  <c r="Z1785" i="7" s="1"/>
  <c r="AA1785" i="7" s="1"/>
  <c r="C1782" i="7"/>
  <c r="D1782" i="7" s="1"/>
  <c r="Y1782" i="7" s="1"/>
  <c r="Z1782" i="7" s="1"/>
  <c r="AA1782" i="7" s="1"/>
  <c r="C1858" i="7"/>
  <c r="D1858" i="7" s="1"/>
  <c r="Y1858" i="7" s="1"/>
  <c r="Z1858" i="7" s="1"/>
  <c r="AA1858" i="7" s="1"/>
  <c r="C1865" i="7"/>
  <c r="D1865" i="7" s="1"/>
  <c r="Y1865" i="7" s="1"/>
  <c r="Z1865" i="7" s="1"/>
  <c r="AA1865" i="7" s="1"/>
  <c r="C1859" i="7"/>
  <c r="D1859" i="7" s="1"/>
  <c r="Y1859" i="7" s="1"/>
  <c r="Z1859" i="7" s="1"/>
  <c r="AA1859" i="7" s="1"/>
  <c r="C1771" i="7"/>
  <c r="D1771" i="7" s="1"/>
  <c r="Y1771" i="7" s="1"/>
  <c r="Z1771" i="7" s="1"/>
  <c r="AA1771" i="7" s="1"/>
  <c r="C1786" i="7"/>
  <c r="D1786" i="7" s="1"/>
  <c r="Y1786" i="7" s="1"/>
  <c r="Z1786" i="7" s="1"/>
  <c r="AA1786" i="7" s="1"/>
  <c r="C1764" i="7"/>
  <c r="D1764" i="7" s="1"/>
  <c r="Y1764" i="7" s="1"/>
  <c r="Z1764" i="7" s="1"/>
  <c r="AA1764" i="7" s="1"/>
  <c r="C1908" i="7"/>
  <c r="D1908" i="7" s="1"/>
  <c r="Y1908" i="7" s="1"/>
  <c r="Z1908" i="7" s="1"/>
  <c r="AA1908" i="7" s="1"/>
  <c r="Z1845" i="7"/>
  <c r="AA1845" i="7" s="1"/>
  <c r="Z1882" i="7"/>
  <c r="AA1882" i="7" s="1"/>
  <c r="Z1794" i="7"/>
  <c r="AA1794" i="7" s="1"/>
  <c r="Z1880" i="7"/>
  <c r="AA1880" i="7" s="1"/>
  <c r="Z1877" i="7"/>
  <c r="AA1877" i="7" s="1"/>
  <c r="Z1855" i="7"/>
  <c r="AA1855" i="7" s="1"/>
  <c r="Z1799" i="7"/>
  <c r="AA1799" i="7" s="1"/>
  <c r="Z1808" i="7"/>
  <c r="AA1808" i="7" s="1"/>
  <c r="Z1901" i="7"/>
  <c r="AA1901" i="7" s="1"/>
  <c r="Z1823" i="7"/>
  <c r="AA1823" i="7" s="1"/>
  <c r="Z1881" i="7"/>
  <c r="AA1881" i="7" s="1"/>
  <c r="Z1787" i="7"/>
  <c r="AA1787" i="7" s="1"/>
  <c r="Z1878" i="7"/>
  <c r="AA1878" i="7" s="1"/>
  <c r="Z1832" i="7"/>
  <c r="AA1832" i="7" s="1"/>
  <c r="Z1772" i="7"/>
  <c r="AA1772" i="7" s="1"/>
  <c r="Z1829" i="7"/>
  <c r="AA1829" i="7" s="1"/>
  <c r="Z1866" i="7"/>
  <c r="AA1866" i="7" s="1"/>
  <c r="Z1841" i="7"/>
  <c r="AA1841" i="7" s="1"/>
  <c r="Z1904" i="7"/>
  <c r="AA1904" i="7" s="1"/>
  <c r="Z1788" i="7"/>
  <c r="AA1788" i="7" s="1"/>
  <c r="W1788" i="7"/>
  <c r="X1788" i="7" s="1"/>
  <c r="Z1784" i="7"/>
  <c r="AA1784" i="7" s="1"/>
  <c r="Z1775" i="7"/>
  <c r="AA1775" i="7" s="1"/>
  <c r="Z1830" i="7"/>
  <c r="AA1830" i="7" s="1"/>
  <c r="Z1809" i="7"/>
  <c r="AA1809" i="7" s="1"/>
  <c r="Z1871" i="7"/>
  <c r="AA1871" i="7" s="1"/>
  <c r="Z1856" i="7"/>
  <c r="AA1856" i="7" s="1"/>
  <c r="Z1896" i="7"/>
  <c r="AA1896" i="7" s="1"/>
  <c r="Z1789" i="7"/>
  <c r="AA1789" i="7" s="1"/>
  <c r="Z1824" i="7"/>
  <c r="AA1824" i="7" s="1"/>
  <c r="Z1796" i="7"/>
  <c r="AA1796" i="7" s="1"/>
  <c r="Z1868" i="7"/>
  <c r="AA1868" i="7" s="1"/>
  <c r="Z1770" i="7"/>
  <c r="AA1770" i="7" s="1"/>
  <c r="Z1835" i="7"/>
  <c r="AA1835" i="7" s="1"/>
  <c r="Z1820" i="7"/>
  <c r="AA1820" i="7" s="1"/>
  <c r="Z1811" i="7"/>
  <c r="AA1811" i="7" s="1"/>
  <c r="Z1773" i="7"/>
  <c r="AA1773" i="7" s="1"/>
  <c r="Z1847" i="7"/>
  <c r="AA1847" i="7" s="1"/>
  <c r="Z1860" i="7"/>
  <c r="AA1860" i="7" s="1"/>
  <c r="Z1907" i="7"/>
  <c r="AA1907" i="7" s="1"/>
  <c r="Z1892" i="7"/>
  <c r="AA1892" i="7" s="1"/>
  <c r="Z1883" i="7"/>
  <c r="AA1883" i="7" s="1"/>
  <c r="Z1902" i="7"/>
  <c r="AA1902" i="7" s="1"/>
  <c r="Z1843" i="7"/>
  <c r="AA1843" i="7" s="1"/>
  <c r="W1824" i="7"/>
  <c r="X1824" i="7" s="1"/>
  <c r="W1836" i="7"/>
  <c r="X1836" i="7" s="1"/>
  <c r="W1911" i="7"/>
  <c r="X1911" i="7" s="1"/>
  <c r="W1829" i="7"/>
  <c r="X1829" i="7" s="1"/>
  <c r="W1884" i="7"/>
  <c r="X1884" i="7" s="1"/>
  <c r="W1825" i="7"/>
  <c r="X1825" i="7" s="1"/>
  <c r="W1896" i="7"/>
  <c r="X1896" i="7" s="1"/>
  <c r="W4" i="7"/>
  <c r="X4" i="7" s="1"/>
  <c r="W1814" i="7"/>
  <c r="X1814" i="7" s="1"/>
  <c r="W1900" i="7"/>
  <c r="X1900" i="7" s="1"/>
  <c r="W1802" i="7"/>
  <c r="X1802" i="7" s="1"/>
  <c r="W1779" i="7"/>
  <c r="X1779" i="7" s="1"/>
  <c r="W1881" i="7"/>
  <c r="X1881" i="7" s="1"/>
  <c r="W1795" i="7"/>
  <c r="X1795" i="7" s="1"/>
  <c r="W1837" i="7"/>
  <c r="X1837" i="7" s="1"/>
  <c r="W1820" i="7"/>
  <c r="X1820" i="7" s="1"/>
  <c r="W1841" i="7"/>
  <c r="X1841" i="7" s="1"/>
  <c r="W1775" i="7"/>
  <c r="X1775" i="7" s="1"/>
  <c r="W1791" i="7"/>
  <c r="X1791" i="7" s="1"/>
  <c r="W1807" i="7"/>
  <c r="X1807" i="7" s="1"/>
  <c r="W1842" i="7"/>
  <c r="X1842" i="7" s="1"/>
  <c r="W1854" i="7"/>
  <c r="X1854" i="7" s="1"/>
  <c r="W1801" i="7"/>
  <c r="X1801" i="7" s="1"/>
  <c r="W1784" i="7"/>
  <c r="X1784" i="7" s="1"/>
  <c r="W1892" i="7"/>
  <c r="X1892" i="7" s="1"/>
  <c r="W1857" i="7"/>
  <c r="X1857" i="7" s="1"/>
  <c r="W1876" i="7"/>
  <c r="X1876" i="7" s="1"/>
  <c r="W1828" i="7"/>
  <c r="X1828" i="7" s="1"/>
  <c r="W1818" i="7"/>
  <c r="X1818" i="7" s="1"/>
  <c r="W1805" i="7"/>
  <c r="X1805" i="7" s="1"/>
  <c r="W1883" i="7"/>
  <c r="X1883" i="7" s="1"/>
  <c r="W1771" i="7"/>
  <c r="X1771" i="7" s="1"/>
  <c r="W1887" i="7"/>
  <c r="X1887" i="7" s="1"/>
  <c r="W1860" i="7"/>
  <c r="X1860" i="7" s="1"/>
  <c r="W1790" i="7"/>
  <c r="X1790" i="7" s="1"/>
  <c r="W1813" i="7"/>
  <c r="X1813" i="7" s="1"/>
  <c r="W1796" i="7"/>
  <c r="X1796" i="7" s="1"/>
  <c r="W1845" i="7"/>
  <c r="X1845" i="7" s="1"/>
  <c r="W1888" i="7"/>
  <c r="X1888" i="7" s="1"/>
  <c r="W1864" i="7"/>
  <c r="X1864" i="7" s="1"/>
  <c r="W1830" i="7"/>
  <c r="X1830" i="7" s="1"/>
  <c r="W1817" i="7"/>
  <c r="X1817" i="7" s="1"/>
  <c r="W1895" i="7"/>
  <c r="X1895" i="7" s="1"/>
  <c r="W1767" i="7"/>
  <c r="X1767" i="7" s="1"/>
  <c r="W1783" i="7"/>
  <c r="X1783" i="7" s="1"/>
  <c r="W1846" i="7"/>
  <c r="X1846" i="7" s="1"/>
  <c r="W1872" i="7"/>
  <c r="X1872" i="7" s="1"/>
  <c r="W1866" i="7"/>
  <c r="X1866" i="7" s="1"/>
  <c r="W1853" i="7"/>
  <c r="X1853" i="7" s="1"/>
  <c r="W1787" i="7"/>
  <c r="X1787" i="7" s="1"/>
  <c r="W1803" i="7"/>
  <c r="X1803" i="7" s="1"/>
  <c r="W1819" i="7"/>
  <c r="X1819" i="7" s="1"/>
  <c r="W1838" i="7"/>
  <c r="X1838" i="7" s="1"/>
  <c r="W1849" i="7"/>
  <c r="X1849" i="7" s="1"/>
  <c r="W1844" i="7"/>
  <c r="X1844" i="7" s="1"/>
  <c r="W1792" i="7"/>
  <c r="X1792" i="7" s="1"/>
  <c r="W1878" i="7"/>
  <c r="X1878" i="7" s="1"/>
  <c r="W1865" i="7"/>
  <c r="X1865" i="7" s="1"/>
  <c r="W1799" i="7"/>
  <c r="X1799" i="7" s="1"/>
  <c r="W1815" i="7"/>
  <c r="X1815" i="7" s="1"/>
  <c r="W1831" i="7"/>
  <c r="X1831" i="7" s="1"/>
  <c r="W1776" i="7"/>
  <c r="X1776" i="7" s="1"/>
  <c r="W1826" i="7"/>
  <c r="X1826" i="7" s="1"/>
  <c r="W1908" i="7"/>
  <c r="X1908" i="7" s="1"/>
  <c r="W1850" i="7"/>
  <c r="X1850" i="7" s="1"/>
  <c r="W1861" i="7"/>
  <c r="X1861" i="7" s="1"/>
  <c r="W1856" i="7"/>
  <c r="X1856" i="7" s="1"/>
  <c r="W1890" i="7"/>
  <c r="X1890" i="7" s="1"/>
  <c r="W1877" i="7"/>
  <c r="X1877" i="7" s="1"/>
  <c r="W1811" i="7"/>
  <c r="X1811" i="7" s="1"/>
  <c r="W1827" i="7"/>
  <c r="X1827" i="7" s="1"/>
  <c r="W1843" i="7"/>
  <c r="X1843" i="7" s="1"/>
  <c r="W1832" i="7"/>
  <c r="X1832" i="7" s="1"/>
  <c r="W1862" i="7"/>
  <c r="X1862" i="7" s="1"/>
  <c r="W1773" i="7"/>
  <c r="X1773" i="7" s="1"/>
  <c r="W1823" i="7"/>
  <c r="X1823" i="7" s="1"/>
  <c r="W1839" i="7"/>
  <c r="X1839" i="7" s="1"/>
  <c r="W1855" i="7"/>
  <c r="X1855" i="7" s="1"/>
  <c r="W1800" i="7"/>
  <c r="X1800" i="7" s="1"/>
  <c r="W1874" i="7"/>
  <c r="X1874" i="7" s="1"/>
  <c r="W1765" i="7"/>
  <c r="X1765" i="7" s="1"/>
  <c r="W1873" i="7"/>
  <c r="X1873" i="7" s="1"/>
  <c r="W1868" i="7"/>
  <c r="X1868" i="7" s="1"/>
  <c r="W1785" i="7"/>
  <c r="X1785" i="7" s="1"/>
  <c r="W1774" i="7"/>
  <c r="X1774" i="7" s="1"/>
  <c r="W1867" i="7"/>
  <c r="X1867" i="7" s="1"/>
  <c r="W1786" i="7"/>
  <c r="X1786" i="7" s="1"/>
  <c r="W1812" i="7"/>
  <c r="X1812" i="7" s="1"/>
  <c r="W1886" i="7"/>
  <c r="X1886" i="7" s="1"/>
  <c r="W1777" i="7"/>
  <c r="X1777" i="7" s="1"/>
  <c r="W1885" i="7"/>
  <c r="X1885" i="7" s="1"/>
  <c r="W1766" i="7"/>
  <c r="X1766" i="7" s="1"/>
  <c r="W1797" i="7"/>
  <c r="X1797" i="7" s="1"/>
  <c r="W1782" i="7"/>
  <c r="X1782" i="7" s="1"/>
  <c r="W1858" i="7"/>
  <c r="X1858" i="7" s="1"/>
  <c r="W1769" i="7"/>
  <c r="X1769" i="7" s="1"/>
  <c r="W1847" i="7"/>
  <c r="X1847" i="7" s="1"/>
  <c r="W1879" i="7"/>
  <c r="X1879" i="7" s="1"/>
  <c r="W1798" i="7"/>
  <c r="X1798" i="7" s="1"/>
  <c r="W1851" i="7"/>
  <c r="X1851" i="7" s="1"/>
  <c r="W1880" i="7"/>
  <c r="X1880" i="7" s="1"/>
  <c r="W1869" i="7"/>
  <c r="X1869" i="7" s="1"/>
  <c r="W1809" i="7"/>
  <c r="X1809" i="7" s="1"/>
  <c r="W1840" i="7"/>
  <c r="X1840" i="7" s="1"/>
  <c r="W1794" i="7"/>
  <c r="X1794" i="7" s="1"/>
  <c r="W1870" i="7"/>
  <c r="X1870" i="7" s="1"/>
  <c r="W1781" i="7"/>
  <c r="X1781" i="7" s="1"/>
  <c r="W1859" i="7"/>
  <c r="X1859" i="7" s="1"/>
  <c r="W1891" i="7"/>
  <c r="X1891" i="7" s="1"/>
  <c r="W1810" i="7"/>
  <c r="X1810" i="7" s="1"/>
  <c r="W1863" i="7"/>
  <c r="X1863" i="7" s="1"/>
  <c r="W1764" i="7"/>
  <c r="X1764" i="7" s="1"/>
  <c r="W1789" i="7"/>
  <c r="X1789" i="7" s="1"/>
  <c r="W1772" i="7"/>
  <c r="X1772" i="7" s="1"/>
  <c r="W1821" i="7"/>
  <c r="X1821" i="7" s="1"/>
  <c r="W1852" i="7"/>
  <c r="X1852" i="7" s="1"/>
  <c r="W1804" i="7"/>
  <c r="X1804" i="7" s="1"/>
  <c r="W1806" i="7"/>
  <c r="X1806" i="7" s="1"/>
  <c r="W1882" i="7"/>
  <c r="X1882" i="7" s="1"/>
  <c r="W1793" i="7"/>
  <c r="X1793" i="7" s="1"/>
  <c r="W1871" i="7"/>
  <c r="X1871" i="7" s="1"/>
  <c r="W1875" i="7"/>
  <c r="X1875" i="7" s="1"/>
  <c r="W1848" i="7"/>
  <c r="X1848" i="7" s="1"/>
  <c r="W1816" i="7"/>
  <c r="X1816" i="7" s="1"/>
  <c r="W1913" i="7"/>
  <c r="X1913" i="7" s="1"/>
  <c r="W1898" i="7"/>
  <c r="X1898" i="7" s="1"/>
  <c r="W1780" i="7"/>
  <c r="X1780" i="7" s="1"/>
  <c r="W1910" i="7"/>
  <c r="X1910" i="7" s="1"/>
  <c r="W1822" i="7"/>
  <c r="X1822" i="7" s="1"/>
  <c r="W1907" i="7"/>
  <c r="X1907" i="7" s="1"/>
  <c r="W1893" i="7"/>
  <c r="X1893" i="7" s="1"/>
  <c r="W1912" i="7"/>
  <c r="X1912" i="7" s="1"/>
  <c r="W1778" i="7"/>
  <c r="X1778" i="7" s="1"/>
  <c r="W1808" i="7"/>
  <c r="X1808" i="7" s="1"/>
  <c r="W1906" i="7"/>
  <c r="X1906" i="7" s="1"/>
  <c r="W1905" i="7"/>
  <c r="X1905" i="7" s="1"/>
  <c r="W1833" i="7"/>
  <c r="X1833" i="7" s="1"/>
  <c r="W1894" i="7"/>
  <c r="X1894" i="7" s="1"/>
  <c r="W1899" i="7"/>
  <c r="X1899" i="7" s="1"/>
  <c r="W1897" i="7"/>
  <c r="X1897" i="7" s="1"/>
  <c r="W1909" i="7"/>
  <c r="X1909" i="7" s="1"/>
  <c r="W1903" i="7"/>
  <c r="X1903" i="7" s="1"/>
  <c r="W1834" i="7"/>
  <c r="X1834" i="7" s="1"/>
  <c r="W1904" i="7"/>
  <c r="X1904" i="7" s="1"/>
  <c r="W1902" i="7"/>
  <c r="X1902" i="7" s="1"/>
  <c r="W1889" i="7"/>
  <c r="X1889" i="7" s="1"/>
  <c r="W1768" i="7"/>
  <c r="X1768" i="7" s="1"/>
  <c r="W1770" i="7"/>
  <c r="X1770" i="7" s="1"/>
  <c r="W1901" i="7"/>
  <c r="X1901" i="7" s="1"/>
  <c r="W1835" i="7"/>
  <c r="X1835" i="7" s="1"/>
  <c r="C3" i="7"/>
  <c r="D3" i="7" s="1"/>
  <c r="Y3" i="7" s="1"/>
  <c r="Z3" i="7" s="1"/>
  <c r="AA3" i="7" s="1"/>
  <c r="D12" i="8"/>
  <c r="D13" i="8"/>
  <c r="D15" i="8"/>
  <c r="D17" i="8"/>
  <c r="K9" i="8" s="1"/>
  <c r="H2" i="2"/>
  <c r="F12" i="3" l="1"/>
  <c r="H12" i="3" s="1"/>
  <c r="F4" i="15"/>
  <c r="G4" i="15" s="1"/>
  <c r="H4" i="15" s="1"/>
  <c r="F16" i="15"/>
  <c r="G16" i="15" s="1"/>
  <c r="H16" i="15" s="1"/>
  <c r="F13" i="3"/>
  <c r="H13" i="3" s="1"/>
  <c r="F5" i="15"/>
  <c r="G5" i="15" s="1"/>
  <c r="H5" i="15" s="1"/>
  <c r="F17" i="15"/>
  <c r="G17" i="15" s="1"/>
  <c r="H17" i="15" s="1"/>
  <c r="F13" i="15"/>
  <c r="G13" i="15" s="1"/>
  <c r="H13" i="15" s="1"/>
  <c r="F14" i="3"/>
  <c r="H14" i="3" s="1"/>
  <c r="F6" i="15"/>
  <c r="G6" i="15" s="1"/>
  <c r="H6" i="15" s="1"/>
  <c r="F18" i="15"/>
  <c r="G18" i="15" s="1"/>
  <c r="H18" i="15" s="1"/>
  <c r="F4" i="3"/>
  <c r="H4" i="3" s="1"/>
  <c r="F8" i="15"/>
  <c r="G8" i="15" s="1"/>
  <c r="H8" i="15" s="1"/>
  <c r="F17" i="3"/>
  <c r="H17" i="3" s="1"/>
  <c r="F2" i="15"/>
  <c r="G2" i="15" s="1"/>
  <c r="F19" i="3"/>
  <c r="H19" i="3" s="1"/>
  <c r="F3" i="3"/>
  <c r="H3" i="3" s="1"/>
  <c r="F15" i="3"/>
  <c r="H15" i="3" s="1"/>
  <c r="F7" i="15"/>
  <c r="G7" i="15" s="1"/>
  <c r="H7" i="15" s="1"/>
  <c r="F19" i="15"/>
  <c r="G19" i="15" s="1"/>
  <c r="H19" i="15" s="1"/>
  <c r="F16" i="3"/>
  <c r="H16" i="3" s="1"/>
  <c r="F20" i="15"/>
  <c r="G20" i="15" s="1"/>
  <c r="H20" i="15" s="1"/>
  <c r="F5" i="3"/>
  <c r="H5" i="3" s="1"/>
  <c r="F9" i="15"/>
  <c r="G9" i="15" s="1"/>
  <c r="H9" i="15" s="1"/>
  <c r="F6" i="3"/>
  <c r="H6" i="3" s="1"/>
  <c r="F10" i="15"/>
  <c r="G10" i="15" s="1"/>
  <c r="H10" i="15" s="1"/>
  <c r="F11" i="15"/>
  <c r="G11" i="15" s="1"/>
  <c r="H11" i="15" s="1"/>
  <c r="F8" i="3"/>
  <c r="H8" i="3" s="1"/>
  <c r="F20" i="3"/>
  <c r="H20" i="3" s="1"/>
  <c r="F21" i="15"/>
  <c r="G21" i="15" s="1"/>
  <c r="H21" i="15" s="1"/>
  <c r="F18" i="3"/>
  <c r="H18" i="3" s="1"/>
  <c r="F7" i="3"/>
  <c r="H7" i="3" s="1"/>
  <c r="F12" i="15"/>
  <c r="G12" i="15" s="1"/>
  <c r="H12" i="15" s="1"/>
  <c r="F21" i="3"/>
  <c r="H21" i="3" s="1"/>
  <c r="F10" i="3"/>
  <c r="H10" i="3" s="1"/>
  <c r="F2" i="3"/>
  <c r="H2" i="3" s="1"/>
  <c r="H22" i="3" s="1"/>
  <c r="G24" i="3" s="1"/>
  <c r="G25" i="3" s="1"/>
  <c r="G26" i="3" s="1"/>
  <c r="F14" i="15"/>
  <c r="G14" i="15" s="1"/>
  <c r="H14" i="15" s="1"/>
  <c r="F11" i="3"/>
  <c r="H11" i="3" s="1"/>
  <c r="F3" i="15"/>
  <c r="G3" i="15" s="1"/>
  <c r="H3" i="15" s="1"/>
  <c r="F15" i="15"/>
  <c r="G15" i="15" s="1"/>
  <c r="H15" i="15" s="1"/>
  <c r="F9" i="3"/>
  <c r="H9" i="3" s="1"/>
  <c r="Z893" i="11"/>
  <c r="Y1005" i="11" a="1"/>
  <c r="Y1005" i="11" s="1"/>
  <c r="Z1005" i="11"/>
  <c r="AA1005" i="11" s="1"/>
  <c r="AM1005" i="11" s="1"/>
  <c r="Z211" i="11"/>
  <c r="AA211" i="11" s="1"/>
  <c r="AM211" i="11" s="1"/>
  <c r="Y211" i="11" a="1"/>
  <c r="Y211" i="11" s="1"/>
  <c r="Y1477" i="11" a="1"/>
  <c r="Y1477" i="11" s="1"/>
  <c r="Z1477" i="11"/>
  <c r="AA1477" i="11" s="1"/>
  <c r="AM1477" i="11" s="1"/>
  <c r="Y1270" i="11" a="1"/>
  <c r="Y1270" i="11" s="1"/>
  <c r="Z1270" i="11"/>
  <c r="AA1270" i="11" s="1"/>
  <c r="AM1270" i="11" s="1"/>
  <c r="Y1310" i="11" a="1"/>
  <c r="Y1310" i="11" s="1"/>
  <c r="Z1310" i="11"/>
  <c r="AA1310" i="11" s="1"/>
  <c r="AM1310" i="11" s="1"/>
  <c r="Z1255" i="11"/>
  <c r="AA1255" i="11" s="1"/>
  <c r="AM1255" i="11" s="1"/>
  <c r="Y1255" i="11" a="1"/>
  <c r="Y1255" i="11" s="1"/>
  <c r="Z1273" i="11"/>
  <c r="AA1273" i="11" s="1"/>
  <c r="AM1273" i="11" s="1"/>
  <c r="Y1273" i="11" a="1"/>
  <c r="Y1273" i="11" s="1"/>
  <c r="Z1061" i="11"/>
  <c r="AA1061" i="11" s="1"/>
  <c r="AM1061" i="11" s="1"/>
  <c r="Y1061" i="11" a="1"/>
  <c r="Y1061" i="11" s="1"/>
  <c r="Y622" i="11" a="1"/>
  <c r="Y622" i="11" s="1"/>
  <c r="Z622" i="11"/>
  <c r="AA622" i="11" s="1"/>
  <c r="AM622" i="11" s="1"/>
  <c r="Z991" i="11"/>
  <c r="AA991" i="11" s="1"/>
  <c r="AM991" i="11" s="1"/>
  <c r="Y991" i="11" a="1"/>
  <c r="Y991" i="11" s="1"/>
  <c r="Z966" i="11"/>
  <c r="AA966" i="11" s="1"/>
  <c r="AM966" i="11" s="1"/>
  <c r="Y966" i="11" a="1"/>
  <c r="Y966" i="11" s="1"/>
  <c r="Y1413" i="11" a="1"/>
  <c r="Y1413" i="11" s="1"/>
  <c r="Z1413" i="11"/>
  <c r="AA1413" i="11" s="1"/>
  <c r="AM1413" i="11" s="1"/>
  <c r="Y1313" i="11" a="1"/>
  <c r="Y1313" i="11" s="1"/>
  <c r="Z1313" i="11"/>
  <c r="AA1313" i="11" s="1"/>
  <c r="AM1313" i="11" s="1"/>
  <c r="Y614" i="11" a="1"/>
  <c r="Y614" i="11" s="1"/>
  <c r="Z614" i="11"/>
  <c r="AA614" i="11" s="1"/>
  <c r="AM614" i="11" s="1"/>
  <c r="Y957" i="11" a="1"/>
  <c r="Y957" i="11" s="1"/>
  <c r="Z957" i="11"/>
  <c r="AA957" i="11" s="1"/>
  <c r="AM957" i="11" s="1"/>
  <c r="Z1054" i="11"/>
  <c r="AA1054" i="11" s="1"/>
  <c r="AM1054" i="11" s="1"/>
  <c r="Y1054" i="11" a="1"/>
  <c r="Y1054" i="11" s="1"/>
  <c r="Y1001" i="11" a="1"/>
  <c r="Y1001" i="11" s="1"/>
  <c r="Z1001" i="11"/>
  <c r="AA1001" i="11" s="1"/>
  <c r="AM1001" i="11" s="1"/>
  <c r="Y768" i="11" a="1"/>
  <c r="Y768" i="11" s="1"/>
  <c r="Z768" i="11"/>
  <c r="AA768" i="11" s="1"/>
  <c r="AM768" i="11" s="1"/>
  <c r="Y662" i="11" a="1"/>
  <c r="Y662" i="11" s="1"/>
  <c r="Z662" i="11"/>
  <c r="AA662" i="11" s="1"/>
  <c r="AM662" i="11" s="1"/>
  <c r="Y1077" i="11" a="1"/>
  <c r="Y1077" i="11" s="1"/>
  <c r="Z1077" i="11"/>
  <c r="AA1077" i="11" s="1"/>
  <c r="AM1077" i="11" s="1"/>
  <c r="Z1278" i="11"/>
  <c r="AA1278" i="11" s="1"/>
  <c r="AM1278" i="11" s="1"/>
  <c r="Y1278" i="11" a="1"/>
  <c r="Y1278" i="11" s="1"/>
  <c r="Z633" i="11"/>
  <c r="AA633" i="11" s="1"/>
  <c r="AM633" i="11" s="1"/>
  <c r="Y633" i="11" a="1"/>
  <c r="Y633" i="11" s="1"/>
  <c r="Y621" i="11" a="1"/>
  <c r="Y621" i="11" s="1"/>
  <c r="Z621" i="11"/>
  <c r="AA621" i="11" s="1"/>
  <c r="AM621" i="11" s="1"/>
  <c r="Z529" i="11"/>
  <c r="AA529" i="11" s="1"/>
  <c r="AM529" i="11" s="1"/>
  <c r="Y529" i="11" a="1"/>
  <c r="Y529" i="11" s="1"/>
  <c r="Y757" i="11" a="1"/>
  <c r="Y757" i="11" s="1"/>
  <c r="Z757" i="11"/>
  <c r="AA757" i="11" s="1"/>
  <c r="AM757" i="11" s="1"/>
  <c r="Y663" i="11" a="1"/>
  <c r="Y663" i="11" s="1"/>
  <c r="Z663" i="11"/>
  <c r="AA663" i="11" s="1"/>
  <c r="AM663" i="11" s="1"/>
  <c r="Z321" i="11"/>
  <c r="AA321" i="11" s="1"/>
  <c r="AM321" i="11" s="1"/>
  <c r="Y321" i="11" a="1"/>
  <c r="Y321" i="11" s="1"/>
  <c r="Y724" i="11" a="1"/>
  <c r="Y724" i="11" s="1"/>
  <c r="Z724" i="11"/>
  <c r="AA724" i="11" s="1"/>
  <c r="AM724" i="11" s="1"/>
  <c r="Y752" i="11" a="1"/>
  <c r="Y752" i="11" s="1"/>
  <c r="Z752" i="11"/>
  <c r="AA752" i="11" s="1"/>
  <c r="AM752" i="11" s="1"/>
  <c r="Z638" i="11"/>
  <c r="AA638" i="11" s="1"/>
  <c r="AM638" i="11" s="1"/>
  <c r="Y638" i="11" a="1"/>
  <c r="Y638" i="11" s="1"/>
  <c r="Y608" i="11" a="1"/>
  <c r="Y608" i="11" s="1"/>
  <c r="Z608" i="11"/>
  <c r="AA608" i="11" s="1"/>
  <c r="AM608" i="11" s="1"/>
  <c r="Y761" i="11" a="1"/>
  <c r="Y761" i="11" s="1"/>
  <c r="Z761" i="11"/>
  <c r="AA761" i="11" s="1"/>
  <c r="AM761" i="11" s="1"/>
  <c r="Y879" i="11" a="1"/>
  <c r="Y879" i="11" s="1"/>
  <c r="Z879" i="11"/>
  <c r="AA879" i="11" s="1"/>
  <c r="AM879" i="11" s="1"/>
  <c r="Z1057" i="11"/>
  <c r="AA1057" i="11" s="1"/>
  <c r="AM1057" i="11" s="1"/>
  <c r="Y1057" i="11" a="1"/>
  <c r="Y1057" i="11" s="1"/>
  <c r="Y1295" i="11" a="1"/>
  <c r="Y1295" i="11" s="1"/>
  <c r="Z1295" i="11"/>
  <c r="AA1295" i="11" s="1"/>
  <c r="AM1295" i="11" s="1"/>
  <c r="Y857" i="11" a="1"/>
  <c r="Y857" i="11" s="1"/>
  <c r="Z857" i="11"/>
  <c r="AA857" i="11" s="1"/>
  <c r="AM857" i="11" s="1"/>
  <c r="Z1510" i="11"/>
  <c r="AA1510" i="11" s="1"/>
  <c r="AM1510" i="11" s="1"/>
  <c r="Y1510" i="11" a="1"/>
  <c r="Y1510" i="11" s="1"/>
  <c r="Z1447" i="11"/>
  <c r="AA1447" i="11" s="1"/>
  <c r="AM1447" i="11" s="1"/>
  <c r="Y1447" i="11" a="1"/>
  <c r="Y1447" i="11" s="1"/>
  <c r="Y679" i="11" a="1"/>
  <c r="Y679" i="11" s="1"/>
  <c r="Z679" i="11"/>
  <c r="AA679" i="11" s="1"/>
  <c r="AM679" i="11" s="1"/>
  <c r="Y1503" i="11" a="1"/>
  <c r="Y1503" i="11" s="1"/>
  <c r="Z1503" i="11"/>
  <c r="AA1503" i="11" s="1"/>
  <c r="AM1503" i="11" s="1"/>
  <c r="Y1066" i="11" a="1"/>
  <c r="Y1066" i="11" s="1"/>
  <c r="Z1066" i="11"/>
  <c r="AA1066" i="11" s="1"/>
  <c r="AM1066" i="11" s="1"/>
  <c r="Z709" i="11"/>
  <c r="AA709" i="11" s="1"/>
  <c r="AM709" i="11" s="1"/>
  <c r="Y709" i="11" a="1"/>
  <c r="Y709" i="11" s="1"/>
  <c r="Z840" i="11"/>
  <c r="AA840" i="11" s="1"/>
  <c r="AM840" i="11" s="1"/>
  <c r="Y840" i="11" a="1"/>
  <c r="Y840" i="11" s="1"/>
  <c r="Y880" i="11" a="1"/>
  <c r="Y880" i="11" s="1"/>
  <c r="Z880" i="11"/>
  <c r="AA880" i="11" s="1"/>
  <c r="AM880" i="11" s="1"/>
  <c r="Y968" i="11" a="1"/>
  <c r="Y968" i="11" s="1"/>
  <c r="Z968" i="11"/>
  <c r="AA968" i="11" s="1"/>
  <c r="AM968" i="11" s="1"/>
  <c r="Y979" i="11" a="1"/>
  <c r="Y979" i="11" s="1"/>
  <c r="Z979" i="11"/>
  <c r="AA979" i="11" s="1"/>
  <c r="AM979" i="11" s="1"/>
  <c r="Y839" i="11" a="1"/>
  <c r="Y839" i="11" s="1"/>
  <c r="Z839" i="11"/>
  <c r="AA839" i="11" s="1"/>
  <c r="AM839" i="11" s="1"/>
  <c r="Y858" i="11" a="1"/>
  <c r="Y858" i="11" s="1"/>
  <c r="Z858" i="11"/>
  <c r="AA858" i="11" s="1"/>
  <c r="AM858" i="11" s="1"/>
  <c r="Y805" i="11" a="1"/>
  <c r="Y805" i="11" s="1"/>
  <c r="Z805" i="11"/>
  <c r="AA805" i="11" s="1"/>
  <c r="AM805" i="11" s="1"/>
  <c r="Z942" i="11"/>
  <c r="AA942" i="11" s="1"/>
  <c r="AM942" i="11" s="1"/>
  <c r="Y942" i="11" a="1"/>
  <c r="Y942" i="11" s="1"/>
  <c r="Y869" i="11" a="1"/>
  <c r="Y869" i="11" s="1"/>
  <c r="Z869" i="11"/>
  <c r="AA869" i="11" s="1"/>
  <c r="AM869" i="11" s="1"/>
  <c r="Y825" i="11" a="1"/>
  <c r="Y825" i="11" s="1"/>
  <c r="Z825" i="11"/>
  <c r="AA825" i="11" s="1"/>
  <c r="AM825" i="11" s="1"/>
  <c r="Y729" i="11" a="1"/>
  <c r="Y729" i="11" s="1"/>
  <c r="Z729" i="11"/>
  <c r="AA729" i="11" s="1"/>
  <c r="AM729" i="11" s="1"/>
  <c r="Y721" i="11" a="1"/>
  <c r="Y721" i="11" s="1"/>
  <c r="Z721" i="11"/>
  <c r="AA721" i="11" s="1"/>
  <c r="AM721" i="11" s="1"/>
  <c r="Y944" i="11" a="1"/>
  <c r="Y944" i="11" s="1"/>
  <c r="Z944" i="11"/>
  <c r="AA944" i="11" s="1"/>
  <c r="AM944" i="11" s="1"/>
  <c r="Y952" i="11" a="1"/>
  <c r="Y952" i="11" s="1"/>
  <c r="Z952" i="11"/>
  <c r="AA952" i="11" s="1"/>
  <c r="AM952" i="11" s="1"/>
  <c r="Y829" i="11" a="1"/>
  <c r="Y829" i="11" s="1"/>
  <c r="Z829" i="11"/>
  <c r="AA829" i="11" s="1"/>
  <c r="AM829" i="11" s="1"/>
  <c r="Y878" i="11" a="1"/>
  <c r="Y878" i="11" s="1"/>
  <c r="Z878" i="11"/>
  <c r="AA878" i="11" s="1"/>
  <c r="AM878" i="11" s="1"/>
  <c r="Y781" i="11" a="1"/>
  <c r="Y781" i="11" s="1"/>
  <c r="Z781" i="11"/>
  <c r="AA781" i="11" s="1"/>
  <c r="AM781" i="11" s="1"/>
  <c r="Y716" i="11" a="1"/>
  <c r="Y716" i="11" s="1"/>
  <c r="Z716" i="11"/>
  <c r="AA716" i="11" s="1"/>
  <c r="AM716" i="11" s="1"/>
  <c r="Z688" i="11"/>
  <c r="AA688" i="11" s="1"/>
  <c r="AM688" i="11" s="1"/>
  <c r="Y688" i="11" a="1"/>
  <c r="Y688" i="11" s="1"/>
  <c r="Z1287" i="11"/>
  <c r="AA1287" i="11" s="1"/>
  <c r="AM1287" i="11" s="1"/>
  <c r="Y1287" i="11" a="1"/>
  <c r="Y1287" i="11" s="1"/>
  <c r="Y1249" i="11" a="1"/>
  <c r="Y1249" i="11" s="1"/>
  <c r="Z1249" i="11"/>
  <c r="AA1249" i="11" s="1"/>
  <c r="AM1249" i="11" s="1"/>
  <c r="Y45" i="11" a="1"/>
  <c r="Y45" i="11" s="1"/>
  <c r="Z45" i="11"/>
  <c r="AA45" i="11" s="1"/>
  <c r="AM45" i="11" s="1"/>
  <c r="Z449" i="11"/>
  <c r="AA449" i="11" s="1"/>
  <c r="AM449" i="11" s="1"/>
  <c r="Y449" i="11" a="1"/>
  <c r="Y449" i="11" s="1"/>
  <c r="Z544" i="11"/>
  <c r="AA544" i="11" s="1"/>
  <c r="AM544" i="11" s="1"/>
  <c r="Y544" i="11" a="1"/>
  <c r="Y544" i="11" s="1"/>
  <c r="Y897" i="11" a="1"/>
  <c r="Y897" i="11" s="1"/>
  <c r="Z897" i="11"/>
  <c r="AA897" i="11" s="1"/>
  <c r="AM897" i="11" s="1"/>
  <c r="Y1239" i="11" a="1"/>
  <c r="Y1239" i="11" s="1"/>
  <c r="Z1239" i="11"/>
  <c r="AA1239" i="11" s="1"/>
  <c r="AM1239" i="11" s="1"/>
  <c r="Y1398" i="11" a="1"/>
  <c r="Y1398" i="11" s="1"/>
  <c r="Z1398" i="11"/>
  <c r="AA1398" i="11" s="1"/>
  <c r="AM1398" i="11" s="1"/>
  <c r="Z1501" i="11"/>
  <c r="AA1501" i="11" s="1"/>
  <c r="AM1501" i="11" s="1"/>
  <c r="Y1501" i="11" a="1"/>
  <c r="Y1501" i="11" s="1"/>
  <c r="Z1353" i="11"/>
  <c r="AA1353" i="11" s="1"/>
  <c r="AM1353" i="11" s="1"/>
  <c r="Y1353" i="11" a="1"/>
  <c r="Y1353" i="11" s="1"/>
  <c r="Z1109" i="11"/>
  <c r="AA1109" i="11" s="1"/>
  <c r="AM1109" i="11" s="1"/>
  <c r="Y1109" i="11" a="1"/>
  <c r="Y1109" i="11" s="1"/>
  <c r="Y1193" i="11" a="1"/>
  <c r="Y1193" i="11" s="1"/>
  <c r="Z1193" i="11"/>
  <c r="AA1193" i="11" s="1"/>
  <c r="AM1193" i="11" s="1"/>
  <c r="Y940" i="11" a="1"/>
  <c r="Y940" i="11" s="1"/>
  <c r="Z940" i="11"/>
  <c r="AA940" i="11" s="1"/>
  <c r="AM940" i="11" s="1"/>
  <c r="Z792" i="11"/>
  <c r="AA792" i="11" s="1"/>
  <c r="AM792" i="11" s="1"/>
  <c r="Y792" i="11" a="1"/>
  <c r="Y792" i="11" s="1"/>
  <c r="Y1035" i="11" a="1"/>
  <c r="Y1035" i="11" s="1"/>
  <c r="Z1035" i="11"/>
  <c r="AA1035" i="11" s="1"/>
  <c r="AM1035" i="11" s="1"/>
  <c r="Y872" i="11" a="1"/>
  <c r="Y872" i="11" s="1"/>
  <c r="Z872" i="11"/>
  <c r="AA872" i="11" s="1"/>
  <c r="AM872" i="11" s="1"/>
  <c r="Y1018" i="11" a="1"/>
  <c r="Y1018" i="11" s="1"/>
  <c r="Z1018" i="11"/>
  <c r="AA1018" i="11" s="1"/>
  <c r="AM1018" i="11" s="1"/>
  <c r="Y959" i="11" a="1"/>
  <c r="Y959" i="11" s="1"/>
  <c r="Z959" i="11"/>
  <c r="AA959" i="11" s="1"/>
  <c r="AM959" i="11" s="1"/>
  <c r="Y934" i="11" a="1"/>
  <c r="Y934" i="11" s="1"/>
  <c r="Z934" i="11"/>
  <c r="AA934" i="11" s="1"/>
  <c r="AM934" i="11" s="1"/>
  <c r="Y901" i="11" a="1"/>
  <c r="Y901" i="11" s="1"/>
  <c r="Z901" i="11"/>
  <c r="AA901" i="11" s="1"/>
  <c r="AM901" i="11" s="1"/>
  <c r="Y862" i="11" a="1"/>
  <c r="Y862" i="11" s="1"/>
  <c r="Z862" i="11"/>
  <c r="AA862" i="11" s="1"/>
  <c r="AM862" i="11" s="1"/>
  <c r="Y749" i="11" a="1"/>
  <c r="Y749" i="11" s="1"/>
  <c r="Z749" i="11"/>
  <c r="AA749" i="11" s="1"/>
  <c r="AM749" i="11" s="1"/>
  <c r="Z1469" i="11"/>
  <c r="AA1469" i="11" s="1"/>
  <c r="AM1469" i="11" s="1"/>
  <c r="Y1469" i="11" a="1"/>
  <c r="Y1469" i="11" s="1"/>
  <c r="Y969" i="11" a="1"/>
  <c r="Y969" i="11" s="1"/>
  <c r="Z969" i="11"/>
  <c r="AA969" i="11" s="1"/>
  <c r="AM969" i="11" s="1"/>
  <c r="Y961" i="11" a="1"/>
  <c r="Y961" i="11" s="1"/>
  <c r="Z961" i="11"/>
  <c r="AA961" i="11" s="1"/>
  <c r="AM961" i="11" s="1"/>
  <c r="Y559" i="11" a="1"/>
  <c r="Y559" i="11" s="1"/>
  <c r="Z559" i="11"/>
  <c r="AA559" i="11" s="1"/>
  <c r="AM559" i="11" s="1"/>
  <c r="Z794" i="11"/>
  <c r="AA794" i="11" s="1"/>
  <c r="AM794" i="11" s="1"/>
  <c r="Y794" i="11" a="1"/>
  <c r="Y794" i="11" s="1"/>
  <c r="Y77" i="11" a="1"/>
  <c r="Y77" i="11" s="1"/>
  <c r="Z77" i="11"/>
  <c r="AA77" i="11" s="1"/>
  <c r="AM77" i="11" s="1"/>
  <c r="Z929" i="11"/>
  <c r="AA929" i="11" s="1"/>
  <c r="AM929" i="11" s="1"/>
  <c r="Y929" i="11" a="1"/>
  <c r="Y929" i="11" s="1"/>
  <c r="Z568" i="11"/>
  <c r="AA568" i="11" s="1"/>
  <c r="AM568" i="11" s="1"/>
  <c r="Y568" i="11" a="1"/>
  <c r="Y568" i="11" s="1"/>
  <c r="Y1149" i="11" a="1"/>
  <c r="Y1149" i="11" s="1"/>
  <c r="Z1149" i="11"/>
  <c r="AA1149" i="11" s="1"/>
  <c r="AM1149" i="11" s="1"/>
  <c r="Y509" i="11" a="1"/>
  <c r="Y509" i="11" s="1"/>
  <c r="Z509" i="11"/>
  <c r="AA509" i="11" s="1"/>
  <c r="AM509" i="11" s="1"/>
  <c r="Y1423" i="11" a="1"/>
  <c r="Y1423" i="11" s="1"/>
  <c r="Z1423" i="11"/>
  <c r="AA1423" i="11" s="1"/>
  <c r="AM1423" i="11" s="1"/>
  <c r="Y1343" i="11" a="1"/>
  <c r="Y1343" i="11" s="1"/>
  <c r="Z1343" i="11"/>
  <c r="AA1343" i="11" s="1"/>
  <c r="AM1343" i="11" s="1"/>
  <c r="Y1241" i="11" a="1"/>
  <c r="Y1241" i="11" s="1"/>
  <c r="Z1241" i="11"/>
  <c r="AA1241" i="11" s="1"/>
  <c r="AM1241" i="11" s="1"/>
  <c r="Z703" i="11"/>
  <c r="AA703" i="11" s="1"/>
  <c r="AM703" i="11" s="1"/>
  <c r="Y703" i="11" a="1"/>
  <c r="Y703" i="11" s="1"/>
  <c r="Z926" i="11"/>
  <c r="AA926" i="11" s="1"/>
  <c r="AM926" i="11" s="1"/>
  <c r="Y926" i="11" a="1"/>
  <c r="Y926" i="11" s="1"/>
  <c r="Y833" i="11" a="1"/>
  <c r="Y833" i="11" s="1"/>
  <c r="Z833" i="11"/>
  <c r="AA833" i="11" s="1"/>
  <c r="AM833" i="11" s="1"/>
  <c r="Y1265" i="11" a="1"/>
  <c r="Y1265" i="11" s="1"/>
  <c r="Z1265" i="11"/>
  <c r="AA1265" i="11" s="1"/>
  <c r="AM1265" i="11" s="1"/>
  <c r="Z1342" i="11"/>
  <c r="AA1342" i="11" s="1"/>
  <c r="AM1342" i="11" s="1"/>
  <c r="Y1342" i="11" a="1"/>
  <c r="Y1342" i="11" s="1"/>
  <c r="Y705" i="11" a="1"/>
  <c r="Y705" i="11" s="1"/>
  <c r="Z705" i="11"/>
  <c r="AA705" i="11" s="1"/>
  <c r="AM705" i="11" s="1"/>
  <c r="Y1409" i="11" a="1"/>
  <c r="Y1409" i="11" s="1"/>
  <c r="Z1409" i="11"/>
  <c r="AA1409" i="11" s="1"/>
  <c r="AM1409" i="11" s="1"/>
  <c r="Y841" i="11" a="1"/>
  <c r="Y841" i="11" s="1"/>
  <c r="Z841" i="11"/>
  <c r="AA841" i="11" s="1"/>
  <c r="AM841" i="11" s="1"/>
  <c r="Z1465" i="11"/>
  <c r="AA1465" i="11" s="1"/>
  <c r="AM1465" i="11" s="1"/>
  <c r="Y1465" i="11" a="1"/>
  <c r="Y1465" i="11" s="1"/>
  <c r="Z1121" i="11"/>
  <c r="AA1121" i="11" s="1"/>
  <c r="AM1121" i="11" s="1"/>
  <c r="Y1121" i="11" a="1"/>
  <c r="Y1121" i="11" s="1"/>
  <c r="Z1429" i="11"/>
  <c r="AA1429" i="11" s="1"/>
  <c r="AM1429" i="11" s="1"/>
  <c r="Y1429" i="11" a="1"/>
  <c r="Y1429" i="11" s="1"/>
  <c r="Z1319" i="11"/>
  <c r="AA1319" i="11" s="1"/>
  <c r="AM1319" i="11" s="1"/>
  <c r="Y1319" i="11" a="1"/>
  <c r="Y1319" i="11" s="1"/>
  <c r="Y1485" i="11" a="1"/>
  <c r="Y1485" i="11" s="1"/>
  <c r="Z1485" i="11"/>
  <c r="AA1485" i="11" s="1"/>
  <c r="AM1485" i="11" s="1"/>
  <c r="Y1375" i="11" a="1"/>
  <c r="Y1375" i="11" s="1"/>
  <c r="Z1375" i="11"/>
  <c r="AA1375" i="11" s="1"/>
  <c r="AM1375" i="11" s="1"/>
  <c r="Z1430" i="11"/>
  <c r="AA1430" i="11" s="1"/>
  <c r="AM1430" i="11" s="1"/>
  <c r="Y1430" i="11" a="1"/>
  <c r="Y1430" i="11" s="1"/>
  <c r="Y266" i="11" a="1"/>
  <c r="Y266" i="11" s="1"/>
  <c r="Z266" i="11"/>
  <c r="AA266" i="11" s="1"/>
  <c r="AM266" i="11" s="1"/>
  <c r="Y877" i="11" a="1"/>
  <c r="Y877" i="11" s="1"/>
  <c r="Z877" i="11"/>
  <c r="AA877" i="11" s="1"/>
  <c r="AM877" i="11" s="1"/>
  <c r="Y497" i="11" a="1"/>
  <c r="Y497" i="11" s="1"/>
  <c r="Z497" i="11"/>
  <c r="AA497" i="11" s="1"/>
  <c r="AM497" i="11" s="1"/>
  <c r="Z727" i="11"/>
  <c r="AA727" i="11" s="1"/>
  <c r="AM727" i="11" s="1"/>
  <c r="Y727" i="11" a="1"/>
  <c r="Y727" i="11" s="1"/>
  <c r="Z1387" i="11"/>
  <c r="AA1387" i="11" s="1"/>
  <c r="AM1387" i="11" s="1"/>
  <c r="Y1387" i="11" a="1"/>
  <c r="Y1387" i="11" s="1"/>
  <c r="Y1463" i="11" a="1"/>
  <c r="Y1463" i="11" s="1"/>
  <c r="Z1463" i="11"/>
  <c r="AA1463" i="11" s="1"/>
  <c r="AM1463" i="11" s="1"/>
  <c r="Y921" i="11" a="1"/>
  <c r="Y921" i="11" s="1"/>
  <c r="Z921" i="11"/>
  <c r="AA921" i="11" s="1"/>
  <c r="AM921" i="11" s="1"/>
  <c r="Y1486" i="11" a="1"/>
  <c r="Y1486" i="11" s="1"/>
  <c r="Z1486" i="11"/>
  <c r="AA1486" i="11" s="1"/>
  <c r="AM1486" i="11" s="1"/>
  <c r="Y932" i="11" a="1"/>
  <c r="Y932" i="11" s="1"/>
  <c r="Z932" i="11"/>
  <c r="AA932" i="11" s="1"/>
  <c r="AM932" i="11" s="1"/>
  <c r="Y670" i="11" a="1"/>
  <c r="Y670" i="11" s="1"/>
  <c r="Z670" i="11"/>
  <c r="AA670" i="11" s="1"/>
  <c r="AM670" i="11" s="1"/>
  <c r="Y1185" i="11" a="1"/>
  <c r="Y1185" i="11" s="1"/>
  <c r="Z1185" i="11"/>
  <c r="AA1185" i="11" s="1"/>
  <c r="AM1185" i="11" s="1"/>
  <c r="Y745" i="11" a="1"/>
  <c r="Y745" i="11" s="1"/>
  <c r="Z745" i="11"/>
  <c r="AA745" i="11" s="1"/>
  <c r="AM745" i="11" s="1"/>
  <c r="Y1281" i="11" a="1"/>
  <c r="Y1281" i="11" s="1"/>
  <c r="Z1281" i="11"/>
  <c r="AA1281" i="11" s="1"/>
  <c r="AM1281" i="11" s="1"/>
  <c r="Y591" i="11" a="1"/>
  <c r="Y591" i="11" s="1"/>
  <c r="Z591" i="11"/>
  <c r="AA591" i="11" s="1"/>
  <c r="AM591" i="11" s="1"/>
  <c r="Y623" i="11" a="1"/>
  <c r="Y623" i="11" s="1"/>
  <c r="Z623" i="11"/>
  <c r="AA623" i="11" s="1"/>
  <c r="AM623" i="11" s="1"/>
  <c r="Z1473" i="11"/>
  <c r="AA1473" i="11" s="1"/>
  <c r="AM1473" i="11" s="1"/>
  <c r="Y1473" i="11" a="1"/>
  <c r="Y1473" i="11" s="1"/>
  <c r="Y905" i="11" a="1"/>
  <c r="Y905" i="11" s="1"/>
  <c r="Z905" i="11"/>
  <c r="AA905" i="11" s="1"/>
  <c r="AM905" i="11" s="1"/>
  <c r="Y1247" i="11" a="1"/>
  <c r="Y1247" i="11" s="1"/>
  <c r="Z1247" i="11"/>
  <c r="AA1247" i="11" s="1"/>
  <c r="AM1247" i="11" s="1"/>
  <c r="Z1294" i="11"/>
  <c r="AA1294" i="11" s="1"/>
  <c r="AM1294" i="11" s="1"/>
  <c r="Y1294" i="11" a="1"/>
  <c r="Y1294" i="11" s="1"/>
  <c r="Z964" i="11"/>
  <c r="AA964" i="11" s="1"/>
  <c r="AM964" i="11" s="1"/>
  <c r="Y964" i="11" a="1"/>
  <c r="Y964" i="11" s="1"/>
  <c r="Y101" i="11" a="1"/>
  <c r="Y101" i="11" s="1"/>
  <c r="Z101" i="11"/>
  <c r="AA101" i="11" s="1"/>
  <c r="AM101" i="11" s="1"/>
  <c r="Y985" i="11" a="1"/>
  <c r="Y985" i="11" s="1"/>
  <c r="Z985" i="11"/>
  <c r="AA985" i="11" s="1"/>
  <c r="AM985" i="11" s="1"/>
  <c r="Y600" i="11" a="1"/>
  <c r="Y600" i="11" s="1"/>
  <c r="Z600" i="11"/>
  <c r="AA600" i="11" s="1"/>
  <c r="AM600" i="11" s="1"/>
  <c r="Y612" i="11" a="1"/>
  <c r="Y612" i="11" s="1"/>
  <c r="Z612" i="11"/>
  <c r="AA612" i="11" s="1"/>
  <c r="AM612" i="11" s="1"/>
  <c r="Y656" i="11" a="1"/>
  <c r="Y656" i="11" s="1"/>
  <c r="Z656" i="11"/>
  <c r="AA656" i="11" s="1"/>
  <c r="AM656" i="11" s="1"/>
  <c r="Y1049" i="11" a="1"/>
  <c r="Y1049" i="11" s="1"/>
  <c r="Z1049" i="11"/>
  <c r="AA1049" i="11" s="1"/>
  <c r="AM1049" i="11" s="1"/>
  <c r="Y864" i="11" a="1"/>
  <c r="Y864" i="11" s="1"/>
  <c r="Z864" i="11"/>
  <c r="AA864" i="11" s="1"/>
  <c r="AM864" i="11" s="1"/>
  <c r="Y1125" i="11" a="1"/>
  <c r="Y1125" i="11" s="1"/>
  <c r="Z1125" i="11"/>
  <c r="AA1125" i="11" s="1"/>
  <c r="AM1125" i="11" s="1"/>
  <c r="Z1157" i="11"/>
  <c r="AA1157" i="11" s="1"/>
  <c r="AM1157" i="11" s="1"/>
  <c r="Y1157" i="11" a="1"/>
  <c r="Y1157" i="11" s="1"/>
  <c r="Z734" i="11"/>
  <c r="AA734" i="11" s="1"/>
  <c r="AM734" i="11" s="1"/>
  <c r="Y734" i="11" a="1"/>
  <c r="Y734" i="11" s="1"/>
  <c r="Z545" i="11"/>
  <c r="AA545" i="11" s="1"/>
  <c r="AM545" i="11" s="1"/>
  <c r="Y545" i="11" a="1"/>
  <c r="Y545" i="11" s="1"/>
  <c r="Z465" i="11"/>
  <c r="AA465" i="11" s="1"/>
  <c r="AM465" i="11" s="1"/>
  <c r="Y465" i="11" a="1"/>
  <c r="Y465" i="11" s="1"/>
  <c r="Y457" i="11" a="1"/>
  <c r="Y457" i="11" s="1"/>
  <c r="Z457" i="11"/>
  <c r="AA457" i="11" s="1"/>
  <c r="AM457" i="11" s="1"/>
  <c r="Y1039" i="11" a="1"/>
  <c r="Y1039" i="11" s="1"/>
  <c r="Z1039" i="11"/>
  <c r="AA1039" i="11" s="1"/>
  <c r="AM1039" i="11" s="1"/>
  <c r="Y640" i="11" a="1"/>
  <c r="Y640" i="11" s="1"/>
  <c r="Z640" i="11"/>
  <c r="AA640" i="11" s="1"/>
  <c r="AM640" i="11" s="1"/>
  <c r="Y895" i="11" a="1"/>
  <c r="Y895" i="11" s="1"/>
  <c r="Z895" i="11"/>
  <c r="AA895" i="11" s="1"/>
  <c r="AM895" i="11" s="1"/>
  <c r="Y645" i="11" a="1"/>
  <c r="Y645" i="11" s="1"/>
  <c r="Z645" i="11"/>
  <c r="AA645" i="11" s="1"/>
  <c r="AM645" i="11" s="1"/>
  <c r="Y69" i="11" a="1"/>
  <c r="Y69" i="11" s="1"/>
  <c r="Z69" i="11"/>
  <c r="AA69" i="11" s="1"/>
  <c r="AM69" i="11" s="1"/>
  <c r="Z950" i="11"/>
  <c r="AA950" i="11" s="1"/>
  <c r="AM950" i="11" s="1"/>
  <c r="Y950" i="11" a="1"/>
  <c r="Y950" i="11" s="1"/>
  <c r="Y141" i="11" a="1"/>
  <c r="Y141" i="11" s="1"/>
  <c r="Z141" i="11"/>
  <c r="AA141" i="11" s="1"/>
  <c r="AM141" i="11" s="1"/>
  <c r="Y1321" i="11" a="1"/>
  <c r="Y1321" i="11" s="1"/>
  <c r="Z1321" i="11"/>
  <c r="AA1321" i="11" s="1"/>
  <c r="AM1321" i="11" s="1"/>
  <c r="Y1335" i="11" a="1"/>
  <c r="Y1335" i="11" s="1"/>
  <c r="Z1335" i="11"/>
  <c r="AA1335" i="11" s="1"/>
  <c r="AM1335" i="11" s="1"/>
  <c r="Z767" i="11"/>
  <c r="AA767" i="11" s="1"/>
  <c r="AM767" i="11" s="1"/>
  <c r="Y767" i="11" a="1"/>
  <c r="Y767" i="11" s="1"/>
  <c r="Y29" i="11" a="1"/>
  <c r="Y29" i="11" s="1"/>
  <c r="Z29" i="11"/>
  <c r="AA29" i="11" s="1"/>
  <c r="AM29" i="11" s="1"/>
  <c r="Z617" i="11"/>
  <c r="AA617" i="11" s="1"/>
  <c r="AM617" i="11" s="1"/>
  <c r="Y617" i="11" a="1"/>
  <c r="Y617" i="11" s="1"/>
  <c r="Y1329" i="11" a="1"/>
  <c r="Y1329" i="11" s="1"/>
  <c r="Z1329" i="11"/>
  <c r="AA1329" i="11" s="1"/>
  <c r="AM1329" i="11" s="1"/>
  <c r="Y1414" i="11" a="1"/>
  <c r="Y1414" i="11" s="1"/>
  <c r="Z1414" i="11"/>
  <c r="AA1414" i="11" s="1"/>
  <c r="AM1414" i="11" s="1"/>
  <c r="Z769" i="11"/>
  <c r="AA769" i="11" s="1"/>
  <c r="AM769" i="11" s="1"/>
  <c r="Y769" i="11" a="1"/>
  <c r="Y769" i="11" s="1"/>
  <c r="Y948" i="11" a="1"/>
  <c r="Y948" i="11" s="1"/>
  <c r="Z948" i="11"/>
  <c r="AA948" i="11" s="1"/>
  <c r="AM948" i="11" s="1"/>
  <c r="Y37" i="11" a="1"/>
  <c r="Y37" i="11" s="1"/>
  <c r="Z37" i="11"/>
  <c r="AA37" i="11" s="1"/>
  <c r="AM37" i="11" s="1"/>
  <c r="Y265" i="11" a="1"/>
  <c r="Y265" i="11" s="1"/>
  <c r="Z265" i="11"/>
  <c r="AA265" i="11" s="1"/>
  <c r="AM265" i="11" s="1"/>
  <c r="Z536" i="11"/>
  <c r="AA536" i="11" s="1"/>
  <c r="AM536" i="11" s="1"/>
  <c r="Y536" i="11" a="1"/>
  <c r="Y536" i="11" s="1"/>
  <c r="Z977" i="11"/>
  <c r="AA977" i="11" s="1"/>
  <c r="AM977" i="11" s="1"/>
  <c r="Y977" i="11" a="1"/>
  <c r="Y977" i="11" s="1"/>
  <c r="Z592" i="11"/>
  <c r="AA592" i="11" s="1"/>
  <c r="AM592" i="11" s="1"/>
  <c r="Y592" i="11" a="1"/>
  <c r="Y592" i="11" s="1"/>
  <c r="Y916" i="11" a="1"/>
  <c r="Y916" i="11" s="1"/>
  <c r="Z916" i="11"/>
  <c r="AA916" i="11" s="1"/>
  <c r="AM916" i="11" s="1"/>
  <c r="Y776" i="11" a="1"/>
  <c r="Y776" i="11" s="1"/>
  <c r="Z776" i="11"/>
  <c r="AA776" i="11" s="1"/>
  <c r="AM776" i="11" s="1"/>
  <c r="Z989" i="11"/>
  <c r="AA989" i="11" s="1"/>
  <c r="AM989" i="11" s="1"/>
  <c r="Y989" i="11" a="1"/>
  <c r="Y989" i="11" s="1"/>
  <c r="Z1007" i="11"/>
  <c r="AA1007" i="11" s="1"/>
  <c r="AM1007" i="11" s="1"/>
  <c r="Y1007" i="11" a="1"/>
  <c r="Y1007" i="11" s="1"/>
  <c r="Y445" i="11" a="1"/>
  <c r="Y445" i="11" s="1"/>
  <c r="Z445" i="11"/>
  <c r="AA445" i="11" s="1"/>
  <c r="AM445" i="11" s="1"/>
  <c r="Z133" i="11"/>
  <c r="AA133" i="11" s="1"/>
  <c r="AM133" i="11" s="1"/>
  <c r="Y133" i="11" a="1"/>
  <c r="Y133" i="11" s="1"/>
  <c r="Y737" i="11" a="1"/>
  <c r="Y737" i="11" s="1"/>
  <c r="Z737" i="11"/>
  <c r="AA737" i="11" s="1"/>
  <c r="AM737" i="11" s="1"/>
  <c r="Y665" i="11" a="1"/>
  <c r="Y665" i="11" s="1"/>
  <c r="Z665" i="11"/>
  <c r="AA665" i="11" s="1"/>
  <c r="AM665" i="11" s="1"/>
  <c r="Y657" i="11" a="1"/>
  <c r="Y657" i="11" s="1"/>
  <c r="Z657" i="11"/>
  <c r="AA657" i="11" s="1"/>
  <c r="AM657" i="11" s="1"/>
  <c r="Y1062" i="11" a="1"/>
  <c r="Y1062" i="11" s="1"/>
  <c r="Z1062" i="11"/>
  <c r="AA1062" i="11" s="1"/>
  <c r="AM1062" i="11" s="1"/>
  <c r="Y832" i="11" a="1"/>
  <c r="Y832" i="11" s="1"/>
  <c r="Z832" i="11"/>
  <c r="AA832" i="11" s="1"/>
  <c r="AM832" i="11" s="1"/>
  <c r="Z986" i="11"/>
  <c r="AA986" i="11" s="1"/>
  <c r="AM986" i="11" s="1"/>
  <c r="Y986" i="11" a="1"/>
  <c r="Y986" i="11" s="1"/>
  <c r="Z814" i="11"/>
  <c r="AA814" i="11" s="1"/>
  <c r="AM814" i="11" s="1"/>
  <c r="Y814" i="11" a="1"/>
  <c r="Y814" i="11" s="1"/>
  <c r="Y693" i="11" a="1"/>
  <c r="Y693" i="11" s="1"/>
  <c r="Z693" i="11"/>
  <c r="AA693" i="11" s="1"/>
  <c r="AM693" i="11" s="1"/>
  <c r="Y1008" i="11" a="1"/>
  <c r="Y1008" i="11" s="1"/>
  <c r="Z1008" i="11"/>
  <c r="AA1008" i="11" s="1"/>
  <c r="AM1008" i="11" s="1"/>
  <c r="Y904" i="11" a="1"/>
  <c r="Y904" i="11" s="1"/>
  <c r="Z904" i="11"/>
  <c r="AA904" i="11" s="1"/>
  <c r="AM904" i="11" s="1"/>
  <c r="Z1479" i="11"/>
  <c r="AA1479" i="11" s="1"/>
  <c r="AM1479" i="11" s="1"/>
  <c r="Y1479" i="11" a="1"/>
  <c r="Y1479" i="11" s="1"/>
  <c r="Y1441" i="11" a="1"/>
  <c r="Y1441" i="11" s="1"/>
  <c r="Z1441" i="11"/>
  <c r="AA1441" i="11" s="1"/>
  <c r="AM1441" i="11" s="1"/>
  <c r="Y1297" i="11" a="1"/>
  <c r="Y1297" i="11" s="1"/>
  <c r="Z1297" i="11"/>
  <c r="AA1297" i="11" s="1"/>
  <c r="AM1297" i="11" s="1"/>
  <c r="Y953" i="11" a="1"/>
  <c r="Y953" i="11" s="1"/>
  <c r="Z953" i="11"/>
  <c r="AA953" i="11" s="1"/>
  <c r="AM953" i="11" s="1"/>
  <c r="Z575" i="11"/>
  <c r="AA575" i="11" s="1"/>
  <c r="AM575" i="11" s="1"/>
  <c r="Y575" i="11" a="1"/>
  <c r="Y575" i="11" s="1"/>
  <c r="Z1395" i="11"/>
  <c r="AA1395" i="11" s="1"/>
  <c r="AM1395" i="11" s="1"/>
  <c r="Y1395" i="11" a="1"/>
  <c r="Y1395" i="11" s="1"/>
  <c r="Z553" i="11"/>
  <c r="AA553" i="11" s="1"/>
  <c r="AM553" i="11" s="1"/>
  <c r="Y553" i="11" a="1"/>
  <c r="Y553" i="11" s="1"/>
  <c r="Y1350" i="11" a="1"/>
  <c r="Y1350" i="11" s="1"/>
  <c r="Z1350" i="11"/>
  <c r="AA1350" i="11" s="1"/>
  <c r="AM1350" i="11" s="1"/>
  <c r="Y1454" i="11" a="1"/>
  <c r="Y1454" i="11" s="1"/>
  <c r="Z1454" i="11"/>
  <c r="AA1454" i="11" s="1"/>
  <c r="AM1454" i="11" s="1"/>
  <c r="Z441" i="11"/>
  <c r="AA441" i="11" s="1"/>
  <c r="AM441" i="11" s="1"/>
  <c r="Y441" i="11" a="1"/>
  <c r="Y441" i="11" s="1"/>
  <c r="Y1137" i="11" a="1"/>
  <c r="Y1137" i="11" s="1"/>
  <c r="Z1137" i="11"/>
  <c r="AA1137" i="11" s="1"/>
  <c r="AM1137" i="11" s="1"/>
  <c r="Y561" i="11" a="1"/>
  <c r="Y561" i="11" s="1"/>
  <c r="Z561" i="11"/>
  <c r="AA561" i="11" s="1"/>
  <c r="AM561" i="11" s="1"/>
  <c r="Y697" i="11" a="1"/>
  <c r="Y697" i="11" s="1"/>
  <c r="Z697" i="11"/>
  <c r="AA697" i="11" s="1"/>
  <c r="AM697" i="11" s="1"/>
  <c r="Z1345" i="11"/>
  <c r="AA1345" i="11" s="1"/>
  <c r="AM1345" i="11" s="1"/>
  <c r="Y1345" i="11" a="1"/>
  <c r="Y1345" i="11" s="1"/>
  <c r="Y753" i="11" a="1"/>
  <c r="Y753" i="11" s="1"/>
  <c r="Z753" i="11"/>
  <c r="AA753" i="11" s="1"/>
  <c r="AM753" i="11" s="1"/>
  <c r="Y1337" i="11" a="1"/>
  <c r="Y1337" i="11" s="1"/>
  <c r="Z1337" i="11"/>
  <c r="AA1337" i="11" s="1"/>
  <c r="AM1337" i="11" s="1"/>
  <c r="Y175" i="11" a="1"/>
  <c r="Y175" i="11" s="1"/>
  <c r="Z175" i="11"/>
  <c r="AA175" i="11" s="1"/>
  <c r="AM175" i="11" s="1"/>
  <c r="Y504" i="11" a="1"/>
  <c r="Y504" i="11" s="1"/>
  <c r="Z504" i="11"/>
  <c r="AA504" i="11" s="1"/>
  <c r="AM504" i="11" s="1"/>
  <c r="Z888" i="11"/>
  <c r="AA888" i="11" s="1"/>
  <c r="AM888" i="11" s="1"/>
  <c r="Y888" i="11" a="1"/>
  <c r="Y888" i="11" s="1"/>
  <c r="Z1466" i="11"/>
  <c r="AA1466" i="11" s="1"/>
  <c r="AM1466" i="11" s="1"/>
  <c r="Y1466" i="11" a="1"/>
  <c r="Y1466" i="11" s="1"/>
  <c r="Y815" i="11" a="1"/>
  <c r="Y815" i="11" s="1"/>
  <c r="Z815" i="11"/>
  <c r="AA815" i="11" s="1"/>
  <c r="AM815" i="11" s="1"/>
  <c r="Y918" i="11" a="1"/>
  <c r="Y918" i="11" s="1"/>
  <c r="Z918" i="11"/>
  <c r="AA918" i="11" s="1"/>
  <c r="AM918" i="11" s="1"/>
  <c r="Y1026" i="11" a="1"/>
  <c r="Y1026" i="11" s="1"/>
  <c r="Z1026" i="11"/>
  <c r="AA1026" i="11" s="1"/>
  <c r="AM1026" i="11" s="1"/>
  <c r="Z718" i="11"/>
  <c r="AA718" i="11" s="1"/>
  <c r="AM718" i="11" s="1"/>
  <c r="Y718" i="11" a="1"/>
  <c r="Y718" i="11" s="1"/>
  <c r="Z647" i="11"/>
  <c r="AA647" i="11" s="1"/>
  <c r="AM647" i="11" s="1"/>
  <c r="Y647" i="11" a="1"/>
  <c r="Y647" i="11" s="1"/>
  <c r="Y1443" i="11" a="1"/>
  <c r="Y1443" i="11" s="1"/>
  <c r="Z1443" i="11"/>
  <c r="AA1443" i="11" s="1"/>
  <c r="AM1443" i="11" s="1"/>
  <c r="Z996" i="11"/>
  <c r="AA996" i="11" s="1"/>
  <c r="AM996" i="11" s="1"/>
  <c r="Y996" i="11" a="1"/>
  <c r="Y996" i="11" s="1"/>
  <c r="Y1513" i="11" a="1"/>
  <c r="Y1513" i="11" s="1"/>
  <c r="Z1513" i="11"/>
  <c r="AA1513" i="11" s="1"/>
  <c r="AM1513" i="11" s="1"/>
  <c r="Y1403" i="11" a="1"/>
  <c r="Y1403" i="11" s="1"/>
  <c r="Z1403" i="11"/>
  <c r="AA1403" i="11" s="1"/>
  <c r="AM1403" i="11" s="1"/>
  <c r="Z1457" i="11"/>
  <c r="AA1457" i="11" s="1"/>
  <c r="AM1457" i="11" s="1"/>
  <c r="Y1457" i="11" a="1"/>
  <c r="Y1457" i="11" s="1"/>
  <c r="Y1263" i="11" a="1"/>
  <c r="Y1263" i="11" s="1"/>
  <c r="Z1263" i="11"/>
  <c r="AA1263" i="11" s="1"/>
  <c r="AM1263" i="11" s="1"/>
  <c r="Y920" i="11" a="1"/>
  <c r="Y920" i="11" s="1"/>
  <c r="Z920" i="11"/>
  <c r="AA920" i="11" s="1"/>
  <c r="AM920" i="11" s="1"/>
  <c r="Y894" i="11" a="1"/>
  <c r="Y894" i="11" s="1"/>
  <c r="Z894" i="11"/>
  <c r="AA894" i="11" s="1"/>
  <c r="AM894" i="11" s="1"/>
  <c r="Y982" i="11" a="1"/>
  <c r="Y982" i="11" s="1"/>
  <c r="Z982" i="11"/>
  <c r="AA982" i="11" s="1"/>
  <c r="AM982" i="11" s="1"/>
  <c r="Z941" i="11"/>
  <c r="AA941" i="11" s="1"/>
  <c r="AM941" i="11" s="1"/>
  <c r="Y941" i="11" a="1"/>
  <c r="Y941" i="11" s="1"/>
  <c r="Y307" i="11" a="1"/>
  <c r="Y307" i="11" s="1"/>
  <c r="Z307" i="11"/>
  <c r="AA307" i="11" s="1"/>
  <c r="AM307" i="11" s="1"/>
  <c r="Z681" i="11"/>
  <c r="AA681" i="11" s="1"/>
  <c r="AM681" i="11" s="1"/>
  <c r="Y681" i="11" a="1"/>
  <c r="Y681" i="11" s="1"/>
  <c r="Y999" i="11" a="1"/>
  <c r="Y999" i="11" s="1"/>
  <c r="Z999" i="11"/>
  <c r="AA999" i="11" s="1"/>
  <c r="AM999" i="11" s="1"/>
  <c r="Y784" i="11" a="1"/>
  <c r="Y784" i="11" s="1"/>
  <c r="Z784" i="11"/>
  <c r="AA784" i="11" s="1"/>
  <c r="AM784" i="11" s="1"/>
  <c r="Y808" i="11" a="1"/>
  <c r="Y808" i="11" s="1"/>
  <c r="Z808" i="11"/>
  <c r="AA808" i="11" s="1"/>
  <c r="AM808" i="11" s="1"/>
  <c r="Y908" i="11" a="1"/>
  <c r="Y908" i="11" s="1"/>
  <c r="Z908" i="11"/>
  <c r="AA908" i="11" s="1"/>
  <c r="AM908" i="11" s="1"/>
  <c r="Y147" i="11" a="1"/>
  <c r="Y147" i="11" s="1"/>
  <c r="Z147" i="11"/>
  <c r="AA147" i="11" s="1"/>
  <c r="AM147" i="11" s="1"/>
  <c r="Y1497" i="11" a="1"/>
  <c r="Y1497" i="11" s="1"/>
  <c r="Z1497" i="11"/>
  <c r="AA1497" i="11" s="1"/>
  <c r="AM1497" i="11" s="1"/>
  <c r="Z639" i="11"/>
  <c r="AA639" i="11" s="1"/>
  <c r="AM639" i="11" s="1"/>
  <c r="Y639" i="11" a="1"/>
  <c r="Y639" i="11" s="1"/>
  <c r="Y710" i="11" a="1"/>
  <c r="Y710" i="11" s="1"/>
  <c r="Z710" i="11"/>
  <c r="AA710" i="11" s="1"/>
  <c r="AM710" i="11" s="1"/>
  <c r="Y1201" i="11" a="1"/>
  <c r="Y1201" i="11" s="1"/>
  <c r="Z1201" i="11"/>
  <c r="AA1201" i="11" s="1"/>
  <c r="AM1201" i="11" s="1"/>
  <c r="Y854" i="11" a="1"/>
  <c r="Y854" i="11" s="1"/>
  <c r="Z854" i="11"/>
  <c r="AA854" i="11" s="1"/>
  <c r="AM854" i="11" s="1"/>
  <c r="Z143" i="11"/>
  <c r="AA143" i="11" s="1"/>
  <c r="AM143" i="11" s="1"/>
  <c r="Y143" i="11" a="1"/>
  <c r="Y143" i="11" s="1"/>
  <c r="Y1418" i="11" a="1"/>
  <c r="Y1418" i="11" s="1"/>
  <c r="Z1418" i="11"/>
  <c r="AA1418" i="11" s="1"/>
  <c r="AM1418" i="11" s="1"/>
  <c r="Y1046" i="11" a="1"/>
  <c r="Y1046" i="11" s="1"/>
  <c r="Z1046" i="11"/>
  <c r="AA1046" i="11" s="1"/>
  <c r="AM1046" i="11" s="1"/>
  <c r="Z694" i="11"/>
  <c r="AA694" i="11" s="1"/>
  <c r="AM694" i="11" s="1"/>
  <c r="Y694" i="11" a="1"/>
  <c r="Y694" i="11" s="1"/>
  <c r="Y892" i="11" a="1"/>
  <c r="Y892" i="11" s="1"/>
  <c r="Z892" i="11"/>
  <c r="AA892" i="11" s="1"/>
  <c r="AM892" i="11" s="1"/>
  <c r="Y1385" i="11" a="1"/>
  <c r="Y1385" i="11" s="1"/>
  <c r="Z1385" i="11"/>
  <c r="AA1385" i="11" s="1"/>
  <c r="AM1385" i="11" s="1"/>
  <c r="Y1399" i="11" a="1"/>
  <c r="Y1399" i="11" s="1"/>
  <c r="Z1399" i="11"/>
  <c r="AA1399" i="11" s="1"/>
  <c r="AM1399" i="11" s="1"/>
  <c r="Y1369" i="11" a="1"/>
  <c r="Y1369" i="11" s="1"/>
  <c r="Z1369" i="11"/>
  <c r="AA1369" i="11" s="1"/>
  <c r="AM1369" i="11" s="1"/>
  <c r="Y577" i="11" a="1"/>
  <c r="Y577" i="11" s="1"/>
  <c r="Z577" i="11"/>
  <c r="AA577" i="11" s="1"/>
  <c r="AM577" i="11" s="1"/>
  <c r="Y992" i="11" a="1"/>
  <c r="Y992" i="11" s="1"/>
  <c r="Z992" i="11"/>
  <c r="AA992" i="11" s="1"/>
  <c r="AM992" i="11" s="1"/>
  <c r="Z981" i="11"/>
  <c r="AA981" i="11" s="1"/>
  <c r="AM981" i="11" s="1"/>
  <c r="Y981" i="11" a="1"/>
  <c r="Y981" i="11" s="1"/>
  <c r="Y155" i="11" a="1"/>
  <c r="Y155" i="11" s="1"/>
  <c r="Z155" i="11"/>
  <c r="AA155" i="11" s="1"/>
  <c r="AM155" i="11" s="1"/>
  <c r="Y927" i="11" a="1"/>
  <c r="Y927" i="11" s="1"/>
  <c r="Z927" i="11"/>
  <c r="AA927" i="11" s="1"/>
  <c r="AM927" i="11" s="1"/>
  <c r="Y201" i="11" a="1"/>
  <c r="Y201" i="11" s="1"/>
  <c r="Z201" i="11"/>
  <c r="AA201" i="11" s="1"/>
  <c r="AM201" i="11" s="1"/>
  <c r="Y528" i="11" a="1"/>
  <c r="Y528" i="11" s="1"/>
  <c r="Z528" i="11"/>
  <c r="AA528" i="11" s="1"/>
  <c r="AM528" i="11" s="1"/>
  <c r="Z740" i="11"/>
  <c r="AA740" i="11" s="1"/>
  <c r="AM740" i="11" s="1"/>
  <c r="Y740" i="11" a="1"/>
  <c r="Y740" i="11" s="1"/>
  <c r="Z712" i="11"/>
  <c r="AA712" i="11" s="1"/>
  <c r="AM712" i="11" s="1"/>
  <c r="Y712" i="11" a="1"/>
  <c r="Y712" i="11" s="1"/>
  <c r="Z702" i="11"/>
  <c r="AA702" i="11" s="1"/>
  <c r="AM702" i="11" s="1"/>
  <c r="Y702" i="11" a="1"/>
  <c r="Y702" i="11" s="1"/>
  <c r="Y785" i="11" a="1"/>
  <c r="Y785" i="11" s="1"/>
  <c r="Z785" i="11"/>
  <c r="AA785" i="11" s="1"/>
  <c r="AM785" i="11" s="1"/>
  <c r="Y552" i="11" a="1"/>
  <c r="Y552" i="11" s="1"/>
  <c r="Z552" i="11"/>
  <c r="AA552" i="11" s="1"/>
  <c r="AM552" i="11" s="1"/>
  <c r="Y673" i="11" a="1"/>
  <c r="Y673" i="11" s="1"/>
  <c r="Z673" i="11"/>
  <c r="AA673" i="11" s="1"/>
  <c r="AM673" i="11" s="1"/>
  <c r="Y601" i="11" a="1"/>
  <c r="Y601" i="11" s="1"/>
  <c r="Z601" i="11"/>
  <c r="AA601" i="11" s="1"/>
  <c r="AM601" i="11" s="1"/>
  <c r="Y593" i="11" a="1"/>
  <c r="Y593" i="11" s="1"/>
  <c r="Z593" i="11"/>
  <c r="AA593" i="11" s="1"/>
  <c r="AM593" i="11" s="1"/>
  <c r="Y161" i="11" a="1"/>
  <c r="Y161" i="11" s="1"/>
  <c r="Z161" i="11"/>
  <c r="AA161" i="11" s="1"/>
  <c r="AM161" i="11" s="1"/>
  <c r="Y512" i="11" a="1"/>
  <c r="Y512" i="11" s="1"/>
  <c r="Z512" i="11"/>
  <c r="AA512" i="11" s="1"/>
  <c r="AM512" i="11" s="1"/>
  <c r="Y988" i="11" a="1"/>
  <c r="Y988" i="11" s="1"/>
  <c r="Z988" i="11"/>
  <c r="AA988" i="11" s="1"/>
  <c r="AM988" i="11" s="1"/>
  <c r="Y863" i="11" a="1"/>
  <c r="Y863" i="11" s="1"/>
  <c r="Z863" i="11"/>
  <c r="AA863" i="11" s="1"/>
  <c r="AM863" i="11" s="1"/>
  <c r="Z909" i="11"/>
  <c r="AA909" i="11" s="1"/>
  <c r="AM909" i="11" s="1"/>
  <c r="Y909" i="11" a="1"/>
  <c r="Y909" i="11" s="1"/>
  <c r="Z806" i="11"/>
  <c r="AA806" i="11" s="1"/>
  <c r="AM806" i="11" s="1"/>
  <c r="Y806" i="11" a="1"/>
  <c r="Y806" i="11" s="1"/>
  <c r="Y742" i="11" a="1"/>
  <c r="Y742" i="11" s="1"/>
  <c r="Z742" i="11"/>
  <c r="AA742" i="11" s="1"/>
  <c r="AM742" i="11" s="1"/>
  <c r="Y1359" i="11" a="1"/>
  <c r="Y1359" i="11" s="1"/>
  <c r="Z1359" i="11"/>
  <c r="AA1359" i="11" s="1"/>
  <c r="AM1359" i="11" s="1"/>
  <c r="Y1279" i="11" a="1"/>
  <c r="Y1279" i="11" s="1"/>
  <c r="Z1279" i="11"/>
  <c r="AA1279" i="11" s="1"/>
  <c r="AM1279" i="11" s="1"/>
  <c r="Z1169" i="11"/>
  <c r="AA1169" i="11" s="1"/>
  <c r="AM1169" i="11" s="1"/>
  <c r="Y1169" i="11" a="1"/>
  <c r="Y1169" i="11" s="1"/>
  <c r="Y1233" i="11" a="1"/>
  <c r="Y1233" i="11" s="1"/>
  <c r="Z1233" i="11"/>
  <c r="AA1233" i="11" s="1"/>
  <c r="AM1233" i="11" s="1"/>
  <c r="Y865" i="11" a="1"/>
  <c r="Y865" i="11" s="1"/>
  <c r="Z865" i="11"/>
  <c r="AA865" i="11" s="1"/>
  <c r="AM865" i="11" s="1"/>
  <c r="Y995" i="11" a="1"/>
  <c r="Y995" i="11" s="1"/>
  <c r="Z995" i="11"/>
  <c r="AA995" i="11" s="1"/>
  <c r="AM995" i="11" s="1"/>
  <c r="Z481" i="11"/>
  <c r="AA481" i="11" s="1"/>
  <c r="AM481" i="11" s="1"/>
  <c r="Y481" i="11" a="1"/>
  <c r="Y481" i="11" s="1"/>
  <c r="Y1286" i="11" a="1"/>
  <c r="Y1286" i="11" s="1"/>
  <c r="Z1286" i="11"/>
  <c r="AA1286" i="11" s="1"/>
  <c r="AM1286" i="11" s="1"/>
  <c r="Y1382" i="11" a="1"/>
  <c r="Y1382" i="11" s="1"/>
  <c r="Z1382" i="11"/>
  <c r="AA1382" i="11" s="1"/>
  <c r="AM1382" i="11" s="1"/>
  <c r="Y377" i="11" a="1"/>
  <c r="Y377" i="11" s="1"/>
  <c r="Z377" i="11"/>
  <c r="AA377" i="11" s="1"/>
  <c r="AM377" i="11" s="1"/>
  <c r="Y369" i="11" a="1"/>
  <c r="Y369" i="11" s="1"/>
  <c r="Z369" i="11"/>
  <c r="AA369" i="11" s="1"/>
  <c r="AM369" i="11" s="1"/>
  <c r="Y1438" i="11" a="1"/>
  <c r="Y1438" i="11" s="1"/>
  <c r="Z1438" i="11"/>
  <c r="AA1438" i="11" s="1"/>
  <c r="AM1438" i="11" s="1"/>
  <c r="Z425" i="11"/>
  <c r="AA425" i="11" s="1"/>
  <c r="AM425" i="11" s="1"/>
  <c r="Y425" i="11" a="1"/>
  <c r="Y425" i="11" s="1"/>
  <c r="Y871" i="11" a="1"/>
  <c r="Y871" i="11" s="1"/>
  <c r="Z871" i="11"/>
  <c r="AA871" i="11" s="1"/>
  <c r="AM871" i="11" s="1"/>
  <c r="Y797" i="11" a="1"/>
  <c r="Y797" i="11" s="1"/>
  <c r="Z797" i="11"/>
  <c r="AA797" i="11" s="1"/>
  <c r="AM797" i="11" s="1"/>
  <c r="Z620" i="11"/>
  <c r="AA620" i="11" s="1"/>
  <c r="AM620" i="11" s="1"/>
  <c r="Y620" i="11" a="1"/>
  <c r="Y620" i="11" s="1"/>
  <c r="Z664" i="11"/>
  <c r="AA664" i="11" s="1"/>
  <c r="AM664" i="11" s="1"/>
  <c r="Y664" i="11" a="1"/>
  <c r="Y664" i="11" s="1"/>
  <c r="Z860" i="11"/>
  <c r="AA860" i="11" s="1"/>
  <c r="AM860" i="11" s="1"/>
  <c r="Y860" i="11" a="1"/>
  <c r="Y860" i="11" s="1"/>
  <c r="Z720" i="11"/>
  <c r="AA720" i="11" s="1"/>
  <c r="AM720" i="11" s="1"/>
  <c r="Y720" i="11" a="1"/>
  <c r="Y720" i="11" s="1"/>
  <c r="Y960" i="11" a="1"/>
  <c r="Y960" i="11" s="1"/>
  <c r="Z960" i="11"/>
  <c r="AA960" i="11" s="1"/>
  <c r="AM960" i="11" s="1"/>
  <c r="Y984" i="11" a="1"/>
  <c r="Y984" i="11" s="1"/>
  <c r="Z984" i="11"/>
  <c r="AA984" i="11" s="1"/>
  <c r="AM984" i="11" s="1"/>
  <c r="Z965" i="11"/>
  <c r="AA965" i="11" s="1"/>
  <c r="AM965" i="11" s="1"/>
  <c r="Y965" i="11" a="1"/>
  <c r="Y965" i="11" s="1"/>
  <c r="Y884" i="11" a="1"/>
  <c r="Y884" i="11" s="1"/>
  <c r="Z884" i="11"/>
  <c r="AA884" i="11" s="1"/>
  <c r="AM884" i="11" s="1"/>
  <c r="Y744" i="11" a="1"/>
  <c r="Y744" i="11" s="1"/>
  <c r="Z744" i="11"/>
  <c r="AA744" i="11" s="1"/>
  <c r="AM744" i="11" s="1"/>
  <c r="Z889" i="11"/>
  <c r="AA889" i="11" s="1"/>
  <c r="AM889" i="11" s="1"/>
  <c r="Y889" i="11" a="1"/>
  <c r="Y889" i="11" s="1"/>
  <c r="Y817" i="11" a="1"/>
  <c r="Y817" i="11" s="1"/>
  <c r="Z817" i="11"/>
  <c r="AA817" i="11" s="1"/>
  <c r="AM817" i="11" s="1"/>
  <c r="Y809" i="11" a="1"/>
  <c r="Y809" i="11" s="1"/>
  <c r="Z809" i="11"/>
  <c r="AA809" i="11" s="1"/>
  <c r="AM809" i="11" s="1"/>
  <c r="Z315" i="11"/>
  <c r="AA315" i="11" s="1"/>
  <c r="AM315" i="11" s="1"/>
  <c r="Y315" i="11" a="1"/>
  <c r="Y315" i="11" s="1"/>
  <c r="Z1034" i="11"/>
  <c r="AA1034" i="11" s="1"/>
  <c r="AM1034" i="11" s="1"/>
  <c r="Y1034" i="11" a="1"/>
  <c r="Y1034" i="11" s="1"/>
  <c r="Y917" i="11" a="1"/>
  <c r="Y917" i="11" s="1"/>
  <c r="Z917" i="11"/>
  <c r="AA917" i="11" s="1"/>
  <c r="AM917" i="11" s="1"/>
  <c r="Y958" i="11" a="1"/>
  <c r="Y958" i="11" s="1"/>
  <c r="Z958" i="11"/>
  <c r="AA958" i="11" s="1"/>
  <c r="AM958" i="11" s="1"/>
  <c r="Y925" i="11" a="1"/>
  <c r="Y925" i="11" s="1"/>
  <c r="Z925" i="11"/>
  <c r="AA925" i="11" s="1"/>
  <c r="AM925" i="11" s="1"/>
  <c r="Y1017" i="11" a="1"/>
  <c r="Y1017" i="11" s="1"/>
  <c r="Z1017" i="11"/>
  <c r="AA1017" i="11" s="1"/>
  <c r="AM1017" i="11" s="1"/>
  <c r="Y496" i="11" a="1"/>
  <c r="Y496" i="11" s="1"/>
  <c r="Z496" i="11"/>
  <c r="AA496" i="11" s="1"/>
  <c r="AM496" i="11" s="1"/>
  <c r="Z1449" i="11"/>
  <c r="AA1449" i="11" s="1"/>
  <c r="AM1449" i="11" s="1"/>
  <c r="Y1449" i="11" a="1"/>
  <c r="Y1449" i="11" s="1"/>
  <c r="Y1471" i="11" a="1"/>
  <c r="Y1471" i="11" s="1"/>
  <c r="Z1471" i="11"/>
  <c r="AA1471" i="11" s="1"/>
  <c r="AM1471" i="11" s="1"/>
  <c r="Y1433" i="11" a="1"/>
  <c r="Y1433" i="11" s="1"/>
  <c r="Z1433" i="11"/>
  <c r="AA1433" i="11" s="1"/>
  <c r="AM1433" i="11" s="1"/>
  <c r="Y1425" i="11" a="1"/>
  <c r="Y1425" i="11" s="1"/>
  <c r="Z1425" i="11"/>
  <c r="AA1425" i="11" s="1"/>
  <c r="AM1425" i="11" s="1"/>
  <c r="Z831" i="11"/>
  <c r="AA831" i="11" s="1"/>
  <c r="AM831" i="11" s="1"/>
  <c r="Y831" i="11" a="1"/>
  <c r="Y831" i="11" s="1"/>
  <c r="Y765" i="11" a="1"/>
  <c r="Y765" i="11" s="1"/>
  <c r="Z765" i="11"/>
  <c r="AA765" i="11" s="1"/>
  <c r="AM765" i="11" s="1"/>
  <c r="Z735" i="11"/>
  <c r="AA735" i="11" s="1"/>
  <c r="AM735" i="11" s="1"/>
  <c r="Y735" i="11" a="1"/>
  <c r="Y735" i="11" s="1"/>
  <c r="Y1303" i="11" a="1"/>
  <c r="Y1303" i="11" s="1"/>
  <c r="Z1303" i="11"/>
  <c r="AA1303" i="11" s="1"/>
  <c r="AM1303" i="11" s="1"/>
  <c r="Y1470" i="11" a="1"/>
  <c r="Y1470" i="11" s="1"/>
  <c r="Z1470" i="11"/>
  <c r="AA1470" i="11" s="1"/>
  <c r="AM1470" i="11" s="1"/>
  <c r="Y1318" i="11" a="1"/>
  <c r="Y1318" i="11" s="1"/>
  <c r="Z1318" i="11"/>
  <c r="AA1318" i="11" s="1"/>
  <c r="AM1318" i="11" s="1"/>
  <c r="Y1455" i="11" a="1"/>
  <c r="Y1455" i="11" s="1"/>
  <c r="Z1455" i="11"/>
  <c r="AA1455" i="11" s="1"/>
  <c r="AM1455" i="11" s="1"/>
  <c r="Y1417" i="11" a="1"/>
  <c r="Y1417" i="11" s="1"/>
  <c r="Z1417" i="11"/>
  <c r="AA1417" i="11" s="1"/>
  <c r="AM1417" i="11" s="1"/>
  <c r="Z849" i="11"/>
  <c r="AA849" i="11" s="1"/>
  <c r="AM849" i="11" s="1"/>
  <c r="Y849" i="11" a="1"/>
  <c r="Y849" i="11" s="1"/>
  <c r="Z1217" i="11"/>
  <c r="AA1217" i="11" s="1"/>
  <c r="AM1217" i="11" s="1"/>
  <c r="Y1217" i="11" a="1"/>
  <c r="Y1217" i="11" s="1"/>
  <c r="Y625" i="11" a="1"/>
  <c r="Y625" i="11" s="1"/>
  <c r="Z625" i="11"/>
  <c r="AA625" i="11" s="1"/>
  <c r="AM625" i="11" s="1"/>
  <c r="Y1209" i="11" a="1"/>
  <c r="Y1209" i="11" s="1"/>
  <c r="Z1209" i="11"/>
  <c r="AA1209" i="11" s="1"/>
  <c r="AM1209" i="11" s="1"/>
  <c r="Y1010" i="11" a="1"/>
  <c r="Y1010" i="11" s="1"/>
  <c r="Z1010" i="11"/>
  <c r="AA1010" i="11" s="1"/>
  <c r="AM1010" i="11" s="1"/>
  <c r="Y777" i="11" a="1"/>
  <c r="Y777" i="11" s="1"/>
  <c r="Z777" i="11"/>
  <c r="AA777" i="11" s="1"/>
  <c r="AM777" i="11" s="1"/>
  <c r="Z125" i="11"/>
  <c r="AA125" i="11" s="1"/>
  <c r="AM125" i="11" s="1"/>
  <c r="Y125" i="11" a="1"/>
  <c r="Y125" i="11" s="1"/>
  <c r="Y846" i="11" a="1"/>
  <c r="Y846" i="11" s="1"/>
  <c r="Z846" i="11"/>
  <c r="AA846" i="11" s="1"/>
  <c r="AM846" i="11" s="1"/>
  <c r="Y853" i="11" a="1"/>
  <c r="Y853" i="11" s="1"/>
  <c r="Z853" i="11"/>
  <c r="AA853" i="11" s="1"/>
  <c r="AM853" i="11" s="1"/>
  <c r="Y902" i="11" a="1"/>
  <c r="Y902" i="11" s="1"/>
  <c r="Z902" i="11"/>
  <c r="AA902" i="11" s="1"/>
  <c r="AM902" i="11" s="1"/>
  <c r="Y21" i="11" a="1"/>
  <c r="Y21" i="11" s="1"/>
  <c r="Z21" i="11"/>
  <c r="AA21" i="11" s="1"/>
  <c r="AM21" i="11" s="1"/>
  <c r="Y945" i="11" a="1"/>
  <c r="Y945" i="11" s="1"/>
  <c r="Z945" i="11"/>
  <c r="AA945" i="11" s="1"/>
  <c r="AM945" i="11" s="1"/>
  <c r="Y584" i="11" a="1"/>
  <c r="Y584" i="11" s="1"/>
  <c r="Z584" i="11"/>
  <c r="AA584" i="11" s="1"/>
  <c r="AM584" i="11" s="1"/>
  <c r="Y1000" i="11" a="1"/>
  <c r="Y1000" i="11" s="1"/>
  <c r="Z1000" i="11"/>
  <c r="AA1000" i="11" s="1"/>
  <c r="AM1000" i="11" s="1"/>
  <c r="Z1003" i="11"/>
  <c r="AA1003" i="11" s="1"/>
  <c r="AM1003" i="11" s="1"/>
  <c r="Y1003" i="11" a="1"/>
  <c r="Y1003" i="11" s="1"/>
  <c r="Y1419" i="11" a="1"/>
  <c r="Y1419" i="11" s="1"/>
  <c r="Z1419" i="11"/>
  <c r="AA1419" i="11" s="1"/>
  <c r="AM1419" i="11" s="1"/>
  <c r="Y783" i="11" a="1"/>
  <c r="Y783" i="11" s="1"/>
  <c r="Z783" i="11"/>
  <c r="AA783" i="11" s="1"/>
  <c r="AM783" i="11" s="1"/>
  <c r="Z775" i="11"/>
  <c r="AA775" i="11" s="1"/>
  <c r="AM775" i="11" s="1"/>
  <c r="Y775" i="11" a="1"/>
  <c r="Y775" i="11" s="1"/>
  <c r="Y837" i="11" a="1"/>
  <c r="Y837" i="11" s="1"/>
  <c r="Z837" i="11"/>
  <c r="AA837" i="11" s="1"/>
  <c r="AM837" i="11" s="1"/>
  <c r="Y886" i="11" a="1"/>
  <c r="Y886" i="11" s="1"/>
  <c r="Z886" i="11"/>
  <c r="AA886" i="11" s="1"/>
  <c r="AM886" i="11" s="1"/>
  <c r="Y789" i="11" a="1"/>
  <c r="Y789" i="11" s="1"/>
  <c r="Z789" i="11"/>
  <c r="AA789" i="11" s="1"/>
  <c r="AM789" i="11" s="1"/>
  <c r="Y936" i="11" a="1"/>
  <c r="Y936" i="11" s="1"/>
  <c r="Z936" i="11"/>
  <c r="AA936" i="11" s="1"/>
  <c r="AM936" i="11" s="1"/>
  <c r="Y912" i="11" a="1"/>
  <c r="Y912" i="11" s="1"/>
  <c r="Z912" i="11"/>
  <c r="AA912" i="11" s="1"/>
  <c r="AM912" i="11" s="1"/>
  <c r="Y962" i="11" a="1"/>
  <c r="Y962" i="11" s="1"/>
  <c r="Z962" i="11"/>
  <c r="AA962" i="11" s="1"/>
  <c r="AM962" i="11" s="1"/>
  <c r="Y408" i="11" a="1"/>
  <c r="Y408" i="11" s="1"/>
  <c r="Z408" i="11"/>
  <c r="AA408" i="11" s="1"/>
  <c r="AM408" i="11" s="1"/>
  <c r="Y1487" i="11" a="1"/>
  <c r="Y1487" i="11" s="1"/>
  <c r="Z1487" i="11"/>
  <c r="AA1487" i="11" s="1"/>
  <c r="AM1487" i="11" s="1"/>
  <c r="Y1407" i="11" a="1"/>
  <c r="Y1407" i="11" s="1"/>
  <c r="Z1407" i="11"/>
  <c r="AA1407" i="11" s="1"/>
  <c r="AM1407" i="11" s="1"/>
  <c r="Y1305" i="11" a="1"/>
  <c r="Y1305" i="11" s="1"/>
  <c r="Z1305" i="11"/>
  <c r="AA1305" i="11" s="1"/>
  <c r="AM1305" i="11" s="1"/>
  <c r="Z1445" i="11"/>
  <c r="AA1445" i="11" s="1"/>
  <c r="AM1445" i="11" s="1"/>
  <c r="Y1445" i="11" a="1"/>
  <c r="Y1445" i="11" s="1"/>
  <c r="Z242" i="11"/>
  <c r="AA242" i="11" s="1"/>
  <c r="AM242" i="11" s="1"/>
  <c r="Y242" i="11" a="1"/>
  <c r="Y242" i="11" s="1"/>
  <c r="Y990" i="11" a="1"/>
  <c r="Y990" i="11" s="1"/>
  <c r="Z990" i="11"/>
  <c r="AA990" i="11" s="1"/>
  <c r="AM990" i="11" s="1"/>
  <c r="Y1422" i="11" a="1"/>
  <c r="Y1422" i="11" s="1"/>
  <c r="Z1422" i="11"/>
  <c r="AA1422" i="11" s="1"/>
  <c r="AM1422" i="11" s="1"/>
  <c r="Y1518" i="11" a="1"/>
  <c r="Y1518" i="11" s="1"/>
  <c r="Z1518" i="11"/>
  <c r="AA1518" i="11" s="1"/>
  <c r="AM1518" i="11" s="1"/>
  <c r="Y505" i="11" a="1"/>
  <c r="Y505" i="11" s="1"/>
  <c r="Z505" i="11"/>
  <c r="AA505" i="11" s="1"/>
  <c r="AM505" i="11" s="1"/>
  <c r="Z876" i="11"/>
  <c r="AA876" i="11" s="1"/>
  <c r="AM876" i="11" s="1"/>
  <c r="Y876" i="11" a="1"/>
  <c r="Y876" i="11" s="1"/>
  <c r="Y922" i="11" a="1"/>
  <c r="Y922" i="11" s="1"/>
  <c r="Z922" i="11"/>
  <c r="AA922" i="11" s="1"/>
  <c r="AM922" i="11" s="1"/>
  <c r="Z782" i="11"/>
  <c r="AA782" i="11" s="1"/>
  <c r="AM782" i="11" s="1"/>
  <c r="Y782" i="11" a="1"/>
  <c r="Y782" i="11" s="1"/>
  <c r="Y105" i="11" a="1"/>
  <c r="Y105" i="11" s="1"/>
  <c r="Z105" i="11"/>
  <c r="AA105" i="11" s="1"/>
  <c r="AM105" i="11" s="1"/>
  <c r="Y838" i="11" a="1"/>
  <c r="Y838" i="11" s="1"/>
  <c r="Z838" i="11"/>
  <c r="AA838" i="11" s="1"/>
  <c r="AM838" i="11" s="1"/>
  <c r="Z919" i="11"/>
  <c r="AA919" i="11" s="1"/>
  <c r="AM919" i="11" s="1"/>
  <c r="Y919" i="11" a="1"/>
  <c r="Y919" i="11" s="1"/>
  <c r="Y185" i="11" a="1"/>
  <c r="Y185" i="11" s="1"/>
  <c r="Z185" i="11"/>
  <c r="AA185" i="11" s="1"/>
  <c r="AM185" i="11" s="1"/>
  <c r="Y520" i="11" a="1"/>
  <c r="Y520" i="11" s="1"/>
  <c r="Z520" i="11"/>
  <c r="AA520" i="11" s="1"/>
  <c r="AM520" i="11" s="1"/>
  <c r="Y717" i="11" a="1"/>
  <c r="Y717" i="11" s="1"/>
  <c r="Z717" i="11"/>
  <c r="AA717" i="11" s="1"/>
  <c r="AM717" i="11" s="1"/>
  <c r="Z856" i="11"/>
  <c r="AA856" i="11" s="1"/>
  <c r="AM856" i="11" s="1"/>
  <c r="Y856" i="11" a="1"/>
  <c r="Y856" i="11" s="1"/>
  <c r="Z896" i="11"/>
  <c r="AA896" i="11" s="1"/>
  <c r="AM896" i="11" s="1"/>
  <c r="Y896" i="11" a="1"/>
  <c r="Y896" i="11" s="1"/>
  <c r="Y646" i="11" a="1"/>
  <c r="Y646" i="11" s="1"/>
  <c r="Z646" i="11"/>
  <c r="AA646" i="11" s="1"/>
  <c r="AM646" i="11" s="1"/>
  <c r="Y473" i="11" a="1"/>
  <c r="Y473" i="11" s="1"/>
  <c r="Z473" i="11"/>
  <c r="AA473" i="11" s="1"/>
  <c r="AM473" i="11" s="1"/>
  <c r="Y401" i="11" a="1"/>
  <c r="Y401" i="11" s="1"/>
  <c r="Z401" i="11"/>
  <c r="AA401" i="11" s="1"/>
  <c r="AM401" i="11" s="1"/>
  <c r="Y393" i="11" a="1"/>
  <c r="Y393" i="11" s="1"/>
  <c r="Z393" i="11"/>
  <c r="AA393" i="11" s="1"/>
  <c r="AM393" i="11" s="1"/>
  <c r="Y937" i="11" a="1"/>
  <c r="Y937" i="11" s="1"/>
  <c r="Z937" i="11"/>
  <c r="AA937" i="11" s="1"/>
  <c r="AM937" i="11" s="1"/>
  <c r="Y576" i="11" a="1"/>
  <c r="Y576" i="11" s="1"/>
  <c r="Z576" i="11"/>
  <c r="AA576" i="11" s="1"/>
  <c r="AM576" i="11" s="1"/>
  <c r="Z327" i="11"/>
  <c r="AA327" i="11" s="1"/>
  <c r="AM327" i="11" s="1"/>
  <c r="Y327" i="11" a="1"/>
  <c r="Y327" i="11" s="1"/>
  <c r="Z698" i="11"/>
  <c r="AA698" i="11" s="1"/>
  <c r="AM698" i="11" s="1"/>
  <c r="Y698" i="11" a="1"/>
  <c r="Y698" i="11" s="1"/>
  <c r="Z750" i="11"/>
  <c r="AA750" i="11" s="1"/>
  <c r="AM750" i="11" s="1"/>
  <c r="Y750" i="11" a="1"/>
  <c r="Y750" i="11" s="1"/>
  <c r="Y1181" i="11" a="1"/>
  <c r="Y1181" i="11" s="1"/>
  <c r="Z1181" i="11"/>
  <c r="AA1181" i="11" s="1"/>
  <c r="AM1181" i="11" s="1"/>
  <c r="Y624" i="11" a="1"/>
  <c r="Y624" i="11" s="1"/>
  <c r="Z624" i="11"/>
  <c r="AA624" i="11" s="1"/>
  <c r="AM624" i="11" s="1"/>
  <c r="Z1223" i="11"/>
  <c r="AA1223" i="11" s="1"/>
  <c r="AM1223" i="11" s="1"/>
  <c r="Y1223" i="11" a="1"/>
  <c r="Y1223" i="11" s="1"/>
  <c r="Y1177" i="11" a="1"/>
  <c r="Y1177" i="11" s="1"/>
  <c r="Z1177" i="11"/>
  <c r="AA1177" i="11" s="1"/>
  <c r="AM1177" i="11" s="1"/>
  <c r="AG4" i="11"/>
  <c r="Y974" i="11" a="1"/>
  <c r="Y974" i="11" s="1"/>
  <c r="Z974" i="11"/>
  <c r="AA974" i="11" s="1"/>
  <c r="AM974" i="11" s="1"/>
  <c r="Y649" i="11" a="1"/>
  <c r="Y649" i="11" s="1"/>
  <c r="Z649" i="11"/>
  <c r="AA649" i="11" s="1"/>
  <c r="AM649" i="11" s="1"/>
  <c r="Y736" i="11" a="1"/>
  <c r="Y736" i="11" s="1"/>
  <c r="Z736" i="11"/>
  <c r="AA736" i="11" s="1"/>
  <c r="AM736" i="11" s="1"/>
  <c r="Y1431" i="11" a="1"/>
  <c r="Y1431" i="11" s="1"/>
  <c r="Z1431" i="11"/>
  <c r="AA1431" i="11" s="1"/>
  <c r="AM1431" i="11" s="1"/>
  <c r="Z1390" i="11"/>
  <c r="AA1390" i="11" s="1"/>
  <c r="AM1390" i="11" s="1"/>
  <c r="Y1390" i="11" a="1"/>
  <c r="Y1390" i="11" s="1"/>
  <c r="Y759" i="11" a="1"/>
  <c r="Y759" i="11" s="1"/>
  <c r="Z759" i="11"/>
  <c r="AA759" i="11" s="1"/>
  <c r="AM759" i="11" s="1"/>
  <c r="Y1327" i="11" a="1"/>
  <c r="Y1327" i="11" s="1"/>
  <c r="Z1327" i="11"/>
  <c r="AA1327" i="11" s="1"/>
  <c r="AM1327" i="11" s="1"/>
  <c r="Y1374" i="11" a="1"/>
  <c r="Y1374" i="11" s="1"/>
  <c r="Z1374" i="11"/>
  <c r="AA1374" i="11" s="1"/>
  <c r="AM1374" i="11" s="1"/>
  <c r="Z1302" i="11"/>
  <c r="AA1302" i="11" s="1"/>
  <c r="AM1302" i="11" s="1"/>
  <c r="Y1302" i="11" a="1"/>
  <c r="Y1302" i="11" s="1"/>
  <c r="Y433" i="11" a="1"/>
  <c r="Y433" i="11" s="1"/>
  <c r="Z433" i="11"/>
  <c r="AA433" i="11" s="1"/>
  <c r="AM433" i="11" s="1"/>
  <c r="Y1502" i="11" a="1"/>
  <c r="Y1502" i="11" s="1"/>
  <c r="Z1502" i="11"/>
  <c r="AA1502" i="11" s="1"/>
  <c r="AM1502" i="11" s="1"/>
  <c r="Z489" i="11"/>
  <c r="AA489" i="11" s="1"/>
  <c r="AM489" i="11" s="1"/>
  <c r="Y489" i="11" a="1"/>
  <c r="Y489" i="11" s="1"/>
  <c r="Y1045" i="11" a="1"/>
  <c r="Y1045" i="11" s="1"/>
  <c r="Z1045" i="11"/>
  <c r="AA1045" i="11" s="1"/>
  <c r="AM1045" i="11" s="1"/>
  <c r="Y628" i="11" a="1"/>
  <c r="Y628" i="11" s="1"/>
  <c r="Z628" i="11"/>
  <c r="AA628" i="11" s="1"/>
  <c r="AM628" i="11" s="1"/>
  <c r="Y1411" i="11" a="1"/>
  <c r="Y1411" i="11" s="1"/>
  <c r="Z1411" i="11"/>
  <c r="AA1411" i="11" s="1"/>
  <c r="AM1411" i="11" s="1"/>
  <c r="Y913" i="11" a="1"/>
  <c r="Y913" i="11" s="1"/>
  <c r="Z913" i="11"/>
  <c r="AA913" i="11" s="1"/>
  <c r="AM913" i="11" s="1"/>
  <c r="Y1421" i="11" a="1"/>
  <c r="Y1421" i="11" s="1"/>
  <c r="Z1421" i="11"/>
  <c r="AA1421" i="11" s="1"/>
  <c r="AM1421" i="11" s="1"/>
  <c r="Y993" i="11" a="1"/>
  <c r="Y993" i="11" s="1"/>
  <c r="Z993" i="11"/>
  <c r="AA993" i="11" s="1"/>
  <c r="AM993" i="11" s="1"/>
  <c r="Y954" i="11" a="1"/>
  <c r="Y954" i="11" s="1"/>
  <c r="Z954" i="11"/>
  <c r="AA954" i="11" s="1"/>
  <c r="AM954" i="11" s="1"/>
  <c r="Y109" i="11" a="1"/>
  <c r="Y109" i="11" s="1"/>
  <c r="Z109" i="11"/>
  <c r="AA109" i="11" s="1"/>
  <c r="AM109" i="11" s="1"/>
  <c r="Y868" i="11" a="1"/>
  <c r="Y868" i="11" s="1"/>
  <c r="Z868" i="11"/>
  <c r="AA868" i="11" s="1"/>
  <c r="AM868" i="11" s="1"/>
  <c r="Y813" i="11" a="1"/>
  <c r="Y813" i="11" s="1"/>
  <c r="Z813" i="11"/>
  <c r="AA813" i="11" s="1"/>
  <c r="AM813" i="11" s="1"/>
  <c r="Y881" i="11" a="1"/>
  <c r="Y881" i="11" s="1"/>
  <c r="Z881" i="11"/>
  <c r="AA881" i="11" s="1"/>
  <c r="AM881" i="11" s="1"/>
  <c r="Y1173" i="11" a="1"/>
  <c r="Y1173" i="11" s="1"/>
  <c r="Z1173" i="11"/>
  <c r="AA1173" i="11" s="1"/>
  <c r="AM1173" i="11" s="1"/>
  <c r="Y560" i="11" a="1"/>
  <c r="Y560" i="11" s="1"/>
  <c r="Z560" i="11"/>
  <c r="AA560" i="11" s="1"/>
  <c r="AM560" i="11" s="1"/>
  <c r="Y641" i="11" a="1"/>
  <c r="Y641" i="11" s="1"/>
  <c r="Z641" i="11"/>
  <c r="AA641" i="11" s="1"/>
  <c r="AM641" i="11" s="1"/>
  <c r="Y1225" i="11" a="1"/>
  <c r="Y1225" i="11" s="1"/>
  <c r="Z1225" i="11"/>
  <c r="AA1225" i="11" s="1"/>
  <c r="AM1225" i="11" s="1"/>
  <c r="Y987" i="11" a="1"/>
  <c r="Y987" i="11" s="1"/>
  <c r="Z987" i="11"/>
  <c r="AA987" i="11" s="1"/>
  <c r="AM987" i="11" s="1"/>
  <c r="Y725" i="11" a="1"/>
  <c r="Y725" i="11" s="1"/>
  <c r="Z725" i="11"/>
  <c r="AA725" i="11" s="1"/>
  <c r="AM725" i="11" s="1"/>
  <c r="Z1508" i="11"/>
  <c r="AA1508" i="11" s="1"/>
  <c r="AM1508" i="11" s="1"/>
  <c r="Y1508" i="11" a="1"/>
  <c r="Y1508" i="11" s="1"/>
  <c r="Z1406" i="11"/>
  <c r="AA1406" i="11" s="1"/>
  <c r="AM1406" i="11" s="1"/>
  <c r="Y1406" i="11" a="1"/>
  <c r="Y1406" i="11" s="1"/>
  <c r="Y696" i="11" a="1"/>
  <c r="Y696" i="11" s="1"/>
  <c r="Z696" i="11"/>
  <c r="AA696" i="11" s="1"/>
  <c r="AM696" i="11" s="1"/>
  <c r="Z1351" i="11"/>
  <c r="AA1351" i="11" s="1"/>
  <c r="AM1351" i="11" s="1"/>
  <c r="Y1351" i="11" a="1"/>
  <c r="Y1351" i="11" s="1"/>
  <c r="Y513" i="11" a="1"/>
  <c r="Y513" i="11" s="1"/>
  <c r="Z513" i="11"/>
  <c r="AA513" i="11" s="1"/>
  <c r="AM513" i="11" s="1"/>
  <c r="Z417" i="11"/>
  <c r="AA417" i="11" s="1"/>
  <c r="AM417" i="11" s="1"/>
  <c r="Y417" i="11" a="1"/>
  <c r="Y417" i="11" s="1"/>
  <c r="Y1493" i="11" a="1"/>
  <c r="Y1493" i="11" s="1"/>
  <c r="Z1493" i="11"/>
  <c r="AA1493" i="11" s="1"/>
  <c r="AM1493" i="11" s="1"/>
  <c r="Y924" i="11" a="1"/>
  <c r="Y924" i="11" s="1"/>
  <c r="Z924" i="11"/>
  <c r="AA924" i="11" s="1"/>
  <c r="AM924" i="11" s="1"/>
  <c r="Z564" i="11"/>
  <c r="AA564" i="11" s="1"/>
  <c r="AM564" i="11" s="1"/>
  <c r="Y564" i="11" a="1"/>
  <c r="Y564" i="11" s="1"/>
  <c r="Y655" i="11" a="1"/>
  <c r="Y655" i="11" s="1"/>
  <c r="Z655" i="11"/>
  <c r="AA655" i="11" s="1"/>
  <c r="AM655" i="11" s="1"/>
  <c r="Y951" i="11" a="1"/>
  <c r="Y951" i="11" s="1"/>
  <c r="Z951" i="11"/>
  <c r="AA951" i="11" s="1"/>
  <c r="AM951" i="11" s="1"/>
  <c r="Y137" i="11" a="1"/>
  <c r="Y137" i="11" s="1"/>
  <c r="Z137" i="11"/>
  <c r="AA137" i="11" s="1"/>
  <c r="AM137" i="11" s="1"/>
  <c r="Y816" i="11" a="1"/>
  <c r="Y816" i="11" s="1"/>
  <c r="Z816" i="11"/>
  <c r="AA816" i="11" s="1"/>
  <c r="AM816" i="11" s="1"/>
  <c r="Z975" i="11"/>
  <c r="AA975" i="11" s="1"/>
  <c r="AM975" i="11" s="1"/>
  <c r="Y975" i="11" a="1"/>
  <c r="Y975" i="11" s="1"/>
  <c r="Y845" i="11" a="1"/>
  <c r="Y845" i="11" s="1"/>
  <c r="Z845" i="11"/>
  <c r="AA845" i="11" s="1"/>
  <c r="AM845" i="11" s="1"/>
  <c r="Y542" i="11" a="1"/>
  <c r="Y542" i="11" s="1"/>
  <c r="Z542" i="11"/>
  <c r="AA542" i="11" s="1"/>
  <c r="AM542" i="11" s="1"/>
  <c r="Y983" i="11" a="1"/>
  <c r="Y983" i="11" s="1"/>
  <c r="Z983" i="11"/>
  <c r="AA983" i="11" s="1"/>
  <c r="AM983" i="11" s="1"/>
  <c r="Z933" i="11"/>
  <c r="AA933" i="11" s="1"/>
  <c r="AM933" i="11" s="1"/>
  <c r="Y933" i="11" a="1"/>
  <c r="Y933" i="11" s="1"/>
  <c r="Y887" i="11" a="1"/>
  <c r="Y887" i="11" s="1"/>
  <c r="Z887" i="11"/>
  <c r="AA887" i="11" s="1"/>
  <c r="AM887" i="11" s="1"/>
  <c r="Y607" i="11" a="1"/>
  <c r="Y607" i="11" s="1"/>
  <c r="Z607" i="11"/>
  <c r="AA607" i="11" s="1"/>
  <c r="AM607" i="11" s="1"/>
  <c r="Z801" i="11"/>
  <c r="AA801" i="11" s="1"/>
  <c r="AM801" i="11" s="1"/>
  <c r="Y801" i="11" a="1"/>
  <c r="Y801" i="11" s="1"/>
  <c r="Y231" i="11" a="1"/>
  <c r="Y231" i="11" s="1"/>
  <c r="Y728" i="11" a="1"/>
  <c r="Y728" i="11" s="1"/>
  <c r="Z728" i="11"/>
  <c r="AA728" i="11" s="1"/>
  <c r="AM728" i="11" s="1"/>
  <c r="Y972" i="11" a="1"/>
  <c r="Y972" i="11" s="1"/>
  <c r="Z972" i="11"/>
  <c r="AA972" i="11" s="1"/>
  <c r="AM972" i="11" s="1"/>
  <c r="Y873" i="11" a="1"/>
  <c r="Y873" i="11" s="1"/>
  <c r="Z873" i="11"/>
  <c r="AA873" i="11" s="1"/>
  <c r="AM873" i="11" s="1"/>
  <c r="Z793" i="11"/>
  <c r="AA793" i="11" s="1"/>
  <c r="AM793" i="11" s="1"/>
  <c r="Y793" i="11" a="1"/>
  <c r="Y793" i="11" s="1"/>
  <c r="Y1489" i="11" a="1"/>
  <c r="Y1489" i="11" s="1"/>
  <c r="Z1489" i="11"/>
  <c r="AA1489" i="11" s="1"/>
  <c r="AM1489" i="11" s="1"/>
  <c r="Z689" i="11"/>
  <c r="AA689" i="11" s="1"/>
  <c r="AM689" i="11" s="1"/>
  <c r="Y689" i="11" a="1"/>
  <c r="Y689" i="11" s="1"/>
  <c r="Y976" i="11" a="1"/>
  <c r="Y976" i="11" s="1"/>
  <c r="Z976" i="11"/>
  <c r="AA976" i="11" s="1"/>
  <c r="AM976" i="11" s="1"/>
  <c r="Y943" i="11" a="1"/>
  <c r="Y943" i="11" s="1"/>
  <c r="Z943" i="11"/>
  <c r="AA943" i="11" s="1"/>
  <c r="AM943" i="11" s="1"/>
  <c r="Y700" i="11" a="1"/>
  <c r="Y700" i="11" s="1"/>
  <c r="Z700" i="11"/>
  <c r="AA700" i="11" s="1"/>
  <c r="AM700" i="11" s="1"/>
  <c r="Y1085" i="11" a="1"/>
  <c r="Y1085" i="11" s="1"/>
  <c r="Z1085" i="11"/>
  <c r="AA1085" i="11" s="1"/>
  <c r="AM1085" i="11" s="1"/>
  <c r="Z1161" i="11"/>
  <c r="AA1161" i="11" s="1"/>
  <c r="AM1161" i="11" s="1"/>
  <c r="Y1161" i="11" a="1"/>
  <c r="Y1161" i="11" s="1"/>
  <c r="Y714" i="11" a="1"/>
  <c r="Y714" i="11" s="1"/>
  <c r="Z714" i="11"/>
  <c r="AA714" i="11" s="1"/>
  <c r="AM714" i="11" s="1"/>
  <c r="Y774" i="11" a="1"/>
  <c r="Y774" i="11" s="1"/>
  <c r="Z774" i="11"/>
  <c r="AA774" i="11" s="1"/>
  <c r="AM774" i="11" s="1"/>
  <c r="Z949" i="11"/>
  <c r="AA949" i="11" s="1"/>
  <c r="AM949" i="11" s="1"/>
  <c r="Y949" i="11" a="1"/>
  <c r="Y949" i="11" s="1"/>
  <c r="Z998" i="11"/>
  <c r="AA998" i="11" s="1"/>
  <c r="AM998" i="11" s="1"/>
  <c r="Y998" i="11" a="1"/>
  <c r="Y998" i="11" s="1"/>
  <c r="Y911" i="11" a="1"/>
  <c r="Y911" i="11" s="1"/>
  <c r="Z911" i="11"/>
  <c r="AA911" i="11" s="1"/>
  <c r="AM911" i="11" s="1"/>
  <c r="Y677" i="11" a="1"/>
  <c r="Y677" i="11" s="1"/>
  <c r="Z677" i="11"/>
  <c r="AA677" i="11" s="1"/>
  <c r="AM677" i="11" s="1"/>
  <c r="Z798" i="11"/>
  <c r="AA798" i="11" s="1"/>
  <c r="AM798" i="11" s="1"/>
  <c r="Y798" i="11" a="1"/>
  <c r="Y798" i="11" s="1"/>
  <c r="Y53" i="11" a="1"/>
  <c r="Y53" i="11" s="1"/>
  <c r="Z53" i="11"/>
  <c r="AA53" i="11" s="1"/>
  <c r="AM53" i="11" s="1"/>
  <c r="Y409" i="11" a="1"/>
  <c r="Y409" i="11" s="1"/>
  <c r="Z409" i="11"/>
  <c r="AA409" i="11" s="1"/>
  <c r="AM409" i="11" s="1"/>
  <c r="Z187" i="11"/>
  <c r="AA187" i="11" s="1"/>
  <c r="AM187" i="11" s="1"/>
  <c r="Y187" i="11" a="1"/>
  <c r="Y187" i="11" s="1"/>
  <c r="Y1509" i="11" a="1"/>
  <c r="Y1509" i="11" s="1"/>
  <c r="Z1509" i="11"/>
  <c r="AA1509" i="11" s="1"/>
  <c r="AM1509" i="11" s="1"/>
  <c r="Y678" i="11" a="1"/>
  <c r="Y678" i="11" s="1"/>
  <c r="Z678" i="11"/>
  <c r="AA678" i="11" s="1"/>
  <c r="AM678" i="11" s="1"/>
  <c r="Y758" i="11" a="1"/>
  <c r="Y758" i="11" s="1"/>
  <c r="Z758" i="11"/>
  <c r="AA758" i="11" s="1"/>
  <c r="AM758" i="11" s="1"/>
  <c r="Y900" i="11" a="1"/>
  <c r="Y900" i="11" s="1"/>
  <c r="Z900" i="11"/>
  <c r="AA900" i="11" s="1"/>
  <c r="AM900" i="11" s="1"/>
  <c r="Y760" i="11" a="1"/>
  <c r="Y760" i="11" s="1"/>
  <c r="Z760" i="11"/>
  <c r="AA760" i="11" s="1"/>
  <c r="AM760" i="11" s="1"/>
  <c r="Z1129" i="11"/>
  <c r="AA1129" i="11" s="1"/>
  <c r="AM1129" i="11" s="1"/>
  <c r="Y1129" i="11" a="1"/>
  <c r="Y1129" i="11" s="1"/>
  <c r="Y666" i="11" a="1"/>
  <c r="Y666" i="11" s="1"/>
  <c r="Z666" i="11"/>
  <c r="AA666" i="11" s="1"/>
  <c r="AM666" i="11" s="1"/>
  <c r="Y1427" i="11" a="1"/>
  <c r="Y1427" i="11" s="1"/>
  <c r="Z1427" i="11"/>
  <c r="AA1427" i="11" s="1"/>
  <c r="AM1427" i="11" s="1"/>
  <c r="Z1415" i="11"/>
  <c r="AA1415" i="11" s="1"/>
  <c r="AM1415" i="11" s="1"/>
  <c r="Y1415" i="11" a="1"/>
  <c r="Y1415" i="11" s="1"/>
  <c r="Z1377" i="11"/>
  <c r="AA1377" i="11" s="1"/>
  <c r="AM1377" i="11" s="1"/>
  <c r="Y1377" i="11" a="1"/>
  <c r="Y1377" i="11" s="1"/>
  <c r="Y726" i="11" a="1"/>
  <c r="Y726" i="11" s="1"/>
  <c r="Z726" i="11"/>
  <c r="AA726" i="11" s="1"/>
  <c r="AM726" i="11" s="1"/>
  <c r="Y585" i="11" a="1"/>
  <c r="Y585" i="11" s="1"/>
  <c r="Z585" i="11"/>
  <c r="AA585" i="11" s="1"/>
  <c r="AM585" i="11" s="1"/>
  <c r="Y672" i="11" a="1"/>
  <c r="Y672" i="11" s="1"/>
  <c r="Z672" i="11"/>
  <c r="AA672" i="11" s="1"/>
  <c r="AM672" i="11" s="1"/>
  <c r="Y799" i="11" a="1"/>
  <c r="Y799" i="11" s="1"/>
  <c r="Z799" i="11"/>
  <c r="AA799" i="11" s="1"/>
  <c r="AM799" i="11" s="1"/>
  <c r="Y1367" i="11" a="1"/>
  <c r="Y1367" i="11" s="1"/>
  <c r="Z1367" i="11"/>
  <c r="AA1367" i="11" s="1"/>
  <c r="AM1367" i="11" s="1"/>
  <c r="Y1326" i="11" a="1"/>
  <c r="Y1326" i="11" s="1"/>
  <c r="Z1326" i="11"/>
  <c r="AA1326" i="11" s="1"/>
  <c r="AM1326" i="11" s="1"/>
  <c r="Y695" i="11" a="1"/>
  <c r="Y695" i="11" s="1"/>
  <c r="Z695" i="11"/>
  <c r="AA695" i="11" s="1"/>
  <c r="AM695" i="11" s="1"/>
  <c r="Y1519" i="11" a="1"/>
  <c r="Y1519" i="11" s="1"/>
  <c r="Z1519" i="11"/>
  <c r="AA1519" i="11" s="1"/>
  <c r="AM1519" i="11" s="1"/>
  <c r="Y687" i="11" a="1"/>
  <c r="Y687" i="11" s="1"/>
  <c r="Z687" i="11"/>
  <c r="AA687" i="11" s="1"/>
  <c r="AM687" i="11" s="1"/>
  <c r="Z1511" i="11"/>
  <c r="AA1511" i="11" s="1"/>
  <c r="AM1511" i="11" s="1"/>
  <c r="Y1511" i="11" a="1"/>
  <c r="Y1511" i="11" s="1"/>
  <c r="Y743" i="11" a="1"/>
  <c r="Y743" i="11" s="1"/>
  <c r="Z743" i="11"/>
  <c r="AA743" i="11" s="1"/>
  <c r="AM743" i="11" s="1"/>
  <c r="Y1311" i="11" a="1"/>
  <c r="Y1311" i="11" s="1"/>
  <c r="Z1311" i="11"/>
  <c r="AA1311" i="11" s="1"/>
  <c r="AM1311" i="11" s="1"/>
  <c r="Y1358" i="11" a="1"/>
  <c r="Y1358" i="11" s="1"/>
  <c r="Z1358" i="11"/>
  <c r="AA1358" i="11" s="1"/>
  <c r="AM1358" i="11" s="1"/>
  <c r="Y1002" i="11" a="1"/>
  <c r="Y1002" i="11" s="1"/>
  <c r="Z1002" i="11"/>
  <c r="AA1002" i="11" s="1"/>
  <c r="AM1002" i="11" s="1"/>
  <c r="Z848" i="11"/>
  <c r="AA848" i="11" s="1"/>
  <c r="AM848" i="11" s="1"/>
  <c r="Y848" i="11" a="1"/>
  <c r="Y848" i="11" s="1"/>
  <c r="Y885" i="11" a="1"/>
  <c r="Y885" i="11" s="1"/>
  <c r="Z885" i="11"/>
  <c r="AA885" i="11" s="1"/>
  <c r="AM885" i="11" s="1"/>
  <c r="Y910" i="11" a="1"/>
  <c r="Y910" i="11" s="1"/>
  <c r="Z910" i="11"/>
  <c r="AA910" i="11" s="1"/>
  <c r="AM910" i="11" s="1"/>
  <c r="Z973" i="11"/>
  <c r="AA973" i="11" s="1"/>
  <c r="AM973" i="11" s="1"/>
  <c r="Y973" i="11" a="1"/>
  <c r="Y973" i="11" s="1"/>
  <c r="Z1006" i="11"/>
  <c r="AA1006" i="11" s="1"/>
  <c r="AM1006" i="11" s="1"/>
  <c r="Y1006" i="11" a="1"/>
  <c r="Y1006" i="11" s="1"/>
  <c r="Y85" i="11" a="1"/>
  <c r="Y85" i="11" s="1"/>
  <c r="Z85" i="11"/>
  <c r="AA85" i="11" s="1"/>
  <c r="AM85" i="11" s="1"/>
  <c r="Y524" i="11" a="1"/>
  <c r="Y524" i="11" s="1"/>
  <c r="Z524" i="11"/>
  <c r="AA524" i="11" s="1"/>
  <c r="AM524" i="11" s="1"/>
  <c r="Y648" i="11" a="1"/>
  <c r="Y648" i="11" s="1"/>
  <c r="Z648" i="11"/>
  <c r="AA648" i="11" s="1"/>
  <c r="AM648" i="11" s="1"/>
  <c r="Y606" i="11" a="1"/>
  <c r="Y606" i="11" s="1"/>
  <c r="Z606" i="11"/>
  <c r="AA606" i="11" s="1"/>
  <c r="AM606" i="11" s="1"/>
  <c r="Y563" i="11" a="1"/>
  <c r="Y563" i="11" s="1"/>
  <c r="Z563" i="11"/>
  <c r="AA563" i="11" s="1"/>
  <c r="AM563" i="11" s="1"/>
  <c r="Y488" i="11" a="1"/>
  <c r="Y488" i="11" s="1"/>
  <c r="Z488" i="11"/>
  <c r="AA488" i="11" s="1"/>
  <c r="AM488" i="11" s="1"/>
  <c r="Z609" i="11"/>
  <c r="AA609" i="11" s="1"/>
  <c r="AM609" i="11" s="1"/>
  <c r="Y609" i="11" a="1"/>
  <c r="Y609" i="11" s="1"/>
  <c r="Z537" i="11"/>
  <c r="AA537" i="11" s="1"/>
  <c r="AM537" i="11" s="1"/>
  <c r="Y537" i="11" a="1"/>
  <c r="Y537" i="11" s="1"/>
  <c r="Y521" i="11" a="1"/>
  <c r="Y521" i="11" s="1"/>
  <c r="Z521" i="11"/>
  <c r="AA521" i="11" s="1"/>
  <c r="AM521" i="11" s="1"/>
  <c r="Z732" i="11"/>
  <c r="AA732" i="11" s="1"/>
  <c r="AM732" i="11" s="1"/>
  <c r="Y732" i="11" a="1"/>
  <c r="Y732" i="11" s="1"/>
  <c r="Z704" i="11"/>
  <c r="AA704" i="11" s="1"/>
  <c r="AM704" i="11" s="1"/>
  <c r="Y704" i="11" a="1"/>
  <c r="Y704" i="11" s="1"/>
  <c r="Y1012" i="11" a="1"/>
  <c r="Y1012" i="11" s="1"/>
  <c r="Z1012" i="11"/>
  <c r="AA1012" i="11" s="1"/>
  <c r="AM1012" i="11" s="1"/>
  <c r="Y1030" i="11" a="1"/>
  <c r="Y1030" i="11" s="1"/>
  <c r="Z1030" i="11"/>
  <c r="AA1030" i="11" s="1"/>
  <c r="AM1030" i="11" s="1"/>
  <c r="Z821" i="11"/>
  <c r="AA821" i="11" s="1"/>
  <c r="AM821" i="11" s="1"/>
  <c r="Y821" i="11" a="1"/>
  <c r="Y821" i="11" s="1"/>
  <c r="Y630" i="11" a="1"/>
  <c r="Y630" i="11" s="1"/>
  <c r="Z630" i="11"/>
  <c r="AA630" i="11" s="1"/>
  <c r="AM630" i="11" s="1"/>
  <c r="Z654" i="11"/>
  <c r="AA654" i="11" s="1"/>
  <c r="AM654" i="11" s="1"/>
  <c r="Y654" i="11" a="1"/>
  <c r="Y654" i="11" s="1"/>
  <c r="Y1215" i="11" a="1"/>
  <c r="Y1215" i="11" s="1"/>
  <c r="Z1215" i="11"/>
  <c r="AA1215" i="11" s="1"/>
  <c r="AM1215" i="11" s="1"/>
  <c r="Y1153" i="11" a="1"/>
  <c r="Y1153" i="11" s="1"/>
  <c r="Z1153" i="11"/>
  <c r="AA1153" i="11" s="1"/>
  <c r="AM1153" i="11" s="1"/>
  <c r="Y1517" i="11" a="1"/>
  <c r="Y1517" i="11" s="1"/>
  <c r="Z1517" i="11"/>
  <c r="AA1517" i="11" s="1"/>
  <c r="AM1517" i="11" s="1"/>
  <c r="Y413" i="11" a="1"/>
  <c r="Y413" i="11" s="1"/>
  <c r="Z413" i="11"/>
  <c r="AA413" i="11" s="1"/>
  <c r="AM413" i="11" s="1"/>
  <c r="Y93" i="11" a="1"/>
  <c r="Y93" i="11" s="1"/>
  <c r="Z93" i="11"/>
  <c r="AA93" i="11" s="1"/>
  <c r="AM93" i="11" s="1"/>
  <c r="Y1009" i="11" a="1"/>
  <c r="Y1009" i="11" s="1"/>
  <c r="Z1009" i="11"/>
  <c r="AA1009" i="11" s="1"/>
  <c r="AM1009" i="11" s="1"/>
  <c r="Y1393" i="11" a="1"/>
  <c r="Y1393" i="11" s="1"/>
  <c r="Z1393" i="11"/>
  <c r="AA1393" i="11" s="1"/>
  <c r="AM1393" i="11" s="1"/>
  <c r="Y1478" i="11" a="1"/>
  <c r="Y1478" i="11" s="1"/>
  <c r="Z1478" i="11"/>
  <c r="AA1478" i="11" s="1"/>
  <c r="AM1478" i="11" s="1"/>
  <c r="Y1262" i="11" a="1"/>
  <c r="Y1262" i="11" s="1"/>
  <c r="Z1262" i="11"/>
  <c r="AA1262" i="11" s="1"/>
  <c r="AM1262" i="11" s="1"/>
  <c r="Y631" i="11" a="1"/>
  <c r="Y631" i="11" s="1"/>
  <c r="Z631" i="11"/>
  <c r="AA631" i="11" s="1"/>
  <c r="AM631" i="11" s="1"/>
  <c r="Y1481" i="11" a="1"/>
  <c r="Y1481" i="11" s="1"/>
  <c r="Z1481" i="11"/>
  <c r="AA1481" i="11" s="1"/>
  <c r="AM1481" i="11" s="1"/>
  <c r="Z1145" i="11"/>
  <c r="AA1145" i="11" s="1"/>
  <c r="AM1145" i="11" s="1"/>
  <c r="Y1145" i="11" a="1"/>
  <c r="Y1145" i="11" s="1"/>
  <c r="Z569" i="11"/>
  <c r="AA569" i="11" s="1"/>
  <c r="AM569" i="11" s="1"/>
  <c r="Y569" i="11" a="1"/>
  <c r="Y569" i="11" s="1"/>
  <c r="Y1366" i="11" a="1"/>
  <c r="Y1366" i="11" s="1"/>
  <c r="Z1366" i="11"/>
  <c r="AA1366" i="11" s="1"/>
  <c r="AM1366" i="11" s="1"/>
  <c r="Y1097" i="11" a="1"/>
  <c r="Y1097" i="11" s="1"/>
  <c r="Z1097" i="11"/>
  <c r="AA1097" i="11" s="1"/>
  <c r="AM1097" i="11" s="1"/>
  <c r="Z930" i="11"/>
  <c r="AA930" i="11" s="1"/>
  <c r="AM930" i="11" s="1"/>
  <c r="Y930" i="11" a="1"/>
  <c r="Y930" i="11" s="1"/>
  <c r="Y790" i="11" a="1"/>
  <c r="Y790" i="11" s="1"/>
  <c r="Z790" i="11"/>
  <c r="AA790" i="11" s="1"/>
  <c r="AM790" i="11" s="1"/>
  <c r="Z855" i="11"/>
  <c r="AA855" i="11" s="1"/>
  <c r="AM855" i="11" s="1"/>
  <c r="Y855" i="11" a="1"/>
  <c r="Y855" i="11" s="1"/>
  <c r="Z149" i="11"/>
  <c r="AA149" i="11" s="1"/>
  <c r="AM149" i="11" s="1"/>
  <c r="Y149" i="11" a="1"/>
  <c r="Y149" i="11" s="1"/>
  <c r="Y967" i="11" a="1"/>
  <c r="Y967" i="11" s="1"/>
  <c r="Z967" i="11"/>
  <c r="AA967" i="11" s="1"/>
  <c r="AM967" i="11" s="1"/>
  <c r="Y773" i="11" a="1"/>
  <c r="Y773" i="11" s="1"/>
  <c r="Z773" i="11"/>
  <c r="AA773" i="11" s="1"/>
  <c r="AM773" i="11" s="1"/>
  <c r="Y1041" i="11" a="1"/>
  <c r="Y1041" i="11" s="1"/>
  <c r="Z1041" i="11"/>
  <c r="AA1041" i="11" s="1"/>
  <c r="AM1041" i="11" s="1"/>
  <c r="Y830" i="11" a="1"/>
  <c r="Y830" i="11" s="1"/>
  <c r="Z830" i="11"/>
  <c r="AA830" i="11" s="1"/>
  <c r="AM830" i="11" s="1"/>
  <c r="Y861" i="11" a="1"/>
  <c r="Y861" i="11" s="1"/>
  <c r="Z861" i="11"/>
  <c r="AA861" i="11" s="1"/>
  <c r="AM861" i="11" s="1"/>
  <c r="Y708" i="11" a="1"/>
  <c r="Y708" i="11" s="1"/>
  <c r="Z708" i="11"/>
  <c r="AA708" i="11" s="1"/>
  <c r="AM708" i="11" s="1"/>
  <c r="Y680" i="11" a="1"/>
  <c r="Y680" i="11" s="1"/>
  <c r="Z680" i="11"/>
  <c r="AA680" i="11" s="1"/>
  <c r="AM680" i="11" s="1"/>
  <c r="Y1516" i="11" a="1"/>
  <c r="Y1516" i="11" s="1"/>
  <c r="Z1516" i="11"/>
  <c r="AA1516" i="11" s="1"/>
  <c r="AM1516" i="11" s="1"/>
  <c r="Y1461" i="11" a="1"/>
  <c r="Y1461" i="11" s="1"/>
  <c r="Z1461" i="11"/>
  <c r="AA1461" i="11" s="1"/>
  <c r="AM1461" i="11" s="1"/>
  <c r="Z1453" i="11"/>
  <c r="AA1453" i="11" s="1"/>
  <c r="AM1453" i="11" s="1"/>
  <c r="Y1453" i="11" a="1"/>
  <c r="Y1453" i="11" s="1"/>
  <c r="Y935" i="11" a="1"/>
  <c r="Y935" i="11" s="1"/>
  <c r="Z935" i="11"/>
  <c r="AA935" i="11" s="1"/>
  <c r="AM935" i="11" s="1"/>
  <c r="Y741" i="11" a="1"/>
  <c r="Y741" i="11" s="1"/>
  <c r="Z741" i="11"/>
  <c r="AA741" i="11" s="1"/>
  <c r="AM741" i="11" s="1"/>
  <c r="Y598" i="11" a="1"/>
  <c r="Y598" i="11" s="1"/>
  <c r="Z598" i="11"/>
  <c r="AA598" i="11" s="1"/>
  <c r="AM598" i="11" s="1"/>
  <c r="Y51" i="11" a="1"/>
  <c r="Y51" i="11" s="1"/>
  <c r="C5" i="14" s="1"/>
  <c r="AB928" i="11" s="1"/>
  <c r="AD928" i="11" s="1"/>
  <c r="Z51" i="11"/>
  <c r="AA51" i="11" s="1"/>
  <c r="AM51" i="11" s="1"/>
  <c r="Y632" i="11" a="1"/>
  <c r="Y632" i="11" s="1"/>
  <c r="Z632" i="11"/>
  <c r="AA632" i="11" s="1"/>
  <c r="AM632" i="11" s="1"/>
  <c r="Z980" i="11"/>
  <c r="AA980" i="11" s="1"/>
  <c r="AM980" i="11" s="1"/>
  <c r="Y980" i="11" a="1"/>
  <c r="Y980" i="11" s="1"/>
  <c r="Z1093" i="11"/>
  <c r="AA1093" i="11" s="1"/>
  <c r="AM1093" i="11" s="1"/>
  <c r="Y1093" i="11" a="1"/>
  <c r="Y1093" i="11" s="1"/>
  <c r="Y1231" i="11" a="1"/>
  <c r="Y1231" i="11" s="1"/>
  <c r="Z1231" i="11"/>
  <c r="AA1231" i="11" s="1"/>
  <c r="AM1231" i="11" s="1"/>
  <c r="Y1505" i="11" a="1"/>
  <c r="Y1505" i="11" s="1"/>
  <c r="Z1505" i="11"/>
  <c r="AA1505" i="11" s="1"/>
  <c r="AM1505" i="11" s="1"/>
  <c r="Y1361" i="11" a="1"/>
  <c r="Y1361" i="11" s="1"/>
  <c r="Z1361" i="11"/>
  <c r="AA1361" i="11" s="1"/>
  <c r="AM1361" i="11" s="1"/>
  <c r="Y713" i="11" a="1"/>
  <c r="Y713" i="11" s="1"/>
  <c r="Z713" i="11"/>
  <c r="AA713" i="11" s="1"/>
  <c r="AM713" i="11" s="1"/>
  <c r="Y800" i="11" a="1"/>
  <c r="Y800" i="11" s="1"/>
  <c r="Z800" i="11"/>
  <c r="AA800" i="11" s="1"/>
  <c r="AM800" i="11" s="1"/>
  <c r="Z671" i="11"/>
  <c r="AA671" i="11" s="1"/>
  <c r="AM671" i="11" s="1"/>
  <c r="Y671" i="11" a="1"/>
  <c r="Y671" i="11" s="1"/>
  <c r="Y1495" i="11" a="1"/>
  <c r="Y1495" i="11" s="1"/>
  <c r="Z1495" i="11"/>
  <c r="AA1495" i="11" s="1"/>
  <c r="AM1495" i="11" s="1"/>
  <c r="Z1462" i="11"/>
  <c r="AA1462" i="11" s="1"/>
  <c r="AM1462" i="11" s="1"/>
  <c r="Y1462" i="11" a="1"/>
  <c r="Y1462" i="11" s="1"/>
  <c r="Z823" i="11"/>
  <c r="AA823" i="11" s="1"/>
  <c r="AM823" i="11" s="1"/>
  <c r="Y823" i="11" a="1"/>
  <c r="Y823" i="11" s="1"/>
  <c r="Y1391" i="11" a="1"/>
  <c r="Y1391" i="11" s="1"/>
  <c r="Z1391" i="11"/>
  <c r="AA1391" i="11" s="1"/>
  <c r="AM1391" i="11" s="1"/>
  <c r="Z1446" i="11"/>
  <c r="AA1446" i="11" s="1"/>
  <c r="AM1446" i="11" s="1"/>
  <c r="Y1446" i="11" a="1"/>
  <c r="Y1446" i="11" s="1"/>
  <c r="Y171" i="11" a="1"/>
  <c r="Y171" i="11" s="1"/>
  <c r="Z171" i="11"/>
  <c r="AA171" i="11" s="1"/>
  <c r="AM171" i="11" s="1"/>
  <c r="Y1050" i="11" a="1"/>
  <c r="Y1050" i="11" s="1"/>
  <c r="Z1050" i="11"/>
  <c r="AA1050" i="11" s="1"/>
  <c r="AM1050" i="11" s="1"/>
  <c r="Y130" i="11" a="1"/>
  <c r="Y130" i="11" s="1"/>
  <c r="Z130" i="11"/>
  <c r="AA130" i="11" s="1"/>
  <c r="AM130" i="11" s="1"/>
  <c r="Y847" i="11" a="1"/>
  <c r="Y847" i="11" s="1"/>
  <c r="Z847" i="11"/>
  <c r="AA847" i="11" s="1"/>
  <c r="AM847" i="11" s="1"/>
  <c r="Z117" i="11"/>
  <c r="AA117" i="11" s="1"/>
  <c r="AM117" i="11" s="1"/>
  <c r="Y117" i="11" a="1"/>
  <c r="Y117" i="11" s="1"/>
  <c r="Y634" i="11" a="1"/>
  <c r="Y634" i="11" s="1"/>
  <c r="Z634" i="11"/>
  <c r="AA634" i="11" s="1"/>
  <c r="AM634" i="11" s="1"/>
  <c r="Y686" i="11" a="1"/>
  <c r="Y686" i="11" s="1"/>
  <c r="Z686" i="11"/>
  <c r="AA686" i="11" s="1"/>
  <c r="AM686" i="11" s="1"/>
  <c r="Y733" i="11" a="1"/>
  <c r="Y733" i="11" s="1"/>
  <c r="Z733" i="11"/>
  <c r="AA733" i="11" s="1"/>
  <c r="AM733" i="11" s="1"/>
  <c r="Z766" i="11"/>
  <c r="AA766" i="11" s="1"/>
  <c r="AM766" i="11" s="1"/>
  <c r="Y766" i="11" a="1"/>
  <c r="Y766" i="11" s="1"/>
  <c r="Y1141" i="11" a="1"/>
  <c r="Y1141" i="11" s="1"/>
  <c r="Z1141" i="11"/>
  <c r="AA1141" i="11" s="1"/>
  <c r="AM1141" i="11" s="1"/>
  <c r="Z616" i="11"/>
  <c r="AA616" i="11" s="1"/>
  <c r="AM616" i="11" s="1"/>
  <c r="Y616" i="11" a="1"/>
  <c r="Y616" i="11" s="1"/>
  <c r="Y791" i="11" a="1"/>
  <c r="Y791" i="11" s="1"/>
  <c r="Z791" i="11"/>
  <c r="AA791" i="11" s="1"/>
  <c r="AM791" i="11" s="1"/>
  <c r="Z719" i="11"/>
  <c r="AA719" i="11" s="1"/>
  <c r="AM719" i="11" s="1"/>
  <c r="Y719" i="11" a="1"/>
  <c r="Y719" i="11" s="1"/>
  <c r="Z711" i="11"/>
  <c r="AA711" i="11" s="1"/>
  <c r="AM711" i="11" s="1"/>
  <c r="Y711" i="11" a="1"/>
  <c r="Y711" i="11" s="1"/>
  <c r="Y994" i="11" a="1"/>
  <c r="Y994" i="11" s="1"/>
  <c r="Z994" i="11"/>
  <c r="AA994" i="11" s="1"/>
  <c r="AM994" i="11" s="1"/>
  <c r="Y822" i="11" a="1"/>
  <c r="Y822" i="11" s="1"/>
  <c r="Z822" i="11"/>
  <c r="AA822" i="11" s="1"/>
  <c r="AM822" i="11" s="1"/>
  <c r="Z701" i="11"/>
  <c r="AA701" i="11" s="1"/>
  <c r="AM701" i="11" s="1"/>
  <c r="Y701" i="11" a="1"/>
  <c r="Y701" i="11" s="1"/>
  <c r="Z1004" i="11"/>
  <c r="AA1004" i="11" s="1"/>
  <c r="AM1004" i="11" s="1"/>
  <c r="Y1004" i="11" a="1"/>
  <c r="Y1004" i="11" s="1"/>
  <c r="Z824" i="11"/>
  <c r="AA824" i="11" s="1"/>
  <c r="AM824" i="11" s="1"/>
  <c r="Y824" i="11" a="1"/>
  <c r="Y824" i="11" s="1"/>
  <c r="Y1435" i="11" a="1"/>
  <c r="Y1435" i="11" s="1"/>
  <c r="Z1435" i="11"/>
  <c r="AA1435" i="11" s="1"/>
  <c r="AM1435" i="11" s="1"/>
  <c r="Y870" i="11" a="1"/>
  <c r="Y870" i="11" s="1"/>
  <c r="Z870" i="11"/>
  <c r="AA870" i="11" s="1"/>
  <c r="AM870" i="11" s="1"/>
  <c r="Y61" i="11" a="1"/>
  <c r="Y61" i="11" s="1"/>
  <c r="Z61" i="11"/>
  <c r="AA61" i="11" s="1"/>
  <c r="AM61" i="11" s="1"/>
  <c r="Z1257" i="11"/>
  <c r="AA1257" i="11" s="1"/>
  <c r="AM1257" i="11" s="1"/>
  <c r="Y1257" i="11" a="1"/>
  <c r="Y1257" i="11" s="1"/>
  <c r="Y1271" i="11" a="1"/>
  <c r="Y1271" i="11" s="1"/>
  <c r="Z1271" i="11"/>
  <c r="AA1271" i="11" s="1"/>
  <c r="AM1271" i="11" s="1"/>
  <c r="Z903" i="11"/>
  <c r="AA903" i="11" s="1"/>
  <c r="AM903" i="11" s="1"/>
  <c r="Y903" i="11" a="1"/>
  <c r="Y903" i="11" s="1"/>
  <c r="Y385" i="11" a="1"/>
  <c r="Y385" i="11" s="1"/>
  <c r="Z385" i="11"/>
  <c r="AA385" i="11" s="1"/>
  <c r="AM385" i="11" s="1"/>
  <c r="Y376" i="11" a="1"/>
  <c r="Y376" i="11" s="1"/>
  <c r="Z376" i="11"/>
  <c r="AA376" i="11" s="1"/>
  <c r="AM376" i="11" s="1"/>
  <c r="Z599" i="11"/>
  <c r="AA599" i="11" s="1"/>
  <c r="AM599" i="11" s="1"/>
  <c r="Y599" i="11" a="1"/>
  <c r="Y599" i="11" s="1"/>
  <c r="Y1521" i="11" a="1"/>
  <c r="Y1521" i="11" s="1"/>
  <c r="Z1521" i="11"/>
  <c r="AA1521" i="11" s="1"/>
  <c r="AM1521" i="11" s="1"/>
  <c r="Y1334" i="11" a="1"/>
  <c r="Y1334" i="11" s="1"/>
  <c r="Z1334" i="11"/>
  <c r="AA1334" i="11" s="1"/>
  <c r="AM1334" i="11" s="1"/>
  <c r="Z1437" i="11"/>
  <c r="AA1437" i="11" s="1"/>
  <c r="AM1437" i="11" s="1"/>
  <c r="Y1437" i="11" a="1"/>
  <c r="Y1437" i="11" s="1"/>
  <c r="Y1289" i="11" a="1"/>
  <c r="Y1289" i="11" s="1"/>
  <c r="Z1289" i="11"/>
  <c r="AA1289" i="11" s="1"/>
  <c r="AM1289" i="11" s="1"/>
  <c r="Z1383" i="11"/>
  <c r="AA1383" i="11" s="1"/>
  <c r="AM1383" i="11" s="1"/>
  <c r="Y1383" i="11" a="1"/>
  <c r="Y1383" i="11" s="1"/>
  <c r="Y615" i="11" a="1"/>
  <c r="Y615" i="11" s="1"/>
  <c r="Z615" i="11"/>
  <c r="AA615" i="11" s="1"/>
  <c r="AM615" i="11" s="1"/>
  <c r="Y1439" i="11" a="1"/>
  <c r="Y1439" i="11" s="1"/>
  <c r="Z1439" i="11"/>
  <c r="AA1439" i="11" s="1"/>
  <c r="AM1439" i="11" s="1"/>
  <c r="Y1401" i="11" a="1"/>
  <c r="Y1401" i="11" s="1"/>
  <c r="Z1401" i="11"/>
  <c r="AA1401" i="11" s="1"/>
  <c r="AM1401" i="11" s="1"/>
  <c r="Y751" i="11" a="1"/>
  <c r="Y751" i="11" s="1"/>
  <c r="Z751" i="11"/>
  <c r="AA751" i="11" s="1"/>
  <c r="AM751" i="11" s="1"/>
  <c r="Y807" i="11" a="1"/>
  <c r="Y807" i="11" s="1"/>
  <c r="Z807" i="11"/>
  <c r="AA807" i="11" s="1"/>
  <c r="AM807" i="11" s="1"/>
  <c r="Z1494" i="11"/>
  <c r="AA1494" i="11" s="1"/>
  <c r="AM1494" i="11" s="1"/>
  <c r="Y1494" i="11" a="1"/>
  <c r="Y1494" i="11" s="1"/>
  <c r="AA231" i="11"/>
  <c r="AM231" i="11" s="1"/>
  <c r="AA956" i="11"/>
  <c r="AM956" i="11" s="1"/>
  <c r="AA893" i="11"/>
  <c r="AM893" i="11" s="1"/>
  <c r="K10" i="8"/>
  <c r="K11" i="8" s="1"/>
  <c r="K12" i="8" s="1"/>
  <c r="F31" i="3" s="1"/>
  <c r="I5" i="8"/>
  <c r="G26" i="2"/>
  <c r="G41" i="2"/>
  <c r="G19" i="2"/>
  <c r="G23" i="2"/>
  <c r="G4" i="2"/>
  <c r="G8" i="2"/>
  <c r="G34" i="2"/>
  <c r="G35" i="2"/>
  <c r="G16" i="2"/>
  <c r="G32" i="2"/>
  <c r="G38" i="2"/>
  <c r="G6" i="2"/>
  <c r="G9" i="2"/>
  <c r="G18" i="2"/>
  <c r="G21" i="2"/>
  <c r="G15" i="2"/>
  <c r="G3" i="2"/>
  <c r="G33" i="2"/>
  <c r="G27" i="2"/>
  <c r="G7" i="2"/>
  <c r="G10" i="2"/>
  <c r="G39" i="2"/>
  <c r="G2" i="2"/>
  <c r="G22" i="2"/>
  <c r="G24" i="2"/>
  <c r="G28" i="2"/>
  <c r="G17" i="2"/>
  <c r="G12" i="2"/>
  <c r="G13" i="2"/>
  <c r="G40" i="2"/>
  <c r="G20" i="2"/>
  <c r="G36" i="2"/>
  <c r="G37" i="2"/>
  <c r="G5" i="2"/>
  <c r="G31" i="2"/>
  <c r="G42" i="2"/>
  <c r="G11" i="2"/>
  <c r="G14" i="2"/>
  <c r="G29" i="2"/>
  <c r="G30" i="2"/>
  <c r="G25" i="2"/>
  <c r="H2" i="15" l="1"/>
  <c r="H22" i="15" s="1"/>
  <c r="G22" i="15"/>
  <c r="C13" i="14"/>
  <c r="C6" i="14"/>
  <c r="C16" i="14"/>
  <c r="C3" i="14"/>
  <c r="AB1489" i="11" s="1"/>
  <c r="AD1489" i="11" s="1"/>
  <c r="C8" i="14"/>
  <c r="C9" i="14"/>
  <c r="AB671" i="11" s="1"/>
  <c r="AD671" i="11" s="1"/>
  <c r="C12" i="14"/>
  <c r="C15" i="14"/>
  <c r="C14" i="14"/>
  <c r="AB767" i="11" s="1"/>
  <c r="AD767" i="11" s="1"/>
  <c r="C10" i="14"/>
  <c r="AB703" i="11" s="1"/>
  <c r="AD703" i="11" s="1"/>
  <c r="C4" i="14"/>
  <c r="C11" i="14"/>
  <c r="AB739" i="11" s="1"/>
  <c r="AD739" i="11" s="1"/>
  <c r="C7" i="14"/>
  <c r="AB660" i="11" s="1"/>
  <c r="AD660" i="11" s="1"/>
  <c r="AB559" i="11"/>
  <c r="AD559" i="11" s="1"/>
  <c r="AB315" i="11"/>
  <c r="AD315" i="11" s="1"/>
  <c r="AB941" i="11"/>
  <c r="AD941" i="11" s="1"/>
  <c r="AB1495" i="11"/>
  <c r="AD1495" i="11" s="1"/>
  <c r="AB192" i="11"/>
  <c r="AD192" i="11" s="1"/>
  <c r="AB560" i="11"/>
  <c r="AD560" i="11" s="1"/>
  <c r="AB255" i="11"/>
  <c r="AD255" i="11" s="1"/>
  <c r="AB942" i="11"/>
  <c r="AD942" i="11" s="1"/>
  <c r="AB213" i="11"/>
  <c r="AD213" i="11" s="1"/>
  <c r="AB556" i="11"/>
  <c r="AD556" i="11" s="1"/>
  <c r="AB39" i="11"/>
  <c r="AD39" i="11" s="1"/>
  <c r="AB296" i="11"/>
  <c r="AD296" i="11" s="1"/>
  <c r="AB785" i="11"/>
  <c r="AD785" i="11" s="1"/>
  <c r="AB946" i="11"/>
  <c r="AD946" i="11" s="1"/>
  <c r="AB945" i="11"/>
  <c r="AD945" i="11" s="1"/>
  <c r="AB574" i="11"/>
  <c r="AD574" i="11" s="1"/>
  <c r="AB940" i="11"/>
  <c r="AD940" i="11" s="1"/>
  <c r="AB553" i="11"/>
  <c r="AD553" i="11" s="1"/>
  <c r="AB135" i="11"/>
  <c r="AD135" i="11" s="1"/>
  <c r="AB561" i="11"/>
  <c r="AD561" i="11" s="1"/>
  <c r="AB939" i="11"/>
  <c r="AD939" i="11" s="1"/>
  <c r="AB90" i="11"/>
  <c r="AD90" i="11" s="1"/>
  <c r="AB375" i="11"/>
  <c r="AD375" i="11" s="1"/>
  <c r="AB48" i="11"/>
  <c r="AD48" i="11" s="1"/>
  <c r="AB41" i="11"/>
  <c r="AD41" i="11" s="1"/>
  <c r="AB943" i="11"/>
  <c r="AD943" i="11" s="1"/>
  <c r="AB557" i="11"/>
  <c r="AD557" i="11" s="1"/>
  <c r="AB944" i="11"/>
  <c r="AD944" i="11" s="1"/>
  <c r="AB133" i="11"/>
  <c r="AD133" i="11" s="1"/>
  <c r="AB1014" i="11"/>
  <c r="AD1014" i="11" s="1"/>
  <c r="AB956" i="11"/>
  <c r="AD956" i="11" s="1"/>
  <c r="AB811" i="11"/>
  <c r="AD811" i="11" s="1"/>
  <c r="AB1334" i="11"/>
  <c r="AD1334" i="11" s="1"/>
  <c r="AB124" i="11"/>
  <c r="AD124" i="11" s="1"/>
  <c r="AB489" i="11"/>
  <c r="AD489" i="11" s="1"/>
  <c r="AB914" i="11"/>
  <c r="AD914" i="11" s="1"/>
  <c r="AB1156" i="11"/>
  <c r="AD1156" i="11" s="1"/>
  <c r="AB379" i="11"/>
  <c r="AD379" i="11" s="1"/>
  <c r="AB1063" i="11"/>
  <c r="AD1063" i="11" s="1"/>
  <c r="AB867" i="11"/>
  <c r="AD867" i="11" s="1"/>
  <c r="AB791" i="11"/>
  <c r="AD791" i="11" s="1"/>
  <c r="AB12" i="11"/>
  <c r="AD12" i="11" s="1"/>
  <c r="AB1421" i="11"/>
  <c r="AD1421" i="11" s="1"/>
  <c r="AB449" i="11"/>
  <c r="AD449" i="11" s="1"/>
  <c r="AB1515" i="11"/>
  <c r="AD1515" i="11" s="1"/>
  <c r="AB262" i="11"/>
  <c r="AD262" i="11" s="1"/>
  <c r="AB913" i="11"/>
  <c r="AD913" i="11" s="1"/>
  <c r="AB57" i="11"/>
  <c r="AD57" i="11" s="1"/>
  <c r="AB78" i="11"/>
  <c r="AD78" i="11" s="1"/>
  <c r="AB251" i="11"/>
  <c r="AD251" i="11" s="1"/>
  <c r="AB1514" i="11"/>
  <c r="AD1514" i="11" s="1"/>
  <c r="AB46" i="11"/>
  <c r="AD46" i="11" s="1"/>
  <c r="AB6" i="11"/>
  <c r="AD6" i="11" s="1"/>
  <c r="AB1341" i="11"/>
  <c r="AD1341" i="11" s="1"/>
  <c r="AB921" i="11"/>
  <c r="AD921" i="11" s="1"/>
  <c r="AB865" i="11"/>
  <c r="AD865" i="11" s="1"/>
  <c r="AB1376" i="11"/>
  <c r="AD1376" i="11" s="1"/>
  <c r="AB297" i="11"/>
  <c r="AD297" i="11" s="1"/>
  <c r="AB920" i="11"/>
  <c r="AD920" i="11" s="1"/>
  <c r="AB912" i="11"/>
  <c r="AD912" i="11" s="1"/>
  <c r="AB887" i="11"/>
  <c r="AD887" i="11" s="1"/>
  <c r="AB981" i="11"/>
  <c r="AD981" i="11" s="1"/>
  <c r="AB469" i="11"/>
  <c r="AD469" i="11" s="1"/>
  <c r="AB333" i="11"/>
  <c r="AD333" i="11" s="1"/>
  <c r="AB598" i="11"/>
  <c r="AD598" i="11" s="1"/>
  <c r="AB524" i="11"/>
  <c r="AD524" i="11" s="1"/>
  <c r="AB265" i="11"/>
  <c r="AD265" i="11" s="1"/>
  <c r="AB229" i="11"/>
  <c r="AD229" i="11" s="1"/>
  <c r="AB349" i="11"/>
  <c r="AD349" i="11" s="1"/>
  <c r="AB986" i="11"/>
  <c r="AD986" i="11" s="1"/>
  <c r="AB952" i="11"/>
  <c r="AD952" i="11" s="1"/>
  <c r="AB589" i="11"/>
  <c r="AD589" i="11" s="1"/>
  <c r="AB648" i="11"/>
  <c r="AD648" i="11" s="1"/>
  <c r="AB919" i="11"/>
  <c r="AD919" i="11" s="1"/>
  <c r="AB89" i="11"/>
  <c r="AD89" i="11" s="1"/>
  <c r="AB1302" i="11"/>
  <c r="AD1302" i="11" s="1"/>
  <c r="AB162" i="11"/>
  <c r="AD162" i="11" s="1"/>
  <c r="AB387" i="11"/>
  <c r="AD387" i="11" s="1"/>
  <c r="AB777" i="11"/>
  <c r="AD777" i="11" s="1"/>
  <c r="AB101" i="11"/>
  <c r="AD101" i="11" s="1"/>
  <c r="AB47" i="11"/>
  <c r="AD47" i="11" s="1"/>
  <c r="AB233" i="11"/>
  <c r="AD233" i="11" s="1"/>
  <c r="AB302" i="11"/>
  <c r="AD302" i="11" s="1"/>
  <c r="AB1139" i="11"/>
  <c r="AD1139" i="11" s="1"/>
  <c r="AB1222" i="11"/>
  <c r="AD1222" i="11" s="1"/>
  <c r="AB818" i="11"/>
  <c r="AD818" i="11" s="1"/>
  <c r="AB842" i="11"/>
  <c r="AD842" i="11" s="1"/>
  <c r="AB787" i="11"/>
  <c r="AD787" i="11" s="1"/>
  <c r="AB256" i="11"/>
  <c r="AD256" i="11" s="1"/>
  <c r="AB224" i="11"/>
  <c r="AD224" i="11" s="1"/>
  <c r="AB619" i="11"/>
  <c r="AD619" i="11" s="1"/>
  <c r="AB1314" i="11"/>
  <c r="AD1314" i="11" s="1"/>
  <c r="AB456" i="11"/>
  <c r="AD456" i="11" s="1"/>
  <c r="AB343" i="11"/>
  <c r="AD343" i="11" s="1"/>
  <c r="AB788" i="11"/>
  <c r="AD788" i="11" s="1"/>
  <c r="AB841" i="11"/>
  <c r="AD841" i="11" s="1"/>
  <c r="AB406" i="11"/>
  <c r="AD406" i="11" s="1"/>
  <c r="AB405" i="11"/>
  <c r="AD405" i="11" s="1"/>
  <c r="AB453" i="11"/>
  <c r="AD453" i="11" s="1"/>
  <c r="AB381" i="11"/>
  <c r="AD381" i="11" s="1"/>
  <c r="AB839" i="11"/>
  <c r="AD839" i="11" s="1"/>
  <c r="AB977" i="11"/>
  <c r="AD977" i="11" s="1"/>
  <c r="AB1289" i="11"/>
  <c r="AD1289" i="11" s="1"/>
  <c r="AB438" i="11"/>
  <c r="AD438" i="11" s="1"/>
  <c r="AB1497" i="11"/>
  <c r="AD1497" i="11" s="1"/>
  <c r="AB329" i="11"/>
  <c r="AD329" i="11" s="1"/>
  <c r="AB866" i="11"/>
  <c r="AD866" i="11" s="1"/>
  <c r="AB1291" i="11"/>
  <c r="AD1291" i="11" s="1"/>
  <c r="AB443" i="11"/>
  <c r="AD443" i="11" s="1"/>
  <c r="AB203" i="11"/>
  <c r="AD203" i="11" s="1"/>
  <c r="AB210" i="11"/>
  <c r="AD210" i="11" s="1"/>
  <c r="AB408" i="11"/>
  <c r="AD408" i="11" s="1"/>
  <c r="AB279" i="11"/>
  <c r="AD279" i="11" s="1"/>
  <c r="AB278" i="11"/>
  <c r="AD278" i="11" s="1"/>
  <c r="AB498" i="11"/>
  <c r="AD498" i="11" s="1"/>
  <c r="AB1386" i="11"/>
  <c r="AD1386" i="11" s="1"/>
  <c r="AB567" i="11"/>
  <c r="AD567" i="11" s="1"/>
  <c r="AB1009" i="11"/>
  <c r="AD1009" i="11" s="1"/>
  <c r="AB1328" i="11"/>
  <c r="AD1328" i="11" s="1"/>
  <c r="AB165" i="11"/>
  <c r="AD165" i="11" s="1"/>
  <c r="AB587" i="11"/>
  <c r="AD587" i="11" s="1"/>
  <c r="AB1317" i="11"/>
  <c r="AD1317" i="11" s="1"/>
  <c r="AB880" i="11"/>
  <c r="AD880" i="11" s="1"/>
  <c r="AB827" i="11"/>
  <c r="AD827" i="11" s="1"/>
  <c r="AB891" i="11"/>
  <c r="AD891" i="11" s="1"/>
  <c r="AB899" i="11"/>
  <c r="AD899" i="11" s="1"/>
  <c r="AB955" i="11"/>
  <c r="AD955" i="11" s="1"/>
  <c r="AB547" i="11"/>
  <c r="AD547" i="11" s="1"/>
  <c r="AB367" i="11"/>
  <c r="AD367" i="11" s="1"/>
  <c r="AB411" i="11"/>
  <c r="AD411" i="11" s="1"/>
  <c r="AB1114" i="11"/>
  <c r="AD1114" i="11" s="1"/>
  <c r="AB364" i="11"/>
  <c r="AD364" i="11" s="1"/>
  <c r="AB923" i="11"/>
  <c r="AD923" i="11" s="1"/>
  <c r="AB831" i="11"/>
  <c r="AD831" i="11" s="1"/>
  <c r="AB543" i="11"/>
  <c r="AD543" i="11" s="1"/>
  <c r="AB1377" i="11"/>
  <c r="AD1377" i="11" s="1"/>
  <c r="AB764" i="11"/>
  <c r="AD764" i="11" s="1"/>
  <c r="AB420" i="11"/>
  <c r="AD420" i="11" s="1"/>
  <c r="AB1415" i="11"/>
  <c r="AD1415" i="11" s="1"/>
  <c r="AB384" i="11"/>
  <c r="AD384" i="11" s="1"/>
  <c r="AB400" i="11"/>
  <c r="AD400" i="11" s="1"/>
  <c r="AB157" i="11"/>
  <c r="AD157" i="11" s="1"/>
  <c r="AB328" i="11"/>
  <c r="AD328" i="11" s="1"/>
  <c r="AB823" i="11"/>
  <c r="AD823" i="11" s="1"/>
  <c r="AB1426" i="11"/>
  <c r="AD1426" i="11" s="1"/>
  <c r="AB412" i="11"/>
  <c r="AD412" i="11" s="1"/>
  <c r="AB1375" i="11"/>
  <c r="AD1375" i="11" s="1"/>
  <c r="AB134" i="11"/>
  <c r="AD134" i="11" s="1"/>
  <c r="AB1158" i="11"/>
  <c r="AD1158" i="11" s="1"/>
  <c r="AB363" i="11"/>
  <c r="AD363" i="11" s="1"/>
  <c r="AB59" i="11"/>
  <c r="AD59" i="11" s="1"/>
  <c r="AB72" i="11"/>
  <c r="AD72" i="11" s="1"/>
  <c r="AB890" i="11"/>
  <c r="AD890" i="11" s="1"/>
  <c r="AB586" i="11"/>
  <c r="AD586" i="11" s="1"/>
  <c r="AB1453" i="11"/>
  <c r="AD1453" i="11" s="1"/>
  <c r="AB372" i="11"/>
  <c r="AD372" i="11" s="1"/>
  <c r="AB1111" i="11"/>
  <c r="AD1111" i="11" s="1"/>
  <c r="AB102" i="11"/>
  <c r="AD102" i="11" s="1"/>
  <c r="AB209" i="11"/>
  <c r="AD209" i="11" s="1"/>
  <c r="AB1105" i="11"/>
  <c r="AD1105" i="11" s="1"/>
  <c r="AB326" i="11"/>
  <c r="AD326" i="11" s="1"/>
  <c r="AB43" i="11"/>
  <c r="AD43" i="11" s="1"/>
  <c r="AB1019" i="11"/>
  <c r="AD1019" i="11" s="1"/>
  <c r="AB74" i="11"/>
  <c r="AD74" i="11" s="1"/>
  <c r="AB174" i="11"/>
  <c r="AD174" i="11" s="1"/>
  <c r="AB1206" i="11"/>
  <c r="AD1206" i="11" s="1"/>
  <c r="AB505" i="11"/>
  <c r="AD505" i="11" s="1"/>
  <c r="AB1209" i="11"/>
  <c r="AD1209" i="11" s="1"/>
  <c r="AB350" i="11"/>
  <c r="AD350" i="11" s="1"/>
  <c r="AB1499" i="11"/>
  <c r="AD1499" i="11" s="1"/>
  <c r="AB1179" i="11"/>
  <c r="AD1179" i="11" s="1"/>
  <c r="AB1176" i="11"/>
  <c r="AD1176" i="11" s="1"/>
  <c r="AB506" i="11"/>
  <c r="AD506" i="11" s="1"/>
  <c r="AB234" i="11"/>
  <c r="AD234" i="11" s="1"/>
  <c r="AB1469" i="11"/>
  <c r="AD1469" i="11" s="1"/>
  <c r="AB1024" i="11"/>
  <c r="AD1024" i="11" s="1"/>
  <c r="AB433" i="11"/>
  <c r="AD433" i="11" s="1"/>
  <c r="AB129" i="11"/>
  <c r="AD129" i="11" s="1"/>
  <c r="AB1372" i="11"/>
  <c r="AD1372" i="11" s="1"/>
  <c r="AB1238" i="11"/>
  <c r="AD1238" i="11" s="1"/>
  <c r="AB1491" i="11"/>
  <c r="AD1491" i="11" s="1"/>
  <c r="AB1197" i="11"/>
  <c r="AD1197" i="11" s="1"/>
  <c r="AB515" i="11"/>
  <c r="AD515" i="11" s="1"/>
  <c r="AB844" i="11"/>
  <c r="AD844" i="11" s="1"/>
  <c r="AB931" i="11"/>
  <c r="AD931" i="11" s="1"/>
  <c r="AB643" i="11"/>
  <c r="AD643" i="11" s="1"/>
  <c r="AB152" i="11"/>
  <c r="AD152" i="11" s="1"/>
  <c r="AB423" i="11"/>
  <c r="AD423" i="11" s="1"/>
  <c r="AB1370" i="11"/>
  <c r="AD1370" i="11" s="1"/>
  <c r="AB604" i="11"/>
  <c r="AD604" i="11" s="1"/>
  <c r="AB76" i="11"/>
  <c r="AD76" i="11" s="1"/>
  <c r="AB1327" i="11"/>
  <c r="AD1327" i="11" s="1"/>
  <c r="AB1071" i="11"/>
  <c r="AD1071" i="11" s="1"/>
  <c r="AB799" i="11"/>
  <c r="AD799" i="11" s="1"/>
  <c r="AB511" i="11"/>
  <c r="AD511" i="11" s="1"/>
  <c r="AB1202" i="11"/>
  <c r="AD1202" i="11" s="1"/>
  <c r="AB388" i="11"/>
  <c r="AD388" i="11" s="1"/>
  <c r="AB132" i="11"/>
  <c r="AD132" i="11" s="1"/>
  <c r="AB1383" i="11"/>
  <c r="AD1383" i="11" s="1"/>
  <c r="AB173" i="11"/>
  <c r="AD173" i="11" s="1"/>
  <c r="AB859" i="11"/>
  <c r="AD859" i="11" s="1"/>
  <c r="AB503" i="11"/>
  <c r="AD503" i="11" s="1"/>
  <c r="AB239" i="11"/>
  <c r="AD239" i="11" s="1"/>
  <c r="AB1130" i="11"/>
  <c r="AD1130" i="11" s="1"/>
  <c r="AB92" i="11"/>
  <c r="AD92" i="11" s="1"/>
  <c r="AB1087" i="11"/>
  <c r="AD1087" i="11" s="1"/>
  <c r="AB54" i="11"/>
  <c r="AD54" i="11" s="1"/>
  <c r="AB1046" i="11"/>
  <c r="AD1046" i="11" s="1"/>
  <c r="AB1396" i="11"/>
  <c r="AD1396" i="11" s="1"/>
  <c r="AB331" i="11"/>
  <c r="AD331" i="11" s="1"/>
  <c r="AB1494" i="11"/>
  <c r="AD1494" i="11" s="1"/>
  <c r="AB40" i="11"/>
  <c r="AD40" i="11" s="1"/>
  <c r="AB1227" i="11"/>
  <c r="AD1227" i="11" s="1"/>
  <c r="AB554" i="11"/>
  <c r="AD554" i="11" s="1"/>
  <c r="AB340" i="11"/>
  <c r="AD340" i="11" s="1"/>
  <c r="AB84" i="11"/>
  <c r="AD84" i="11" s="1"/>
  <c r="AB1335" i="11"/>
  <c r="AD1335" i="11" s="1"/>
  <c r="AB9" i="11"/>
  <c r="AD9" i="11" s="1"/>
  <c r="AB323" i="11"/>
  <c r="AD323" i="11" s="1"/>
  <c r="AB64" i="11"/>
  <c r="AD64" i="11" s="1"/>
  <c r="AB1251" i="11"/>
  <c r="AD1251" i="11" s="1"/>
  <c r="AB1504" i="11"/>
  <c r="AD1504" i="11" s="1"/>
  <c r="AB1248" i="11"/>
  <c r="AD1248" i="11" s="1"/>
  <c r="AB1277" i="11"/>
  <c r="AD1277" i="11" s="1"/>
  <c r="AB1412" i="11"/>
  <c r="AD1412" i="11" s="1"/>
  <c r="AB1076" i="11"/>
  <c r="AD1076" i="11" s="1"/>
  <c r="AB1414" i="11"/>
  <c r="AD1414" i="11" s="1"/>
  <c r="AB1147" i="11"/>
  <c r="AD1147" i="11" s="1"/>
  <c r="AB1400" i="11"/>
  <c r="AD1400" i="11" s="1"/>
  <c r="AB762" i="11"/>
  <c r="AD762" i="11" s="1"/>
  <c r="AB474" i="11"/>
  <c r="AD474" i="11" s="1"/>
  <c r="AB202" i="11"/>
  <c r="AD202" i="11" s="1"/>
  <c r="AB969" i="11"/>
  <c r="AD969" i="11" s="1"/>
  <c r="AB1340" i="11"/>
  <c r="AD1340" i="11" s="1"/>
  <c r="AB246" i="11"/>
  <c r="AD246" i="11" s="1"/>
  <c r="AB1459" i="11"/>
  <c r="AD1459" i="11" s="1"/>
  <c r="AB1392" i="11"/>
  <c r="AD1392" i="11" s="1"/>
  <c r="AB1429" i="11"/>
  <c r="AD1429" i="11" s="1"/>
  <c r="AB1117" i="11"/>
  <c r="AD1117" i="11" s="1"/>
  <c r="AB424" i="11"/>
  <c r="AD424" i="11" s="1"/>
  <c r="AB295" i="11"/>
  <c r="AD295" i="11" s="1"/>
  <c r="AB1490" i="11"/>
  <c r="AD1490" i="11" s="1"/>
  <c r="AB1337" i="11"/>
  <c r="AD1337" i="11" s="1"/>
  <c r="AB875" i="11"/>
  <c r="AD875" i="11" s="1"/>
  <c r="AB611" i="11"/>
  <c r="AD611" i="11" s="1"/>
  <c r="AB679" i="11"/>
  <c r="AD679" i="11" s="1"/>
  <c r="AB391" i="11"/>
  <c r="AD391" i="11" s="1"/>
  <c r="AB1338" i="11"/>
  <c r="AD1338" i="11" s="1"/>
  <c r="AB1070" i="11"/>
  <c r="AD1070" i="11" s="1"/>
  <c r="AB572" i="11"/>
  <c r="AD572" i="11" s="1"/>
  <c r="AB44" i="11"/>
  <c r="AD44" i="11" s="1"/>
  <c r="AB1295" i="11"/>
  <c r="AD1295" i="11" s="1"/>
  <c r="AB1031" i="11"/>
  <c r="AD1031" i="11" s="1"/>
  <c r="AB205" i="11"/>
  <c r="AD205" i="11" s="1"/>
  <c r="AB835" i="11"/>
  <c r="AD835" i="11" s="1"/>
  <c r="AB571" i="11"/>
  <c r="AD571" i="11" s="1"/>
  <c r="AB207" i="11"/>
  <c r="AD207" i="11" s="1"/>
  <c r="AB1434" i="11"/>
  <c r="AD1434" i="11" s="1"/>
  <c r="AB1145" i="11"/>
  <c r="AD1145" i="11" s="1"/>
  <c r="AB652" i="11"/>
  <c r="AD652" i="11" s="1"/>
  <c r="AB555" i="11"/>
  <c r="AD555" i="11" s="1"/>
  <c r="AB644" i="11"/>
  <c r="AD644" i="11" s="1"/>
  <c r="AB60" i="11"/>
  <c r="AD60" i="11" s="1"/>
  <c r="AB1055" i="11"/>
  <c r="AD1055" i="11" s="1"/>
  <c r="AB1425" i="11"/>
  <c r="AD1425" i="11" s="1"/>
  <c r="AB11" i="11"/>
  <c r="AD11" i="11" s="1"/>
  <c r="AB425" i="11"/>
  <c r="AD425" i="11" s="1"/>
  <c r="AB121" i="11"/>
  <c r="AD121" i="11" s="1"/>
  <c r="AB283" i="11"/>
  <c r="AD283" i="11" s="1"/>
  <c r="AB1448" i="11"/>
  <c r="AD1448" i="11" s="1"/>
  <c r="AB522" i="11"/>
  <c r="AD522" i="11" s="1"/>
  <c r="AB1029" i="11"/>
  <c r="AD1029" i="11" s="1"/>
  <c r="AB308" i="11"/>
  <c r="AD308" i="11" s="1"/>
  <c r="AB52" i="11"/>
  <c r="AD52" i="11" s="1"/>
  <c r="AB1303" i="11"/>
  <c r="AD1303" i="11" s="1"/>
  <c r="AB1047" i="11"/>
  <c r="AD1047" i="11" s="1"/>
  <c r="AB1409" i="11"/>
  <c r="AD1409" i="11" s="1"/>
  <c r="AB681" i="11"/>
  <c r="AD681" i="11" s="1"/>
  <c r="AB417" i="11"/>
  <c r="AD417" i="11" s="1"/>
  <c r="AB1198" i="11"/>
  <c r="AD1198" i="11" s="1"/>
  <c r="AB1486" i="11"/>
  <c r="AD1486" i="11" s="1"/>
  <c r="AB32" i="11"/>
  <c r="AD32" i="11" s="1"/>
  <c r="AB290" i="11"/>
  <c r="AD290" i="11" s="1"/>
  <c r="AB1245" i="11"/>
  <c r="AD1245" i="11" s="1"/>
  <c r="AB145" i="11"/>
  <c r="AD145" i="11" s="1"/>
  <c r="AB139" i="11"/>
  <c r="AD139" i="11" s="1"/>
  <c r="AB1342" i="11"/>
  <c r="AD1342" i="11" s="1"/>
  <c r="AB1371" i="11"/>
  <c r="AD1371" i="11" s="1"/>
  <c r="AB1368" i="11"/>
  <c r="AD1368" i="11" s="1"/>
  <c r="AB1112" i="11"/>
  <c r="AD1112" i="11" s="1"/>
  <c r="AB442" i="11"/>
  <c r="AD442" i="11" s="1"/>
  <c r="AB1308" i="11"/>
  <c r="AD1308" i="11" s="1"/>
  <c r="AB110" i="11"/>
  <c r="AD110" i="11" s="1"/>
  <c r="AB1056" i="11"/>
  <c r="AD1056" i="11" s="1"/>
  <c r="AB227" i="11"/>
  <c r="AD227" i="11" s="1"/>
  <c r="AB1363" i="11"/>
  <c r="AD1363" i="11" s="1"/>
  <c r="AB1107" i="11"/>
  <c r="AD1107" i="11" s="1"/>
  <c r="AB1360" i="11"/>
  <c r="AD1360" i="11" s="1"/>
  <c r="AB181" i="11"/>
  <c r="AD181" i="11" s="1"/>
  <c r="AB715" i="11"/>
  <c r="AD715" i="11" s="1"/>
  <c r="AB451" i="11"/>
  <c r="AD451" i="11" s="1"/>
  <c r="AB815" i="11"/>
  <c r="AD815" i="11" s="1"/>
  <c r="AB527" i="11"/>
  <c r="AD527" i="11" s="1"/>
  <c r="AB1186" i="11"/>
  <c r="AD1186" i="11" s="1"/>
  <c r="AB780" i="11"/>
  <c r="AD780" i="11" s="1"/>
  <c r="AB843" i="11"/>
  <c r="AD843" i="11" s="1"/>
  <c r="AB647" i="11"/>
  <c r="AD647" i="11" s="1"/>
  <c r="AB71" i="11"/>
  <c r="AD71" i="11" s="1"/>
  <c r="AB1306" i="11"/>
  <c r="AD1306" i="11" s="1"/>
  <c r="AB1048" i="11"/>
  <c r="AD1048" i="11" s="1"/>
  <c r="AB1263" i="11"/>
  <c r="AD1263" i="11" s="1"/>
  <c r="AB1204" i="11"/>
  <c r="AD1204" i="11" s="1"/>
  <c r="AB795" i="11"/>
  <c r="AD795" i="11" s="1"/>
  <c r="AB531" i="11"/>
  <c r="AD531" i="11" s="1"/>
  <c r="AB447" i="11"/>
  <c r="AD447" i="11" s="1"/>
  <c r="AB167" i="11"/>
  <c r="AD167" i="11" s="1"/>
  <c r="AB68" i="11"/>
  <c r="AD68" i="11" s="1"/>
  <c r="AB1319" i="11"/>
  <c r="AD1319" i="11" s="1"/>
  <c r="AB439" i="11"/>
  <c r="AD439" i="11" s="1"/>
  <c r="AB1322" i="11"/>
  <c r="AD1322" i="11" s="1"/>
  <c r="AB28" i="11"/>
  <c r="AD28" i="11" s="1"/>
  <c r="AB1015" i="11"/>
  <c r="AD1015" i="11" s="1"/>
  <c r="AB1305" i="11"/>
  <c r="AD1305" i="11" s="1"/>
  <c r="AB961" i="11"/>
  <c r="AD961" i="11" s="1"/>
  <c r="AB393" i="11"/>
  <c r="AD393" i="11" s="1"/>
  <c r="AB81" i="11"/>
  <c r="AD81" i="11" s="1"/>
  <c r="AB158" i="11"/>
  <c r="AD158" i="11" s="1"/>
  <c r="AB778" i="11"/>
  <c r="AD778" i="11" s="1"/>
  <c r="AB490" i="11"/>
  <c r="AD490" i="11" s="1"/>
  <c r="AB1349" i="11"/>
  <c r="AD1349" i="11" s="1"/>
  <c r="AB276" i="11"/>
  <c r="AD276" i="11" s="1"/>
  <c r="AB20" i="11"/>
  <c r="AD20" i="11" s="1"/>
  <c r="AB1271" i="11"/>
  <c r="AD1271" i="11" s="1"/>
  <c r="AB1265" i="11"/>
  <c r="AD1265" i="11" s="1"/>
  <c r="AB953" i="11"/>
  <c r="AD953" i="11" s="1"/>
  <c r="AB649" i="11"/>
  <c r="AD649" i="11" s="1"/>
  <c r="AB73" i="11"/>
  <c r="AD73" i="11" s="1"/>
  <c r="AB142" i="11"/>
  <c r="AD142" i="11" s="1"/>
  <c r="AB182" i="11"/>
  <c r="AD182" i="11" s="1"/>
  <c r="AB243" i="11"/>
  <c r="AD243" i="11" s="1"/>
  <c r="AB1440" i="11"/>
  <c r="AD1440" i="11" s="1"/>
  <c r="AB1184" i="11"/>
  <c r="AD1184" i="11" s="1"/>
  <c r="AB250" i="11"/>
  <c r="AD250" i="11" s="1"/>
  <c r="AB1369" i="11"/>
  <c r="AD1369" i="11" s="1"/>
  <c r="AB97" i="11"/>
  <c r="AD97" i="11" s="1"/>
  <c r="AB1348" i="11"/>
  <c r="AD1348" i="11" s="1"/>
  <c r="AB190" i="11"/>
  <c r="AD190" i="11" s="1"/>
  <c r="AB267" i="11"/>
  <c r="AD267" i="11" s="1"/>
  <c r="AB1040" i="11"/>
  <c r="AD1040" i="11" s="1"/>
  <c r="AB1339" i="11"/>
  <c r="AD1339" i="11" s="1"/>
  <c r="AB1336" i="11"/>
  <c r="AD1336" i="11" s="1"/>
  <c r="AB138" i="11"/>
  <c r="AD138" i="11" s="1"/>
  <c r="AB1365" i="11"/>
  <c r="AD1365" i="11" s="1"/>
  <c r="AB881" i="11"/>
  <c r="AD881" i="11" s="1"/>
  <c r="AB601" i="11"/>
  <c r="AD601" i="11" s="1"/>
  <c r="AB25" i="11"/>
  <c r="AD25" i="11" s="1"/>
  <c r="AB1276" i="11"/>
  <c r="AD1276" i="11" s="1"/>
  <c r="AB1313" i="11"/>
  <c r="AD1313" i="11" s="1"/>
  <c r="AB131" i="11"/>
  <c r="AD131" i="11" s="1"/>
  <c r="AB1262" i="11"/>
  <c r="AD1262" i="11" s="1"/>
  <c r="AB1331" i="11"/>
  <c r="AD1331" i="11" s="1"/>
  <c r="AB1075" i="11"/>
  <c r="AD1075" i="11" s="1"/>
  <c r="AB402" i="11"/>
  <c r="AD402" i="11" s="1"/>
  <c r="AB8" i="11"/>
  <c r="AD8" i="11" s="1"/>
  <c r="AB392" i="11"/>
  <c r="AD392" i="11" s="1"/>
  <c r="AB419" i="11"/>
  <c r="AD419" i="11" s="1"/>
  <c r="AB783" i="11"/>
  <c r="AD783" i="11" s="1"/>
  <c r="AB495" i="11"/>
  <c r="AD495" i="11" s="1"/>
  <c r="AB1154" i="11"/>
  <c r="AD1154" i="11" s="1"/>
  <c r="AB1089" i="11"/>
  <c r="AD1089" i="11" s="1"/>
  <c r="AB748" i="11"/>
  <c r="AD748" i="11" s="1"/>
  <c r="AB803" i="11"/>
  <c r="AD803" i="11" s="1"/>
  <c r="AB539" i="11"/>
  <c r="AD539" i="11" s="1"/>
  <c r="AB494" i="11"/>
  <c r="AD494" i="11" s="1"/>
  <c r="AB615" i="11"/>
  <c r="AD615" i="11" s="1"/>
  <c r="AB319" i="11"/>
  <c r="AD319" i="11" s="1"/>
  <c r="AB1417" i="11"/>
  <c r="AD1417" i="11" s="1"/>
  <c r="AB836" i="11"/>
  <c r="AD836" i="11" s="1"/>
  <c r="AB492" i="11"/>
  <c r="AD492" i="11" s="1"/>
  <c r="AB236" i="11"/>
  <c r="AD236" i="11" s="1"/>
  <c r="AB1487" i="11"/>
  <c r="AD1487" i="11" s="1"/>
  <c r="AB1148" i="11"/>
  <c r="AD1148" i="11" s="1"/>
  <c r="AB763" i="11"/>
  <c r="AD763" i="11" s="1"/>
  <c r="AB415" i="11"/>
  <c r="AD415" i="11" s="1"/>
  <c r="AB1318" i="11"/>
  <c r="AD1318" i="11" s="1"/>
  <c r="AB947" i="11"/>
  <c r="AD947" i="11" s="1"/>
  <c r="AB751" i="11"/>
  <c r="AD751" i="11" s="1"/>
  <c r="AB507" i="11"/>
  <c r="AD507" i="11" s="1"/>
  <c r="AB280" i="11"/>
  <c r="AD280" i="11" s="1"/>
  <c r="AB551" i="11"/>
  <c r="AD551" i="11" s="1"/>
  <c r="AB287" i="11"/>
  <c r="AD287" i="11" s="1"/>
  <c r="AB1321" i="11"/>
  <c r="AD1321" i="11" s="1"/>
  <c r="AB204" i="11"/>
  <c r="AD204" i="11" s="1"/>
  <c r="AB1199" i="11"/>
  <c r="AD1199" i="11" s="1"/>
  <c r="AB197" i="11"/>
  <c r="AD197" i="11" s="1"/>
  <c r="AB467" i="11"/>
  <c r="AD467" i="11" s="1"/>
  <c r="AB95" i="11"/>
  <c r="AD95" i="11" s="1"/>
  <c r="AB1330" i="11"/>
  <c r="AD1330" i="11" s="1"/>
  <c r="AB151" i="11"/>
  <c r="AD151" i="11" s="1"/>
  <c r="AB1090" i="11"/>
  <c r="AD1090" i="11" s="1"/>
  <c r="AB1230" i="11"/>
  <c r="AD1230" i="11" s="1"/>
  <c r="AB636" i="11"/>
  <c r="AD636" i="11" s="1"/>
  <c r="AB519" i="11"/>
  <c r="AD519" i="11" s="1"/>
  <c r="AB1225" i="11"/>
  <c r="AD1225" i="11" s="1"/>
  <c r="AB772" i="11"/>
  <c r="AD772" i="11" s="1"/>
  <c r="AB1423" i="11"/>
  <c r="AD1423" i="11" s="1"/>
  <c r="AB1167" i="11"/>
  <c r="AD1167" i="11" s="1"/>
  <c r="AB699" i="11"/>
  <c r="AD699" i="11" s="1"/>
  <c r="AB435" i="11"/>
  <c r="AD435" i="11" s="1"/>
  <c r="AB63" i="11"/>
  <c r="AD63" i="11" s="1"/>
  <c r="AB1298" i="11"/>
  <c r="AD1298" i="11" s="1"/>
  <c r="AB5" i="11"/>
  <c r="AD5" i="11" s="1"/>
  <c r="AB1022" i="11"/>
  <c r="AD1022" i="11" s="1"/>
  <c r="AB160" i="11"/>
  <c r="AD160" i="11" s="1"/>
  <c r="AB399" i="11"/>
  <c r="AD399" i="11" s="1"/>
  <c r="AB1110" i="11"/>
  <c r="AD1110" i="11" s="1"/>
  <c r="AB707" i="11"/>
  <c r="AD707" i="11" s="1"/>
  <c r="AB216" i="11"/>
  <c r="AD216" i="11" s="1"/>
  <c r="AB775" i="11"/>
  <c r="AD775" i="11" s="1"/>
  <c r="AB215" i="11"/>
  <c r="AD215" i="11" s="1"/>
  <c r="AB1065" i="11"/>
  <c r="AD1065" i="11" s="1"/>
  <c r="AB396" i="11"/>
  <c r="AD396" i="11" s="1"/>
  <c r="AB1391" i="11"/>
  <c r="AD1391" i="11" s="1"/>
  <c r="AB1135" i="11"/>
  <c r="AD1135" i="11" s="1"/>
  <c r="AB667" i="11"/>
  <c r="AD667" i="11" s="1"/>
  <c r="AB368" i="11"/>
  <c r="AD368" i="11" s="1"/>
  <c r="AB991" i="11"/>
  <c r="AD991" i="11" s="1"/>
  <c r="AB31" i="11"/>
  <c r="AD31" i="11" s="1"/>
  <c r="AB1266" i="11"/>
  <c r="AD1266" i="11" s="1"/>
  <c r="AB796" i="11"/>
  <c r="AD796" i="11" s="1"/>
  <c r="AB452" i="11"/>
  <c r="AD452" i="11" s="1"/>
  <c r="AB196" i="11"/>
  <c r="AD196" i="11" s="1"/>
  <c r="AB1447" i="11"/>
  <c r="AD1447" i="11" s="1"/>
  <c r="AB407" i="11"/>
  <c r="AD407" i="11" s="1"/>
  <c r="AB1290" i="11"/>
  <c r="AD1290" i="11" s="1"/>
  <c r="AB14" i="11"/>
  <c r="AD14" i="11" s="1"/>
  <c r="AB284" i="11"/>
  <c r="AD284" i="11" s="1"/>
  <c r="AB1201" i="11"/>
  <c r="AD1201" i="11" s="1"/>
  <c r="AB49" i="11"/>
  <c r="AD49" i="11" s="1"/>
  <c r="AB62" i="11"/>
  <c r="AD62" i="11" s="1"/>
  <c r="AB1422" i="11"/>
  <c r="AD1422" i="11" s="1"/>
  <c r="AB1155" i="11"/>
  <c r="AD1155" i="11" s="1"/>
  <c r="AB641" i="11"/>
  <c r="AD641" i="11" s="1"/>
  <c r="AB65" i="11"/>
  <c r="AD65" i="11" s="1"/>
  <c r="AB126" i="11"/>
  <c r="AD126" i="11" s="1"/>
  <c r="AB1011" i="11"/>
  <c r="AD1011" i="11" s="1"/>
  <c r="AB906" i="11"/>
  <c r="AD906" i="11" s="1"/>
  <c r="AB346" i="11"/>
  <c r="AD346" i="11" s="1"/>
  <c r="AB1301" i="11"/>
  <c r="AD1301" i="11" s="1"/>
  <c r="AB1028" i="11"/>
  <c r="AD1028" i="11" s="1"/>
  <c r="AB257" i="11"/>
  <c r="AD257" i="11" s="1"/>
  <c r="AB1212" i="11"/>
  <c r="AD1212" i="11" s="1"/>
  <c r="AB374" i="11"/>
  <c r="AD374" i="11" s="1"/>
  <c r="AB67" i="11"/>
  <c r="AD67" i="11" s="1"/>
  <c r="AB1267" i="11"/>
  <c r="AD1267" i="11" s="1"/>
  <c r="AB58" i="11"/>
  <c r="AD58" i="11" s="1"/>
  <c r="AB228" i="11"/>
  <c r="AD228" i="11" s="1"/>
  <c r="AB1258" i="11"/>
  <c r="AD1258" i="11" s="1"/>
  <c r="AB17" i="11"/>
  <c r="AD17" i="11" s="1"/>
  <c r="AB1096" i="11"/>
  <c r="AD1096" i="11" s="1"/>
  <c r="AB426" i="11"/>
  <c r="AD426" i="11" s="1"/>
  <c r="AB212" i="11"/>
  <c r="AD212" i="11" s="1"/>
  <c r="AB1207" i="11"/>
  <c r="AD1207" i="11" s="1"/>
  <c r="AB585" i="11"/>
  <c r="AD585" i="11" s="1"/>
  <c r="AB1366" i="11"/>
  <c r="AD1366" i="11" s="1"/>
  <c r="AB450" i="11"/>
  <c r="AD450" i="11" s="1"/>
  <c r="AB1137" i="11"/>
  <c r="AD1137" i="11" s="1"/>
  <c r="AB609" i="11"/>
  <c r="AD609" i="11" s="1"/>
  <c r="AB56" i="11"/>
  <c r="AD56" i="11" s="1"/>
  <c r="AB1496" i="11"/>
  <c r="AD1496" i="11" s="1"/>
  <c r="AB1269" i="11"/>
  <c r="AD1269" i="11" s="1"/>
  <c r="AB342" i="11"/>
  <c r="AD342" i="11" s="1"/>
  <c r="AB1235" i="11"/>
  <c r="AD1235" i="11" s="1"/>
  <c r="AB1232" i="11"/>
  <c r="AD1232" i="11" s="1"/>
  <c r="AB562" i="11"/>
  <c r="AD562" i="11" s="1"/>
  <c r="AB36" i="11"/>
  <c r="AD36" i="11" s="1"/>
  <c r="AB478" i="11"/>
  <c r="AD478" i="11" s="1"/>
  <c r="AB1226" i="11"/>
  <c r="AD1226" i="11" s="1"/>
  <c r="AB220" i="11"/>
  <c r="AD220" i="11" s="1"/>
  <c r="AB1183" i="11"/>
  <c r="AD1183" i="11" s="1"/>
  <c r="AB136" i="11"/>
  <c r="AD136" i="11" s="1"/>
  <c r="AB1002" i="11"/>
  <c r="AD1002" i="11" s="1"/>
  <c r="AB394" i="11"/>
  <c r="AD394" i="11" s="1"/>
  <c r="AB1175" i="11"/>
  <c r="AD1175" i="11" s="1"/>
  <c r="AB1350" i="11"/>
  <c r="AD1350" i="11" s="1"/>
  <c r="AB1484" i="11"/>
  <c r="AD1484" i="11" s="1"/>
  <c r="AB1345" i="11"/>
  <c r="AD1345" i="11" s="1"/>
  <c r="AB1091" i="11"/>
  <c r="AD1091" i="11" s="1"/>
  <c r="AB1088" i="11"/>
  <c r="AD1088" i="11" s="1"/>
  <c r="AB418" i="11"/>
  <c r="AD418" i="11" s="1"/>
  <c r="AB1025" i="11"/>
  <c r="AD1025" i="11" s="1"/>
  <c r="AB1286" i="11"/>
  <c r="AD1286" i="11" s="1"/>
  <c r="AB282" i="11"/>
  <c r="AD282" i="11" s="1"/>
  <c r="AB1237" i="11"/>
  <c r="AD1237" i="11" s="1"/>
  <c r="AB70" i="11"/>
  <c r="AD70" i="11" s="1"/>
  <c r="AB1060" i="11"/>
  <c r="AD1060" i="11" s="1"/>
  <c r="AB1203" i="11"/>
  <c r="AD1203" i="11" s="1"/>
  <c r="AB1200" i="11"/>
  <c r="AD1200" i="11" s="1"/>
  <c r="AB1493" i="11"/>
  <c r="AD1493" i="11" s="1"/>
  <c r="AB983" i="11"/>
  <c r="AD983" i="11" s="1"/>
  <c r="AB303" i="11"/>
  <c r="AD303" i="11" s="1"/>
  <c r="AB156" i="11"/>
  <c r="AD156" i="11" s="1"/>
  <c r="AB1270" i="11"/>
  <c r="AD1270" i="11" s="1"/>
  <c r="AB521" i="11"/>
  <c r="AD521" i="11" s="1"/>
  <c r="AB1460" i="11"/>
  <c r="AD1460" i="11" s="1"/>
  <c r="AB395" i="11"/>
  <c r="AD395" i="11" s="1"/>
  <c r="AB104" i="11"/>
  <c r="AD104" i="11" s="1"/>
  <c r="AB1027" i="11"/>
  <c r="AD1027" i="11" s="1"/>
  <c r="AB938" i="11"/>
  <c r="AD938" i="11" s="1"/>
  <c r="AB362" i="11"/>
  <c r="AD362" i="11" s="1"/>
  <c r="AB1143" i="11"/>
  <c r="AD1143" i="11" s="1"/>
  <c r="AB1452" i="11"/>
  <c r="AD1452" i="11" s="1"/>
  <c r="AB1257" i="11"/>
  <c r="AD1257" i="11" s="1"/>
  <c r="AB1059" i="11"/>
  <c r="AD1059" i="11" s="1"/>
  <c r="AB978" i="11"/>
  <c r="AD978" i="11" s="1"/>
  <c r="AB386" i="11"/>
  <c r="AD386" i="11" s="1"/>
  <c r="AB1326" i="11"/>
  <c r="AD1326" i="11" s="1"/>
  <c r="AB545" i="11"/>
  <c r="AD545" i="11" s="1"/>
  <c r="AB1307" i="11"/>
  <c r="AD1307" i="11" s="1"/>
  <c r="AB1304" i="11"/>
  <c r="AD1304" i="11" s="1"/>
  <c r="AB98" i="11"/>
  <c r="AD98" i="11" s="1"/>
  <c r="AB4" i="11"/>
  <c r="AC4" i="11" s="1"/>
  <c r="AD4" i="11" s="1"/>
  <c r="AB1500" i="11"/>
  <c r="AD1500" i="11" s="1"/>
  <c r="AB112" i="11"/>
  <c r="AD112" i="11" s="1"/>
  <c r="AB1043" i="11"/>
  <c r="AD1043" i="11" s="1"/>
  <c r="AB440" i="11"/>
  <c r="AD440" i="11" s="1"/>
  <c r="AB448" i="11"/>
  <c r="AD448" i="11" s="1"/>
  <c r="AB491" i="11"/>
  <c r="AD491" i="11" s="1"/>
  <c r="AB119" i="11"/>
  <c r="AD119" i="11" s="1"/>
  <c r="AB548" i="11"/>
  <c r="AD548" i="11" s="1"/>
  <c r="AB1503" i="11"/>
  <c r="AD1503" i="11" s="1"/>
  <c r="AB1180" i="11"/>
  <c r="AD1180" i="11" s="1"/>
  <c r="AB905" i="11"/>
  <c r="AD905" i="11" s="1"/>
  <c r="AB1300" i="11"/>
  <c r="AD1300" i="11" s="1"/>
  <c r="AB219" i="11"/>
  <c r="AD219" i="11" s="1"/>
  <c r="AB1451" i="11"/>
  <c r="AD1451" i="11" s="1"/>
  <c r="AB1384" i="11"/>
  <c r="AD1384" i="11" s="1"/>
  <c r="AB114" i="11"/>
  <c r="AD114" i="11" s="1"/>
  <c r="AB1164" i="11"/>
  <c r="AD1164" i="11" s="1"/>
  <c r="AB353" i="11"/>
  <c r="AD353" i="11" s="1"/>
  <c r="AB1292" i="11"/>
  <c r="AD1292" i="11" s="1"/>
  <c r="AB454" i="11"/>
  <c r="AD454" i="11" s="1"/>
  <c r="AB1408" i="11"/>
  <c r="AD1408" i="11" s="1"/>
  <c r="AB770" i="11"/>
  <c r="AD770" i="11" s="1"/>
  <c r="AB1165" i="11"/>
  <c r="AD1165" i="11" s="1"/>
  <c r="AB377" i="11"/>
  <c r="AD377" i="11" s="1"/>
  <c r="AB235" i="11"/>
  <c r="AD235" i="11" s="1"/>
  <c r="AB35" i="11"/>
  <c r="AD35" i="11" s="1"/>
  <c r="AB1275" i="11"/>
  <c r="AD1275" i="11" s="1"/>
  <c r="AB66" i="11"/>
  <c r="AD66" i="11" s="1"/>
  <c r="AB1159" i="11"/>
  <c r="AD1159" i="11" s="1"/>
  <c r="AB1294" i="11"/>
  <c r="AD1294" i="11" s="1"/>
  <c r="AB537" i="11"/>
  <c r="AD537" i="11" s="1"/>
  <c r="AB1468" i="11"/>
  <c r="AD1468" i="11" s="1"/>
  <c r="AB1297" i="11"/>
  <c r="AD1297" i="11" s="1"/>
  <c r="AB403" i="11"/>
  <c r="AD403" i="11" s="1"/>
  <c r="AB898" i="11"/>
  <c r="AD898" i="11" s="1"/>
  <c r="AB1293" i="11"/>
  <c r="AD1293" i="11" s="1"/>
  <c r="AB516" i="11"/>
  <c r="AD516" i="11" s="1"/>
  <c r="AB1287" i="11"/>
  <c r="AD1287" i="11" s="1"/>
  <c r="AB459" i="11"/>
  <c r="AD459" i="11" s="1"/>
  <c r="AB508" i="11"/>
  <c r="AD508" i="11" s="1"/>
  <c r="AB1124" i="11"/>
  <c r="AD1124" i="11" s="1"/>
  <c r="AB430" i="11"/>
  <c r="AD430" i="11" s="1"/>
  <c r="AB1352" i="11"/>
  <c r="AD1352" i="11" s="1"/>
  <c r="AB50" i="11"/>
  <c r="AD50" i="11" s="1"/>
  <c r="AB1463" i="11"/>
  <c r="AD1463" i="11" s="1"/>
  <c r="AB1108" i="11"/>
  <c r="AD1108" i="11" s="1"/>
  <c r="AB422" i="11"/>
  <c r="AD422" i="11" s="1"/>
  <c r="AB147" i="11"/>
  <c r="AD147" i="11" s="1"/>
  <c r="AB1379" i="11"/>
  <c r="AD1379" i="11" s="1"/>
  <c r="AB1069" i="11"/>
  <c r="AD1069" i="11" s="1"/>
  <c r="AB195" i="11"/>
  <c r="AD195" i="11" s="1"/>
  <c r="AB1243" i="11"/>
  <c r="AD1243" i="11" s="1"/>
  <c r="AB1240" i="11"/>
  <c r="AD1240" i="11" s="1"/>
  <c r="AB570" i="11"/>
  <c r="AD570" i="11" s="1"/>
  <c r="AB34" i="11"/>
  <c r="AD34" i="11" s="1"/>
  <c r="AB1127" i="11"/>
  <c r="AD1127" i="11" s="1"/>
  <c r="AB497" i="11"/>
  <c r="AD497" i="11" s="1"/>
  <c r="AB1436" i="11"/>
  <c r="AD1436" i="11" s="1"/>
  <c r="AB371" i="11"/>
  <c r="AD371" i="11" s="1"/>
  <c r="AB1488" i="11"/>
  <c r="AD1488" i="11" s="1"/>
  <c r="AB306" i="11"/>
  <c r="AD306" i="11" s="1"/>
  <c r="AB1261" i="11"/>
  <c r="AD1261" i="11" s="1"/>
  <c r="AB484" i="11"/>
  <c r="AD484" i="11" s="1"/>
  <c r="AB1255" i="11"/>
  <c r="AD1255" i="11" s="1"/>
  <c r="AB427" i="11"/>
  <c r="AD427" i="11" s="1"/>
  <c r="AB631" i="11"/>
  <c r="AD631" i="11" s="1"/>
  <c r="AB1498" i="11"/>
  <c r="AD1498" i="11" s="1"/>
  <c r="AB1439" i="11"/>
  <c r="AD1439" i="11" s="1"/>
  <c r="AB1068" i="11"/>
  <c r="AD1068" i="11" s="1"/>
  <c r="AB289" i="11"/>
  <c r="AD289" i="11" s="1"/>
  <c r="AB1236" i="11"/>
  <c r="AD1236" i="11" s="1"/>
  <c r="AB398" i="11"/>
  <c r="AD398" i="11" s="1"/>
  <c r="AB123" i="11"/>
  <c r="AD123" i="11" s="1"/>
  <c r="AB1320" i="11"/>
  <c r="AD1320" i="11" s="1"/>
  <c r="AB833" i="11"/>
  <c r="AD833" i="11" s="1"/>
  <c r="AB281" i="11"/>
  <c r="AD281" i="11" s="1"/>
  <c r="AB390" i="11"/>
  <c r="AD390" i="11" s="1"/>
  <c r="AB115" i="11"/>
  <c r="AD115" i="11" s="1"/>
  <c r="AB1344" i="11"/>
  <c r="AD1344" i="11" s="1"/>
  <c r="AB146" i="11"/>
  <c r="AD146" i="11" s="1"/>
  <c r="AB1021" i="11"/>
  <c r="AD1021" i="11" s="1"/>
  <c r="AB305" i="11"/>
  <c r="AD305" i="11" s="1"/>
  <c r="AB1252" i="11"/>
  <c r="AD1252" i="11" s="1"/>
  <c r="AB1211" i="11"/>
  <c r="AD1211" i="11" s="1"/>
  <c r="AB538" i="11"/>
  <c r="AD538" i="11" s="1"/>
  <c r="AB465" i="11"/>
  <c r="AD465" i="11" s="1"/>
  <c r="AB1404" i="11"/>
  <c r="AD1404" i="11" s="1"/>
  <c r="AB339" i="11"/>
  <c r="AD339" i="11" s="1"/>
  <c r="AB274" i="11"/>
  <c r="AD274" i="11" s="1"/>
  <c r="AB1223" i="11"/>
  <c r="AD1223" i="11" s="1"/>
  <c r="AB971" i="11"/>
  <c r="AD971" i="11" s="1"/>
  <c r="AB583" i="11"/>
  <c r="AD583" i="11" s="1"/>
  <c r="AB1407" i="11"/>
  <c r="AD1407" i="11" s="1"/>
  <c r="AB809" i="11"/>
  <c r="AD809" i="11" s="1"/>
  <c r="AB249" i="11"/>
  <c r="AD249" i="11" s="1"/>
  <c r="AB1288" i="11"/>
  <c r="AD1288" i="11" s="1"/>
  <c r="AB404" i="11"/>
  <c r="AD404" i="11" s="1"/>
  <c r="AB1399" i="11"/>
  <c r="AD1399" i="11" s="1"/>
  <c r="AB198" i="11"/>
  <c r="AD198" i="11" s="1"/>
  <c r="AB801" i="11"/>
  <c r="AD801" i="11" s="1"/>
  <c r="AB241" i="11"/>
  <c r="AD241" i="11" s="1"/>
  <c r="AB358" i="11"/>
  <c r="AD358" i="11" s="1"/>
  <c r="AB83" i="11"/>
  <c r="AD83" i="11" s="1"/>
  <c r="AB106" i="11"/>
  <c r="AD106" i="11" s="1"/>
  <c r="AB1036" i="11"/>
  <c r="AD1036" i="11" s="1"/>
  <c r="AB273" i="11"/>
  <c r="AD273" i="11" s="1"/>
  <c r="AB382" i="11"/>
  <c r="AD382" i="11" s="1"/>
  <c r="AB120" i="11"/>
  <c r="AD120" i="11" s="1"/>
  <c r="AB1051" i="11"/>
  <c r="AD1051" i="11" s="1"/>
  <c r="AB1333" i="11"/>
  <c r="AD1333" i="11" s="1"/>
  <c r="AB1084" i="11"/>
  <c r="AD1084" i="11" s="1"/>
  <c r="AB1244" i="11"/>
  <c r="AD1244" i="11" s="1"/>
  <c r="AB1299" i="11"/>
  <c r="AD1299" i="11" s="1"/>
  <c r="AB1296" i="11"/>
  <c r="AD1296" i="11" s="1"/>
  <c r="AB626" i="11"/>
  <c r="AD626" i="11" s="1"/>
  <c r="AB1403" i="11"/>
  <c r="AD1403" i="11" s="1"/>
  <c r="AB185" i="11"/>
  <c r="AD185" i="11" s="1"/>
  <c r="AB502" i="11"/>
  <c r="AD502" i="11" s="1"/>
  <c r="AB1039" i="11"/>
  <c r="AD1039" i="11" s="1"/>
  <c r="AB733" i="11"/>
  <c r="AD733" i="11" s="1"/>
  <c r="AB1161" i="11"/>
  <c r="AD1161" i="11" s="1"/>
  <c r="AB781" i="11"/>
  <c r="AD781" i="11" s="1"/>
  <c r="AB840" i="11"/>
  <c r="AD840" i="11" s="1"/>
  <c r="AB990" i="11"/>
  <c r="AD990" i="11" s="1"/>
  <c r="AB901" i="11"/>
  <c r="AD901" i="11" s="1"/>
  <c r="AB924" i="11"/>
  <c r="AD924" i="11" s="1"/>
  <c r="AB341" i="11"/>
  <c r="AD341" i="11" s="1"/>
  <c r="AB685" i="11"/>
  <c r="AD685" i="11" s="1"/>
  <c r="AB622" i="11"/>
  <c r="AD622" i="11" s="1"/>
  <c r="AB529" i="11"/>
  <c r="AD529" i="11" s="1"/>
  <c r="AB976" i="11"/>
  <c r="AD976" i="11" s="1"/>
  <c r="AB1387" i="11"/>
  <c r="AD1387" i="11" s="1"/>
  <c r="AB814" i="11"/>
  <c r="AD814" i="11" s="1"/>
  <c r="AB717" i="11"/>
  <c r="AD717" i="11" s="1"/>
  <c r="AB714" i="11"/>
  <c r="AD714" i="11" s="1"/>
  <c r="AB1419" i="11"/>
  <c r="AD1419" i="11" s="1"/>
  <c r="AB863" i="11"/>
  <c r="AD863" i="11" s="1"/>
  <c r="AB773" i="11"/>
  <c r="AD773" i="11" s="1"/>
  <c r="AB143" i="11"/>
  <c r="AD143" i="11" s="1"/>
  <c r="AB376" i="11"/>
  <c r="AD376" i="11" s="1"/>
  <c r="AB149" i="11"/>
  <c r="AD149" i="11" s="1"/>
  <c r="AB774" i="11"/>
  <c r="AD774" i="11" s="1"/>
  <c r="AB155" i="11"/>
  <c r="AD155" i="11" s="1"/>
  <c r="AB949" i="11"/>
  <c r="AD949" i="11" s="1"/>
  <c r="AB69" i="11"/>
  <c r="AD69" i="11" s="1"/>
  <c r="AB868" i="11"/>
  <c r="AD868" i="11" s="1"/>
  <c r="AB982" i="11"/>
  <c r="AD982" i="11" s="1"/>
  <c r="AB1008" i="11"/>
  <c r="AD1008" i="11" s="1"/>
  <c r="AB592" i="11"/>
  <c r="AD592" i="11" s="1"/>
  <c r="AB125" i="11"/>
  <c r="AD125" i="11" s="1"/>
  <c r="AB277" i="11"/>
  <c r="AD277" i="11" s="1"/>
  <c r="AB550" i="11"/>
  <c r="AD550" i="11" s="1"/>
  <c r="AB253" i="11"/>
  <c r="AD253" i="11" s="1"/>
  <c r="AB558" i="11"/>
  <c r="AD558" i="11" s="1"/>
  <c r="AB894" i="11"/>
  <c r="AD894" i="11" s="1"/>
  <c r="AB885" i="11"/>
  <c r="AD885" i="11" s="1"/>
  <c r="AB904" i="11"/>
  <c r="AD904" i="11" s="1"/>
  <c r="AB1173" i="11"/>
  <c r="AD1173" i="11" s="1"/>
  <c r="AB678" i="11"/>
  <c r="AD678" i="11" s="1"/>
  <c r="AB877" i="11"/>
  <c r="AD877" i="11" s="1"/>
  <c r="AB581" i="11"/>
  <c r="AD581" i="11" s="1"/>
  <c r="AB1061" i="11"/>
  <c r="AD1061" i="11" s="1"/>
  <c r="AB1157" i="11"/>
  <c r="AD1157" i="11" s="1"/>
  <c r="AB1041" i="11"/>
  <c r="AD1041" i="11" s="1"/>
  <c r="AB968" i="11"/>
  <c r="AD968" i="11" s="1"/>
  <c r="AB576" i="11"/>
  <c r="AD576" i="11" s="1"/>
  <c r="AB830" i="11"/>
  <c r="AD830" i="11" s="1"/>
  <c r="AB528" i="11"/>
  <c r="AD528" i="11" s="1"/>
  <c r="AB130" i="11"/>
  <c r="AD130" i="11" s="1"/>
  <c r="AB1017" i="11"/>
  <c r="AD1017" i="11" s="1"/>
  <c r="AB656" i="11"/>
  <c r="AD656" i="11" s="1"/>
  <c r="AB266" i="11"/>
  <c r="AD266" i="11" s="1"/>
  <c r="AB909" i="11"/>
  <c r="AD909" i="11" s="1"/>
  <c r="AB925" i="11"/>
  <c r="AD925" i="11" s="1"/>
  <c r="AB646" i="11"/>
  <c r="AD646" i="11" s="1"/>
  <c r="AB1093" i="11"/>
  <c r="AD1093" i="11" s="1"/>
  <c r="AB822" i="11"/>
  <c r="AD822" i="11" s="1"/>
  <c r="AB989" i="11"/>
  <c r="AD989" i="11" s="1"/>
  <c r="AB1026" i="11"/>
  <c r="AD1026" i="11" s="1"/>
  <c r="AB357" i="11"/>
  <c r="AD357" i="11" s="1"/>
  <c r="AB1018" i="11"/>
  <c r="AD1018" i="11" s="1"/>
  <c r="AB878" i="11"/>
  <c r="AD878" i="11" s="1"/>
  <c r="AB493" i="11"/>
  <c r="AD493" i="11" s="1"/>
  <c r="AB935" i="11"/>
  <c r="AD935" i="11" s="1"/>
  <c r="AB993" i="11"/>
  <c r="AD993" i="11" s="1"/>
  <c r="AB872" i="11"/>
  <c r="AD872" i="11" s="1"/>
  <c r="AB975" i="11"/>
  <c r="AD975" i="11" s="1"/>
  <c r="AB954" i="11"/>
  <c r="AD954" i="11" s="1"/>
  <c r="AB816" i="11"/>
  <c r="AD816" i="11" s="1"/>
  <c r="AB1012" i="11"/>
  <c r="AD1012" i="11" s="1"/>
  <c r="AB911" i="11"/>
  <c r="AD911" i="11" s="1"/>
  <c r="AB373" i="11"/>
  <c r="AD373" i="11" s="1"/>
  <c r="AB765" i="11"/>
  <c r="AD765" i="11" s="1"/>
  <c r="AB964" i="11"/>
  <c r="AD964" i="11" s="1"/>
  <c r="AB630" i="11"/>
  <c r="AD630" i="11" s="1"/>
  <c r="AB161" i="11"/>
  <c r="AD161" i="11" s="1"/>
  <c r="AB1193" i="11"/>
  <c r="AD1193" i="11" s="1"/>
  <c r="AB997" i="11"/>
  <c r="AD997" i="11" s="1"/>
  <c r="AB973" i="11"/>
  <c r="AD973" i="11" s="1"/>
  <c r="AB856" i="11"/>
  <c r="AD856" i="11" s="1"/>
  <c r="AB211" i="11"/>
  <c r="AD211" i="11" s="1"/>
  <c r="AB933" i="11"/>
  <c r="AD933" i="11" s="1"/>
  <c r="AB1141" i="11"/>
  <c r="AD1141" i="11" s="1"/>
  <c r="AB760" i="11"/>
  <c r="AD760" i="11" s="1"/>
  <c r="AB948" i="11"/>
  <c r="AD948" i="11" s="1"/>
  <c r="AB621" i="11"/>
  <c r="AD621" i="11" s="1"/>
  <c r="AB1418" i="11"/>
  <c r="AD1418" i="11" s="1"/>
  <c r="AB892" i="11"/>
  <c r="AD892" i="11" s="1"/>
  <c r="AB694" i="11"/>
  <c r="AD694" i="11" s="1"/>
  <c r="AB972" i="11"/>
  <c r="AD972" i="11" s="1"/>
  <c r="AB710" i="11"/>
  <c r="AD710" i="11" s="1"/>
  <c r="AB910" i="11"/>
  <c r="AD910" i="11" s="1"/>
  <c r="AB789" i="11"/>
  <c r="AD789" i="11" s="1"/>
  <c r="AB1005" i="11"/>
  <c r="AD1005" i="11" s="1"/>
  <c r="AB979" i="11"/>
  <c r="AD979" i="11" s="1"/>
  <c r="AB996" i="11"/>
  <c r="AD996" i="11" s="1"/>
  <c r="AB365" i="11"/>
  <c r="AD365" i="11" s="1"/>
  <c r="AB242" i="11"/>
  <c r="AD242" i="11" s="1"/>
  <c r="AB653" i="11"/>
  <c r="AD653" i="11" s="1"/>
  <c r="AB613" i="11"/>
  <c r="AD613" i="11" s="1"/>
  <c r="AB51" i="11"/>
  <c r="AD51" i="11" s="1"/>
  <c r="AB805" i="11"/>
  <c r="AD805" i="11" s="1"/>
  <c r="AB837" i="11"/>
  <c r="AD837" i="11" s="1"/>
  <c r="AB552" i="11"/>
  <c r="AD552" i="11" s="1"/>
  <c r="AB1077" i="11"/>
  <c r="AD1077" i="11" s="1"/>
  <c r="AB926" i="11"/>
  <c r="AD926" i="11" s="1"/>
  <c r="AB93" i="11"/>
  <c r="AD93" i="11" s="1"/>
  <c r="AB509" i="11"/>
  <c r="AD509" i="11" s="1"/>
  <c r="AB957" i="11"/>
  <c r="AD957" i="11" s="1"/>
  <c r="AB520" i="11"/>
  <c r="AD520" i="11" s="1"/>
  <c r="AB605" i="11"/>
  <c r="AD605" i="11" s="1"/>
  <c r="AB879" i="11"/>
  <c r="AD879" i="11" s="1"/>
  <c r="AB838" i="11"/>
  <c r="AD838" i="11" s="1"/>
  <c r="AB992" i="11"/>
  <c r="AD992" i="11" s="1"/>
  <c r="AB309" i="11"/>
  <c r="AD309" i="11" s="1"/>
  <c r="AB597" i="11"/>
  <c r="AD597" i="11" s="1"/>
  <c r="AB666" i="11"/>
  <c r="AD666" i="11" s="1"/>
  <c r="AB950" i="11"/>
  <c r="AD950" i="11" s="1"/>
  <c r="AB696" i="11"/>
  <c r="AD696" i="11" s="1"/>
  <c r="AB1395" i="11"/>
  <c r="AD1395" i="11" s="1"/>
  <c r="AB600" i="11"/>
  <c r="AD600" i="11" s="1"/>
  <c r="AB776" i="11"/>
  <c r="AD776" i="11" s="1"/>
  <c r="AB903" i="11"/>
  <c r="AD903" i="11" s="1"/>
  <c r="AB895" i="11"/>
  <c r="AD895" i="11" s="1"/>
  <c r="AB1125" i="11"/>
  <c r="AD1125" i="11" s="1"/>
  <c r="AB672" i="11"/>
  <c r="AD672" i="11" s="1"/>
  <c r="AB1413" i="11"/>
  <c r="AD1413" i="11" s="1"/>
  <c r="AB1109" i="11"/>
  <c r="AD1109" i="11" s="1"/>
  <c r="AB845" i="11"/>
  <c r="AD845" i="11" s="1"/>
  <c r="AB109" i="11"/>
  <c r="AD109" i="11" s="1"/>
  <c r="AB962" i="11"/>
  <c r="AD962" i="11" s="1"/>
  <c r="AB670" i="11"/>
  <c r="AD670" i="11" s="1"/>
  <c r="AB612" i="11"/>
  <c r="AD612" i="11" s="1"/>
  <c r="AB1057" i="11"/>
  <c r="AD1057" i="11" s="1"/>
  <c r="AB616" i="11"/>
  <c r="AD616" i="11" s="1"/>
  <c r="AB526" i="11"/>
  <c r="AD526" i="11" s="1"/>
  <c r="AB677" i="11"/>
  <c r="AD677" i="11" s="1"/>
  <c r="AB1054" i="11"/>
  <c r="AD1054" i="11" s="1"/>
  <c r="AB985" i="11"/>
  <c r="AD985" i="11" s="1"/>
  <c r="AB821" i="11"/>
  <c r="AD821" i="11" s="1"/>
  <c r="AB806" i="11"/>
  <c r="AD806" i="11" s="1"/>
  <c r="AB590" i="11"/>
  <c r="AD590" i="11" s="1"/>
  <c r="AB937" i="11"/>
  <c r="AD937" i="11" s="1"/>
  <c r="AB201" i="11"/>
  <c r="AD201" i="11" s="1"/>
  <c r="AB245" i="11"/>
  <c r="AD245" i="11" s="1"/>
  <c r="AB175" i="11"/>
  <c r="AD175" i="11" s="1"/>
  <c r="AB582" i="11"/>
  <c r="AD582" i="11" s="1"/>
  <c r="AB512" i="11"/>
  <c r="AD512" i="11" s="1"/>
  <c r="AB967" i="11"/>
  <c r="AD967" i="11" s="1"/>
  <c r="AB1006" i="11"/>
  <c r="AD1006" i="11" s="1"/>
  <c r="AB445" i="11"/>
  <c r="AD445" i="11" s="1"/>
  <c r="AB700" i="11"/>
  <c r="AD700" i="11" s="1"/>
  <c r="AB725" i="11"/>
  <c r="AD725" i="11" s="1"/>
  <c r="AB517" i="11"/>
  <c r="AD517" i="11" s="1"/>
  <c r="AB573" i="11"/>
  <c r="AD573" i="11" s="1"/>
  <c r="AB855" i="11"/>
  <c r="AD855" i="11" s="1"/>
  <c r="AB793" i="11"/>
  <c r="AD793" i="11" s="1"/>
  <c r="AB141" i="11"/>
  <c r="AD141" i="11" s="1"/>
  <c r="AB1062" i="11"/>
  <c r="AD1062" i="11" s="1"/>
  <c r="AB932" i="11"/>
  <c r="AD932" i="11" s="1"/>
  <c r="AB876" i="11"/>
  <c r="AD876" i="11" s="1"/>
  <c r="AB544" i="11"/>
  <c r="AD544" i="11" s="1"/>
  <c r="AB421" i="11"/>
  <c r="AD421" i="11" s="1"/>
  <c r="AB29" i="11"/>
  <c r="AD29" i="11" s="1"/>
  <c r="AB869" i="11"/>
  <c r="AD869" i="11" s="1"/>
  <c r="AB959" i="11"/>
  <c r="AD959" i="11" s="1"/>
  <c r="AB741" i="11"/>
  <c r="AD741" i="11" s="1"/>
  <c r="AB1035" i="11"/>
  <c r="AD1035" i="11" s="1"/>
  <c r="AB536" i="11"/>
  <c r="AD536" i="11" s="1"/>
  <c r="AB980" i="11"/>
  <c r="AD980" i="11" s="1"/>
  <c r="AB846" i="11"/>
  <c r="AD846" i="11" s="1"/>
  <c r="AB1435" i="11"/>
  <c r="AD1435" i="11" s="1"/>
  <c r="AB632" i="11"/>
  <c r="AD632" i="11" s="1"/>
  <c r="AB886" i="11"/>
  <c r="AD886" i="11" s="1"/>
  <c r="AB847" i="11"/>
  <c r="AD847" i="11" s="1"/>
  <c r="AB958" i="11"/>
  <c r="AD958" i="11" s="1"/>
  <c r="AB565" i="11"/>
  <c r="AD565" i="11" s="1"/>
  <c r="AB1103" i="11"/>
  <c r="AD1103" i="11" s="1"/>
  <c r="AB298" i="11"/>
  <c r="AD298" i="11" s="1"/>
  <c r="AB745" i="11"/>
  <c r="AD745" i="11" s="1"/>
  <c r="AB481" i="11"/>
  <c r="AD481" i="11" s="1"/>
  <c r="AB1424" i="11"/>
  <c r="AD1424" i="11" s="1"/>
  <c r="AB1168" i="11"/>
  <c r="AD1168" i="11" s="1"/>
  <c r="AB1214" i="11"/>
  <c r="AD1214" i="11" s="1"/>
  <c r="AB1343" i="11"/>
  <c r="AD1343" i="11" s="1"/>
  <c r="AB713" i="11"/>
  <c r="AD713" i="11" s="1"/>
  <c r="AB1388" i="11"/>
  <c r="AD1388" i="11" s="1"/>
  <c r="AB473" i="11"/>
  <c r="AD473" i="11" s="1"/>
  <c r="AB193" i="11"/>
  <c r="AD193" i="11" s="1"/>
  <c r="AB1073" i="11"/>
  <c r="AD1073" i="11" s="1"/>
  <c r="AB1144" i="11"/>
  <c r="AD1144" i="11" s="1"/>
  <c r="AB471" i="11"/>
  <c r="AD471" i="11" s="1"/>
  <c r="AB1354" i="11"/>
  <c r="AD1354" i="11" s="1"/>
  <c r="AB1311" i="11"/>
  <c r="AD1311" i="11" s="1"/>
  <c r="AB1364" i="11"/>
  <c r="AD1364" i="11" s="1"/>
  <c r="AB113" i="11"/>
  <c r="AD113" i="11" s="1"/>
  <c r="AB1356" i="11"/>
  <c r="AD1356" i="11" s="1"/>
  <c r="AB1216" i="11"/>
  <c r="AD1216" i="11" s="1"/>
  <c r="AB1072" i="11"/>
  <c r="AD1072" i="11" s="1"/>
  <c r="AB286" i="11"/>
  <c r="AD286" i="11" s="1"/>
  <c r="AB268" i="11"/>
  <c r="AD268" i="11" s="1"/>
  <c r="AB214" i="11"/>
  <c r="AD214" i="11" s="1"/>
  <c r="AB1430" i="11"/>
  <c r="AD1430" i="11" s="1"/>
  <c r="AB1416" i="11"/>
  <c r="AD1416" i="11" s="1"/>
  <c r="AB1357" i="11"/>
  <c r="AD1357" i="11" s="1"/>
  <c r="AB1378" i="11"/>
  <c r="AD1378" i="11" s="1"/>
  <c r="AB1242" i="11"/>
  <c r="AD1242" i="11" s="1"/>
  <c r="AB1074" i="11"/>
  <c r="AD1074" i="11" s="1"/>
  <c r="AB428" i="11"/>
  <c r="AD428" i="11" s="1"/>
  <c r="AB244" i="11"/>
  <c r="AD244" i="11" s="1"/>
  <c r="AB817" i="11"/>
  <c r="AD817" i="11" s="1"/>
  <c r="AB1215" i="11"/>
  <c r="AD1215" i="11" s="1"/>
  <c r="AB472" i="11"/>
  <c r="AD472" i="11" s="1"/>
  <c r="AB569" i="11"/>
  <c r="AD569" i="11" s="1"/>
  <c r="AB361" i="11"/>
  <c r="AD361" i="11" s="1"/>
  <c r="AB1032" i="11"/>
  <c r="AD1032" i="11" s="1"/>
  <c r="AB889" i="11"/>
  <c r="AD889" i="11" s="1"/>
  <c r="AB1323" i="11"/>
  <c r="AD1323" i="11" s="1"/>
  <c r="AB1273" i="11"/>
  <c r="AD1273" i="11" s="1"/>
  <c r="AB1312" i="11"/>
  <c r="AD1312" i="11" s="1"/>
  <c r="AB849" i="11"/>
  <c r="AD849" i="11" s="1"/>
  <c r="AB662" i="11"/>
  <c r="AD662" i="11" s="1"/>
  <c r="AB533" i="11"/>
  <c r="AD533" i="11" s="1"/>
  <c r="AB848" i="11"/>
  <c r="AD848" i="11" s="1"/>
  <c r="AB327" i="11"/>
  <c r="AD327" i="11" s="1"/>
  <c r="AB504" i="11"/>
  <c r="AD504" i="11" s="1"/>
  <c r="AB518" i="11"/>
  <c r="AD518" i="11" s="1"/>
  <c r="AB800" i="11"/>
  <c r="AD800" i="11" s="1"/>
  <c r="AB606" i="11"/>
  <c r="AD606" i="11" s="1"/>
  <c r="AB485" i="11"/>
  <c r="AD485" i="11" s="1"/>
  <c r="AB534" i="11"/>
  <c r="AD534" i="11" s="1"/>
  <c r="AB987" i="11"/>
  <c r="AD987" i="11" s="1"/>
  <c r="AB766" i="11"/>
  <c r="AD766" i="11" s="1"/>
  <c r="AB607" i="11"/>
  <c r="AD607" i="11" s="1"/>
  <c r="AB915" i="11"/>
  <c r="AD915" i="11" s="1"/>
  <c r="AB963" i="11"/>
  <c r="AD963" i="11" s="1"/>
  <c r="AB655" i="11"/>
  <c r="AD655" i="11" s="1"/>
  <c r="AB1282" i="11"/>
  <c r="AD1282" i="11" s="1"/>
  <c r="AB22" i="11"/>
  <c r="AD22" i="11" s="1"/>
  <c r="AB1064" i="11"/>
  <c r="AD1064" i="11" s="1"/>
  <c r="AB184" i="11"/>
  <c r="AD184" i="11" s="1"/>
  <c r="AB743" i="11"/>
  <c r="AD743" i="11" s="1"/>
  <c r="AB455" i="11"/>
  <c r="AD455" i="11" s="1"/>
  <c r="AB183" i="11"/>
  <c r="AD183" i="11" s="1"/>
  <c r="AB1402" i="11"/>
  <c r="AD1402" i="11" s="1"/>
  <c r="AB108" i="11"/>
  <c r="AD108" i="11" s="1"/>
  <c r="AB1359" i="11"/>
  <c r="AD1359" i="11" s="1"/>
  <c r="AB635" i="11"/>
  <c r="AD635" i="11" s="1"/>
  <c r="AB336" i="11"/>
  <c r="AD336" i="11" s="1"/>
  <c r="AB1506" i="11"/>
  <c r="AD1506" i="11" s="1"/>
  <c r="AB1234" i="11"/>
  <c r="AD1234" i="11" s="1"/>
  <c r="AB164" i="11"/>
  <c r="AD164" i="11" s="1"/>
  <c r="AB907" i="11"/>
  <c r="AD907" i="11" s="1"/>
  <c r="AB627" i="11"/>
  <c r="AD627" i="11" s="1"/>
  <c r="AB535" i="11"/>
  <c r="AD535" i="11" s="1"/>
  <c r="AB271" i="11"/>
  <c r="AD271" i="11" s="1"/>
  <c r="AB1162" i="11"/>
  <c r="AD1162" i="11" s="1"/>
  <c r="AB1113" i="11"/>
  <c r="AD1113" i="11" s="1"/>
  <c r="AB1119" i="11"/>
  <c r="AD1119" i="11" s="1"/>
  <c r="AB753" i="11"/>
  <c r="AD753" i="11" s="1"/>
  <c r="AB217" i="11"/>
  <c r="AD217" i="11" s="1"/>
  <c r="AB1428" i="11"/>
  <c r="AD1428" i="11" s="1"/>
  <c r="AB1116" i="11"/>
  <c r="AD1116" i="11" s="1"/>
  <c r="AB1153" i="11"/>
  <c r="AD1153" i="11" s="1"/>
  <c r="AB334" i="11"/>
  <c r="AD334" i="11" s="1"/>
  <c r="AB1259" i="11"/>
  <c r="AD1259" i="11" s="1"/>
  <c r="AB1512" i="11"/>
  <c r="AD1512" i="11" s="1"/>
  <c r="AB1256" i="11"/>
  <c r="AD1256" i="11" s="1"/>
  <c r="AB1189" i="11"/>
  <c r="AD1189" i="11" s="1"/>
  <c r="AB1367" i="11"/>
  <c r="AD1367" i="11" s="1"/>
  <c r="AB1142" i="11"/>
  <c r="AD1142" i="11" s="1"/>
  <c r="AB1420" i="11"/>
  <c r="AD1420" i="11" s="1"/>
  <c r="AB1100" i="11"/>
  <c r="AD1100" i="11" s="1"/>
  <c r="AB355" i="11"/>
  <c r="AD355" i="11" s="1"/>
  <c r="AB96" i="11"/>
  <c r="AD96" i="11" s="1"/>
  <c r="AB1283" i="11"/>
  <c r="AD1283" i="11" s="1"/>
  <c r="AB1280" i="11"/>
  <c r="AD1280" i="11" s="1"/>
  <c r="AB610" i="11"/>
  <c r="AD610" i="11" s="1"/>
  <c r="AB1309" i="11"/>
  <c r="AD1309" i="11" s="1"/>
  <c r="AB769" i="11"/>
  <c r="AD769" i="11" s="1"/>
  <c r="AB1444" i="11"/>
  <c r="AD1444" i="11" s="1"/>
  <c r="AB1446" i="11"/>
  <c r="AD1446" i="11" s="1"/>
  <c r="AB1432" i="11"/>
  <c r="AD1432" i="11" s="1"/>
  <c r="AB802" i="11"/>
  <c r="AD802" i="11" s="1"/>
  <c r="AB1473" i="11"/>
  <c r="AD1473" i="11" s="1"/>
  <c r="AB230" i="11"/>
  <c r="AD230" i="11" s="1"/>
  <c r="AB291" i="11"/>
  <c r="AD291" i="11" s="1"/>
  <c r="AB1470" i="11"/>
  <c r="AD1470" i="11" s="1"/>
  <c r="AB1171" i="11"/>
  <c r="AD1171" i="11" s="1"/>
  <c r="AB786" i="11"/>
  <c r="AD786" i="11" s="1"/>
  <c r="AB226" i="11"/>
  <c r="AD226" i="11" s="1"/>
  <c r="AB1461" i="11"/>
  <c r="AD1461" i="11" s="1"/>
  <c r="AB779" i="11"/>
  <c r="AD779" i="11" s="1"/>
  <c r="AB352" i="11"/>
  <c r="AD352" i="11" s="1"/>
  <c r="AB623" i="11"/>
  <c r="AD623" i="11" s="1"/>
  <c r="AB335" i="11"/>
  <c r="AD335" i="11" s="1"/>
  <c r="AB15" i="11"/>
  <c r="AD15" i="11" s="1"/>
  <c r="AB1250" i="11"/>
  <c r="AD1250" i="11" s="1"/>
  <c r="AB1433" i="11"/>
  <c r="AD1433" i="11" s="1"/>
  <c r="AB711" i="11"/>
  <c r="AD711" i="11" s="1"/>
  <c r="AB1082" i="11"/>
  <c r="AD1082" i="11" s="1"/>
  <c r="AB332" i="11"/>
  <c r="AD332" i="11" s="1"/>
  <c r="AB603" i="11"/>
  <c r="AD603" i="11" s="1"/>
  <c r="AB304" i="11"/>
  <c r="AD304" i="11" s="1"/>
  <c r="AB247" i="11"/>
  <c r="AD247" i="11" s="1"/>
  <c r="AB1474" i="11"/>
  <c r="AD1474" i="11" s="1"/>
  <c r="AB595" i="11"/>
  <c r="AD595" i="11" s="1"/>
  <c r="AB676" i="11"/>
  <c r="AD676" i="11" s="1"/>
  <c r="AB380" i="11"/>
  <c r="AD380" i="11" s="1"/>
  <c r="AB457" i="11"/>
  <c r="AD457" i="11" s="1"/>
  <c r="AB169" i="11"/>
  <c r="AD169" i="11" s="1"/>
  <c r="AB1044" i="11"/>
  <c r="AD1044" i="11" s="1"/>
  <c r="AB1310" i="11"/>
  <c r="AD1310" i="11" s="1"/>
  <c r="AB1480" i="11"/>
  <c r="AD1480" i="11" s="1"/>
  <c r="AB1224" i="11"/>
  <c r="AD1224" i="11" s="1"/>
  <c r="AB850" i="11"/>
  <c r="AD850" i="11" s="1"/>
  <c r="AB258" i="11"/>
  <c r="AD258" i="11" s="1"/>
  <c r="AB1101" i="11"/>
  <c r="AD1101" i="11" s="1"/>
  <c r="AB1079" i="11"/>
  <c r="AD1079" i="11" s="1"/>
  <c r="AB30" i="11"/>
  <c r="AD30" i="11" s="1"/>
  <c r="AB153" i="11"/>
  <c r="AD153" i="11" s="1"/>
  <c r="AB1020" i="11"/>
  <c r="AD1020" i="11" s="1"/>
  <c r="AB1278" i="11"/>
  <c r="AD1278" i="11" s="1"/>
  <c r="AB294" i="11"/>
  <c r="AD294" i="11" s="1"/>
  <c r="AB1518" i="11"/>
  <c r="AD1518" i="11" s="1"/>
  <c r="AB882" i="11"/>
  <c r="AD882" i="11" s="1"/>
  <c r="AB578" i="11"/>
  <c r="AD578" i="11" s="1"/>
  <c r="AB322" i="11"/>
  <c r="AD322" i="11" s="1"/>
  <c r="AB42" i="11"/>
  <c r="AD42" i="11" s="1"/>
  <c r="AB86" i="11"/>
  <c r="AD86" i="11" s="1"/>
  <c r="AB1118" i="11"/>
  <c r="AD1118" i="11" s="1"/>
  <c r="AB737" i="11"/>
  <c r="AD737" i="11" s="1"/>
  <c r="AB318" i="11"/>
  <c r="AD318" i="11" s="1"/>
  <c r="AB347" i="11"/>
  <c r="AD347" i="11" s="1"/>
  <c r="AB1467" i="11"/>
  <c r="AD1467" i="11" s="1"/>
  <c r="AB1437" i="11"/>
  <c r="AD1437" i="11" s="1"/>
  <c r="AB1133" i="11"/>
  <c r="AD1133" i="11" s="1"/>
  <c r="AB1023" i="11"/>
  <c r="AD1023" i="11" s="1"/>
  <c r="AB1353" i="11"/>
  <c r="AD1353" i="11" s="1"/>
  <c r="AB665" i="11"/>
  <c r="AD665" i="11" s="1"/>
  <c r="AB166" i="11"/>
  <c r="AD166" i="11" s="1"/>
  <c r="AB1134" i="11"/>
  <c r="AD1134" i="11" s="1"/>
  <c r="AB259" i="11"/>
  <c r="AD259" i="11" s="1"/>
  <c r="AB1438" i="11"/>
  <c r="AD1438" i="11" s="1"/>
  <c r="AB466" i="11"/>
  <c r="AD466" i="11" s="1"/>
  <c r="AB194" i="11"/>
  <c r="AD194" i="11" s="1"/>
  <c r="AB464" i="11"/>
  <c r="AD464" i="11" s="1"/>
  <c r="AB483" i="11"/>
  <c r="AD483" i="11" s="1"/>
  <c r="AB320" i="11"/>
  <c r="AD320" i="11" s="1"/>
  <c r="AB470" i="11"/>
  <c r="AD470" i="11" s="1"/>
  <c r="AB1218" i="11"/>
  <c r="AD1218" i="11" s="1"/>
  <c r="AB812" i="11"/>
  <c r="AD812" i="11" s="1"/>
  <c r="AB103" i="11"/>
  <c r="AD103" i="11" s="1"/>
  <c r="AB13" i="11"/>
  <c r="AD13" i="11" s="1"/>
  <c r="AB300" i="11"/>
  <c r="AD300" i="11" s="1"/>
  <c r="AB272" i="11"/>
  <c r="AD272" i="11" s="1"/>
  <c r="AB479" i="11"/>
  <c r="AD479" i="11" s="1"/>
  <c r="AB1170" i="11"/>
  <c r="AD1170" i="11" s="1"/>
  <c r="AB356" i="11"/>
  <c r="AD356" i="11" s="1"/>
  <c r="AB100" i="11"/>
  <c r="AD100" i="11" s="1"/>
  <c r="AB1351" i="11"/>
  <c r="AD1351" i="11" s="1"/>
  <c r="AB819" i="11"/>
  <c r="AD819" i="11" s="1"/>
  <c r="AB264" i="11"/>
  <c r="AD264" i="11" s="1"/>
  <c r="AB759" i="11"/>
  <c r="AD759" i="11" s="1"/>
  <c r="AB199" i="11"/>
  <c r="AD199" i="11" s="1"/>
  <c r="AB1098" i="11"/>
  <c r="AD1098" i="11" s="1"/>
  <c r="AB348" i="11"/>
  <c r="AD348" i="11" s="1"/>
  <c r="AB222" i="11"/>
  <c r="AD222" i="11" s="1"/>
  <c r="AB270" i="11"/>
  <c r="AD270" i="11" s="1"/>
  <c r="AB1462" i="11"/>
  <c r="AD1462" i="11" s="1"/>
  <c r="AB1195" i="11"/>
  <c r="AD1195" i="11" s="1"/>
  <c r="AB1192" i="11"/>
  <c r="AD1192" i="11" s="1"/>
  <c r="AB186" i="11"/>
  <c r="AD186" i="11" s="1"/>
  <c r="AB1381" i="11"/>
  <c r="AD1381" i="11" s="1"/>
  <c r="AB206" i="11"/>
  <c r="AD206" i="11" s="1"/>
  <c r="AB275" i="11"/>
  <c r="AD275" i="11" s="1"/>
  <c r="AB1219" i="11"/>
  <c r="AD1219" i="11" s="1"/>
  <c r="AB1472" i="11"/>
  <c r="AD1472" i="11" s="1"/>
  <c r="AB546" i="11"/>
  <c r="AD546" i="11" s="1"/>
  <c r="AB1517" i="11"/>
  <c r="AD1517" i="11" s="1"/>
  <c r="AB1521" i="11"/>
  <c r="AD1521" i="11" s="1"/>
  <c r="AB441" i="11"/>
  <c r="AD441" i="11" s="1"/>
  <c r="AB1380" i="11"/>
  <c r="AD1380" i="11" s="1"/>
  <c r="AB1254" i="11"/>
  <c r="AD1254" i="11" s="1"/>
  <c r="AB299" i="11"/>
  <c r="AD299" i="11" s="1"/>
  <c r="AB1115" i="11"/>
  <c r="AD1115" i="11" s="1"/>
  <c r="AB170" i="11"/>
  <c r="AD170" i="11" s="1"/>
  <c r="AB1397" i="11"/>
  <c r="AD1397" i="11" s="1"/>
  <c r="AB1053" i="11"/>
  <c r="AD1053" i="11" s="1"/>
  <c r="AB1188" i="11"/>
  <c r="AD1188" i="11" s="1"/>
  <c r="AB1217" i="11"/>
  <c r="AD1217" i="11" s="1"/>
  <c r="AB633" i="11"/>
  <c r="AD633" i="11" s="1"/>
  <c r="AB369" i="11"/>
  <c r="AD369" i="11" s="1"/>
  <c r="AB1398" i="11"/>
  <c r="AD1398" i="11" s="1"/>
  <c r="AB1104" i="11"/>
  <c r="AD1104" i="11" s="1"/>
  <c r="AB434" i="11"/>
  <c r="AD434" i="11" s="1"/>
  <c r="AB1389" i="11"/>
  <c r="AD1389" i="11" s="1"/>
  <c r="AB1037" i="11"/>
  <c r="AD1037" i="11" s="1"/>
  <c r="AB432" i="11"/>
  <c r="AD432" i="11" s="1"/>
  <c r="AB288" i="11"/>
  <c r="AD288" i="11" s="1"/>
  <c r="AB263" i="11"/>
  <c r="AD263" i="11" s="1"/>
  <c r="AB1450" i="11"/>
  <c r="AD1450" i="11" s="1"/>
  <c r="AB1249" i="11"/>
  <c r="AD1249" i="11" s="1"/>
  <c r="AB579" i="11"/>
  <c r="AD579" i="11" s="1"/>
  <c r="AB344" i="11"/>
  <c r="AD344" i="11" s="1"/>
  <c r="AB359" i="11"/>
  <c r="AD359" i="11" s="1"/>
  <c r="AB1513" i="11"/>
  <c r="AD1513" i="11" s="1"/>
  <c r="AB532" i="11"/>
  <c r="AD532" i="11" s="1"/>
  <c r="AB1519" i="11"/>
  <c r="AD1519" i="11" s="1"/>
  <c r="AB240" i="11"/>
  <c r="AD240" i="11" s="1"/>
  <c r="AB1394" i="11"/>
  <c r="AD1394" i="11" s="1"/>
  <c r="AB1138" i="11"/>
  <c r="AD1138" i="11" s="1"/>
  <c r="AB1033" i="11"/>
  <c r="AD1033" i="11" s="1"/>
  <c r="AB596" i="11"/>
  <c r="AD596" i="11" s="1"/>
  <c r="AB324" i="11"/>
  <c r="AD324" i="11" s="1"/>
  <c r="AB523" i="11"/>
  <c r="AD523" i="11" s="1"/>
  <c r="AB232" i="11"/>
  <c r="AD232" i="11" s="1"/>
  <c r="AB1058" i="11"/>
  <c r="AD1058" i="11" s="1"/>
  <c r="AB1150" i="11"/>
  <c r="AD1150" i="11" s="1"/>
  <c r="AB588" i="11"/>
  <c r="AD588" i="11" s="1"/>
  <c r="AB316" i="11"/>
  <c r="AD316" i="11" s="1"/>
  <c r="AB1279" i="11"/>
  <c r="AD1279" i="11" s="1"/>
  <c r="AB657" i="11"/>
  <c r="AD657" i="11" s="1"/>
  <c r="AB1332" i="11"/>
  <c r="AD1332" i="11" s="1"/>
  <c r="AB1094" i="11"/>
  <c r="AD1094" i="11" s="1"/>
  <c r="AB1483" i="11"/>
  <c r="AD1483" i="11" s="1"/>
  <c r="AB1163" i="11"/>
  <c r="AD1163" i="11" s="1"/>
  <c r="AB1160" i="11"/>
  <c r="AD1160" i="11" s="1"/>
  <c r="AB154" i="11"/>
  <c r="AD154" i="11" s="1"/>
  <c r="AB540" i="11"/>
  <c r="AD540" i="11" s="1"/>
  <c r="AB385" i="11"/>
  <c r="AD385" i="11" s="1"/>
  <c r="AB1324" i="11"/>
  <c r="AD1324" i="11" s="1"/>
  <c r="AB1038" i="11"/>
  <c r="AD1038" i="11" s="1"/>
  <c r="AB1454" i="11"/>
  <c r="AD1454" i="11" s="1"/>
  <c r="AB1507" i="11"/>
  <c r="AD1507" i="11" s="1"/>
  <c r="AB1187" i="11"/>
  <c r="AD1187" i="11" s="1"/>
  <c r="AB810" i="11"/>
  <c r="AD810" i="11" s="1"/>
  <c r="AB514" i="11"/>
  <c r="AD514" i="11" s="1"/>
  <c r="AB1477" i="11"/>
  <c r="AD1477" i="11" s="1"/>
  <c r="AB1213" i="11"/>
  <c r="AD1213" i="11" s="1"/>
  <c r="AB1001" i="11"/>
  <c r="AD1001" i="11" s="1"/>
  <c r="AB673" i="11"/>
  <c r="AD673" i="11" s="1"/>
  <c r="AB1166" i="11"/>
  <c r="AD1166" i="11" s="1"/>
  <c r="AB254" i="11"/>
  <c r="AD254" i="11" s="1"/>
  <c r="AB107" i="11"/>
  <c r="AD107" i="11" s="1"/>
  <c r="AB1083" i="11"/>
  <c r="AD1083" i="11" s="1"/>
  <c r="AB1080" i="11"/>
  <c r="AD1080" i="11" s="1"/>
  <c r="AB410" i="11"/>
  <c r="AD410" i="11" s="1"/>
  <c r="AB1013" i="11"/>
  <c r="AD1013" i="11" s="1"/>
  <c r="AB1132" i="11"/>
  <c r="AD1132" i="11" s="1"/>
  <c r="AB1121" i="11"/>
  <c r="AD1121" i="11" s="1"/>
  <c r="AB1505" i="11"/>
  <c r="AD1505" i="11" s="1"/>
  <c r="AB1010" i="11"/>
  <c r="AD1010" i="11" s="1"/>
  <c r="AB674" i="11"/>
  <c r="AD674" i="11" s="1"/>
  <c r="AB122" i="11"/>
  <c r="AD122" i="11" s="1"/>
  <c r="AB223" i="11"/>
  <c r="AD223" i="11" s="1"/>
  <c r="AB1410" i="11"/>
  <c r="AD1410" i="11" s="1"/>
  <c r="AB312" i="11"/>
  <c r="AD312" i="11" s="1"/>
  <c r="AB1231" i="11"/>
  <c r="AD1231" i="11" s="1"/>
  <c r="AB416" i="11"/>
  <c r="AD416" i="11" s="1"/>
  <c r="AB499" i="11"/>
  <c r="AD499" i="11" s="1"/>
  <c r="AB208" i="11"/>
  <c r="AD208" i="11" s="1"/>
  <c r="AB127" i="11"/>
  <c r="AD127" i="11" s="1"/>
  <c r="AB1362" i="11"/>
  <c r="AD1362" i="11" s="1"/>
  <c r="AB651" i="11"/>
  <c r="AD651" i="11" s="1"/>
  <c r="AB463" i="11"/>
  <c r="AD463" i="11" s="1"/>
  <c r="AB191" i="11"/>
  <c r="AD191" i="11" s="1"/>
  <c r="AB1122" i="11"/>
  <c r="AD1122" i="11" s="1"/>
  <c r="AB1358" i="11"/>
  <c r="AD1358" i="11" s="1"/>
  <c r="AB668" i="11"/>
  <c r="AD668" i="11" s="1"/>
  <c r="AB771" i="11"/>
  <c r="AD771" i="11" s="1"/>
  <c r="AB462" i="11"/>
  <c r="AD462" i="11" s="1"/>
  <c r="AB804" i="11"/>
  <c r="AD804" i="11" s="1"/>
  <c r="AB460" i="11"/>
  <c r="AD460" i="11" s="1"/>
  <c r="AB1455" i="11"/>
  <c r="AD1455" i="11" s="1"/>
  <c r="AB1092" i="11"/>
  <c r="AD1092" i="11" s="1"/>
  <c r="AB731" i="11"/>
  <c r="AD731" i="11" s="1"/>
  <c r="AB176" i="11"/>
  <c r="AD176" i="11" s="1"/>
  <c r="AB383" i="11"/>
  <c r="AD383" i="11" s="1"/>
  <c r="AB1182" i="11"/>
  <c r="AD1182" i="11" s="1"/>
  <c r="AB883" i="11"/>
  <c r="AD883" i="11" s="1"/>
  <c r="AB431" i="11"/>
  <c r="AD431" i="11" s="1"/>
  <c r="AB1346" i="11"/>
  <c r="AD1346" i="11" s="1"/>
  <c r="AB475" i="11"/>
  <c r="AD475" i="11" s="1"/>
  <c r="AB248" i="11"/>
  <c r="AD248" i="11" s="1"/>
  <c r="AB807" i="11"/>
  <c r="AD807" i="11" s="1"/>
  <c r="AB1482" i="11"/>
  <c r="AD1482" i="11" s="1"/>
  <c r="AB1178" i="11"/>
  <c r="AD1178" i="11" s="1"/>
  <c r="AB172" i="11"/>
  <c r="AD172" i="11" s="1"/>
  <c r="AB486" i="11"/>
  <c r="AD486" i="11" s="1"/>
  <c r="AB639" i="11"/>
  <c r="AD639" i="11" s="1"/>
  <c r="AB828" i="11"/>
  <c r="AD828" i="11" s="1"/>
  <c r="AB851" i="11"/>
  <c r="AD851" i="11" s="1"/>
  <c r="AB79" i="11"/>
  <c r="AD79" i="11" s="1"/>
  <c r="AB1042" i="11"/>
  <c r="AD1042" i="11" s="1"/>
  <c r="AB580" i="11"/>
  <c r="AD580" i="11" s="1"/>
  <c r="AB487" i="11"/>
  <c r="AD487" i="11" s="1"/>
  <c r="AB1442" i="11"/>
  <c r="AD1442" i="11" s="1"/>
  <c r="AB1146" i="11"/>
  <c r="AD1146" i="11" s="1"/>
  <c r="AB692" i="11"/>
  <c r="AD692" i="11" s="1"/>
  <c r="AB140" i="11"/>
  <c r="AD140" i="11" s="1"/>
  <c r="AB599" i="11"/>
  <c r="AD599" i="11" s="1"/>
  <c r="AB311" i="11"/>
  <c r="AD311" i="11" s="1"/>
  <c r="AB1247" i="11"/>
  <c r="AD1247" i="11" s="1"/>
  <c r="AB625" i="11"/>
  <c r="AD625" i="11" s="1"/>
  <c r="AB94" i="11"/>
  <c r="AD94" i="11" s="1"/>
  <c r="AB1390" i="11"/>
  <c r="AD1390" i="11" s="1"/>
  <c r="AB1131" i="11"/>
  <c r="AD1131" i="11" s="1"/>
  <c r="AB1128" i="11"/>
  <c r="AD1128" i="11" s="1"/>
  <c r="AB458" i="11"/>
  <c r="AD458" i="11" s="1"/>
  <c r="AB1239" i="11"/>
  <c r="AD1239" i="11" s="1"/>
  <c r="AB1177" i="11"/>
  <c r="AD1177" i="11" s="1"/>
  <c r="AB617" i="11"/>
  <c r="AD617" i="11" s="1"/>
  <c r="AB1449" i="11"/>
  <c r="AD1449" i="11" s="1"/>
  <c r="AB1152" i="11"/>
  <c r="AD1152" i="11" s="1"/>
  <c r="AB482" i="11"/>
  <c r="AD482" i="11" s="1"/>
  <c r="AB1445" i="11"/>
  <c r="AD1445" i="11" s="1"/>
  <c r="AB1241" i="11"/>
  <c r="AD1241" i="11" s="1"/>
  <c r="AB118" i="11"/>
  <c r="AD118" i="11" s="1"/>
  <c r="AB88" i="11"/>
  <c r="AD88" i="11" s="1"/>
  <c r="AB1264" i="11"/>
  <c r="AD1264" i="11" s="1"/>
  <c r="AB594" i="11"/>
  <c r="AD594" i="11" s="1"/>
  <c r="AB168" i="11"/>
  <c r="AD168" i="11" s="1"/>
  <c r="AB852" i="11"/>
  <c r="AD852" i="11" s="1"/>
  <c r="AB252" i="11"/>
  <c r="AD252" i="11" s="1"/>
  <c r="AB1097" i="11"/>
  <c r="AD1097" i="11" s="1"/>
  <c r="AB593" i="11"/>
  <c r="AD593" i="11" s="1"/>
  <c r="AB1481" i="11"/>
  <c r="AD1481" i="11" s="1"/>
  <c r="AB1233" i="11"/>
  <c r="AD1233" i="11" s="1"/>
  <c r="AB1102" i="11"/>
  <c r="AD1102" i="11" s="1"/>
  <c r="AB1099" i="11"/>
  <c r="AD1099" i="11" s="1"/>
  <c r="AB1081" i="11"/>
  <c r="AD1081" i="11" s="1"/>
  <c r="AB1516" i="11"/>
  <c r="AD1516" i="11" s="1"/>
  <c r="AB1465" i="11"/>
  <c r="AD1465" i="11" s="1"/>
  <c r="AB1169" i="11"/>
  <c r="AD1169" i="11" s="1"/>
  <c r="AB1123" i="11"/>
  <c r="AD1123" i="11" s="1"/>
  <c r="AB1120" i="11"/>
  <c r="AD1120" i="11" s="1"/>
  <c r="AB1405" i="11"/>
  <c r="AD1405" i="11" s="1"/>
  <c r="AB33" i="11"/>
  <c r="AD33" i="11" s="1"/>
  <c r="AB1393" i="11"/>
  <c r="AD1393" i="11" s="1"/>
  <c r="AB874" i="11"/>
  <c r="AD874" i="11" s="1"/>
  <c r="AB314" i="11"/>
  <c r="AD314" i="11" s="1"/>
  <c r="AB761" i="11"/>
  <c r="AD761" i="11" s="1"/>
  <c r="AB225" i="11"/>
  <c r="AD225" i="11" s="1"/>
  <c r="AB1140" i="11"/>
  <c r="AD1140" i="11" s="1"/>
  <c r="AB27" i="11"/>
  <c r="AD27" i="11" s="1"/>
  <c r="AB189" i="11"/>
  <c r="AD189" i="11" s="1"/>
  <c r="AB691" i="11"/>
  <c r="AD691" i="11" s="1"/>
  <c r="AB820" i="11"/>
  <c r="AD820" i="11" s="1"/>
  <c r="AB1374" i="11"/>
  <c r="AD1374" i="11" s="1"/>
  <c r="AB1492" i="11"/>
  <c r="AD1492" i="11" s="1"/>
  <c r="AB1385" i="11"/>
  <c r="AD1385" i="11" s="1"/>
  <c r="AB1126" i="11"/>
  <c r="AD1126" i="11" s="1"/>
  <c r="AB1067" i="11"/>
  <c r="AD1067" i="11" s="1"/>
  <c r="AB1253" i="11"/>
  <c r="AD1253" i="11" s="1"/>
  <c r="AB1078" i="11"/>
  <c r="AD1078" i="11" s="1"/>
  <c r="AB1373" i="11"/>
  <c r="AD1373" i="11" s="1"/>
  <c r="AB577" i="11"/>
  <c r="AD577" i="11" s="1"/>
  <c r="AB1508" i="11"/>
  <c r="AD1508" i="11" s="1"/>
  <c r="AB1441" i="11"/>
  <c r="AD1441" i="11" s="1"/>
  <c r="AB24" i="11"/>
  <c r="AD24" i="11" s="1"/>
  <c r="AB1464" i="11"/>
  <c r="AD1464" i="11" s="1"/>
  <c r="AB834" i="11"/>
  <c r="AD834" i="11" s="1"/>
  <c r="AB177" i="11"/>
  <c r="AD177" i="11" s="1"/>
  <c r="AB310" i="11"/>
  <c r="AD310" i="11" s="1"/>
  <c r="AB1502" i="11"/>
  <c r="AD1502" i="11" s="1"/>
  <c r="AB530" i="11"/>
  <c r="AD530" i="11" s="1"/>
  <c r="AB1511" i="11"/>
  <c r="AD1511" i="11" s="1"/>
  <c r="AB659" i="11"/>
  <c r="AD659" i="11" s="1"/>
  <c r="AB1194" i="11"/>
  <c r="AD1194" i="11" s="1"/>
  <c r="AB1151" i="11"/>
  <c r="AD1151" i="11" s="1"/>
  <c r="AB1281" i="11"/>
  <c r="AD1281" i="11" s="1"/>
  <c r="AB1221" i="11"/>
  <c r="AD1221" i="11" s="1"/>
  <c r="AB148" i="11"/>
  <c r="AD148" i="11" s="1"/>
  <c r="AB1246" i="11"/>
  <c r="AD1246" i="11" s="1"/>
  <c r="AB513" i="11"/>
  <c r="AD513" i="11" s="1"/>
  <c r="AB128" i="11"/>
  <c r="AD128" i="11" s="1"/>
  <c r="AB1476" i="11"/>
  <c r="AD1476" i="11" s="1"/>
  <c r="AB1016" i="11"/>
  <c r="AD1016" i="11" s="1"/>
  <c r="AB75" i="11"/>
  <c r="AD75" i="11" s="1"/>
  <c r="AB1191" i="11"/>
  <c r="AD1191" i="11" s="1"/>
  <c r="AB1401" i="11"/>
  <c r="AD1401" i="11" s="1"/>
  <c r="AB1174" i="11"/>
  <c r="AD1174" i="11" s="1"/>
  <c r="AB1325" i="11"/>
  <c r="AD1325" i="11" s="1"/>
  <c r="AB1479" i="11"/>
  <c r="AD1479" i="11" s="1"/>
  <c r="AB480" i="11"/>
  <c r="AD480" i="11" s="1"/>
  <c r="AB38" i="11"/>
  <c r="AD38" i="11" s="1"/>
  <c r="AB746" i="11"/>
  <c r="AD746" i="11" s="1"/>
  <c r="AB500" i="11"/>
  <c r="AD500" i="11" s="1"/>
  <c r="AB897" i="11"/>
  <c r="AD897" i="11" s="1"/>
  <c r="AB1475" i="11"/>
  <c r="AD1475" i="11" s="1"/>
  <c r="AB1316" i="11"/>
  <c r="AD1316" i="11" s="1"/>
  <c r="AB1272" i="11"/>
  <c r="AD1272" i="11" s="1"/>
  <c r="AB602" i="11"/>
  <c r="AD602" i="11" s="1"/>
  <c r="AB80" i="11"/>
  <c r="AD80" i="11" s="1"/>
  <c r="AB1520" i="11"/>
  <c r="AD1520" i="11" s="1"/>
  <c r="AB338" i="11"/>
  <c r="AD338" i="11" s="1"/>
  <c r="AB663" i="11"/>
  <c r="AD663" i="11" s="1"/>
  <c r="AB23" i="11"/>
  <c r="AD23" i="11" s="1"/>
  <c r="AB1457" i="11"/>
  <c r="AD1457" i="11" s="1"/>
  <c r="AB1471" i="11"/>
  <c r="AD1471" i="11" s="1"/>
  <c r="AB873" i="11"/>
  <c r="AD873" i="11" s="1"/>
  <c r="AB1268" i="11"/>
  <c r="AD1268" i="11" s="1"/>
  <c r="AB163" i="11"/>
  <c r="AD163" i="11" s="1"/>
  <c r="AB1355" i="11"/>
  <c r="AD1355" i="11" s="1"/>
  <c r="AB706" i="11"/>
  <c r="AD706" i="11" s="1"/>
  <c r="AB468" i="11"/>
  <c r="AD468" i="11" s="1"/>
  <c r="AB313" i="11"/>
  <c r="AD313" i="11" s="1"/>
  <c r="AB1260" i="11"/>
  <c r="AD1260" i="11" s="1"/>
  <c r="AB738" i="11"/>
  <c r="AD738" i="11" s="1"/>
  <c r="AB178" i="11"/>
  <c r="AD178" i="11" s="1"/>
  <c r="AB345" i="11"/>
  <c r="AD345" i="11" s="1"/>
  <c r="AB1284" i="11"/>
  <c r="AD1284" i="11" s="1"/>
  <c r="AB446" i="11"/>
  <c r="AD446" i="11" s="1"/>
  <c r="AB1510" i="11"/>
  <c r="AD1510" i="11" s="1"/>
  <c r="AB1190" i="11"/>
  <c r="AD1190" i="11" s="1"/>
  <c r="AB1185" i="11"/>
  <c r="AD1185" i="11" s="1"/>
  <c r="AB1361" i="11"/>
  <c r="AD1361" i="11" s="1"/>
  <c r="AB476" i="11"/>
  <c r="AD476" i="11" s="1"/>
  <c r="AB658" i="11"/>
  <c r="AD658" i="11" s="1"/>
  <c r="AB18" i="11"/>
  <c r="AD18" i="11" s="1"/>
  <c r="AB436" i="11"/>
  <c r="AD436" i="11" s="1"/>
  <c r="AB1431" i="11"/>
  <c r="AD1431" i="11" s="1"/>
  <c r="AB1052" i="11"/>
  <c r="AD1052" i="11" s="1"/>
  <c r="AB1228" i="11"/>
  <c r="AD1228" i="11" s="1"/>
  <c r="AB1347" i="11"/>
  <c r="AD1347" i="11" s="1"/>
  <c r="AB857" i="11"/>
  <c r="AD857" i="11" s="1"/>
  <c r="AB414" i="11"/>
  <c r="AD414" i="11" s="1"/>
  <c r="AB1478" i="11"/>
  <c r="AD1478" i="11" s="1"/>
  <c r="AB1208" i="11"/>
  <c r="AD1208" i="11" s="1"/>
  <c r="AB1501" i="11"/>
  <c r="AD1501" i="11" s="1"/>
  <c r="AB1095" i="11"/>
  <c r="AD1095" i="11" s="1"/>
  <c r="AB1086" i="11"/>
  <c r="AD1086" i="11" s="1"/>
  <c r="AB1382" i="11"/>
  <c r="AD1382" i="11" s="1"/>
  <c r="AB16" i="11"/>
  <c r="AD16" i="11" s="1"/>
  <c r="AB1456" i="11"/>
  <c r="AD1456" i="11" s="1"/>
  <c r="AB826" i="11"/>
  <c r="AD826" i="11" s="1"/>
  <c r="AB1229" i="11"/>
  <c r="AD1229" i="11" s="1"/>
  <c r="AB292" i="11"/>
  <c r="AD292" i="11" s="1"/>
  <c r="AB360" i="11"/>
  <c r="AD360" i="11" s="1"/>
  <c r="AB1458" i="11"/>
  <c r="AD1458" i="11" s="1"/>
  <c r="AB444" i="11"/>
  <c r="AD444" i="11" s="1"/>
  <c r="AB238" i="11"/>
  <c r="AD238" i="11" s="1"/>
  <c r="AB1196" i="11"/>
  <c r="AD1196" i="11" s="1"/>
  <c r="AB366" i="11"/>
  <c r="AD366" i="11" s="1"/>
  <c r="AB91" i="11"/>
  <c r="AD91" i="11" s="1"/>
  <c r="AB618" i="11"/>
  <c r="AD618" i="11" s="1"/>
  <c r="AB1485" i="11"/>
  <c r="AD1485" i="11" s="1"/>
  <c r="AB1172" i="11"/>
  <c r="AD1172" i="11" s="1"/>
  <c r="AB1315" i="11"/>
  <c r="AD1315" i="11" s="1"/>
  <c r="AB650" i="11"/>
  <c r="AD650" i="11" s="1"/>
  <c r="AB825" i="11"/>
  <c r="AD825" i="11" s="1"/>
  <c r="AB1220" i="11"/>
  <c r="AD1220" i="11" s="1"/>
  <c r="AB970" i="11"/>
  <c r="AD970" i="11" s="1"/>
  <c r="AB378" i="11"/>
  <c r="AD378" i="11" s="1"/>
  <c r="AB1181" i="11"/>
  <c r="AD1181" i="11" s="1"/>
  <c r="AB105" i="11"/>
  <c r="AD105" i="11" s="1"/>
  <c r="AB701" i="11"/>
  <c r="AD701" i="11" s="1"/>
  <c r="AB922" i="11"/>
  <c r="AD922" i="11" s="1"/>
  <c r="AB624" i="11"/>
  <c r="AD624" i="11" s="1"/>
  <c r="AB988" i="11"/>
  <c r="AD988" i="11" s="1"/>
  <c r="AB951" i="11"/>
  <c r="AD951" i="11" s="1"/>
  <c r="AB301" i="11"/>
  <c r="AD301" i="11" s="1"/>
  <c r="AB1149" i="11"/>
  <c r="AD1149" i="11" s="1"/>
  <c r="AB325" i="11"/>
  <c r="AD325" i="11" s="1"/>
  <c r="AB902" i="11"/>
  <c r="AD902" i="11" s="1"/>
  <c r="AB269" i="11"/>
  <c r="AD269" i="11" s="1"/>
  <c r="AB994" i="11"/>
  <c r="AD994" i="11" s="1"/>
  <c r="AB584" i="11"/>
  <c r="AD584" i="11" s="1"/>
  <c r="AB608" i="11"/>
  <c r="AD608" i="11" s="1"/>
  <c r="AB661" i="11"/>
  <c r="AD661" i="11" s="1"/>
  <c r="AB808" i="11"/>
  <c r="AD808" i="11" s="1"/>
  <c r="AB728" i="11"/>
  <c r="AD728" i="11" s="1"/>
  <c r="AB965" i="11"/>
  <c r="AD965" i="11" s="1"/>
  <c r="AB1509" i="11"/>
  <c r="AD1509" i="11" s="1"/>
  <c r="AB1406" i="11"/>
  <c r="AD1406" i="11" s="1"/>
  <c r="AB888" i="11"/>
  <c r="AD888" i="11" s="1"/>
  <c r="AB709" i="11"/>
  <c r="AD709" i="11" s="1"/>
  <c r="AB53" i="11"/>
  <c r="AD53" i="11" s="1"/>
  <c r="AB974" i="11"/>
  <c r="AD974" i="11" s="1"/>
  <c r="AB758" i="11"/>
  <c r="AD758" i="11" s="1"/>
  <c r="AB916" i="11"/>
  <c r="AD916" i="11" s="1"/>
  <c r="AB645" i="11"/>
  <c r="AD645" i="11" s="1"/>
  <c r="AB736" i="11"/>
  <c r="AD736" i="11" s="1"/>
  <c r="AB1007" i="11"/>
  <c r="AD1007" i="11" s="1"/>
  <c r="AB620" i="11"/>
  <c r="AD620" i="11" s="1"/>
  <c r="AB563" i="11"/>
  <c r="AD563" i="11" s="1"/>
  <c r="AB307" i="11"/>
  <c r="AD307" i="11" s="1"/>
  <c r="AB413" i="11"/>
  <c r="AD413" i="11" s="1"/>
  <c r="AB629" i="11"/>
  <c r="AD629" i="11" s="1"/>
  <c r="AB934" i="11"/>
  <c r="AD934" i="11" s="1"/>
  <c r="AB614" i="11"/>
  <c r="AD614" i="11" s="1"/>
  <c r="AB1466" i="11"/>
  <c r="AD1466" i="11" s="1"/>
  <c r="AB654" i="11"/>
  <c r="AD654" i="11" s="1"/>
  <c r="AB929" i="11"/>
  <c r="AD929" i="11" s="1"/>
  <c r="AB37" i="11"/>
  <c r="AD37" i="11" s="1"/>
  <c r="AB854" i="11"/>
  <c r="AD854" i="11" s="1"/>
  <c r="AB542" i="11"/>
  <c r="AD542" i="11" s="1"/>
  <c r="AB591" i="11"/>
  <c r="AD591" i="11" s="1"/>
  <c r="AB798" i="11"/>
  <c r="AD798" i="11" s="1"/>
  <c r="AB960" i="11"/>
  <c r="AD960" i="11" s="1"/>
  <c r="AB61" i="11"/>
  <c r="AD61" i="11" s="1"/>
  <c r="AB720" i="11"/>
  <c r="AD720" i="11" s="1"/>
  <c r="AB1050" i="11"/>
  <c r="AD1050" i="11" s="1"/>
  <c r="AB864" i="11"/>
  <c r="AD864" i="11" s="1"/>
  <c r="AB718" i="11"/>
  <c r="AD718" i="11" s="1"/>
  <c r="AB966" i="11"/>
  <c r="AD966" i="11" s="1"/>
  <c r="AB900" i="11"/>
  <c r="AD900" i="11" s="1"/>
  <c r="AB884" i="11"/>
  <c r="AD884" i="11" s="1"/>
  <c r="AB734" i="11"/>
  <c r="AD734" i="11" s="1"/>
  <c r="AB628" i="11"/>
  <c r="AD628" i="11" s="1"/>
  <c r="AB1085" i="11"/>
  <c r="AD1085" i="11" s="1"/>
  <c r="AB927" i="11"/>
  <c r="AD927" i="11" s="1"/>
  <c r="AB187" i="11"/>
  <c r="AD187" i="11" s="1"/>
  <c r="AB317" i="11"/>
  <c r="AD317" i="11" s="1"/>
  <c r="AB918" i="11"/>
  <c r="AD918" i="11" s="1"/>
  <c r="AB488" i="11"/>
  <c r="AD488" i="11" s="1"/>
  <c r="AB237" i="11"/>
  <c r="AD237" i="11" s="1"/>
  <c r="AB85" i="11"/>
  <c r="AD85" i="11" s="1"/>
  <c r="AB1427" i="11"/>
  <c r="AD1427" i="11" s="1"/>
  <c r="AB853" i="11"/>
  <c r="AD853" i="11" s="1"/>
  <c r="AB1004" i="11"/>
  <c r="AD1004" i="11" s="1"/>
  <c r="AB832" i="11"/>
  <c r="AD832" i="11" s="1"/>
  <c r="AB999" i="11"/>
  <c r="AD999" i="11" s="1"/>
  <c r="AB784" i="11"/>
  <c r="AD784" i="11" s="1"/>
  <c r="AB1000" i="11"/>
  <c r="AD1000" i="11" s="1"/>
  <c r="AB862" i="11"/>
  <c r="AD862" i="11" s="1"/>
  <c r="AB1034" i="11"/>
  <c r="AD1034" i="11" s="1"/>
  <c r="AB1443" i="11"/>
  <c r="AD1443" i="11" s="1"/>
  <c r="AB429" i="11"/>
  <c r="AD429" i="11" s="1"/>
  <c r="AB998" i="11"/>
  <c r="AD998" i="11" s="1"/>
  <c r="AB794" i="11"/>
  <c r="AD794" i="11" s="1"/>
  <c r="AB1045" i="11"/>
  <c r="AD1045" i="11" s="1"/>
  <c r="AB501" i="11"/>
  <c r="AD501" i="11" s="1"/>
  <c r="AB930" i="11"/>
  <c r="AD930" i="11" s="1"/>
  <c r="AB984" i="11"/>
  <c r="AD984" i="11" s="1"/>
  <c r="AB860" i="11"/>
  <c r="AD860" i="11" s="1"/>
  <c r="AB634" i="11"/>
  <c r="AD634" i="11" s="1"/>
  <c r="AB742" i="11"/>
  <c r="AD742" i="11" s="1"/>
  <c r="AB117" i="11"/>
  <c r="AD117" i="11" s="1"/>
  <c r="AB726" i="11"/>
  <c r="AD726" i="11" s="1"/>
  <c r="AB917" i="11"/>
  <c r="AD917" i="11" s="1"/>
  <c r="AB669" i="11"/>
  <c r="AD669" i="11" s="1"/>
  <c r="AB21" i="11"/>
  <c r="AD21" i="11" s="1"/>
  <c r="AB936" i="11"/>
  <c r="AD936" i="11" s="1"/>
  <c r="AB640" i="11"/>
  <c r="AD640" i="11" s="1"/>
  <c r="AB171" i="11"/>
  <c r="AD171" i="11" s="1"/>
  <c r="AB861" i="11"/>
  <c r="AD861" i="11" s="1"/>
  <c r="AB541" i="11"/>
  <c r="AD541" i="11" s="1"/>
  <c r="AB638" i="11"/>
  <c r="AD638" i="11" s="1"/>
  <c r="AB716" i="11"/>
  <c r="AD716" i="11" s="1"/>
  <c r="AB750" i="11"/>
  <c r="AD750" i="11" s="1"/>
  <c r="AB871" i="11"/>
  <c r="AD871" i="11" s="1"/>
  <c r="AB637" i="11"/>
  <c r="AD637" i="11" s="1"/>
  <c r="AB1049" i="11"/>
  <c r="AD1049" i="11" s="1"/>
  <c r="AB896" i="11"/>
  <c r="AD896" i="11" s="1"/>
  <c r="AB664" i="11"/>
  <c r="AD664" i="11" s="1"/>
  <c r="AB995" i="11"/>
  <c r="AD995" i="11" s="1"/>
  <c r="AB293" i="11"/>
  <c r="AD293" i="11" s="1"/>
  <c r="AB568" i="11"/>
  <c r="AD568" i="11" s="1"/>
  <c r="AB1411" i="11"/>
  <c r="AD1411" i="11" s="1"/>
  <c r="AB575" i="11"/>
  <c r="AD575" i="11" s="1"/>
  <c r="AB461" i="11"/>
  <c r="AD461" i="11" s="1"/>
  <c r="AB732" i="11"/>
  <c r="AD732" i="11" s="1"/>
  <c r="AB477" i="11"/>
  <c r="AD477" i="11" s="1"/>
  <c r="AB137" i="11"/>
  <c r="AD137" i="11" s="1"/>
  <c r="AB1129" i="11"/>
  <c r="AD1129" i="11" s="1"/>
  <c r="AB564" i="11"/>
  <c r="AD564" i="11" s="1"/>
  <c r="AB824" i="11"/>
  <c r="AD824" i="11" s="1"/>
  <c r="AB525" i="11"/>
  <c r="AD525" i="11" s="1"/>
  <c r="AB908" i="11"/>
  <c r="AD908" i="11" s="1"/>
  <c r="AB768" i="11"/>
  <c r="AD768" i="11" s="1"/>
  <c r="AB702" i="11"/>
  <c r="AD702" i="11" s="1"/>
  <c r="AB858" i="11"/>
  <c r="AD858" i="11" s="1"/>
  <c r="AB321" i="11"/>
  <c r="AD321" i="11" s="1"/>
  <c r="AB566" i="11"/>
  <c r="AD566" i="11" s="1"/>
  <c r="AB797" i="11"/>
  <c r="AD797" i="11" s="1"/>
  <c r="AB829" i="11"/>
  <c r="AD829" i="11" s="1"/>
  <c r="AB77" i="11"/>
  <c r="AD77" i="11" s="1"/>
  <c r="AB389" i="11"/>
  <c r="AD389" i="11" s="1"/>
  <c r="AB790" i="11"/>
  <c r="AD790" i="11" s="1"/>
  <c r="AB45" i="11"/>
  <c r="AD45" i="11" s="1"/>
  <c r="AB1030" i="11"/>
  <c r="AD1030" i="11" s="1"/>
  <c r="AB285" i="11"/>
  <c r="AD285" i="11" s="1"/>
  <c r="AB693" i="11"/>
  <c r="AD693" i="11" s="1"/>
  <c r="AB686" i="11"/>
  <c r="AD686" i="11" s="1"/>
  <c r="AB870" i="11"/>
  <c r="AD870" i="11" s="1"/>
  <c r="AB437" i="11"/>
  <c r="AD437" i="11" s="1"/>
  <c r="AB1003" i="11"/>
  <c r="AD1003" i="11" s="1"/>
  <c r="AB792" i="11"/>
  <c r="AD792" i="11" s="1"/>
  <c r="AB1066" i="11"/>
  <c r="AD1066" i="11" s="1"/>
  <c r="AB782" i="11"/>
  <c r="AD782" i="11" s="1"/>
  <c r="AB397" i="11"/>
  <c r="AD397" i="11" s="1"/>
  <c r="AB510" i="11"/>
  <c r="AD510" i="11" s="1"/>
  <c r="AB116" i="11"/>
  <c r="AD116" i="11" s="1"/>
  <c r="AB159" i="11"/>
  <c r="AD159" i="11" s="1"/>
  <c r="AB351" i="11"/>
  <c r="AD351" i="11" s="1"/>
  <c r="AB549" i="11"/>
  <c r="AD549" i="11" s="1"/>
  <c r="AB354" i="11"/>
  <c r="AD354" i="11" s="1"/>
  <c r="AB1205" i="11"/>
  <c r="AD1205" i="11" s="1"/>
  <c r="AB401" i="11"/>
  <c r="AD401" i="11" s="1"/>
  <c r="AB1136" i="11"/>
  <c r="AD1136" i="11" s="1"/>
  <c r="AB7" i="11"/>
  <c r="AD7" i="11" s="1"/>
  <c r="AB10" i="11"/>
  <c r="AD10" i="11" s="1"/>
  <c r="AB337" i="11"/>
  <c r="AD337" i="11" s="1"/>
  <c r="AB1274" i="11"/>
  <c r="AD1274" i="11" s="1"/>
  <c r="AB1106" i="11"/>
  <c r="AD1106" i="11" s="1"/>
  <c r="AB260" i="11"/>
  <c r="AD260" i="11" s="1"/>
  <c r="AB200" i="11"/>
  <c r="AD200" i="11" s="1"/>
  <c r="AB1285" i="11"/>
  <c r="AD1285" i="11" s="1"/>
  <c r="AB150" i="11"/>
  <c r="AD150" i="11" s="1"/>
  <c r="AB26" i="11"/>
  <c r="AD26" i="11" s="1"/>
  <c r="AB180" i="11"/>
  <c r="AD180" i="11" s="1"/>
  <c r="AB729" i="11"/>
  <c r="AD729" i="11" s="1"/>
  <c r="AB1329" i="11"/>
  <c r="AD1329" i="11" s="1"/>
  <c r="AB642" i="11"/>
  <c r="AD642" i="11" s="1"/>
  <c r="AB370" i="11"/>
  <c r="AD370" i="11" s="1"/>
  <c r="AB99" i="11"/>
  <c r="AD99" i="11" s="1"/>
  <c r="AB261" i="11"/>
  <c r="AD261" i="11" s="1"/>
  <c r="AB221" i="11"/>
  <c r="AD221" i="11" s="1"/>
  <c r="AB496" i="11"/>
  <c r="AD496" i="11" s="1"/>
  <c r="AB813" i="11"/>
  <c r="AD813" i="11" s="1"/>
  <c r="AB231" i="11"/>
  <c r="AD231" i="11" s="1"/>
  <c r="I2" i="2"/>
  <c r="K2" i="2" s="1"/>
  <c r="N2" i="2" s="1"/>
  <c r="H3" i="1"/>
  <c r="I3" i="1" s="1"/>
  <c r="H4" i="1"/>
  <c r="I4" i="1" s="1"/>
  <c r="F24" i="15" l="1"/>
  <c r="F25" i="15" s="1"/>
  <c r="AB747" i="11"/>
  <c r="AD747" i="11" s="1"/>
  <c r="AB721" i="11"/>
  <c r="AD721" i="11" s="1"/>
  <c r="AB756" i="11"/>
  <c r="AD756" i="11" s="1"/>
  <c r="AB688" i="11"/>
  <c r="AD688" i="11" s="1"/>
  <c r="AB740" i="11"/>
  <c r="AD740" i="11" s="1"/>
  <c r="AB704" i="11"/>
  <c r="AD704" i="11" s="1"/>
  <c r="AB757" i="11"/>
  <c r="AD757" i="11" s="1"/>
  <c r="AB690" i="11"/>
  <c r="AD690" i="11" s="1"/>
  <c r="AB719" i="11"/>
  <c r="AD719" i="11" s="1"/>
  <c r="AB735" i="11"/>
  <c r="AD735" i="11" s="1"/>
  <c r="AB705" i="11"/>
  <c r="AD705" i="11" s="1"/>
  <c r="AB697" i="11"/>
  <c r="AD697" i="11" s="1"/>
  <c r="AB675" i="11"/>
  <c r="AD675" i="11" s="1"/>
  <c r="AB687" i="11"/>
  <c r="AD687" i="11" s="1"/>
  <c r="AB744" i="11"/>
  <c r="AD744" i="11" s="1"/>
  <c r="AB749" i="11"/>
  <c r="AD749" i="11" s="1"/>
  <c r="AB712" i="11"/>
  <c r="AD712" i="11" s="1"/>
  <c r="AB682" i="11"/>
  <c r="AD682" i="11" s="1"/>
  <c r="AB722" i="11"/>
  <c r="AD722" i="11" s="1"/>
  <c r="AB754" i="11"/>
  <c r="AD754" i="11" s="1"/>
  <c r="AB689" i="11"/>
  <c r="AD689" i="11" s="1"/>
  <c r="AB708" i="11"/>
  <c r="AD708" i="11" s="1"/>
  <c r="AB752" i="11"/>
  <c r="AD752" i="11" s="1"/>
  <c r="AB724" i="11"/>
  <c r="AD724" i="11" s="1"/>
  <c r="AB695" i="11"/>
  <c r="AD695" i="11" s="1"/>
  <c r="AB723" i="11"/>
  <c r="AD723" i="11" s="1"/>
  <c r="AB683" i="11"/>
  <c r="AD683" i="11" s="1"/>
  <c r="AB680" i="11"/>
  <c r="AD680" i="11" s="1"/>
  <c r="AB698" i="11"/>
  <c r="AD698" i="11" s="1"/>
  <c r="AB755" i="11"/>
  <c r="AD755" i="11" s="1"/>
  <c r="AB727" i="11"/>
  <c r="AD727" i="11" s="1"/>
  <c r="AB684" i="11"/>
  <c r="AD684" i="11" s="1"/>
  <c r="AB730" i="11"/>
  <c r="AD730" i="11" s="1"/>
  <c r="AB893" i="11"/>
  <c r="AD893" i="11" s="1"/>
  <c r="AB55" i="11"/>
  <c r="AD55" i="11" s="1"/>
  <c r="AB82" i="11"/>
  <c r="AD82" i="11" s="1"/>
  <c r="AB19" i="11"/>
  <c r="AD19" i="11" s="1"/>
  <c r="AB179" i="11"/>
  <c r="AD179" i="11" s="1"/>
  <c r="AB144" i="11"/>
  <c r="AD144" i="11" s="1"/>
  <c r="AB330" i="11"/>
  <c r="AD330" i="11" s="1"/>
  <c r="AB188" i="11"/>
  <c r="AD188" i="11" s="1"/>
  <c r="AB111" i="11"/>
  <c r="AD111" i="11" s="1"/>
  <c r="AB87" i="11"/>
  <c r="AD87" i="11" s="1"/>
  <c r="AB218" i="11"/>
  <c r="AD218" i="11" s="1"/>
  <c r="AB409" i="11"/>
  <c r="AD409" i="11" s="1"/>
  <c r="I5" i="1"/>
  <c r="K5" i="1" s="1"/>
  <c r="L2" i="2"/>
  <c r="F33" i="3"/>
  <c r="Q2" i="2"/>
  <c r="R2" i="2" l="1"/>
  <c r="G27" i="3"/>
  <c r="S2" i="2" s="1"/>
  <c r="P2" i="2"/>
  <c r="O2" i="2"/>
  <c r="J5" i="8"/>
  <c r="K5" i="8" s="1"/>
  <c r="J6" i="8" l="1"/>
  <c r="K6" i="8" s="1"/>
  <c r="K7" i="8" s="1"/>
  <c r="M7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<sst xmlns="http://schemas.openxmlformats.org/spreadsheetml/2006/main" count="20870" uniqueCount="3188">
  <si>
    <t>Maturity Date</t>
  </si>
  <si>
    <t>Settlement Date</t>
  </si>
  <si>
    <t>Price</t>
  </si>
  <si>
    <t>Paid annually</t>
  </si>
  <si>
    <t>10.08.2020</t>
  </si>
  <si>
    <t>10.08.2040</t>
  </si>
  <si>
    <t>Face/ Maturity Value</t>
  </si>
  <si>
    <t>Paid semi-annually</t>
  </si>
  <si>
    <t>No</t>
  </si>
  <si>
    <t>Yes</t>
  </si>
  <si>
    <t>Coupon Frequency</t>
  </si>
  <si>
    <t>Semi Annual</t>
  </si>
  <si>
    <t>Number of coupons</t>
  </si>
  <si>
    <t>Effective Yield from cluster (Semi-Ann)</t>
  </si>
  <si>
    <t>Coupons PV</t>
  </si>
  <si>
    <t>Interest Factor</t>
  </si>
  <si>
    <t>Coupon Present Value</t>
  </si>
  <si>
    <t>Maturity PV</t>
  </si>
  <si>
    <t>Current Mkt ASK Price</t>
  </si>
  <si>
    <t>Market Ask Price seen as a cash outflow (i.e. multiplied by -1)</t>
  </si>
  <si>
    <t>Bond Cash Flows</t>
  </si>
  <si>
    <t>Coupons</t>
  </si>
  <si>
    <t>Last Coupon plus Maturity Value</t>
  </si>
  <si>
    <t>Maturity in years</t>
  </si>
  <si>
    <t>Annual Coupon Rate</t>
  </si>
  <si>
    <t xml:space="preserve">Semi Annual Coupon </t>
  </si>
  <si>
    <t>Duration</t>
  </si>
  <si>
    <t>Number of Semiannual Periods</t>
  </si>
  <si>
    <t>dP/dy</t>
  </si>
  <si>
    <t>1/(1+y)</t>
  </si>
  <si>
    <t>Sum of weighted cash flows</t>
  </si>
  <si>
    <t>1/PASK</t>
  </si>
  <si>
    <t>Macaulay Duration in years</t>
  </si>
  <si>
    <t>Modified Duration in years</t>
  </si>
  <si>
    <t>Macaulay Duration in Half Years</t>
  </si>
  <si>
    <t>Modified Duration in Half Years</t>
  </si>
  <si>
    <t>Dollar Duration</t>
  </si>
  <si>
    <r>
      <t>D</t>
    </r>
    <r>
      <rPr>
        <b/>
        <sz val="11"/>
        <color theme="1"/>
        <rFont val="Calibri Light"/>
        <family val="2"/>
        <scheme val="major"/>
      </rPr>
      <t>y</t>
    </r>
  </si>
  <si>
    <t>Maturity Value</t>
  </si>
  <si>
    <t>Second Derivative</t>
  </si>
  <si>
    <t>Convexity Measure (Years)</t>
  </si>
  <si>
    <t>Dollar Convexity Measure</t>
  </si>
  <si>
    <t>In Basis points</t>
  </si>
  <si>
    <t>Convexity Measure in Half Years</t>
  </si>
  <si>
    <t>Convexity Measure in Years</t>
  </si>
  <si>
    <t>Coupon</t>
  </si>
  <si>
    <t>Cash Flows</t>
  </si>
  <si>
    <t xml:space="preserve"> </t>
  </si>
  <si>
    <r>
      <t xml:space="preserve">1. Rate Hikes: If yields rise, Price falls, and so does Duration. The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P/P, or % Price fall is slowed down by the falling Duration.</t>
    </r>
  </si>
  <si>
    <r>
      <t xml:space="preserve">2. Rate Cuts:  If yields fall, Price rises, and so does Duration.  The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P/P, or % Price increase is accelerated by the rising Duration. </t>
    </r>
  </si>
  <si>
    <t>Rate Hikes vs. Rate Cuts</t>
  </si>
  <si>
    <r>
      <t xml:space="preserve"> Change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y</t>
    </r>
  </si>
  <si>
    <t>DURATION INSIGHTS</t>
  </si>
  <si>
    <t>CONVEXITY INSIGHTS</t>
  </si>
  <si>
    <t>Duration as Tangent line to Price yield relationship</t>
  </si>
  <si>
    <t>The slope of the Tangent gets flatter as the required yield increases.</t>
  </si>
  <si>
    <t>2. Lower the Coupon lower the Convexity for the same modified duration. Zero Coupon bonds have the lowest convexity for any modified duration.</t>
  </si>
  <si>
    <t>1, Lower the Coupon greater the Convexity for the same maturity. Zero coupon bonds have the highest convexity for any maturity.</t>
  </si>
  <si>
    <t>3. As yield rises, Duration falls</t>
  </si>
  <si>
    <t>4. As yield falls, Duration rises</t>
  </si>
  <si>
    <t>Maturity</t>
  </si>
  <si>
    <t>Issue Date</t>
  </si>
  <si>
    <t>India</t>
  </si>
  <si>
    <t>Zero Coupon</t>
  </si>
  <si>
    <t>None</t>
  </si>
  <si>
    <t>Semi-annual</t>
  </si>
  <si>
    <t>USD</t>
  </si>
  <si>
    <t>Reliance Industries Ltd.</t>
  </si>
  <si>
    <t>USY72570AL17</t>
  </si>
  <si>
    <t>Callable</t>
  </si>
  <si>
    <t>RLNGF5335118</t>
  </si>
  <si>
    <t>RLNGF5335117</t>
  </si>
  <si>
    <t>Indian Railway Finance Corp. Ltd.</t>
  </si>
  <si>
    <t>US45434M2B7</t>
  </si>
  <si>
    <t>SBIN4948098</t>
  </si>
  <si>
    <t>77MZ</t>
  </si>
  <si>
    <t>INR</t>
  </si>
  <si>
    <t>National Highways Infra Trust</t>
  </si>
  <si>
    <t>79NHIT47</t>
  </si>
  <si>
    <t>Putable</t>
  </si>
  <si>
    <t>USY72570AG22</t>
  </si>
  <si>
    <t>RLNGF4208883</t>
  </si>
  <si>
    <t>USY72570AM9</t>
  </si>
  <si>
    <t>Adani Green Energy (UP) Ltd.</t>
  </si>
  <si>
    <t>ADAI5766389</t>
  </si>
  <si>
    <t>Adani Ports &amp; Special Economic Zone Ltd.</t>
  </si>
  <si>
    <t>USY00130YU5</t>
  </si>
  <si>
    <t>ANRTY5230981</t>
  </si>
  <si>
    <t>79NHIT40</t>
  </si>
  <si>
    <t>RLNGF5059438</t>
  </si>
  <si>
    <t>Adani Renewable Energy (RJ) Ltd.</t>
  </si>
  <si>
    <t>XS205784217</t>
  </si>
  <si>
    <t>ADAI4898383</t>
  </si>
  <si>
    <t>Annual</t>
  </si>
  <si>
    <t>Power Finance Corp. Ltd.</t>
  </si>
  <si>
    <t>755PFCL38</t>
  </si>
  <si>
    <t>State Bank of India</t>
  </si>
  <si>
    <t>770SBI38</t>
  </si>
  <si>
    <t>Adani Energy Solutions Ltd.</t>
  </si>
  <si>
    <t>XS208021486</t>
  </si>
  <si>
    <t>ANRTY4928457</t>
  </si>
  <si>
    <t>REC Ltd.</t>
  </si>
  <si>
    <t>681RL36</t>
  </si>
  <si>
    <t>695PFCL36</t>
  </si>
  <si>
    <t>715PFCL36</t>
  </si>
  <si>
    <t>Quarterly</t>
  </si>
  <si>
    <t>697PFCL36</t>
  </si>
  <si>
    <t>750IRFC35</t>
  </si>
  <si>
    <t>725IRFC35</t>
  </si>
  <si>
    <t>718REC35</t>
  </si>
  <si>
    <t>743REC35</t>
  </si>
  <si>
    <t>79NHIT35</t>
  </si>
  <si>
    <t>735PFCL35</t>
  </si>
  <si>
    <t>760PFCL35</t>
  </si>
  <si>
    <t>Ntpc Ltd.</t>
  </si>
  <si>
    <t>737NTPC35C</t>
  </si>
  <si>
    <t>762NTPC35F</t>
  </si>
  <si>
    <t>680SBI35</t>
  </si>
  <si>
    <t>720PFC35</t>
  </si>
  <si>
    <t>Nido Home Finance Ltd.</t>
  </si>
  <si>
    <t>1075MHFL35</t>
  </si>
  <si>
    <t>1025NHFL35</t>
  </si>
  <si>
    <t>Edelweiss Financial Services Ltd.</t>
  </si>
  <si>
    <t>1049EFS35F</t>
  </si>
  <si>
    <t>11EFSL35H</t>
  </si>
  <si>
    <t>11EFSL35G</t>
  </si>
  <si>
    <t>11NHFL35A</t>
  </si>
  <si>
    <t>1049NHF35</t>
  </si>
  <si>
    <t>Sammaan Capital Ltd.</t>
  </si>
  <si>
    <t>1075SCL35</t>
  </si>
  <si>
    <t>1025SCL35A</t>
  </si>
  <si>
    <t>11EFSL35</t>
  </si>
  <si>
    <t>1049EFSL35</t>
  </si>
  <si>
    <t>11EFSL35A</t>
  </si>
  <si>
    <t>1049NHFL35</t>
  </si>
  <si>
    <t>11NHFL35</t>
  </si>
  <si>
    <t>1025SCL34Z</t>
  </si>
  <si>
    <t>1075SCL34T</t>
  </si>
  <si>
    <t>HDB Financial Services Ltd.</t>
  </si>
  <si>
    <t>827HFSL34</t>
  </si>
  <si>
    <t>11EFSL34B</t>
  </si>
  <si>
    <t>1049EFS34A</t>
  </si>
  <si>
    <t>11EFSL34C</t>
  </si>
  <si>
    <t>1049NHFL34</t>
  </si>
  <si>
    <t>11NHFL34</t>
  </si>
  <si>
    <t>Mahindra &amp; Mahindra Financial Services Ltd.</t>
  </si>
  <si>
    <t>824MMFSL34</t>
  </si>
  <si>
    <t>1075SCL34C</t>
  </si>
  <si>
    <t>1025SCL34B</t>
  </si>
  <si>
    <t>748IRFC34</t>
  </si>
  <si>
    <t>754IRFC34</t>
  </si>
  <si>
    <t>1049EFSL34</t>
  </si>
  <si>
    <t>11EFSL34A</t>
  </si>
  <si>
    <t>11EFSL34</t>
  </si>
  <si>
    <t>1026NHFL34</t>
  </si>
  <si>
    <t>1075NHFL34</t>
  </si>
  <si>
    <t>785IRFC34</t>
  </si>
  <si>
    <t>360 ONE Prime Ltd.</t>
  </si>
  <si>
    <t>985ONE34</t>
  </si>
  <si>
    <t>944ONE34</t>
  </si>
  <si>
    <t>1025SCL34A</t>
  </si>
  <si>
    <t>1075SCL34</t>
  </si>
  <si>
    <t>Motilal Oswal Financial Services Ltd.</t>
  </si>
  <si>
    <t>93MOFSL34</t>
  </si>
  <si>
    <t>97MOFSL34</t>
  </si>
  <si>
    <t>1045EFS34</t>
  </si>
  <si>
    <t>10EFSL34A</t>
  </si>
  <si>
    <t>1045EFS34A</t>
  </si>
  <si>
    <t>Shinhan Bank</t>
  </si>
  <si>
    <t>USY7770HAB4</t>
  </si>
  <si>
    <t>SHG5788822</t>
  </si>
  <si>
    <t>India Infrastructure Finance Co. Ltd.</t>
  </si>
  <si>
    <t>855IIFCL34</t>
  </si>
  <si>
    <t>880IIFCL34</t>
  </si>
  <si>
    <t>1025SCL34</t>
  </si>
  <si>
    <t>1075SCFL34</t>
  </si>
  <si>
    <t>Kamarajar Port Ltd.</t>
  </si>
  <si>
    <t>900KPL34</t>
  </si>
  <si>
    <t>875KPL34</t>
  </si>
  <si>
    <t>886REC34</t>
  </si>
  <si>
    <t>1075NIDO34</t>
  </si>
  <si>
    <t>1026NIDO34</t>
  </si>
  <si>
    <t>ESAF Small Finance Bank Ltd.</t>
  </si>
  <si>
    <t>1110ESAF34</t>
  </si>
  <si>
    <t>Paisalo Digital Ltd.</t>
  </si>
  <si>
    <t>995PDL34A</t>
  </si>
  <si>
    <t>Credila Financial Services Ltd.</t>
  </si>
  <si>
    <t>960CFSL34</t>
  </si>
  <si>
    <t>1045EFSL34</t>
  </si>
  <si>
    <t>10EFSL34</t>
  </si>
  <si>
    <t>866IIFC34B</t>
  </si>
  <si>
    <t>891IIFCL34</t>
  </si>
  <si>
    <t>995PDL34</t>
  </si>
  <si>
    <t>Axis Finance Ltd.</t>
  </si>
  <si>
    <t>838AFL34</t>
  </si>
  <si>
    <t>Magma General Insurance Ltd.</t>
  </si>
  <si>
    <t>970MGIC33</t>
  </si>
  <si>
    <t>1075SCL33</t>
  </si>
  <si>
    <t>835SCL23B</t>
  </si>
  <si>
    <t>840HDBFS33</t>
  </si>
  <si>
    <t>891NTPC33</t>
  </si>
  <si>
    <t>866NTPC33</t>
  </si>
  <si>
    <t>995PDL33</t>
  </si>
  <si>
    <t>867PFCL33</t>
  </si>
  <si>
    <t>892PFCL33</t>
  </si>
  <si>
    <t>875IIFCL33</t>
  </si>
  <si>
    <t>850IIFCL33</t>
  </si>
  <si>
    <t>980SCL33</t>
  </si>
  <si>
    <t>965SCL25F</t>
  </si>
  <si>
    <t>Piramal Enterprises Ltd.</t>
  </si>
  <si>
    <t>935PEL33</t>
  </si>
  <si>
    <t>NHPC Ltd.</t>
  </si>
  <si>
    <t>867NHPC33</t>
  </si>
  <si>
    <t>892NHPC33</t>
  </si>
  <si>
    <t>10EFSL33A</t>
  </si>
  <si>
    <t>1045EFSL33</t>
  </si>
  <si>
    <t>Aditya Birla Finance Ltd.</t>
  </si>
  <si>
    <t>81ABCL33</t>
  </si>
  <si>
    <t>78ABCL33</t>
  </si>
  <si>
    <t>888SCL25E</t>
  </si>
  <si>
    <t>1075SCL33A</t>
  </si>
  <si>
    <t>862REC33</t>
  </si>
  <si>
    <t>837REC33</t>
  </si>
  <si>
    <t>10NIDO33</t>
  </si>
  <si>
    <t>1045NIDO33</t>
  </si>
  <si>
    <t>Hinduja Leyland Finance Ltd.</t>
  </si>
  <si>
    <t>945HLFL33</t>
  </si>
  <si>
    <t>753PFCL33</t>
  </si>
  <si>
    <t>1045EFS33</t>
  </si>
  <si>
    <t>10EFS33</t>
  </si>
  <si>
    <t>Bajaj Finance Ltd.</t>
  </si>
  <si>
    <t>772BFL33</t>
  </si>
  <si>
    <t>HDFC Bank Ltd.</t>
  </si>
  <si>
    <t>78HDFCB33</t>
  </si>
  <si>
    <t>1045EFS33B</t>
  </si>
  <si>
    <t>10EFSL33</t>
  </si>
  <si>
    <t>Meghalaya Energy Corp. Ltd.</t>
  </si>
  <si>
    <t>1055MECL33</t>
  </si>
  <si>
    <t>708IIFCL33</t>
  </si>
  <si>
    <t>Kerala Financial Corp.</t>
  </si>
  <si>
    <t>890KFC33</t>
  </si>
  <si>
    <t>Muthoot Fincorp Ltd.</t>
  </si>
  <si>
    <t>1045MFL33</t>
  </si>
  <si>
    <t>797HDFCB33</t>
  </si>
  <si>
    <t>740IIFCL33</t>
  </si>
  <si>
    <t>10EFSL33B</t>
  </si>
  <si>
    <t>1045EFS33A</t>
  </si>
  <si>
    <t>1045MFL32</t>
  </si>
  <si>
    <t>751SBI32</t>
  </si>
  <si>
    <t>Andhra Pradesh State Beverages Corp. Ltd.</t>
  </si>
  <si>
    <t>962APSB32A</t>
  </si>
  <si>
    <t>812ABCL32A</t>
  </si>
  <si>
    <t>Mahanagar Telephone Nigam Ltd.</t>
  </si>
  <si>
    <t>8MTNL32</t>
  </si>
  <si>
    <t>741IIFC32</t>
  </si>
  <si>
    <t>1010EFSL32</t>
  </si>
  <si>
    <t>965EFSL32</t>
  </si>
  <si>
    <t>Mahindra Rural Housing Finance Ltd.</t>
  </si>
  <si>
    <t>835MRHFL32</t>
  </si>
  <si>
    <t>MFL10125C</t>
  </si>
  <si>
    <t>925MOFSL32</t>
  </si>
  <si>
    <t>Shriram Finance Ltd.</t>
  </si>
  <si>
    <t>872SFL32</t>
  </si>
  <si>
    <t>795MMFSL32</t>
  </si>
  <si>
    <t>805MMFSL32</t>
  </si>
  <si>
    <t>Nuvama Wealth &amp; Investment Ltd.</t>
  </si>
  <si>
    <t>995NWIL32</t>
  </si>
  <si>
    <t>953NWIL32</t>
  </si>
  <si>
    <t>815CFSL32</t>
  </si>
  <si>
    <t>MFL301024D</t>
  </si>
  <si>
    <t>962APSB32</t>
  </si>
  <si>
    <t>MFCL16924C</t>
  </si>
  <si>
    <t>Muthoot Finance Ltd.</t>
  </si>
  <si>
    <t>MFLVI32F</t>
  </si>
  <si>
    <t>970NIDO32</t>
  </si>
  <si>
    <t>930NIDO32</t>
  </si>
  <si>
    <t>Hindustan Petroleum Corp. Ltd.</t>
  </si>
  <si>
    <t>781HPCL32</t>
  </si>
  <si>
    <t>JSW Steel Ltd.</t>
  </si>
  <si>
    <t>USY44680RW1</t>
  </si>
  <si>
    <t>JVSLF5259936</t>
  </si>
  <si>
    <t>U.P. Power Transmission Corp. Ltd.</t>
  </si>
  <si>
    <t>97UPPCL32</t>
  </si>
  <si>
    <t>Uttar Pradesh Power Corp. Ltd.</t>
  </si>
  <si>
    <t>995UPPCL32</t>
  </si>
  <si>
    <t>1003SCL32</t>
  </si>
  <si>
    <t>889KFC32</t>
  </si>
  <si>
    <t>IRB Infrastructure Developers Ltd.</t>
  </si>
  <si>
    <t>IBRQY5769781</t>
  </si>
  <si>
    <t>MFCL30424D</t>
  </si>
  <si>
    <t>USY00130YV3</t>
  </si>
  <si>
    <t>ANRTY5231622</t>
  </si>
  <si>
    <t>MFLZC32</t>
  </si>
  <si>
    <t>SBIN5340921</t>
  </si>
  <si>
    <t>US45434M2H4</t>
  </si>
  <si>
    <t>RLNGF5335116</t>
  </si>
  <si>
    <t>93EFSL31A</t>
  </si>
  <si>
    <t>97EFSL31A</t>
  </si>
  <si>
    <t>Axis Bank Ltd.</t>
  </si>
  <si>
    <t>699ABL31</t>
  </si>
  <si>
    <t>705HDFCB31</t>
  </si>
  <si>
    <t>962APSB31A</t>
  </si>
  <si>
    <t>745MMFSL31</t>
  </si>
  <si>
    <t>MFL31A</t>
  </si>
  <si>
    <t>Piramal Finance Ltd.</t>
  </si>
  <si>
    <t>675PFL31</t>
  </si>
  <si>
    <t>MFL31</t>
  </si>
  <si>
    <t>97EFSL31</t>
  </si>
  <si>
    <t>93EFSL31</t>
  </si>
  <si>
    <t>Novelis Corp.</t>
  </si>
  <si>
    <t>HNDNF5228693</t>
  </si>
  <si>
    <t>Summit Digitel Infrastructure Ltd.</t>
  </si>
  <si>
    <t>USY8190DAA5</t>
  </si>
  <si>
    <t>SUMM5233696</t>
  </si>
  <si>
    <t>ICICI Home Finance Co. Ltd.</t>
  </si>
  <si>
    <t>725ICICI31</t>
  </si>
  <si>
    <t>Kosamattam Finance Ltd.</t>
  </si>
  <si>
    <t>KFL070824D</t>
  </si>
  <si>
    <t>Sael Ltd.</t>
  </si>
  <si>
    <t>SAEL5857385</t>
  </si>
  <si>
    <t>9PFL31A</t>
  </si>
  <si>
    <t>Adani Electricity Mumbai Ltd.</t>
  </si>
  <si>
    <t>ANRTY5224108</t>
  </si>
  <si>
    <t>XS236710980</t>
  </si>
  <si>
    <t>JM Financial Credit Solutions Ltd.</t>
  </si>
  <si>
    <t>85JMFCSL31</t>
  </si>
  <si>
    <t>KLM Axiva Finvest Ltd.</t>
  </si>
  <si>
    <t>KLMA041224</t>
  </si>
  <si>
    <t>Utkarsh Small Finance Bank Ltd.</t>
  </si>
  <si>
    <t>11USFBL31</t>
  </si>
  <si>
    <t>IndiGrid Infrastructure Trust</t>
  </si>
  <si>
    <t>732IGT31</t>
  </si>
  <si>
    <t>Bharti Airtel Ltd.</t>
  </si>
  <si>
    <t>BHTI5139598</t>
  </si>
  <si>
    <t>USY0889VAC4</t>
  </si>
  <si>
    <t>1003SCL31</t>
  </si>
  <si>
    <t>1050SCL31</t>
  </si>
  <si>
    <t>962APSB31</t>
  </si>
  <si>
    <t>Muthoot Mercantile Ltd.</t>
  </si>
  <si>
    <t>MML21425A</t>
  </si>
  <si>
    <t>10MFL31</t>
  </si>
  <si>
    <t>955MFL31</t>
  </si>
  <si>
    <t>MFL190525C</t>
  </si>
  <si>
    <t>JSW Hydro Energy Ltd.</t>
  </si>
  <si>
    <t>JSWH5182840</t>
  </si>
  <si>
    <t>USY4S71YAA2</t>
  </si>
  <si>
    <t>KFLZC31</t>
  </si>
  <si>
    <t>82IGT31</t>
  </si>
  <si>
    <t>797IGT31</t>
  </si>
  <si>
    <t>970EFSL31</t>
  </si>
  <si>
    <t>930EFSL31</t>
  </si>
  <si>
    <t>1110ESFB31</t>
  </si>
  <si>
    <t>MFLVI31F</t>
  </si>
  <si>
    <t>Chemmanur Credits &amp; Investments Ltd.</t>
  </si>
  <si>
    <t>CCIL20625G</t>
  </si>
  <si>
    <t>97UPPCL31</t>
  </si>
  <si>
    <t>995UPPCL31</t>
  </si>
  <si>
    <t>Sakthi Finance Ltd.</t>
  </si>
  <si>
    <t>SFL270224A</t>
  </si>
  <si>
    <t>1050SCFL31</t>
  </si>
  <si>
    <t>1003SCFL31</t>
  </si>
  <si>
    <t>National Bank for Agriculture &amp; Rural Development</t>
  </si>
  <si>
    <t>764NABAR31</t>
  </si>
  <si>
    <t>735NABAR31</t>
  </si>
  <si>
    <t>764IRFC31</t>
  </si>
  <si>
    <t>735IRFC31</t>
  </si>
  <si>
    <t>KAF080824</t>
  </si>
  <si>
    <t>MML290125D</t>
  </si>
  <si>
    <t>965MFLIV31</t>
  </si>
  <si>
    <t>MFL24225D</t>
  </si>
  <si>
    <t>101MFLIV31</t>
  </si>
  <si>
    <t>1096MECL31</t>
  </si>
  <si>
    <t>Adani International Container Terminal Pvt Ltd.</t>
  </si>
  <si>
    <t>XS226710051</t>
  </si>
  <si>
    <t>UltraTech Cement Ltd.</t>
  </si>
  <si>
    <t>UCLQY5127934</t>
  </si>
  <si>
    <t>ADTR5098312</t>
  </si>
  <si>
    <t>USY9048BAA1</t>
  </si>
  <si>
    <t>79TN</t>
  </si>
  <si>
    <t>SBIN5125232</t>
  </si>
  <si>
    <t>US45434M2C5</t>
  </si>
  <si>
    <t>ANRTY5118590</t>
  </si>
  <si>
    <t>USY00130XS1</t>
  </si>
  <si>
    <t>940HLFL31</t>
  </si>
  <si>
    <t>KFL31</t>
  </si>
  <si>
    <t>682PFCL31</t>
  </si>
  <si>
    <t>7PFCL31</t>
  </si>
  <si>
    <t>663PFCL31</t>
  </si>
  <si>
    <t>THDC India Ltd.</t>
  </si>
  <si>
    <t>745THDC31</t>
  </si>
  <si>
    <t>ICL Fincorp Ltd.</t>
  </si>
  <si>
    <t>ICLF160525</t>
  </si>
  <si>
    <t>1010MFL31</t>
  </si>
  <si>
    <t>965MFL31</t>
  </si>
  <si>
    <t>1101MECL31</t>
  </si>
  <si>
    <t>MFL10125B</t>
  </si>
  <si>
    <t>953EFSL31</t>
  </si>
  <si>
    <t>995EFSL31</t>
  </si>
  <si>
    <t>649NABAR30</t>
  </si>
  <si>
    <t>875SCL23A</t>
  </si>
  <si>
    <t>835SCL23A</t>
  </si>
  <si>
    <t>Hedge Finance Ltd.</t>
  </si>
  <si>
    <t>1025HFL30</t>
  </si>
  <si>
    <t>1026MFCL30</t>
  </si>
  <si>
    <t>692BFL30</t>
  </si>
  <si>
    <t>728IRFC30</t>
  </si>
  <si>
    <t>753IRFC30</t>
  </si>
  <si>
    <t>1101MECL30</t>
  </si>
  <si>
    <t>962APSB30A</t>
  </si>
  <si>
    <t>CCI170125B</t>
  </si>
  <si>
    <t>1003SCL30A</t>
  </si>
  <si>
    <t>75IHFCL30</t>
  </si>
  <si>
    <t>709REC30</t>
  </si>
  <si>
    <t>734REC30</t>
  </si>
  <si>
    <t>101MFCL30</t>
  </si>
  <si>
    <t>965MFCL30A</t>
  </si>
  <si>
    <t>MFL301024C</t>
  </si>
  <si>
    <t>IFCI Ltd.</t>
  </si>
  <si>
    <t>998IFCI30</t>
  </si>
  <si>
    <t>752PFCL30</t>
  </si>
  <si>
    <t>MML11924C</t>
  </si>
  <si>
    <t>705MTNL30</t>
  </si>
  <si>
    <t>728NTPC30B</t>
  </si>
  <si>
    <t>753NTPC30E</t>
  </si>
  <si>
    <t>925HLFL30</t>
  </si>
  <si>
    <t>ICLF27125B</t>
  </si>
  <si>
    <t>980SCL33C</t>
  </si>
  <si>
    <t>957SCL30</t>
  </si>
  <si>
    <t>965MFCL30</t>
  </si>
  <si>
    <t>MFCL16924B</t>
  </si>
  <si>
    <t>1010MFCL30</t>
  </si>
  <si>
    <t>MFL30</t>
  </si>
  <si>
    <t>KFL30A</t>
  </si>
  <si>
    <t>Muthoot Housing Finance Co., Ltd.</t>
  </si>
  <si>
    <t>1115MHF30</t>
  </si>
  <si>
    <t>705PFC30</t>
  </si>
  <si>
    <t>ICLF21224</t>
  </si>
  <si>
    <t>1115MHFC30</t>
  </si>
  <si>
    <t>779PFCL30</t>
  </si>
  <si>
    <t>768PFCL30</t>
  </si>
  <si>
    <t>975IFCI30</t>
  </si>
  <si>
    <t>1030NHFL30</t>
  </si>
  <si>
    <t>985NHFL30</t>
  </si>
  <si>
    <t>NHFL20725</t>
  </si>
  <si>
    <t>MakeMyTrip Ltd.</t>
  </si>
  <si>
    <t>US56087FAC8</t>
  </si>
  <si>
    <t>L&amp;T Infrastructure Finance Co. Ltd.</t>
  </si>
  <si>
    <t>81LTF30</t>
  </si>
  <si>
    <t>12CCIL30D</t>
  </si>
  <si>
    <t>UPL Corp. Ltd.</t>
  </si>
  <si>
    <t>UPLC5000773</t>
  </si>
  <si>
    <t>796REC30</t>
  </si>
  <si>
    <t>CCIL14824C</t>
  </si>
  <si>
    <t>775PFCL30</t>
  </si>
  <si>
    <t>802IHFCL30</t>
  </si>
  <si>
    <t>SFL30</t>
  </si>
  <si>
    <t>962APSB30</t>
  </si>
  <si>
    <t>99MFL30</t>
  </si>
  <si>
    <t>945MFL30A</t>
  </si>
  <si>
    <t>MFL190525B</t>
  </si>
  <si>
    <t>Muthoottu Mini Financiers Ltd.</t>
  </si>
  <si>
    <t>MMF191124B</t>
  </si>
  <si>
    <t>1250ICL30E</t>
  </si>
  <si>
    <t>SHG6071152</t>
  </si>
  <si>
    <t>755REC30</t>
  </si>
  <si>
    <t>Indel Money Pvt Ltd.</t>
  </si>
  <si>
    <t>IML8112024</t>
  </si>
  <si>
    <t>97IFCI30</t>
  </si>
  <si>
    <t>9MFL30A</t>
  </si>
  <si>
    <t>MFL30A</t>
  </si>
  <si>
    <t>EFSL30425A</t>
  </si>
  <si>
    <t>1004EFS30D</t>
  </si>
  <si>
    <t>10MFCL30</t>
  </si>
  <si>
    <t>MFCL30424C</t>
  </si>
  <si>
    <t>955MFCL30</t>
  </si>
  <si>
    <t>1005MFL30</t>
  </si>
  <si>
    <t>Fedbank Financial Services Ltd.</t>
  </si>
  <si>
    <t>9FFSL30</t>
  </si>
  <si>
    <t>SMC Global Securities Ltd. (India)</t>
  </si>
  <si>
    <t>1003SMCG30</t>
  </si>
  <si>
    <t>1050SMCG30</t>
  </si>
  <si>
    <t>US73928RAB2</t>
  </si>
  <si>
    <t>SBIN4937447</t>
  </si>
  <si>
    <t>IIFL Finance Ltd.</t>
  </si>
  <si>
    <t>1025IIFL30</t>
  </si>
  <si>
    <t>960IIFL30</t>
  </si>
  <si>
    <t>11ESFB30</t>
  </si>
  <si>
    <t>1050HFL30</t>
  </si>
  <si>
    <t>1025SFL30E</t>
  </si>
  <si>
    <t>1003NHF30</t>
  </si>
  <si>
    <t>1050NHF30</t>
  </si>
  <si>
    <t>Capital Small Finance Bank Ltd.</t>
  </si>
  <si>
    <t>1175CSFB30</t>
  </si>
  <si>
    <t>995UPPCL30</t>
  </si>
  <si>
    <t>890KFC30</t>
  </si>
  <si>
    <t>970UPPC30</t>
  </si>
  <si>
    <t>MML30</t>
  </si>
  <si>
    <t>Prachay Capital Pvt Ltd.</t>
  </si>
  <si>
    <t>13PCL30</t>
  </si>
  <si>
    <t>JM Financial Products Ltd.</t>
  </si>
  <si>
    <t>957JFPL30</t>
  </si>
  <si>
    <t>10JFPL30</t>
  </si>
  <si>
    <t>CCI110324A</t>
  </si>
  <si>
    <t>Callable and putable</t>
  </si>
  <si>
    <t>Embassy Property Developments Pvt Ltd.</t>
  </si>
  <si>
    <t>15EPDPL30</t>
  </si>
  <si>
    <t>741PFCL30</t>
  </si>
  <si>
    <t>MFL24225C</t>
  </si>
  <si>
    <t>990MFLIV30</t>
  </si>
  <si>
    <t>945MFLIV30</t>
  </si>
  <si>
    <t>IML1622024</t>
  </si>
  <si>
    <t>77NL</t>
  </si>
  <si>
    <t>11MECL30</t>
  </si>
  <si>
    <t>SBIN4948096</t>
  </si>
  <si>
    <t>US45434M2A9</t>
  </si>
  <si>
    <t>ANRTY4951324</t>
  </si>
  <si>
    <t>XS210943820</t>
  </si>
  <si>
    <t>830JMFPL30</t>
  </si>
  <si>
    <t>Edelweiss Finance &amp; Investments Ltd.</t>
  </si>
  <si>
    <t>98NWFL30</t>
  </si>
  <si>
    <t>Nuvama Wealth Finance Ltd.</t>
  </si>
  <si>
    <t>1025NWFL30</t>
  </si>
  <si>
    <t>9MFL30</t>
  </si>
  <si>
    <t>MFLZC30</t>
  </si>
  <si>
    <t>HNDNF5977493</t>
  </si>
  <si>
    <t>HNDNF4936545</t>
  </si>
  <si>
    <t>11MML30</t>
  </si>
  <si>
    <t>L&amp;T Finance Ltd.</t>
  </si>
  <si>
    <t>8LTF20</t>
  </si>
  <si>
    <t>1250ICLF30</t>
  </si>
  <si>
    <t>105EFSL30</t>
  </si>
  <si>
    <t>EFSL24125A</t>
  </si>
  <si>
    <t>1004EFSL30</t>
  </si>
  <si>
    <t>1050EFSL30</t>
  </si>
  <si>
    <t>11HFL30</t>
  </si>
  <si>
    <t>Annapurna Finance Pvt Ltd.</t>
  </si>
  <si>
    <t>12AFPL30</t>
  </si>
  <si>
    <t>12CCIL30C</t>
  </si>
  <si>
    <t>121CCIL30E</t>
  </si>
  <si>
    <t>Tata Capital Housing Finance Ltd.</t>
  </si>
  <si>
    <t>TCHF30</t>
  </si>
  <si>
    <t>MFL10125A</t>
  </si>
  <si>
    <t>945MFL30</t>
  </si>
  <si>
    <t>990MFL30</t>
  </si>
  <si>
    <t>KAFLZC30</t>
  </si>
  <si>
    <t>1003NHFL30</t>
  </si>
  <si>
    <t>Indian Oil Corp. Ltd.</t>
  </si>
  <si>
    <t>725IOCL30</t>
  </si>
  <si>
    <t>NHF060125</t>
  </si>
  <si>
    <t>CCILZC30</t>
  </si>
  <si>
    <t>1005MFL29B</t>
  </si>
  <si>
    <t>971SCL29T</t>
  </si>
  <si>
    <t>1015SCL29T</t>
  </si>
  <si>
    <t>IIFL Home Finance Ltd.</t>
  </si>
  <si>
    <t>89IHFL29</t>
  </si>
  <si>
    <t>925IHFL29</t>
  </si>
  <si>
    <t>IFL19424A</t>
  </si>
  <si>
    <t>1025KFL29A</t>
  </si>
  <si>
    <t>KFL29</t>
  </si>
  <si>
    <t>Oil &amp; Natural Gas Corp. Ltd.</t>
  </si>
  <si>
    <t>RPIN4933146</t>
  </si>
  <si>
    <t>Akara Capital Advisors Pvt Ltd.</t>
  </si>
  <si>
    <t>12ACAP29</t>
  </si>
  <si>
    <t>11KLMAFL29</t>
  </si>
  <si>
    <t>1075KLMA29</t>
  </si>
  <si>
    <t>1250ICLF29</t>
  </si>
  <si>
    <t>962APSB29A</t>
  </si>
  <si>
    <t>950HLFL29</t>
  </si>
  <si>
    <t>ECL Finance Ltd.</t>
  </si>
  <si>
    <t>995ECL29</t>
  </si>
  <si>
    <t>104ECL29</t>
  </si>
  <si>
    <t>ONGC Petro additions Ltd.</t>
  </si>
  <si>
    <t>858OPAL29</t>
  </si>
  <si>
    <t>12IML29</t>
  </si>
  <si>
    <t>99MFCL29</t>
  </si>
  <si>
    <t>MFL301024B</t>
  </si>
  <si>
    <t>945MFCL29A</t>
  </si>
  <si>
    <t>1004EFS29B</t>
  </si>
  <si>
    <t>EFS241024C</t>
  </si>
  <si>
    <t>1050EFS29C</t>
  </si>
  <si>
    <t>1050EFS29A</t>
  </si>
  <si>
    <t>975SCL29A</t>
  </si>
  <si>
    <t>Biocon Biologics Global Plc</t>
  </si>
  <si>
    <t>BBGG5909067</t>
  </si>
  <si>
    <t>1050NHF29</t>
  </si>
  <si>
    <t>1003NHF29</t>
  </si>
  <si>
    <t>NHF081024A</t>
  </si>
  <si>
    <t>Electronica Finance Ltd.</t>
  </si>
  <si>
    <t>129EFL29</t>
  </si>
  <si>
    <t>971SCL29B</t>
  </si>
  <si>
    <t>1015SCL29B</t>
  </si>
  <si>
    <t>Indostar Capital Finance Ltd.</t>
  </si>
  <si>
    <t>1050ICFL29</t>
  </si>
  <si>
    <t>Indian Overseas Bank</t>
  </si>
  <si>
    <t>90802IOB19</t>
  </si>
  <si>
    <t>990MFCL29</t>
  </si>
  <si>
    <t>945MFCL29</t>
  </si>
  <si>
    <t>MFCL16924A</t>
  </si>
  <si>
    <t>Ugro Capital Ltd.</t>
  </si>
  <si>
    <t>1250UCL29</t>
  </si>
  <si>
    <t>Adani Enterprises Ltd.</t>
  </si>
  <si>
    <t>AEL120924B</t>
  </si>
  <si>
    <t>99AEL29</t>
  </si>
  <si>
    <t>956AEL29</t>
  </si>
  <si>
    <t>Canara Bank</t>
  </si>
  <si>
    <t>SBIN5908121</t>
  </si>
  <si>
    <t>1150MML29</t>
  </si>
  <si>
    <t>XS289174800</t>
  </si>
  <si>
    <t>MML11924B</t>
  </si>
  <si>
    <t>1225AFPL29</t>
  </si>
  <si>
    <t>Rain Carbon, Inc.</t>
  </si>
  <si>
    <t>PYDIF5629399</t>
  </si>
  <si>
    <t>Finstars Capital Ltd.</t>
  </si>
  <si>
    <t>1206FCL29</t>
  </si>
  <si>
    <t>722HPCL29</t>
  </si>
  <si>
    <t>1145MECL29</t>
  </si>
  <si>
    <t>Tata Capital Financial Services Ltd.</t>
  </si>
  <si>
    <t>885TCAPS29</t>
  </si>
  <si>
    <t>KAFL29</t>
  </si>
  <si>
    <t>KFLZC29</t>
  </si>
  <si>
    <t>ICLFLZC29</t>
  </si>
  <si>
    <t>12CCI29</t>
  </si>
  <si>
    <t>1075KAFL29</t>
  </si>
  <si>
    <t>11KAFL29</t>
  </si>
  <si>
    <t>104SMCGS29</t>
  </si>
  <si>
    <t>994SMCGS29</t>
  </si>
  <si>
    <t>1025KFL29</t>
  </si>
  <si>
    <t>1004EFSL29</t>
  </si>
  <si>
    <t>1050EFSL29</t>
  </si>
  <si>
    <t>105EFSL29</t>
  </si>
  <si>
    <t>EFSL26724A</t>
  </si>
  <si>
    <t>Godrej Properties Ltd.</t>
  </si>
  <si>
    <t>855GPL29</t>
  </si>
  <si>
    <t>975SCL29</t>
  </si>
  <si>
    <t>Satin Creditcare Network Ltd.</t>
  </si>
  <si>
    <t>1275SCNL29</t>
  </si>
  <si>
    <t>Jaguar Land Rover Automotive Plc</t>
  </si>
  <si>
    <t>TTM5219232</t>
  </si>
  <si>
    <t>Satya MicroCapital Ltd.</t>
  </si>
  <si>
    <t>1385SML29</t>
  </si>
  <si>
    <t>Motherson Global Investments BV</t>
  </si>
  <si>
    <t>SMRA5845430</t>
  </si>
  <si>
    <t>1025SF29</t>
  </si>
  <si>
    <t>0SFL29A</t>
  </si>
  <si>
    <t>MAS Financial Services Ltd.</t>
  </si>
  <si>
    <t>1075MFSL29</t>
  </si>
  <si>
    <t>USY00130RP4</t>
  </si>
  <si>
    <t>1050NHFL29</t>
  </si>
  <si>
    <t>1003NHFL29</t>
  </si>
  <si>
    <t>ANRTY4853701</t>
  </si>
  <si>
    <t>13EFL29</t>
  </si>
  <si>
    <t>915SFL29A</t>
  </si>
  <si>
    <t>MFLV29</t>
  </si>
  <si>
    <t>IML29</t>
  </si>
  <si>
    <t>IIFL Samasta Finance Ltd.</t>
  </si>
  <si>
    <t>1050IIFL29</t>
  </si>
  <si>
    <t>1003IIFL29</t>
  </si>
  <si>
    <t>96ONE29</t>
  </si>
  <si>
    <t>921ONE29</t>
  </si>
  <si>
    <t>1164MECL29</t>
  </si>
  <si>
    <t>885HFSL29</t>
  </si>
  <si>
    <t>Delhi International Airport Ltd.</t>
  </si>
  <si>
    <t>DLHI4841271</t>
  </si>
  <si>
    <t>962APSB29</t>
  </si>
  <si>
    <t>1015SCL29</t>
  </si>
  <si>
    <t>925SCL29A</t>
  </si>
  <si>
    <t>971SCL29A</t>
  </si>
  <si>
    <t>1005MFL29</t>
  </si>
  <si>
    <t>Dvara Kshetriya Gramin Financial Services Pvt Ltd.</t>
  </si>
  <si>
    <t>1430DKGF29</t>
  </si>
  <si>
    <t>1080MML29</t>
  </si>
  <si>
    <t>885PFCL29</t>
  </si>
  <si>
    <t>995ECL29A</t>
  </si>
  <si>
    <t>104ECL29A</t>
  </si>
  <si>
    <t>11HFL29</t>
  </si>
  <si>
    <t>920SFL29</t>
  </si>
  <si>
    <t>1005MFL29A</t>
  </si>
  <si>
    <t>897MOFSL29</t>
  </si>
  <si>
    <t>935MOFSL29</t>
  </si>
  <si>
    <t>Poonawalla Fincorp Ltd.</t>
  </si>
  <si>
    <t>85PFL26A</t>
  </si>
  <si>
    <t>829PFL29</t>
  </si>
  <si>
    <t>MFLV29E</t>
  </si>
  <si>
    <t>1125ESFB29</t>
  </si>
  <si>
    <t>975MFCL29</t>
  </si>
  <si>
    <t>935MFCL29</t>
  </si>
  <si>
    <t>1420SML29</t>
  </si>
  <si>
    <t>MFCL30424B</t>
  </si>
  <si>
    <t>EFS290424A</t>
  </si>
  <si>
    <t>1010EFS29A</t>
  </si>
  <si>
    <t>967EFSL29A</t>
  </si>
  <si>
    <t>1010EFS29</t>
  </si>
  <si>
    <t>1240AFPL29</t>
  </si>
  <si>
    <t>1250IFL29</t>
  </si>
  <si>
    <t>EUR</t>
  </si>
  <si>
    <t>Novelis Sheet Ingot GmbH</t>
  </si>
  <si>
    <t>XS232649372</t>
  </si>
  <si>
    <t>930PEL29</t>
  </si>
  <si>
    <t>890KFC29</t>
  </si>
  <si>
    <t>995UPPCL29</t>
  </si>
  <si>
    <t>97UPPCL29</t>
  </si>
  <si>
    <t>897REC29</t>
  </si>
  <si>
    <t>855IIFCL29</t>
  </si>
  <si>
    <t>880IIFCL29</t>
  </si>
  <si>
    <t>888IRFC29</t>
  </si>
  <si>
    <t>925SCL29</t>
  </si>
  <si>
    <t>971SCL29</t>
  </si>
  <si>
    <t>863IRFC29</t>
  </si>
  <si>
    <t>1015SCFL29</t>
  </si>
  <si>
    <t>83REC29</t>
  </si>
  <si>
    <t>875KPL29</t>
  </si>
  <si>
    <t>900KPL29</t>
  </si>
  <si>
    <t>888REC29</t>
  </si>
  <si>
    <t>863REC29</t>
  </si>
  <si>
    <t>Adani Airport Holdings Ltd.</t>
  </si>
  <si>
    <t>10AAHL29</t>
  </si>
  <si>
    <t>L&amp;T Finance Ltd. (India)</t>
  </si>
  <si>
    <t>935LTF29</t>
  </si>
  <si>
    <t>898LTF29</t>
  </si>
  <si>
    <t>835IRFC29</t>
  </si>
  <si>
    <t>Standard Chartered Capital Ltd.</t>
  </si>
  <si>
    <t>825SCCL29</t>
  </si>
  <si>
    <t>1150CCIL29</t>
  </si>
  <si>
    <t>CCILZC29</t>
  </si>
  <si>
    <t>0ICLFL29</t>
  </si>
  <si>
    <t>1003NIDO29</t>
  </si>
  <si>
    <t>1050NIDO29</t>
  </si>
  <si>
    <t>SFL2722024</t>
  </si>
  <si>
    <t>1025SFL29</t>
  </si>
  <si>
    <t>10HFL29</t>
  </si>
  <si>
    <t>855IRFC29</t>
  </si>
  <si>
    <t>865IRFC29</t>
  </si>
  <si>
    <t>840IRFC29</t>
  </si>
  <si>
    <t>1150IML29</t>
  </si>
  <si>
    <t>Power Grid Corp. of India Ltd.</t>
  </si>
  <si>
    <t>824PGCIL29</t>
  </si>
  <si>
    <t>Fincare Small Finance Bank Ltd.</t>
  </si>
  <si>
    <t>1075AUSB29</t>
  </si>
  <si>
    <t>India Infoline Finance Ltd.</t>
  </si>
  <si>
    <t>105IIFL29</t>
  </si>
  <si>
    <t>10IIFL29</t>
  </si>
  <si>
    <t>97SFL29</t>
  </si>
  <si>
    <t>957ICCL25</t>
  </si>
  <si>
    <t>Oil India Ltd.</t>
  </si>
  <si>
    <t>SBIN4853460</t>
  </si>
  <si>
    <t>XS193286607</t>
  </si>
  <si>
    <t>61PQ</t>
  </si>
  <si>
    <t>MFLZC29A</t>
  </si>
  <si>
    <t>935MFL29</t>
  </si>
  <si>
    <t>Cholamandalam Investment &amp; Finance Co. Ltd.</t>
  </si>
  <si>
    <t>86CIFC29</t>
  </si>
  <si>
    <t>975MFL29A</t>
  </si>
  <si>
    <t>CIF29</t>
  </si>
  <si>
    <t>10UCL29</t>
  </si>
  <si>
    <t>SBI Cards &amp; Payment Services Ltd.</t>
  </si>
  <si>
    <t>955SCPSL29</t>
  </si>
  <si>
    <t>967EFSL29</t>
  </si>
  <si>
    <t>EFSL29</t>
  </si>
  <si>
    <t>1010EFSL29</t>
  </si>
  <si>
    <t>975MFL29</t>
  </si>
  <si>
    <t>MFL29A</t>
  </si>
  <si>
    <t>825MFL29</t>
  </si>
  <si>
    <t>850MFL29</t>
  </si>
  <si>
    <t>MFL29</t>
  </si>
  <si>
    <t>873IIFC29D</t>
  </si>
  <si>
    <t>848IIFC29A</t>
  </si>
  <si>
    <t>JSW Infrastructure Ltd.</t>
  </si>
  <si>
    <t>JSWG5340909</t>
  </si>
  <si>
    <t>95MMFSL29</t>
  </si>
  <si>
    <t>966ONE29</t>
  </si>
  <si>
    <t>935MMFSL29</t>
  </si>
  <si>
    <t>926ONE29</t>
  </si>
  <si>
    <t>State Bank of India (London Branch)</t>
  </si>
  <si>
    <t>SBIN5747152</t>
  </si>
  <si>
    <t>84IRFC29</t>
  </si>
  <si>
    <t>836PGCIL29</t>
  </si>
  <si>
    <t>1075AUSF29</t>
  </si>
  <si>
    <t>1060ECL29</t>
  </si>
  <si>
    <t>1015ECL29</t>
  </si>
  <si>
    <t>IIFLHF29</t>
  </si>
  <si>
    <t>875IHFL29</t>
  </si>
  <si>
    <t>843IHFL29</t>
  </si>
  <si>
    <t>Pays at maturity</t>
  </si>
  <si>
    <t>HFL280623</t>
  </si>
  <si>
    <t>980SCL33D</t>
  </si>
  <si>
    <t>Arka Fincap Ltd.</t>
  </si>
  <si>
    <t>965ARKA28</t>
  </si>
  <si>
    <t>971SCL28B</t>
  </si>
  <si>
    <t>125ACAP28</t>
  </si>
  <si>
    <t>10ARKA28</t>
  </si>
  <si>
    <t>925SCL28B</t>
  </si>
  <si>
    <t>889SCL28</t>
  </si>
  <si>
    <t>850SCL25A</t>
  </si>
  <si>
    <t>935SCL28</t>
  </si>
  <si>
    <t>1050MML28</t>
  </si>
  <si>
    <t>1050ISFL28</t>
  </si>
  <si>
    <t>MML28</t>
  </si>
  <si>
    <t>MML28A</t>
  </si>
  <si>
    <t>11MML28</t>
  </si>
  <si>
    <t>1003ISFL28</t>
  </si>
  <si>
    <t>873NTPC28</t>
  </si>
  <si>
    <t>848NTPC28</t>
  </si>
  <si>
    <t>1075AUSF28</t>
  </si>
  <si>
    <t>125ICLFL28</t>
  </si>
  <si>
    <t>Greenko Power II Ltd.</t>
  </si>
  <si>
    <t>GRNK5318798</t>
  </si>
  <si>
    <t>1025JFCS28</t>
  </si>
  <si>
    <t>981JMFCS28</t>
  </si>
  <si>
    <t>KFL121224E</t>
  </si>
  <si>
    <t>Edelweiss Asset Reconstruction Co. Ltd.</t>
  </si>
  <si>
    <t>99EARCL28</t>
  </si>
  <si>
    <t>860CIFCL28</t>
  </si>
  <si>
    <t>CIFCZC28</t>
  </si>
  <si>
    <t>SBIN4773267</t>
  </si>
  <si>
    <t>962APSB28A</t>
  </si>
  <si>
    <t>856REC28</t>
  </si>
  <si>
    <t>IML28C</t>
  </si>
  <si>
    <t>848IRFC28B</t>
  </si>
  <si>
    <t>10MMFL28</t>
  </si>
  <si>
    <t>854PFCL28</t>
  </si>
  <si>
    <t>879PFCL28</t>
  </si>
  <si>
    <t>854REC28</t>
  </si>
  <si>
    <t>97HFSL28</t>
  </si>
  <si>
    <t>838IIFCL28</t>
  </si>
  <si>
    <t>863IIFCL28</t>
  </si>
  <si>
    <t>1015SCL28</t>
  </si>
  <si>
    <t>971SCL28A</t>
  </si>
  <si>
    <t>IIFLZC28C</t>
  </si>
  <si>
    <t>920PEL28</t>
  </si>
  <si>
    <t>10IIFL28</t>
  </si>
  <si>
    <t>96IIFL28</t>
  </si>
  <si>
    <t>930SFL28</t>
  </si>
  <si>
    <t>97SFL28</t>
  </si>
  <si>
    <t>1150CCIL28</t>
  </si>
  <si>
    <t>879NHPC28</t>
  </si>
  <si>
    <t>854NHPC28</t>
  </si>
  <si>
    <t>MFL28D</t>
  </si>
  <si>
    <t>944MFL28</t>
  </si>
  <si>
    <t>905MFL28</t>
  </si>
  <si>
    <t>1075MSFS28</t>
  </si>
  <si>
    <t>1010EFSL28</t>
  </si>
  <si>
    <t>967EFSL28A</t>
  </si>
  <si>
    <t>EFSLZC28C</t>
  </si>
  <si>
    <t>0KFL28</t>
  </si>
  <si>
    <t>1050UCL28</t>
  </si>
  <si>
    <t>854REC2028</t>
  </si>
  <si>
    <t>1075MFSL28</t>
  </si>
  <si>
    <t>805ABCL28</t>
  </si>
  <si>
    <t>ABCL28</t>
  </si>
  <si>
    <t>775MFLTD28</t>
  </si>
  <si>
    <t>MFL28A</t>
  </si>
  <si>
    <t>8MFLTD28</t>
  </si>
  <si>
    <t>KFLZC28B</t>
  </si>
  <si>
    <t>Aadhar Housing Finance Ltd.</t>
  </si>
  <si>
    <t>975AHFL28</t>
  </si>
  <si>
    <t>935AHFL28</t>
  </si>
  <si>
    <t>9TCAP28</t>
  </si>
  <si>
    <t>910TCAP28</t>
  </si>
  <si>
    <t>925SCL28C</t>
  </si>
  <si>
    <t>10SCL30A</t>
  </si>
  <si>
    <t>Sammaan Finserve Ltd.</t>
  </si>
  <si>
    <t>92SFIL28</t>
  </si>
  <si>
    <t>96SFIL24A</t>
  </si>
  <si>
    <t>871REC28</t>
  </si>
  <si>
    <t>846REC28</t>
  </si>
  <si>
    <t>A3KWCY</t>
  </si>
  <si>
    <t>XS238437334</t>
  </si>
  <si>
    <t>MFL28B</t>
  </si>
  <si>
    <t>944MFL28A</t>
  </si>
  <si>
    <t>905MFL28A</t>
  </si>
  <si>
    <t>NIDO28</t>
  </si>
  <si>
    <t>967NIDO28</t>
  </si>
  <si>
    <t>1010NIDO28</t>
  </si>
  <si>
    <t>MMFLZC28B</t>
  </si>
  <si>
    <t>1050KAFL28</t>
  </si>
  <si>
    <t>CreditAccess Grameen Ltd.</t>
  </si>
  <si>
    <t>CAGL28</t>
  </si>
  <si>
    <t>970CAGL28</t>
  </si>
  <si>
    <t>848IIFC28B</t>
  </si>
  <si>
    <t>11HFL28A</t>
  </si>
  <si>
    <t>846PFCL28</t>
  </si>
  <si>
    <t>1310AFPL28</t>
  </si>
  <si>
    <t>Navi Finserv Ltd.</t>
  </si>
  <si>
    <t>1075NFL28</t>
  </si>
  <si>
    <t>12ACAPL28</t>
  </si>
  <si>
    <t>46XW</t>
  </si>
  <si>
    <t>CIFC28</t>
  </si>
  <si>
    <t>84CIFCL28</t>
  </si>
  <si>
    <t>919PEL28</t>
  </si>
  <si>
    <t>MFLZC28E</t>
  </si>
  <si>
    <t>975MFCL28E</t>
  </si>
  <si>
    <t>943ECL28</t>
  </si>
  <si>
    <t>985ECL28</t>
  </si>
  <si>
    <t>KFL070824C</t>
  </si>
  <si>
    <t>971SCL28I</t>
  </si>
  <si>
    <t>1015SCL28B</t>
  </si>
  <si>
    <t>IIFO5983391</t>
  </si>
  <si>
    <t>1150IML28</t>
  </si>
  <si>
    <t>IML28</t>
  </si>
  <si>
    <t>1010EFS28</t>
  </si>
  <si>
    <t>EFSL28A</t>
  </si>
  <si>
    <t>Tata Capital Ltd.</t>
  </si>
  <si>
    <t>TTM6004769</t>
  </si>
  <si>
    <t>967EFS28</t>
  </si>
  <si>
    <t>KFLZC28C</t>
  </si>
  <si>
    <t>Sobha Sukuk Ltd.</t>
  </si>
  <si>
    <t>ZT39</t>
  </si>
  <si>
    <t>SOBHA0728USD</t>
  </si>
  <si>
    <t>SBHY5617694</t>
  </si>
  <si>
    <t>XS236459357</t>
  </si>
  <si>
    <t>Renew Wind Energy (AP 2) Pvt Ltd.</t>
  </si>
  <si>
    <t>USY7280PAA1</t>
  </si>
  <si>
    <t>RNPW5160008</t>
  </si>
  <si>
    <t>94SFL28</t>
  </si>
  <si>
    <t>903SFL28</t>
  </si>
  <si>
    <t>CSA Investments Pvt Ltd.</t>
  </si>
  <si>
    <t>1746CSAI28</t>
  </si>
  <si>
    <t>NHFL02725</t>
  </si>
  <si>
    <t>957NHFL28</t>
  </si>
  <si>
    <t>9IIFL28</t>
  </si>
  <si>
    <t>1050HFL28A</t>
  </si>
  <si>
    <t>IIFLZC28B</t>
  </si>
  <si>
    <t>865IFL28</t>
  </si>
  <si>
    <t>Keertana Finserv Pvt Ltd.</t>
  </si>
  <si>
    <t>1140KFPL28</t>
  </si>
  <si>
    <t>IIFLZC28</t>
  </si>
  <si>
    <t>10IIFL28A</t>
  </si>
  <si>
    <t>96IIFL28A</t>
  </si>
  <si>
    <t>945SCL28</t>
  </si>
  <si>
    <t>Auxilo Finserve Pvt Ltd.</t>
  </si>
  <si>
    <t>970AXFPL28</t>
  </si>
  <si>
    <t>995AAHL28</t>
  </si>
  <si>
    <t>934JMFCS28</t>
  </si>
  <si>
    <t>975JMFCS28</t>
  </si>
  <si>
    <t>MFL28</t>
  </si>
  <si>
    <t>785MFL2028</t>
  </si>
  <si>
    <t>810MFL2028</t>
  </si>
  <si>
    <t>918MRHFL28</t>
  </si>
  <si>
    <t>962APSB28</t>
  </si>
  <si>
    <t>125IML28</t>
  </si>
  <si>
    <t>South Indian Bank Ltd.</t>
  </si>
  <si>
    <t>95SIBL28</t>
  </si>
  <si>
    <t>925MFL28A</t>
  </si>
  <si>
    <t>965MFL28A</t>
  </si>
  <si>
    <t>MFL190525A</t>
  </si>
  <si>
    <t>12ICLFL28D</t>
  </si>
  <si>
    <t>ICLF16525A</t>
  </si>
  <si>
    <t>Manappuram Finance Ltd.</t>
  </si>
  <si>
    <t>MFLN5826340</t>
  </si>
  <si>
    <t>1025SFL28</t>
  </si>
  <si>
    <t>79IGT28</t>
  </si>
  <si>
    <t>769IGT28</t>
  </si>
  <si>
    <t>SBIN5693776</t>
  </si>
  <si>
    <t>840CIFCL28</t>
  </si>
  <si>
    <t>CIFCZC28A</t>
  </si>
  <si>
    <t>915MFL28</t>
  </si>
  <si>
    <t>88MFL28</t>
  </si>
  <si>
    <t>801ABCL28</t>
  </si>
  <si>
    <t>MMFLZC28A</t>
  </si>
  <si>
    <t>10EFSL28C</t>
  </si>
  <si>
    <t>957EFSL28B</t>
  </si>
  <si>
    <t>EFSL300425</t>
  </si>
  <si>
    <t>875SFL28</t>
  </si>
  <si>
    <t>KFLZC28A</t>
  </si>
  <si>
    <t>101EFSL28</t>
  </si>
  <si>
    <t>967EFSL28</t>
  </si>
  <si>
    <t>EFSL28</t>
  </si>
  <si>
    <t>11HFL28</t>
  </si>
  <si>
    <t>975IFCI28</t>
  </si>
  <si>
    <t>Aditya Birla Housing Finance Ltd.</t>
  </si>
  <si>
    <t>810ABHF28</t>
  </si>
  <si>
    <t>1003SFIL28</t>
  </si>
  <si>
    <t>890SFIL23A</t>
  </si>
  <si>
    <t>10KFL28A</t>
  </si>
  <si>
    <t>SMCGS24425</t>
  </si>
  <si>
    <t>1025SMCGS28</t>
  </si>
  <si>
    <t>975HLFL28</t>
  </si>
  <si>
    <t>975IIFL28</t>
  </si>
  <si>
    <t>935IIFL28</t>
  </si>
  <si>
    <t>IIFL21425A</t>
  </si>
  <si>
    <t>1075MML28A</t>
  </si>
  <si>
    <t>10KFL28B</t>
  </si>
  <si>
    <t>975SCL28A</t>
  </si>
  <si>
    <t>US74947MAD4</t>
  </si>
  <si>
    <t>SBIN5566746</t>
  </si>
  <si>
    <t>MFL23A</t>
  </si>
  <si>
    <t>785MFL28</t>
  </si>
  <si>
    <t>81MFL28</t>
  </si>
  <si>
    <t>785PFCL28</t>
  </si>
  <si>
    <t>NHF030425</t>
  </si>
  <si>
    <t>10NHFL28A</t>
  </si>
  <si>
    <t>SHTF5901518</t>
  </si>
  <si>
    <t>958NHFL28B</t>
  </si>
  <si>
    <t>RDC Concrete (India) Pvt Ltd.</t>
  </si>
  <si>
    <t>11RDCCIL28</t>
  </si>
  <si>
    <t>97UPPCL28</t>
  </si>
  <si>
    <t>995UPPCL28</t>
  </si>
  <si>
    <t>704PFCL28</t>
  </si>
  <si>
    <t>9SFL28A</t>
  </si>
  <si>
    <t>702IIFCL28</t>
  </si>
  <si>
    <t>717KPL28</t>
  </si>
  <si>
    <t>704REC28</t>
  </si>
  <si>
    <t>NWFL23924</t>
  </si>
  <si>
    <t>1015SCL28A</t>
  </si>
  <si>
    <t>965SCL28</t>
  </si>
  <si>
    <t>704IRFC28</t>
  </si>
  <si>
    <t>971SCL28</t>
  </si>
  <si>
    <t>Edelweiss Retail Finance Ltd.</t>
  </si>
  <si>
    <t>888ERFL28</t>
  </si>
  <si>
    <t>SBIN4618396</t>
  </si>
  <si>
    <t>925ERFL28</t>
  </si>
  <si>
    <t>34JI</t>
  </si>
  <si>
    <t>10MMFLD28</t>
  </si>
  <si>
    <t>38YB</t>
  </si>
  <si>
    <t>SCL190325A</t>
  </si>
  <si>
    <t>948SCL28</t>
  </si>
  <si>
    <t>RPIN4611649</t>
  </si>
  <si>
    <t>Cyqure India Pvt Ltd.</t>
  </si>
  <si>
    <t>0CIPL28</t>
  </si>
  <si>
    <t>Edel Finance Co. Ltd.</t>
  </si>
  <si>
    <t>1035EFCL28</t>
  </si>
  <si>
    <t>1050KLMA28</t>
  </si>
  <si>
    <t>1075KLMA28</t>
  </si>
  <si>
    <t>UPLC4611648</t>
  </si>
  <si>
    <t>1050HFL28</t>
  </si>
  <si>
    <t>925MFLIV28</t>
  </si>
  <si>
    <t>965MFLIV28</t>
  </si>
  <si>
    <t>MFL24225B</t>
  </si>
  <si>
    <t>843SCL28A</t>
  </si>
  <si>
    <t>734IRFC28</t>
  </si>
  <si>
    <t>Kotak Infrastructure Debt Fund Ltd.</t>
  </si>
  <si>
    <t>797KIDF28</t>
  </si>
  <si>
    <t>MMYT5360274</t>
  </si>
  <si>
    <t>MUTH5808370</t>
  </si>
  <si>
    <t>MUTH5808369</t>
  </si>
  <si>
    <t>MMFLZC28</t>
  </si>
  <si>
    <t>MFLZC28F</t>
  </si>
  <si>
    <t>985SFIL28</t>
  </si>
  <si>
    <t>1030SFIL28</t>
  </si>
  <si>
    <t>875MFL28</t>
  </si>
  <si>
    <t>880MFL28</t>
  </si>
  <si>
    <t>850MFL28</t>
  </si>
  <si>
    <t>Bamboo Hotel &amp; Global Centre (Delhi) Pvt Ltd.</t>
  </si>
  <si>
    <t>1081BHG28</t>
  </si>
  <si>
    <t>MML290125B</t>
  </si>
  <si>
    <t>1075MML28</t>
  </si>
  <si>
    <t>PRMQY5855161</t>
  </si>
  <si>
    <t>12ICLFL28</t>
  </si>
  <si>
    <t>EFSL24125</t>
  </si>
  <si>
    <t>10EFSL28</t>
  </si>
  <si>
    <t>ABJA Investment Co. Pte Ltd.</t>
  </si>
  <si>
    <t>TAEL4599346</t>
  </si>
  <si>
    <t>957EFSL28</t>
  </si>
  <si>
    <t>865IIFL28</t>
  </si>
  <si>
    <t>9IIFL28A</t>
  </si>
  <si>
    <t>IIFLZC28A</t>
  </si>
  <si>
    <t>1025KFL28</t>
  </si>
  <si>
    <t>KFLZC28</t>
  </si>
  <si>
    <t>736IIFCL28</t>
  </si>
  <si>
    <t>967EFSL28D</t>
  </si>
  <si>
    <t>EFSLZC28</t>
  </si>
  <si>
    <t>1010EFS28A</t>
  </si>
  <si>
    <t>1015UPPC28</t>
  </si>
  <si>
    <t>10KFL28</t>
  </si>
  <si>
    <t>1115CCI28D</t>
  </si>
  <si>
    <t>TTM5093492</t>
  </si>
  <si>
    <t>81TCHF28</t>
  </si>
  <si>
    <t>84TCHF28</t>
  </si>
  <si>
    <t>115CCIL28</t>
  </si>
  <si>
    <t>MFL10125</t>
  </si>
  <si>
    <t>965MFL28</t>
  </si>
  <si>
    <t>925MFL28</t>
  </si>
  <si>
    <t>10NHFL28</t>
  </si>
  <si>
    <t>958NHFL28</t>
  </si>
  <si>
    <t>736PFCL28</t>
  </si>
  <si>
    <t>894SCL27</t>
  </si>
  <si>
    <t>965SCL25C</t>
  </si>
  <si>
    <t>902SCL27Q</t>
  </si>
  <si>
    <t>99SCL27V</t>
  </si>
  <si>
    <t>948SCL27R</t>
  </si>
  <si>
    <t>865IHFL27</t>
  </si>
  <si>
    <t>9IHFL27</t>
  </si>
  <si>
    <t>MMFLZC27C</t>
  </si>
  <si>
    <t>750MFL27</t>
  </si>
  <si>
    <t>775MFL27</t>
  </si>
  <si>
    <t>MFLZC27</t>
  </si>
  <si>
    <t>Aye Finance Ltd.</t>
  </si>
  <si>
    <t>1035AFL27</t>
  </si>
  <si>
    <t>738REC27TF</t>
  </si>
  <si>
    <t>SFL24</t>
  </si>
  <si>
    <t>Finkurve Financial Services Ltd.</t>
  </si>
  <si>
    <t>12FFSL27</t>
  </si>
  <si>
    <t>10EFCL27</t>
  </si>
  <si>
    <t>99WX</t>
  </si>
  <si>
    <t>XS173387776</t>
  </si>
  <si>
    <t>SBIN5126280</t>
  </si>
  <si>
    <t>10KFL27C</t>
  </si>
  <si>
    <t>10OE</t>
  </si>
  <si>
    <t>1050KLMA27</t>
  </si>
  <si>
    <t>12ICLFL27B</t>
  </si>
  <si>
    <t>RLNGF4567942</t>
  </si>
  <si>
    <t>962APSB27A</t>
  </si>
  <si>
    <t>738IRFC27B</t>
  </si>
  <si>
    <t>Ecap Equities Ltd.</t>
  </si>
  <si>
    <t>EEL280324A</t>
  </si>
  <si>
    <t>CAGL27A</t>
  </si>
  <si>
    <t>10CAGL27</t>
  </si>
  <si>
    <t>MMFL27</t>
  </si>
  <si>
    <t>765PFCL27</t>
  </si>
  <si>
    <t>738REC27</t>
  </si>
  <si>
    <t>950MMFL27</t>
  </si>
  <si>
    <t>Bajaj Housing Finance Ltd.</t>
  </si>
  <si>
    <t>798BHFL27</t>
  </si>
  <si>
    <t>MMF191124A</t>
  </si>
  <si>
    <t>InCred Financial Services Ltd.</t>
  </si>
  <si>
    <t>IFSL060624</t>
  </si>
  <si>
    <t>CAGL27</t>
  </si>
  <si>
    <t>940CAGL27</t>
  </si>
  <si>
    <t>93SCL24A</t>
  </si>
  <si>
    <t>MFLV27</t>
  </si>
  <si>
    <t>915SCL27A</t>
  </si>
  <si>
    <t>MFLTDII27</t>
  </si>
  <si>
    <t>MFLTDVII27</t>
  </si>
  <si>
    <t>925MFCL27A</t>
  </si>
  <si>
    <t>965MFCL27A</t>
  </si>
  <si>
    <t>MFL301024A</t>
  </si>
  <si>
    <t>MMFLZC27B</t>
  </si>
  <si>
    <t>950MFL27</t>
  </si>
  <si>
    <t>KFL27C</t>
  </si>
  <si>
    <t>GMR Hyderabad International Airport Ltd.</t>
  </si>
  <si>
    <t>GHOL4555616</t>
  </si>
  <si>
    <t>1050HFL27A</t>
  </si>
  <si>
    <t>EFS241024A</t>
  </si>
  <si>
    <t>10EFSL27A</t>
  </si>
  <si>
    <t>957EFSL27A</t>
  </si>
  <si>
    <t>EFSL27</t>
  </si>
  <si>
    <t>975EFSL27</t>
  </si>
  <si>
    <t>935EFSL27</t>
  </si>
  <si>
    <t>975UPPCL27</t>
  </si>
  <si>
    <t>1075KLM27</t>
  </si>
  <si>
    <t>1050KLM27</t>
  </si>
  <si>
    <t>1025KFL27A</t>
  </si>
  <si>
    <t>1206FCL27</t>
  </si>
  <si>
    <t>KFLZC27</t>
  </si>
  <si>
    <t>NHF081024</t>
  </si>
  <si>
    <t>1012IFCI27</t>
  </si>
  <si>
    <t>10NHFL27A</t>
  </si>
  <si>
    <t>958NHFL27A</t>
  </si>
  <si>
    <t>1050HFL27B</t>
  </si>
  <si>
    <t>Mangal Credit &amp; Fincorp Ltd.</t>
  </si>
  <si>
    <t>1290MCFL27</t>
  </si>
  <si>
    <t>TTM4550441</t>
  </si>
  <si>
    <t>9KSFL27</t>
  </si>
  <si>
    <t>905SC24B</t>
  </si>
  <si>
    <t>915SCL27</t>
  </si>
  <si>
    <t>10KFL27</t>
  </si>
  <si>
    <t>Thirumeni Finance Pvt Ltd.</t>
  </si>
  <si>
    <t>1135VFPL27</t>
  </si>
  <si>
    <t>SCL25924D</t>
  </si>
  <si>
    <t>1030ICFL27</t>
  </si>
  <si>
    <t>990SCL27B</t>
  </si>
  <si>
    <t>1070ICFL27</t>
  </si>
  <si>
    <t>948SCL27D</t>
  </si>
  <si>
    <t>940SCL27A</t>
  </si>
  <si>
    <t>IML27</t>
  </si>
  <si>
    <t>Muthoot Vehicle &amp; Asset Finance Ltd.</t>
  </si>
  <si>
    <t>MVAF27</t>
  </si>
  <si>
    <t>925MFCL27</t>
  </si>
  <si>
    <t>MFCL16924</t>
  </si>
  <si>
    <t>965MFCL27</t>
  </si>
  <si>
    <t>965AEL27</t>
  </si>
  <si>
    <t>932AEL27</t>
  </si>
  <si>
    <t>AEL120924A</t>
  </si>
  <si>
    <t>1125MML27</t>
  </si>
  <si>
    <t>MML11924A</t>
  </si>
  <si>
    <t>765HFSL27</t>
  </si>
  <si>
    <t>1206FCL27A</t>
  </si>
  <si>
    <t>79MMFSL27</t>
  </si>
  <si>
    <t>1050NFL27A</t>
  </si>
  <si>
    <t>865TCAPS27</t>
  </si>
  <si>
    <t>76BFL27</t>
  </si>
  <si>
    <t>960IFSL27</t>
  </si>
  <si>
    <t>Tyger Home Finance Pvt Ltd.</t>
  </si>
  <si>
    <t>975THFPL27</t>
  </si>
  <si>
    <t>1125CCI27</t>
  </si>
  <si>
    <t>EEL130827</t>
  </si>
  <si>
    <t>Lancer Container Lines Ltd.</t>
  </si>
  <si>
    <t>XS2463521604</t>
  </si>
  <si>
    <t>0SMCGSL27</t>
  </si>
  <si>
    <t>102SMCGS27</t>
  </si>
  <si>
    <t>10KFL27A</t>
  </si>
  <si>
    <t>ANRTY5022440</t>
  </si>
  <si>
    <t>USY00130VS3</t>
  </si>
  <si>
    <t>1050HFL27</t>
  </si>
  <si>
    <t>11HFL27</t>
  </si>
  <si>
    <t>MMFLZC27A</t>
  </si>
  <si>
    <t>ANRTY4517242</t>
  </si>
  <si>
    <t>XS163626683</t>
  </si>
  <si>
    <t>11IML27</t>
  </si>
  <si>
    <t>10EFSL27</t>
  </si>
  <si>
    <t>EFSL260724</t>
  </si>
  <si>
    <t>957EFSL27</t>
  </si>
  <si>
    <t>0KFL27</t>
  </si>
  <si>
    <t>800MMFSL27</t>
  </si>
  <si>
    <t>790MMFSL27</t>
  </si>
  <si>
    <t>89267SFL27</t>
  </si>
  <si>
    <t>916NWIL27</t>
  </si>
  <si>
    <t>955NWIL27</t>
  </si>
  <si>
    <t>NWIL27</t>
  </si>
  <si>
    <t>XS163784661</t>
  </si>
  <si>
    <t>RPIN4538454</t>
  </si>
  <si>
    <t>925SFL27A</t>
  </si>
  <si>
    <t>1062KFL27</t>
  </si>
  <si>
    <t>75MP</t>
  </si>
  <si>
    <t>Jana Small Finance Bank Ltd.</t>
  </si>
  <si>
    <t>138JSFBL27</t>
  </si>
  <si>
    <t>SBIN4517241</t>
  </si>
  <si>
    <t>IDKQY5781612</t>
  </si>
  <si>
    <t>958NHFL27</t>
  </si>
  <si>
    <t>0NHFL27</t>
  </si>
  <si>
    <t>IDKQY5781613</t>
  </si>
  <si>
    <t>10NHFL27</t>
  </si>
  <si>
    <t>NHFL2725</t>
  </si>
  <si>
    <t>MMFLZC27D</t>
  </si>
  <si>
    <t>EAAA India Alternatives Ltd.</t>
  </si>
  <si>
    <t>108EAAAL27</t>
  </si>
  <si>
    <t>915MFCL27</t>
  </si>
  <si>
    <t>950MFCL27</t>
  </si>
  <si>
    <t>MFCL30424A</t>
  </si>
  <si>
    <t>MFLZC27B</t>
  </si>
  <si>
    <t>ICICI Bank Ltd.</t>
  </si>
  <si>
    <t>747ICICI27</t>
  </si>
  <si>
    <t>MFLVII27</t>
  </si>
  <si>
    <t>MFLII27</t>
  </si>
  <si>
    <t>MFLIV27</t>
  </si>
  <si>
    <t>815BFL27</t>
  </si>
  <si>
    <t>957MASFL27</t>
  </si>
  <si>
    <t>10IIFLSF27</t>
  </si>
  <si>
    <t>957IIFLS27</t>
  </si>
  <si>
    <t>109CCIL27B</t>
  </si>
  <si>
    <t>CCIL20625F</t>
  </si>
  <si>
    <t>105HFL27</t>
  </si>
  <si>
    <t>1050NFL27</t>
  </si>
  <si>
    <t>Edelweiss Finvest Pvt Ltd.</t>
  </si>
  <si>
    <t>88EFCL27</t>
  </si>
  <si>
    <t>962NWFL27</t>
  </si>
  <si>
    <t>850MRHF27B</t>
  </si>
  <si>
    <t>Oxyzo Financial Services Pvt Ltd.</t>
  </si>
  <si>
    <t>960OFSL27</t>
  </si>
  <si>
    <t>114KFPL27</t>
  </si>
  <si>
    <t>955ONE27</t>
  </si>
  <si>
    <t>916ONE27</t>
  </si>
  <si>
    <t>Share India Securities Ltd.</t>
  </si>
  <si>
    <t>1070SISL27</t>
  </si>
  <si>
    <t>Manba Finance Ltd.</t>
  </si>
  <si>
    <t>1130MBFL27</t>
  </si>
  <si>
    <t>10PDL27</t>
  </si>
  <si>
    <t>SCL310524A</t>
  </si>
  <si>
    <t>962APSB27</t>
  </si>
  <si>
    <t>948SCL27A</t>
  </si>
  <si>
    <t>94SCL27</t>
  </si>
  <si>
    <t>99SCL27</t>
  </si>
  <si>
    <t>1025KFL27</t>
  </si>
  <si>
    <t>1075MML27</t>
  </si>
  <si>
    <t>770BHFL27</t>
  </si>
  <si>
    <t>1060NFL27</t>
  </si>
  <si>
    <t>1075MFSL21</t>
  </si>
  <si>
    <t>9MFL27B</t>
  </si>
  <si>
    <t>MFL190525</t>
  </si>
  <si>
    <t>94MFL27B</t>
  </si>
  <si>
    <t>Muthoot Capital Services Ltd.</t>
  </si>
  <si>
    <t>10MCSL27A</t>
  </si>
  <si>
    <t>1150ICL27C</t>
  </si>
  <si>
    <t>91MOFSL27</t>
  </si>
  <si>
    <t>0MOFSL27</t>
  </si>
  <si>
    <t>950SFL27</t>
  </si>
  <si>
    <t>950MFCL27D</t>
  </si>
  <si>
    <t>835AFL27</t>
  </si>
  <si>
    <t>IML081124</t>
  </si>
  <si>
    <t>11IML2027</t>
  </si>
  <si>
    <t>MFLVIII27H</t>
  </si>
  <si>
    <t>MFLIV27D</t>
  </si>
  <si>
    <t>MFLII27B</t>
  </si>
  <si>
    <t>MFLZC27D</t>
  </si>
  <si>
    <t>1040SCNL27</t>
  </si>
  <si>
    <t>975ECL27</t>
  </si>
  <si>
    <t>950EFSL27A</t>
  </si>
  <si>
    <t>1050AFL27</t>
  </si>
  <si>
    <t>EFSL30425</t>
  </si>
  <si>
    <t>SFL27</t>
  </si>
  <si>
    <t>96EFSL27</t>
  </si>
  <si>
    <t>10SFL27</t>
  </si>
  <si>
    <t>955NIDO27</t>
  </si>
  <si>
    <t>915NIDO27</t>
  </si>
  <si>
    <t>NIDO27</t>
  </si>
  <si>
    <t>EFS290424</t>
  </si>
  <si>
    <t>920EFSL27A</t>
  </si>
  <si>
    <t>HPCL-Mittal Energy Ltd.</t>
  </si>
  <si>
    <t>HPCL4533408</t>
  </si>
  <si>
    <t>889SCL27</t>
  </si>
  <si>
    <t>95KFL27A</t>
  </si>
  <si>
    <t>925SCL27</t>
  </si>
  <si>
    <t>EFCL250225</t>
  </si>
  <si>
    <t>10MMFL27A</t>
  </si>
  <si>
    <t>950KFL27</t>
  </si>
  <si>
    <t>SMCG240425</t>
  </si>
  <si>
    <t>1015UCL27</t>
  </si>
  <si>
    <t>10SMCGSL27</t>
  </si>
  <si>
    <t>1040UCL27B</t>
  </si>
  <si>
    <t>1140KFPL27</t>
  </si>
  <si>
    <t>SHTF5734752</t>
  </si>
  <si>
    <t>Oil India International Pte Ltd.</t>
  </si>
  <si>
    <t>OILI4503388</t>
  </si>
  <si>
    <t>930IIFL27</t>
  </si>
  <si>
    <t>12IFL27</t>
  </si>
  <si>
    <t>IFL1942024</t>
  </si>
  <si>
    <t>1225IFL27</t>
  </si>
  <si>
    <t>India Clean Energy Holdings</t>
  </si>
  <si>
    <t>RNW5335491</t>
  </si>
  <si>
    <t>10KFIL27</t>
  </si>
  <si>
    <t>KFLZC27A</t>
  </si>
  <si>
    <t>905LTF27</t>
  </si>
  <si>
    <t>87LTF27</t>
  </si>
  <si>
    <t>95KFL27B</t>
  </si>
  <si>
    <t>EFCL28723A</t>
  </si>
  <si>
    <t>EFCL280723</t>
  </si>
  <si>
    <t>JVSLF5259935</t>
  </si>
  <si>
    <t>USY44680RV3</t>
  </si>
  <si>
    <t>95NHFL27A</t>
  </si>
  <si>
    <t>NHFL030425</t>
  </si>
  <si>
    <t>872IFCI27D</t>
  </si>
  <si>
    <t>1010AFL27</t>
  </si>
  <si>
    <t>97UPPCL27</t>
  </si>
  <si>
    <t>872IFCI27</t>
  </si>
  <si>
    <t>995UPPCL27</t>
  </si>
  <si>
    <t>872PFCL22A</t>
  </si>
  <si>
    <t>PTC India Financial Services Ltd.</t>
  </si>
  <si>
    <t>915PIFS27</t>
  </si>
  <si>
    <t>812REC27</t>
  </si>
  <si>
    <t>948SCL27</t>
  </si>
  <si>
    <t>990SCL27</t>
  </si>
  <si>
    <t>National Insurance Co. Ltd.</t>
  </si>
  <si>
    <t>835NICL27</t>
  </si>
  <si>
    <t>825MMFS27</t>
  </si>
  <si>
    <t>10NFL27</t>
  </si>
  <si>
    <t>775PFCL27</t>
  </si>
  <si>
    <t>975OFSL27A</t>
  </si>
  <si>
    <t>10MCSL27</t>
  </si>
  <si>
    <t>925SCL27B</t>
  </si>
  <si>
    <t>965SCL27</t>
  </si>
  <si>
    <t>SCL19325A</t>
  </si>
  <si>
    <t>1125IML027</t>
  </si>
  <si>
    <t>MMFLZC27</t>
  </si>
  <si>
    <t>1125KAFL27</t>
  </si>
  <si>
    <t>11KAFL27</t>
  </si>
  <si>
    <t>9MFL27A</t>
  </si>
  <si>
    <t>IKF Finance Ltd.</t>
  </si>
  <si>
    <t>990IKFFL27</t>
  </si>
  <si>
    <t>10MMFL27</t>
  </si>
  <si>
    <t>MFLZC27E</t>
  </si>
  <si>
    <t>848UPPCL27</t>
  </si>
  <si>
    <t>94MFL27A</t>
  </si>
  <si>
    <t>995AAHL27</t>
  </si>
  <si>
    <t>MoneyBoxx Finance Ltd.</t>
  </si>
  <si>
    <t>1175MBFL27</t>
  </si>
  <si>
    <t>1065NFL27</t>
  </si>
  <si>
    <t>1119NFL27</t>
  </si>
  <si>
    <t>EELGSEC27</t>
  </si>
  <si>
    <t>11CCIL27</t>
  </si>
  <si>
    <t>113KFPL27</t>
  </si>
  <si>
    <t>ReNew Power Pvt Ltd.</t>
  </si>
  <si>
    <t>RNPW4939142</t>
  </si>
  <si>
    <t>10NIDO27</t>
  </si>
  <si>
    <t>958NIDO27</t>
  </si>
  <si>
    <t>NIDO010327</t>
  </si>
  <si>
    <t>1070IFCI27</t>
  </si>
  <si>
    <t>925SFL27</t>
  </si>
  <si>
    <t>EELZC27</t>
  </si>
  <si>
    <t>940MFLIV27</t>
  </si>
  <si>
    <t>MFL24225A</t>
  </si>
  <si>
    <t>9MFLIV27</t>
  </si>
  <si>
    <t>810IRFC27</t>
  </si>
  <si>
    <t>India Green Power Holdings</t>
  </si>
  <si>
    <t>IDGR5127936</t>
  </si>
  <si>
    <t>990AFPL27</t>
  </si>
  <si>
    <t>975OFS27</t>
  </si>
  <si>
    <t>897UPPCL27</t>
  </si>
  <si>
    <t>916IFCI27</t>
  </si>
  <si>
    <t>1075IML27</t>
  </si>
  <si>
    <t>916IFCI27A</t>
  </si>
  <si>
    <t>IML160224</t>
  </si>
  <si>
    <t>1025HFL27</t>
  </si>
  <si>
    <t>KFL27A</t>
  </si>
  <si>
    <t>KFL070824A</t>
  </si>
  <si>
    <t>975MMFL27</t>
  </si>
  <si>
    <t>MFLZC27A</t>
  </si>
  <si>
    <t>850MFL27</t>
  </si>
  <si>
    <t>5NCA</t>
  </si>
  <si>
    <t>830PFCL27</t>
  </si>
  <si>
    <t>870MFL27</t>
  </si>
  <si>
    <t>840MFL27</t>
  </si>
  <si>
    <t>85CIFC27</t>
  </si>
  <si>
    <t>915MFL27</t>
  </si>
  <si>
    <t>MFLZC27F</t>
  </si>
  <si>
    <t>950MFL27A</t>
  </si>
  <si>
    <t>AVIOM India Housing Finance Pvt Ltd.</t>
  </si>
  <si>
    <t>1175AIHF27</t>
  </si>
  <si>
    <t>960EFSL27</t>
  </si>
  <si>
    <t>9MFL27</t>
  </si>
  <si>
    <t>920EFSL27</t>
  </si>
  <si>
    <t>94MFL27</t>
  </si>
  <si>
    <t>MFLZC27C</t>
  </si>
  <si>
    <t>EFSL27A</t>
  </si>
  <si>
    <t>91SFL27</t>
  </si>
  <si>
    <t>875SFL27</t>
  </si>
  <si>
    <t>1140KFP27</t>
  </si>
  <si>
    <t>10MCSL27B</t>
  </si>
  <si>
    <t>EEL280324</t>
  </si>
  <si>
    <t>1150ICLF27</t>
  </si>
  <si>
    <t>SBIN5412137</t>
  </si>
  <si>
    <t>850MFL27A</t>
  </si>
  <si>
    <t>MFL27</t>
  </si>
  <si>
    <t>825MFL27</t>
  </si>
  <si>
    <t>EFSL240125</t>
  </si>
  <si>
    <t>950EFSL27</t>
  </si>
  <si>
    <t>1130KFPL27</t>
  </si>
  <si>
    <t>1015UPPC27</t>
  </si>
  <si>
    <t>990IKF27</t>
  </si>
  <si>
    <t>Tapir Constructions Ltd.</t>
  </si>
  <si>
    <t>1350TCL27</t>
  </si>
  <si>
    <t>93MMFSL27</t>
  </si>
  <si>
    <t>9MMFL27</t>
  </si>
  <si>
    <t>961ONE27</t>
  </si>
  <si>
    <t>921ONE27</t>
  </si>
  <si>
    <t>MMFL191124</t>
  </si>
  <si>
    <t>BPRL International Singapore Pte Ltd.</t>
  </si>
  <si>
    <t>BPRL4464304</t>
  </si>
  <si>
    <t>92MMFSL27</t>
  </si>
  <si>
    <t>925FL27</t>
  </si>
  <si>
    <t>RLNGF4284043</t>
  </si>
  <si>
    <t>USY72570AK34</t>
  </si>
  <si>
    <t>76CV</t>
  </si>
  <si>
    <t>RCGO5217723</t>
  </si>
  <si>
    <t>MFL100125</t>
  </si>
  <si>
    <t>940MFL27</t>
  </si>
  <si>
    <t>9MFLIII27</t>
  </si>
  <si>
    <t>Vivriti Capital Pvt Ltd.</t>
  </si>
  <si>
    <t>986VCL27A</t>
  </si>
  <si>
    <t>925SCFL27</t>
  </si>
  <si>
    <t>NHFL060125</t>
  </si>
  <si>
    <t>95NHFL27</t>
  </si>
  <si>
    <t>889SCFL27</t>
  </si>
  <si>
    <t>EarlySalary Service Pvt Ltd.</t>
  </si>
  <si>
    <t>109ESPL27</t>
  </si>
  <si>
    <t>1050SCNL27</t>
  </si>
  <si>
    <t>850IIFL27</t>
  </si>
  <si>
    <t>IIFLHFZC27</t>
  </si>
  <si>
    <t>820IIFL27</t>
  </si>
  <si>
    <t>10KFL26</t>
  </si>
  <si>
    <t>1025NFL26</t>
  </si>
  <si>
    <t>955EFSL26B</t>
  </si>
  <si>
    <t>915EFSL26A</t>
  </si>
  <si>
    <t>10MCSL26</t>
  </si>
  <si>
    <t>EFSL26A</t>
  </si>
  <si>
    <t>965SCL26Y</t>
  </si>
  <si>
    <t>93ARKA26</t>
  </si>
  <si>
    <t>990SCL26B</t>
  </si>
  <si>
    <t>SCLZC26G</t>
  </si>
  <si>
    <t>965ARKA26</t>
  </si>
  <si>
    <t>925SCL26W</t>
  </si>
  <si>
    <t>KFL26C</t>
  </si>
  <si>
    <t>Avanti Finance Pvt Ltd.</t>
  </si>
  <si>
    <t>109AFPL26</t>
  </si>
  <si>
    <t>SCL271224A</t>
  </si>
  <si>
    <t>948SCL26B</t>
  </si>
  <si>
    <t>11DKGF26</t>
  </si>
  <si>
    <t>885IHL26</t>
  </si>
  <si>
    <t>IHFL261224</t>
  </si>
  <si>
    <t>1011VCL26</t>
  </si>
  <si>
    <t>96MFSL26</t>
  </si>
  <si>
    <t>865LTF26</t>
  </si>
  <si>
    <t>85LTF26</t>
  </si>
  <si>
    <t>1025MML26</t>
  </si>
  <si>
    <t>10ISFL26</t>
  </si>
  <si>
    <t>MML26</t>
  </si>
  <si>
    <t>957ISFL26</t>
  </si>
  <si>
    <t>MML26A</t>
  </si>
  <si>
    <t>105CCIL26A</t>
  </si>
  <si>
    <t>Marwadi Shares &amp; Finance Ltd.</t>
  </si>
  <si>
    <t>0MSFL026</t>
  </si>
  <si>
    <t>990AUXI26A</t>
  </si>
  <si>
    <t>1225ICLF26</t>
  </si>
  <si>
    <t>MFLZC26A</t>
  </si>
  <si>
    <t>125ICFL26</t>
  </si>
  <si>
    <t>12ICLFL26</t>
  </si>
  <si>
    <t>Nirmal Bang Securities Pvt Ltd.</t>
  </si>
  <si>
    <t>1025NBSP26</t>
  </si>
  <si>
    <t>875IFCI26</t>
  </si>
  <si>
    <t>875IFCI26A</t>
  </si>
  <si>
    <t>95MCSL26</t>
  </si>
  <si>
    <t>112KFPL26</t>
  </si>
  <si>
    <t>950IFSL26B</t>
  </si>
  <si>
    <t>925KFL26B</t>
  </si>
  <si>
    <t>1041KFL26</t>
  </si>
  <si>
    <t>1025KFL26B</t>
  </si>
  <si>
    <t>CIFCZC26</t>
  </si>
  <si>
    <t>850CIFCL26</t>
  </si>
  <si>
    <t>1090ESP26A</t>
  </si>
  <si>
    <t>119ACAP26</t>
  </si>
  <si>
    <t>1025KLMA26</t>
  </si>
  <si>
    <t>850SFL26</t>
  </si>
  <si>
    <t>962APSB26A</t>
  </si>
  <si>
    <t>990AUXI26</t>
  </si>
  <si>
    <t>995ICFL26C</t>
  </si>
  <si>
    <t>1030HFL26</t>
  </si>
  <si>
    <t>12IML26A</t>
  </si>
  <si>
    <t>12IML26</t>
  </si>
  <si>
    <t>SFLGSEC26</t>
  </si>
  <si>
    <t>PFCBT1S3</t>
  </si>
  <si>
    <t>PFCBT1S4</t>
  </si>
  <si>
    <t>10MCSLD26</t>
  </si>
  <si>
    <t>HNDNF5228691</t>
  </si>
  <si>
    <t>XS201003768</t>
  </si>
  <si>
    <t>1125IML26B</t>
  </si>
  <si>
    <t>Muthoot Homefin (India) Ltd.</t>
  </si>
  <si>
    <t>MHLZC26</t>
  </si>
  <si>
    <t>1040NFL26A</t>
  </si>
  <si>
    <t>945OFSL26</t>
  </si>
  <si>
    <t>11IML26B</t>
  </si>
  <si>
    <t>984IFSL26</t>
  </si>
  <si>
    <t>1030IFSL26</t>
  </si>
  <si>
    <t>KrazyBee Services Pvt. Ltd.</t>
  </si>
  <si>
    <t>1182KSPL26</t>
  </si>
  <si>
    <t>990SCL26A</t>
  </si>
  <si>
    <t>948SCL26A</t>
  </si>
  <si>
    <t>777IRFC26</t>
  </si>
  <si>
    <t>905PEL26</t>
  </si>
  <si>
    <t>865MFL26A</t>
  </si>
  <si>
    <t>MFL26Z</t>
  </si>
  <si>
    <t>11CCL26</t>
  </si>
  <si>
    <t>MFL26D</t>
  </si>
  <si>
    <t>927MFL26</t>
  </si>
  <si>
    <t>89MFL26</t>
  </si>
  <si>
    <t>11KAFL26</t>
  </si>
  <si>
    <t>1075IFC26</t>
  </si>
  <si>
    <t>DLHI4450361</t>
  </si>
  <si>
    <t>Lendingkart Finance Ltd.</t>
  </si>
  <si>
    <t>1195LFL26</t>
  </si>
  <si>
    <t>MFCL301024</t>
  </si>
  <si>
    <t>94MFCL26</t>
  </si>
  <si>
    <t>985ACAP26</t>
  </si>
  <si>
    <t>9MFCL2026</t>
  </si>
  <si>
    <t>910MFL26</t>
  </si>
  <si>
    <t>MFL26B</t>
  </si>
  <si>
    <t>99MCSL26</t>
  </si>
  <si>
    <t>1025KFL26C</t>
  </si>
  <si>
    <t>1135MFL26</t>
  </si>
  <si>
    <t>960EFSLA</t>
  </si>
  <si>
    <t>920EFSL26A</t>
  </si>
  <si>
    <t>EFSLZC26C</t>
  </si>
  <si>
    <t>0KFL26</t>
  </si>
  <si>
    <t>EFSL241024</t>
  </si>
  <si>
    <t>1039UCL26</t>
  </si>
  <si>
    <t>10UCL26</t>
  </si>
  <si>
    <t>1025UCL26A</t>
  </si>
  <si>
    <t>950EFSL26A</t>
  </si>
  <si>
    <t>HPCL4900850</t>
  </si>
  <si>
    <t>975UPPCL26</t>
  </si>
  <si>
    <t>KFLZC26D</t>
  </si>
  <si>
    <t>775PFCL26</t>
  </si>
  <si>
    <t>IIFLZC26</t>
  </si>
  <si>
    <t>KFL150425</t>
  </si>
  <si>
    <t>842IIFL26</t>
  </si>
  <si>
    <t>875IIFL26</t>
  </si>
  <si>
    <t>8ABCL26</t>
  </si>
  <si>
    <t>ABCL26</t>
  </si>
  <si>
    <t>95NHFL26</t>
  </si>
  <si>
    <t>975HLFL026</t>
  </si>
  <si>
    <t>NHFL081024</t>
  </si>
  <si>
    <t>820JMFPL26</t>
  </si>
  <si>
    <t>791JMFPL26</t>
  </si>
  <si>
    <t>775MFLTD26</t>
  </si>
  <si>
    <t>8MFLTD26</t>
  </si>
  <si>
    <t>MFL26A</t>
  </si>
  <si>
    <t>KAFLZC26A</t>
  </si>
  <si>
    <t>Tata Steel Ltd.</t>
  </si>
  <si>
    <t>815TSL26</t>
  </si>
  <si>
    <t>Chaitanya India Fin Credit Pvt Ltd.</t>
  </si>
  <si>
    <t>1055CIFC26</t>
  </si>
  <si>
    <t>YES BANK Ltd.</t>
  </si>
  <si>
    <t>8YES26</t>
  </si>
  <si>
    <t>Svatantra Microfin Pvt Ltd.</t>
  </si>
  <si>
    <t>129SMP26</t>
  </si>
  <si>
    <t>1015MML26</t>
  </si>
  <si>
    <t>845BFL26</t>
  </si>
  <si>
    <t>MML290125A</t>
  </si>
  <si>
    <t>IDKQY5513989</t>
  </si>
  <si>
    <t>115MFL26A</t>
  </si>
  <si>
    <t>Samunnati Financial Intermediation &amp; Services Pvt Ltd.</t>
  </si>
  <si>
    <t>1250SFPL26</t>
  </si>
  <si>
    <t>115VFPL26</t>
  </si>
  <si>
    <t>925KFL26</t>
  </si>
  <si>
    <t>SCLZC26</t>
  </si>
  <si>
    <t>990SCL26</t>
  </si>
  <si>
    <t>948SCL26</t>
  </si>
  <si>
    <t>885SCL26</t>
  </si>
  <si>
    <t>865SCL26</t>
  </si>
  <si>
    <t>9SCL26BA</t>
  </si>
  <si>
    <t>995PDL26</t>
  </si>
  <si>
    <t>879SCL26</t>
  </si>
  <si>
    <t>915SCL26</t>
  </si>
  <si>
    <t>SCLZC26C</t>
  </si>
  <si>
    <t>SCLZC26A</t>
  </si>
  <si>
    <t>SCL25924A</t>
  </si>
  <si>
    <t>965SCL26F</t>
  </si>
  <si>
    <t>925SCL26F</t>
  </si>
  <si>
    <t>975HLF26</t>
  </si>
  <si>
    <t>1050ICFL26</t>
  </si>
  <si>
    <t>ICFL250924</t>
  </si>
  <si>
    <t>925SCL26E</t>
  </si>
  <si>
    <t>889SCL26</t>
  </si>
  <si>
    <t>975SCL28</t>
  </si>
  <si>
    <t>890MFL26A</t>
  </si>
  <si>
    <t>MFL26F</t>
  </si>
  <si>
    <t>927MFL26A</t>
  </si>
  <si>
    <t>975HLFL26A</t>
  </si>
  <si>
    <t>940MFCL26</t>
  </si>
  <si>
    <t>1165VFPL26</t>
  </si>
  <si>
    <t>MFCL160924</t>
  </si>
  <si>
    <t>9MFCL26</t>
  </si>
  <si>
    <t>920NIDO26</t>
  </si>
  <si>
    <t>960NIDO26</t>
  </si>
  <si>
    <t>NIDO26</t>
  </si>
  <si>
    <t>975MMF26</t>
  </si>
  <si>
    <t>925AEL26</t>
  </si>
  <si>
    <t>AEL120924</t>
  </si>
  <si>
    <t>13SCNL26</t>
  </si>
  <si>
    <t>975KAFL26</t>
  </si>
  <si>
    <t>JMFPZC26</t>
  </si>
  <si>
    <t>10KAFL26</t>
  </si>
  <si>
    <t>1060NFL26</t>
  </si>
  <si>
    <t>955EFSL26A</t>
  </si>
  <si>
    <t>EFSL26</t>
  </si>
  <si>
    <t>915EFSL26</t>
  </si>
  <si>
    <t>925IHFL25E</t>
  </si>
  <si>
    <t>CIFC26A</t>
  </si>
  <si>
    <t>Manappuram Home Finance Ltd.</t>
  </si>
  <si>
    <t>MHFLZC26</t>
  </si>
  <si>
    <t>MFL26E</t>
  </si>
  <si>
    <t>835MFL26</t>
  </si>
  <si>
    <t>Spandana Sphoorty Financial Ltd.</t>
  </si>
  <si>
    <t>1075SSFL26</t>
  </si>
  <si>
    <t>75IC</t>
  </si>
  <si>
    <t>RCGO5180201</t>
  </si>
  <si>
    <t>Satin Finserv Ltd.</t>
  </si>
  <si>
    <t>108SFL26</t>
  </si>
  <si>
    <t>1175MFL026</t>
  </si>
  <si>
    <t>1050SFL26</t>
  </si>
  <si>
    <t>0MSFL26A</t>
  </si>
  <si>
    <t>925SCL26G</t>
  </si>
  <si>
    <t>Midland Microfin Ltd.</t>
  </si>
  <si>
    <t>1075MML26B</t>
  </si>
  <si>
    <t>930MFLIV26</t>
  </si>
  <si>
    <t>MFLIV24225</t>
  </si>
  <si>
    <t>758NTPC26</t>
  </si>
  <si>
    <t>931SFL26</t>
  </si>
  <si>
    <t>SFLZC26A</t>
  </si>
  <si>
    <t>97SFL26</t>
  </si>
  <si>
    <t>99IFSL26</t>
  </si>
  <si>
    <t>1025SCNL26</t>
  </si>
  <si>
    <t>KFLZC26B</t>
  </si>
  <si>
    <t>1025KFL26A</t>
  </si>
  <si>
    <t>Azure Power Energy Ltd.</t>
  </si>
  <si>
    <t>AZRE5238692</t>
  </si>
  <si>
    <t>Kotak Mahindra Investments Ltd.</t>
  </si>
  <si>
    <t>811KMIL26</t>
  </si>
  <si>
    <t>975HLFL26</t>
  </si>
  <si>
    <t>11IML026</t>
  </si>
  <si>
    <t>OPG Power Generation Pvt Ltd.</t>
  </si>
  <si>
    <t>1075OPGP26</t>
  </si>
  <si>
    <t>Reliance General Insurance Co. Ltd.</t>
  </si>
  <si>
    <t>910RGICL26</t>
  </si>
  <si>
    <t>ECLNIFT26A</t>
  </si>
  <si>
    <t>MMFLZC26</t>
  </si>
  <si>
    <t>CCIL14824A</t>
  </si>
  <si>
    <t>11CCI26</t>
  </si>
  <si>
    <t>1075NBSP26</t>
  </si>
  <si>
    <t>EEL130826</t>
  </si>
  <si>
    <t>95KFL26</t>
  </si>
  <si>
    <t>10KAFL26A</t>
  </si>
  <si>
    <t>985ICFL26</t>
  </si>
  <si>
    <t>1002UCL26</t>
  </si>
  <si>
    <t>10SMCGSL26</t>
  </si>
  <si>
    <t>10KAFL26B</t>
  </si>
  <si>
    <t>0SMCGSL26</t>
  </si>
  <si>
    <t>925KFL26A</t>
  </si>
  <si>
    <t>West Bengal State Electricity Distribution Co. Ltd.</t>
  </si>
  <si>
    <t>1085WBSE26</t>
  </si>
  <si>
    <t>ANRTY4396198</t>
  </si>
  <si>
    <t>XS139157516</t>
  </si>
  <si>
    <t>946PFCL26</t>
  </si>
  <si>
    <t>750PFCL26</t>
  </si>
  <si>
    <t>1075IFCI26</t>
  </si>
  <si>
    <t>1075IFC26A</t>
  </si>
  <si>
    <t>Muthoot Microfin Ltd.</t>
  </si>
  <si>
    <t>1075MML26A</t>
  </si>
  <si>
    <t>1175MFL26A</t>
  </si>
  <si>
    <t>1150KLM26</t>
  </si>
  <si>
    <t>1125KLM26</t>
  </si>
  <si>
    <t>KFL26A</t>
  </si>
  <si>
    <t>Diamond II Ltd.</t>
  </si>
  <si>
    <t>DMLT5574417</t>
  </si>
  <si>
    <t>EFCL28723C</t>
  </si>
  <si>
    <t>SCLZC26B</t>
  </si>
  <si>
    <t>ONGC Videsh Vankorneft Pte Ltd.</t>
  </si>
  <si>
    <t>RPIN4398733</t>
  </si>
  <si>
    <t>990SCL26I</t>
  </si>
  <si>
    <t>Monthly</t>
  </si>
  <si>
    <t>948SCL26I</t>
  </si>
  <si>
    <t>EFCL28723B</t>
  </si>
  <si>
    <t>902SCL26I</t>
  </si>
  <si>
    <t>EFSL26724</t>
  </si>
  <si>
    <t>950EFSL26</t>
  </si>
  <si>
    <t>995IKFL26</t>
  </si>
  <si>
    <t>875PF26</t>
  </si>
  <si>
    <t>1095KSPL26</t>
  </si>
  <si>
    <t>KFLZC26</t>
  </si>
  <si>
    <t>92EFSL26</t>
  </si>
  <si>
    <t>9IIFL26</t>
  </si>
  <si>
    <t>96EFSL26</t>
  </si>
  <si>
    <t>EFSL26C</t>
  </si>
  <si>
    <t>IIFL210425</t>
  </si>
  <si>
    <t>NWFNIFT26A</t>
  </si>
  <si>
    <t>115MFL26</t>
  </si>
  <si>
    <t>10NIDO26</t>
  </si>
  <si>
    <t>NIDOZC26</t>
  </si>
  <si>
    <t>957NIDO26</t>
  </si>
  <si>
    <t>1050NFL26</t>
  </si>
  <si>
    <t>1102NFL26</t>
  </si>
  <si>
    <t>KFLZC26E</t>
  </si>
  <si>
    <t>EARCNIFE26</t>
  </si>
  <si>
    <t>1075CCI26A</t>
  </si>
  <si>
    <t>SBIN5114735</t>
  </si>
  <si>
    <t>1085SCNL26</t>
  </si>
  <si>
    <t>0SFL26</t>
  </si>
  <si>
    <t>1125IML26A</t>
  </si>
  <si>
    <t>1025HF26</t>
  </si>
  <si>
    <t>950NHFL26</t>
  </si>
  <si>
    <t>0NHFL26</t>
  </si>
  <si>
    <t>1075MML026</t>
  </si>
  <si>
    <t>890MFCL26</t>
  </si>
  <si>
    <t>925MFCL26</t>
  </si>
  <si>
    <t>9SCL26A</t>
  </si>
  <si>
    <t>MFCL30424</t>
  </si>
  <si>
    <t>930SCL26</t>
  </si>
  <si>
    <t>85IFL26</t>
  </si>
  <si>
    <t>984SSFL26</t>
  </si>
  <si>
    <t>JM Financial Home Loans Ltd.</t>
  </si>
  <si>
    <t>875JFHLL26</t>
  </si>
  <si>
    <t>IIFLZC26B</t>
  </si>
  <si>
    <t>10MCSL026</t>
  </si>
  <si>
    <t>Asirvad Micro Finance Ltd.</t>
  </si>
  <si>
    <t>119AML26</t>
  </si>
  <si>
    <t>1175MFL26</t>
  </si>
  <si>
    <t>USY72570AF49</t>
  </si>
  <si>
    <t>974VCL26</t>
  </si>
  <si>
    <t>RLNGF4284039</t>
  </si>
  <si>
    <t>Wipro IT Services LLC</t>
  </si>
  <si>
    <t>WIT5204970</t>
  </si>
  <si>
    <t>94MFSL26</t>
  </si>
  <si>
    <t>960IIFLS26</t>
  </si>
  <si>
    <t>920IIFLS26</t>
  </si>
  <si>
    <t>CCIL20625E</t>
  </si>
  <si>
    <t>114KFPL26</t>
  </si>
  <si>
    <t>ICLFL16525</t>
  </si>
  <si>
    <t>11ICLFL26B</t>
  </si>
  <si>
    <t>875SFL26</t>
  </si>
  <si>
    <t>Ans Pvt Ltd.</t>
  </si>
  <si>
    <t>0APL26</t>
  </si>
  <si>
    <t>1090NFL26</t>
  </si>
  <si>
    <t>1040NFL26</t>
  </si>
  <si>
    <t>935ONE26</t>
  </si>
  <si>
    <t>1030KSPL26</t>
  </si>
  <si>
    <t>990MCSL26</t>
  </si>
  <si>
    <t>898ONE26</t>
  </si>
  <si>
    <t>KFL121224</t>
  </si>
  <si>
    <t>TML Holdings Pte Ltd. (Singapore)</t>
  </si>
  <si>
    <t>TTM5200451</t>
  </si>
  <si>
    <t>9JMFCSL26A</t>
  </si>
  <si>
    <t>925CAGL26</t>
  </si>
  <si>
    <t>CAGL26</t>
  </si>
  <si>
    <t>MMFSL26</t>
  </si>
  <si>
    <t>88MMFSL26</t>
  </si>
  <si>
    <t>853MMFSL26</t>
  </si>
  <si>
    <t>872MMFSL26</t>
  </si>
  <si>
    <t>9MMFSL26</t>
  </si>
  <si>
    <t>MMFSL26A</t>
  </si>
  <si>
    <t>11MML26A</t>
  </si>
  <si>
    <t>CIFCZC26A</t>
  </si>
  <si>
    <t>830CIFC26</t>
  </si>
  <si>
    <t>985KLMAF26</t>
  </si>
  <si>
    <t>775MFL2026</t>
  </si>
  <si>
    <t>8MFL2026</t>
  </si>
  <si>
    <t>MFL26</t>
  </si>
  <si>
    <t>1025MMF26A</t>
  </si>
  <si>
    <t>1048NFL26</t>
  </si>
  <si>
    <t>925SCL26D</t>
  </si>
  <si>
    <t>965SCL26A</t>
  </si>
  <si>
    <t>SCL310524</t>
  </si>
  <si>
    <t>962APSB26</t>
  </si>
  <si>
    <t>910MRHF26C</t>
  </si>
  <si>
    <t>845MFSL26</t>
  </si>
  <si>
    <t>105UCL2026</t>
  </si>
  <si>
    <t>1060MML26</t>
  </si>
  <si>
    <t>11UCL26</t>
  </si>
  <si>
    <t>10MML26A</t>
  </si>
  <si>
    <t>MML21425</t>
  </si>
  <si>
    <t>995ICFL26</t>
  </si>
  <si>
    <t>Namra Finance Ltd.</t>
  </si>
  <si>
    <t>11NFL26</t>
  </si>
  <si>
    <t>1050HFL26</t>
  </si>
  <si>
    <t>950MMFL26</t>
  </si>
  <si>
    <t>81MMFSL26</t>
  </si>
  <si>
    <t>MML110924</t>
  </si>
  <si>
    <t>1080MML26</t>
  </si>
  <si>
    <t>1140KFP26</t>
  </si>
  <si>
    <t>1076LFL26</t>
  </si>
  <si>
    <t>0MOFSL26</t>
  </si>
  <si>
    <t>885MOFSL26</t>
  </si>
  <si>
    <t>925SFL26</t>
  </si>
  <si>
    <t>105IML26</t>
  </si>
  <si>
    <t>875MFCL26C</t>
  </si>
  <si>
    <t>MFLZC26D</t>
  </si>
  <si>
    <t>76IGT26</t>
  </si>
  <si>
    <t>1090ESPL26</t>
  </si>
  <si>
    <t>MFLZC26</t>
  </si>
  <si>
    <t>KFLZC26A</t>
  </si>
  <si>
    <t>1025KFL26</t>
  </si>
  <si>
    <t>875SF26</t>
  </si>
  <si>
    <t>10IFSL26</t>
  </si>
  <si>
    <t>965IFSL26</t>
  </si>
  <si>
    <t>Vastu Finserve India Pvt Ltd.</t>
  </si>
  <si>
    <t>955VFIPL26</t>
  </si>
  <si>
    <t>Goswami Infratech Pvt Ltd.</t>
  </si>
  <si>
    <t>GIPLZC26</t>
  </si>
  <si>
    <t>955EFSL26</t>
  </si>
  <si>
    <t>9EFSL26</t>
  </si>
  <si>
    <t>EFSLZC26A</t>
  </si>
  <si>
    <t>9SFL26</t>
  </si>
  <si>
    <t>916EFSL26</t>
  </si>
  <si>
    <t>1425CSAI26</t>
  </si>
  <si>
    <t>EFSL290424</t>
  </si>
  <si>
    <t>9KFL26B</t>
  </si>
  <si>
    <t>920EFSL26</t>
  </si>
  <si>
    <t>EFSL26B</t>
  </si>
  <si>
    <t>960EFSL26</t>
  </si>
  <si>
    <t>957SFIL28</t>
  </si>
  <si>
    <t>875KFL26A</t>
  </si>
  <si>
    <t>1025SFIL26</t>
  </si>
  <si>
    <t>98SFIL26</t>
  </si>
  <si>
    <t>1015UCL26</t>
  </si>
  <si>
    <t>1110SSFL26</t>
  </si>
  <si>
    <t>11IML26</t>
  </si>
  <si>
    <t>961NWFL26</t>
  </si>
  <si>
    <t>MFLV26E</t>
  </si>
  <si>
    <t>MFLII26B</t>
  </si>
  <si>
    <t>MFLVIII26H</t>
  </si>
  <si>
    <t>Periama Holdings LLC</t>
  </si>
  <si>
    <t>JVSLF5061962</t>
  </si>
  <si>
    <t>1150IFL26</t>
  </si>
  <si>
    <t>1175IFL26</t>
  </si>
  <si>
    <t>985ACAPL26</t>
  </si>
  <si>
    <t>950KFIL26</t>
  </si>
  <si>
    <t>1140KFPL26</t>
  </si>
  <si>
    <t>8MFL26</t>
  </si>
  <si>
    <t>MFL23</t>
  </si>
  <si>
    <t>775MFL26</t>
  </si>
  <si>
    <t>FFSLGSEC26</t>
  </si>
  <si>
    <t>1075SSF26A</t>
  </si>
  <si>
    <t>KLMAF41224</t>
  </si>
  <si>
    <t>EELZC26</t>
  </si>
  <si>
    <t>981SSFL26</t>
  </si>
  <si>
    <t>825MFL26</t>
  </si>
  <si>
    <t>MFL26C</t>
  </si>
  <si>
    <t>955AHFL26C</t>
  </si>
  <si>
    <t>995UPPCL26</t>
  </si>
  <si>
    <t>97UPPCL26</t>
  </si>
  <si>
    <t>PFCBS3</t>
  </si>
  <si>
    <t>PFCBS4</t>
  </si>
  <si>
    <t>9YES26A</t>
  </si>
  <si>
    <t>145ACAPL26</t>
  </si>
  <si>
    <t>IIFCLBDIS4</t>
  </si>
  <si>
    <t>IIFCLBDIS3</t>
  </si>
  <si>
    <t>KFL26B</t>
  </si>
  <si>
    <t>109ESPL26</t>
  </si>
  <si>
    <t>965SCL26</t>
  </si>
  <si>
    <t>0SCL26</t>
  </si>
  <si>
    <t>925SCL26B</t>
  </si>
  <si>
    <t>729NABAR26</t>
  </si>
  <si>
    <t>704NABAR26</t>
  </si>
  <si>
    <t>990SCL26D</t>
  </si>
  <si>
    <t>948SCL26D</t>
  </si>
  <si>
    <t>990SCFL26</t>
  </si>
  <si>
    <t>704IRFC26</t>
  </si>
  <si>
    <t>729IRFC26</t>
  </si>
  <si>
    <t>1025AFL26</t>
  </si>
  <si>
    <t>1025HFL26</t>
  </si>
  <si>
    <t>ICICI Bank Ltd. (Dubai Branch)</t>
  </si>
  <si>
    <t>IBN4344591</t>
  </si>
  <si>
    <t>11HFL26</t>
  </si>
  <si>
    <t>925OFSL26</t>
  </si>
  <si>
    <t>MFLZC26C</t>
  </si>
  <si>
    <t>875MFL26A</t>
  </si>
  <si>
    <t>1025MMFL26</t>
  </si>
  <si>
    <t>990VCL26</t>
  </si>
  <si>
    <t>CCI110324</t>
  </si>
  <si>
    <t>HCL America, Inc.</t>
  </si>
  <si>
    <t>HCL5143212</t>
  </si>
  <si>
    <t>1075CCIL26</t>
  </si>
  <si>
    <t>950KLMF26</t>
  </si>
  <si>
    <t>1050UCL26</t>
  </si>
  <si>
    <t>1075AFL26</t>
  </si>
  <si>
    <t>MML290125</t>
  </si>
  <si>
    <t>10MML26</t>
  </si>
  <si>
    <t>IDKQY5148193</t>
  </si>
  <si>
    <t>704IRFC26A</t>
  </si>
  <si>
    <t>925MCSL26</t>
  </si>
  <si>
    <t>HDB5548686</t>
  </si>
  <si>
    <t>0MSFL26</t>
  </si>
  <si>
    <t>95NIDO26</t>
  </si>
  <si>
    <t>NIDO010326</t>
  </si>
  <si>
    <t>835MFSL26</t>
  </si>
  <si>
    <t>995ICFL26A</t>
  </si>
  <si>
    <t>1035UCL26</t>
  </si>
  <si>
    <t>9SFL2026</t>
  </si>
  <si>
    <t>11ICLFL26A</t>
  </si>
  <si>
    <t>10MMFL26</t>
  </si>
  <si>
    <t>ICLFL27125</t>
  </si>
  <si>
    <t>SFL270224</t>
  </si>
  <si>
    <t>XS137284600</t>
  </si>
  <si>
    <t>RPIN4341016</t>
  </si>
  <si>
    <t>707NABAR26</t>
  </si>
  <si>
    <t>1040SML26</t>
  </si>
  <si>
    <t>1133LFL26</t>
  </si>
  <si>
    <t>1001ACA26</t>
  </si>
  <si>
    <t>115KFPL26</t>
  </si>
  <si>
    <t>125ACAPL26</t>
  </si>
  <si>
    <t>BFLZC26</t>
  </si>
  <si>
    <t>Edel Land Ltd.</t>
  </si>
  <si>
    <t>EELGSEC26B</t>
  </si>
  <si>
    <t>975IML26</t>
  </si>
  <si>
    <t>1040NFL26B</t>
  </si>
  <si>
    <t>1075CCI26</t>
  </si>
  <si>
    <t>897UPPCL26</t>
  </si>
  <si>
    <t>IML16224</t>
  </si>
  <si>
    <t>12CSAIPL26</t>
  </si>
  <si>
    <t>850MMFL26</t>
  </si>
  <si>
    <t>Dar Credit &amp; Capital Ltd.</t>
  </si>
  <si>
    <t>1225DCCL26</t>
  </si>
  <si>
    <t>9KFL26</t>
  </si>
  <si>
    <t>KFL070824</t>
  </si>
  <si>
    <t>GHOL5119262</t>
  </si>
  <si>
    <t>966SFIL25A</t>
  </si>
  <si>
    <t>1030SFIL26</t>
  </si>
  <si>
    <t>Avanse Financial Services Ltd.</t>
  </si>
  <si>
    <t>925AFS26A</t>
  </si>
  <si>
    <t>890MFL26</t>
  </si>
  <si>
    <t>875CIFC23B</t>
  </si>
  <si>
    <t>925MFL26</t>
  </si>
  <si>
    <t>MFLZC26E</t>
  </si>
  <si>
    <t>CIFC26</t>
  </si>
  <si>
    <t>1025KFL26D</t>
  </si>
  <si>
    <t>LENKAMLD26</t>
  </si>
  <si>
    <t>KFLZC26F</t>
  </si>
  <si>
    <t>895EFSL26</t>
  </si>
  <si>
    <t>EFSL26D</t>
  </si>
  <si>
    <t>MFLZC26B</t>
  </si>
  <si>
    <t>875MFL26</t>
  </si>
  <si>
    <t>KMILZC26</t>
  </si>
  <si>
    <t>11MML26</t>
  </si>
  <si>
    <t>Arman Financial Services Ltd.</t>
  </si>
  <si>
    <t>1020AFSL26</t>
  </si>
  <si>
    <t>825MFL2026</t>
  </si>
  <si>
    <t>1060AFL26</t>
  </si>
  <si>
    <t>875IIFL26A</t>
  </si>
  <si>
    <t>1160AFL26</t>
  </si>
  <si>
    <t>IIFLZC26A</t>
  </si>
  <si>
    <t>58PFCL26</t>
  </si>
  <si>
    <t>925NFL26</t>
  </si>
  <si>
    <t>1015UPPC26</t>
  </si>
  <si>
    <t>920EFSL26B</t>
  </si>
  <si>
    <t>960EFSL26C</t>
  </si>
  <si>
    <t>930AML26</t>
  </si>
  <si>
    <t>EFSLZC26B</t>
  </si>
  <si>
    <t>CCIL170125</t>
  </si>
  <si>
    <t>95CCIL26</t>
  </si>
  <si>
    <t>941ONE26</t>
  </si>
  <si>
    <t>903ONE26</t>
  </si>
  <si>
    <t>875KFL26</t>
  </si>
  <si>
    <t>XS188100597</t>
  </si>
  <si>
    <t>RLNGF4350421</t>
  </si>
  <si>
    <t>RLNGF4439521</t>
  </si>
  <si>
    <t>RLNGF4419461</t>
  </si>
  <si>
    <t>9KFL26A</t>
  </si>
  <si>
    <t>RLNGF4280137</t>
  </si>
  <si>
    <t>1050IML26</t>
  </si>
  <si>
    <t>11SCNL26</t>
  </si>
  <si>
    <t>MFLIV26</t>
  </si>
  <si>
    <t>MFLVI26</t>
  </si>
  <si>
    <t>MFLII26</t>
  </si>
  <si>
    <t>11CCIL26</t>
  </si>
  <si>
    <t>CCILZC26</t>
  </si>
  <si>
    <t>EFSLZC26</t>
  </si>
  <si>
    <t>98EFSL26</t>
  </si>
  <si>
    <t>950KLMAF26</t>
  </si>
  <si>
    <t>939EFSL26</t>
  </si>
  <si>
    <t>930UCL26</t>
  </si>
  <si>
    <t>ICLFL21224</t>
  </si>
  <si>
    <t>975MMFL26</t>
  </si>
  <si>
    <t>11ICLFL26</t>
  </si>
  <si>
    <t>KAFLZC26</t>
  </si>
  <si>
    <t>10MMFL25A</t>
  </si>
  <si>
    <t>1135SSF25A</t>
  </si>
  <si>
    <t>98SCL27</t>
  </si>
  <si>
    <t>955SCL25</t>
  </si>
  <si>
    <t>916SCL25</t>
  </si>
  <si>
    <t>SCLZC25F</t>
  </si>
  <si>
    <t>925SCL25B</t>
  </si>
  <si>
    <t>126MFL25</t>
  </si>
  <si>
    <t>965SCL25B</t>
  </si>
  <si>
    <t>9ARKA25</t>
  </si>
  <si>
    <t>93ARKA25</t>
  </si>
  <si>
    <t>825SFPL25</t>
  </si>
  <si>
    <t>1175ESP25A</t>
  </si>
  <si>
    <t>760MFL25</t>
  </si>
  <si>
    <t>735MFL25</t>
  </si>
  <si>
    <t>MFLZC25</t>
  </si>
  <si>
    <t>1001ACAP25</t>
  </si>
  <si>
    <t>921ISFL25</t>
  </si>
  <si>
    <t>960ISFL25</t>
  </si>
  <si>
    <t>975MML25</t>
  </si>
  <si>
    <t>732IRFC25</t>
  </si>
  <si>
    <t>1025MML25</t>
  </si>
  <si>
    <t>707IRFC25</t>
  </si>
  <si>
    <t>MML25B</t>
  </si>
  <si>
    <t>Crest Ventures Ltd.</t>
  </si>
  <si>
    <t>12CVL25</t>
  </si>
  <si>
    <t>Kanakadurga Finance Ltd.</t>
  </si>
  <si>
    <t>11KFL25</t>
  </si>
  <si>
    <t>Finnovation Tech Solutions Pvt Ltd.</t>
  </si>
  <si>
    <t>1020KSPL25</t>
  </si>
  <si>
    <t>1011SSFL25</t>
  </si>
  <si>
    <t>886ONE25</t>
  </si>
  <si>
    <t>12ICFL25</t>
  </si>
  <si>
    <t>916ONE25</t>
  </si>
  <si>
    <t>125KSPL25A</t>
  </si>
  <si>
    <t>115ICLFL25</t>
  </si>
  <si>
    <t>1175ICLF25</t>
  </si>
  <si>
    <t>1050NBSP25</t>
  </si>
  <si>
    <t>888IHFL25F</t>
  </si>
  <si>
    <t>CIFCZC25</t>
  </si>
  <si>
    <t>KAFL080824</t>
  </si>
  <si>
    <t>855MFSL25</t>
  </si>
  <si>
    <t>11ESPL25</t>
  </si>
  <si>
    <t>997MCSL25</t>
  </si>
  <si>
    <t>1137SFPL25</t>
  </si>
  <si>
    <t>KFLZC25C</t>
  </si>
  <si>
    <t>MFL25</t>
  </si>
  <si>
    <t>1160KFL25</t>
  </si>
  <si>
    <t>KFL25</t>
  </si>
  <si>
    <t>962APSB25A</t>
  </si>
  <si>
    <t>105MML25</t>
  </si>
  <si>
    <t>1315MFL25</t>
  </si>
  <si>
    <t>960CAGL25</t>
  </si>
  <si>
    <t>CAGL25A</t>
  </si>
  <si>
    <t>105MMFL25C</t>
  </si>
  <si>
    <t>JM Financial Services Ltd.</t>
  </si>
  <si>
    <t>875JMFSL25</t>
  </si>
  <si>
    <t>MMFLZC25A</t>
  </si>
  <si>
    <t>India Infradebt Ltd.</t>
  </si>
  <si>
    <t>7IIL25</t>
  </si>
  <si>
    <t>955IFSL25</t>
  </si>
  <si>
    <t>975CIFCP25</t>
  </si>
  <si>
    <t>10MMFL25</t>
  </si>
  <si>
    <t>966IFSL25</t>
  </si>
  <si>
    <t>SCLZC25D</t>
  </si>
  <si>
    <t>Tourism Finance Corp. of India Ltd.</t>
  </si>
  <si>
    <t>881TFC25</t>
  </si>
  <si>
    <t>IML81124</t>
  </si>
  <si>
    <t>925SCL25A</t>
  </si>
  <si>
    <t>965SCL25A</t>
  </si>
  <si>
    <t>10IML25</t>
  </si>
  <si>
    <t>MFOPTIV24</t>
  </si>
  <si>
    <t>MFL25C</t>
  </si>
  <si>
    <t>ESPL051125</t>
  </si>
  <si>
    <t>MFOPTVI24</t>
  </si>
  <si>
    <t>714REC25</t>
  </si>
  <si>
    <t>689RECL24</t>
  </si>
  <si>
    <t>MFLOPTII24</t>
  </si>
  <si>
    <t>825MFL25A</t>
  </si>
  <si>
    <t>93SCL25</t>
  </si>
  <si>
    <t>88SCL25</t>
  </si>
  <si>
    <t>MFLTDVI25</t>
  </si>
  <si>
    <t>MFLIV25</t>
  </si>
  <si>
    <t>9PEL25</t>
  </si>
  <si>
    <t>87SCL27A</t>
  </si>
  <si>
    <t>955SCL27A</t>
  </si>
  <si>
    <t>MFLTDI25</t>
  </si>
  <si>
    <t>CCILZC25A</t>
  </si>
  <si>
    <t>865MF25</t>
  </si>
  <si>
    <t>9MFL25</t>
  </si>
  <si>
    <t>MFL25E</t>
  </si>
  <si>
    <t>1075CCL25</t>
  </si>
  <si>
    <t>KFL25C</t>
  </si>
  <si>
    <t>915MFL25</t>
  </si>
  <si>
    <t>96MFL25</t>
  </si>
  <si>
    <t>MFLZC25D</t>
  </si>
  <si>
    <t>EFSLZC25A</t>
  </si>
  <si>
    <t>895EFSL25A</t>
  </si>
  <si>
    <t>0KFL25</t>
  </si>
  <si>
    <t>934WBSE25A</t>
  </si>
  <si>
    <t>925EFSL25</t>
  </si>
  <si>
    <t>975UPPCL25</t>
  </si>
  <si>
    <t>89EFSL25</t>
  </si>
  <si>
    <t>EFSL25</t>
  </si>
  <si>
    <t>1075NFL25</t>
  </si>
  <si>
    <t>1025NFL25</t>
  </si>
  <si>
    <t>736PFCL25</t>
  </si>
  <si>
    <t>925KFIL25</t>
  </si>
  <si>
    <t>95KLM25</t>
  </si>
  <si>
    <t>711PFCL25</t>
  </si>
  <si>
    <t>1070MML25</t>
  </si>
  <si>
    <t>MML11924</t>
  </si>
  <si>
    <t>TTM5059311</t>
  </si>
  <si>
    <t>1206FCL25</t>
  </si>
  <si>
    <t>925MRHFL25</t>
  </si>
  <si>
    <t>1260MFL25A</t>
  </si>
  <si>
    <t>Shriram City Union Finance Ltd.</t>
  </si>
  <si>
    <t>830SFL25</t>
  </si>
  <si>
    <t>115ESPL25</t>
  </si>
  <si>
    <t>711NTPC25A</t>
  </si>
  <si>
    <t>736NTPC25D</t>
  </si>
  <si>
    <t>MSFLZC25B</t>
  </si>
  <si>
    <t>775MFLTD25</t>
  </si>
  <si>
    <t>875ARKA25</t>
  </si>
  <si>
    <t>105MMFL25B</t>
  </si>
  <si>
    <t>894SCL25</t>
  </si>
  <si>
    <t>955SCL27</t>
  </si>
  <si>
    <t>847SCL25</t>
  </si>
  <si>
    <t>875KFL2025</t>
  </si>
  <si>
    <t>1115LFL25</t>
  </si>
  <si>
    <t>1050UCL25</t>
  </si>
  <si>
    <t>965SCL25E</t>
  </si>
  <si>
    <t>925SCL25</t>
  </si>
  <si>
    <t>SCL25B</t>
  </si>
  <si>
    <t>MSFLZC25A</t>
  </si>
  <si>
    <t>1025KFL25</t>
  </si>
  <si>
    <t>KFLZC25B</t>
  </si>
  <si>
    <t>MFL25B</t>
  </si>
  <si>
    <t>865MFL25A</t>
  </si>
  <si>
    <t>9MFL25A</t>
  </si>
  <si>
    <t>11IML25</t>
  </si>
  <si>
    <t>NIDO25A</t>
  </si>
  <si>
    <t>1025NFL25A</t>
  </si>
  <si>
    <t>895NHFL25</t>
  </si>
  <si>
    <t>10NFL25</t>
  </si>
  <si>
    <t>95KAFL25</t>
  </si>
  <si>
    <t>950KLM25</t>
  </si>
  <si>
    <t>1050CCI25</t>
  </si>
  <si>
    <t>CAGL25</t>
  </si>
  <si>
    <t>910CAGL25</t>
  </si>
  <si>
    <t>965VCL25</t>
  </si>
  <si>
    <t>1003VCL25</t>
  </si>
  <si>
    <t>1050VCL25</t>
  </si>
  <si>
    <t>1085SFL25</t>
  </si>
  <si>
    <t>SFLZC25</t>
  </si>
  <si>
    <t>10SFL25</t>
  </si>
  <si>
    <t>Creixent Special Steels Ltd.</t>
  </si>
  <si>
    <t>001CSSL25</t>
  </si>
  <si>
    <t>1075UCL25</t>
  </si>
  <si>
    <t>1025UCL25</t>
  </si>
  <si>
    <t>NeoGrowth Credit Pvt Ltd.</t>
  </si>
  <si>
    <t>1255NEO25</t>
  </si>
  <si>
    <t>950AFL25</t>
  </si>
  <si>
    <t>KFLZC25A</t>
  </si>
  <si>
    <t>990VCL25</t>
  </si>
  <si>
    <t>715IRFC25</t>
  </si>
  <si>
    <t>715NTPC25</t>
  </si>
  <si>
    <t>1075NBSL25</t>
  </si>
  <si>
    <t>934WBSE25</t>
  </si>
  <si>
    <t>CCIL14824</t>
  </si>
  <si>
    <t>950CCIL25</t>
  </si>
  <si>
    <t>KFL25A</t>
  </si>
  <si>
    <t>85KFL25</t>
  </si>
  <si>
    <t>Belstar Microfinance Ltd.</t>
  </si>
  <si>
    <t>10BML25</t>
  </si>
  <si>
    <t>Bond Type</t>
  </si>
  <si>
    <t>Country</t>
  </si>
  <si>
    <t>Frequency (Period)</t>
  </si>
  <si>
    <t>Frequency (Yearly)</t>
  </si>
  <si>
    <t>Coupon Yield</t>
  </si>
  <si>
    <t>Term</t>
  </si>
  <si>
    <t>Volume</t>
  </si>
  <si>
    <t>Currency</t>
  </si>
  <si>
    <t>Issuer Name</t>
  </si>
  <si>
    <t>Symbol</t>
  </si>
  <si>
    <t>Issue (Settlement) Date</t>
  </si>
  <si>
    <t>Coupon Frequency in Years</t>
  </si>
  <si>
    <t>No. of Periods</t>
  </si>
  <si>
    <t>No. of coupons</t>
  </si>
  <si>
    <t>IRR</t>
  </si>
  <si>
    <t>Yield (Annual)</t>
  </si>
  <si>
    <t>Yearly Payment Frequency</t>
  </si>
  <si>
    <t>Macaulay Duration in Years</t>
  </si>
  <si>
    <t>Modified Duration in Years</t>
  </si>
  <si>
    <t>Ask Price</t>
  </si>
  <si>
    <t>Face Value/ Maturity Value</t>
  </si>
  <si>
    <t>Required Yield (IRR)</t>
  </si>
  <si>
    <t>Annualised Required Yield (IRR)</t>
  </si>
  <si>
    <t>Coupon Amount (INR)</t>
  </si>
  <si>
    <t/>
  </si>
  <si>
    <t>Term (In Years)</t>
  </si>
  <si>
    <t>Column4</t>
  </si>
  <si>
    <t>Column5</t>
  </si>
  <si>
    <t>Median Yield from cluster (Semi-Ann)</t>
  </si>
  <si>
    <t>Please Input</t>
  </si>
  <si>
    <r>
      <t xml:space="preserve">Median Yield plus 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y:</t>
    </r>
  </si>
  <si>
    <r>
      <t xml:space="preserve">If required yield changes by 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 Light"/>
        <family val="2"/>
        <scheme val="major"/>
      </rPr>
      <t xml:space="preserve">y </t>
    </r>
    <r>
      <rPr>
        <b/>
        <sz val="11"/>
        <color theme="1"/>
        <rFont val="Calibri"/>
        <family val="2"/>
        <scheme val="minor"/>
      </rPr>
      <t>basis points,</t>
    </r>
  </si>
  <si>
    <t>Final Effective Yield</t>
  </si>
  <si>
    <t>INPUT</t>
  </si>
  <si>
    <t>LIQUIDITY INSIGHTS</t>
  </si>
  <si>
    <t>As liqudity (volume) increases, required (effective) yield falls.</t>
  </si>
  <si>
    <t>Liquidity is always for the bond itself, not the cluster.</t>
  </si>
  <si>
    <t xml:space="preserve">IRR </t>
  </si>
  <si>
    <t>Modified Duration</t>
  </si>
  <si>
    <r>
      <t>Percentage change in Price due to Duration, i.e -modified duration in years*(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 Light"/>
        <family val="2"/>
        <scheme val="major"/>
      </rPr>
      <t>y</t>
    </r>
    <r>
      <rPr>
        <b/>
        <sz val="11"/>
        <color theme="1"/>
        <rFont val="Calibri"/>
        <family val="2"/>
        <scheme val="minor"/>
      </rPr>
      <t>)</t>
    </r>
  </si>
  <si>
    <r>
      <t>Percentage change in Price due to Convexity, i.e 1/2*(Convexity Measure in years)*(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 Light"/>
        <family val="2"/>
        <scheme val="major"/>
      </rPr>
      <t>y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</si>
  <si>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Macaulay Duration</t>
  </si>
  <si>
    <t>Convexity Measure (in coupon frequency terms)</t>
  </si>
  <si>
    <t>BOND TYPE</t>
  </si>
  <si>
    <t>Bond Type2</t>
  </si>
  <si>
    <t>Issue date</t>
  </si>
  <si>
    <t>Maturity date</t>
  </si>
  <si>
    <t>Face value</t>
  </si>
  <si>
    <t>Face value - Currency</t>
  </si>
  <si>
    <t>Price - Currency</t>
  </si>
  <si>
    <t>Price % of face value</t>
  </si>
  <si>
    <t>Volume 1 day</t>
  </si>
  <si>
    <t>Current coupon %</t>
  </si>
  <si>
    <t>Coupon frequency</t>
  </si>
  <si>
    <t>Term to maturity</t>
  </si>
  <si>
    <t>S&amp;P rating</t>
  </si>
  <si>
    <t>Yield to maturity %</t>
  </si>
  <si>
    <t>Exchange</t>
  </si>
  <si>
    <t>Term to Maturity (Years)</t>
  </si>
  <si>
    <t>Coupon Frequency2</t>
  </si>
  <si>
    <t>Total No. of Coupons</t>
  </si>
  <si>
    <t>Coupon Amount</t>
  </si>
  <si>
    <t>IRR2</t>
  </si>
  <si>
    <t>Yield (Annualised)</t>
  </si>
  <si>
    <t>Yield Cluster</t>
  </si>
  <si>
    <t>CLUSTER</t>
  </si>
  <si>
    <t>AVERAGE YIELD</t>
  </si>
  <si>
    <t>Average Cluster Yield</t>
  </si>
  <si>
    <t>Calculated Bond Price</t>
  </si>
  <si>
    <t>Rich/Cheap</t>
  </si>
  <si>
    <t>P (+ shock)</t>
  </si>
  <si>
    <t>P (-shock)</t>
  </si>
  <si>
    <t>bps shock input --&gt;</t>
  </si>
  <si>
    <t>Convexity Estimation</t>
  </si>
  <si>
    <t>INPUTS</t>
  </si>
  <si>
    <t>CALCULATED FIELDS</t>
  </si>
  <si>
    <t>NTPC Limited 7.37% 05-OCT-2035</t>
  </si>
  <si>
    <t>Corporate</t>
  </si>
  <si>
    <t>BBB</t>
  </si>
  <si>
    <t>BSE</t>
  </si>
  <si>
    <t>Muthoot Capital Services Limited 9.97% 05-DEC-2025</t>
  </si>
  <si>
    <t>Cholamandalam Investment and finance Company Limited 8.3% 09-SEP-2026</t>
  </si>
  <si>
    <t>Sammaan Capital Limited 9.9% 27-DEC-2027</t>
  </si>
  <si>
    <t>B+</t>
  </si>
  <si>
    <t>Indian Railway Finance Corporation Limited 7.25% 21-DEC-2035</t>
  </si>
  <si>
    <t>Power Finance Corporation Limited 7.11% 17-OCT-2025</t>
  </si>
  <si>
    <t>NR</t>
  </si>
  <si>
    <t>IndoStar Capital Finance Limited 10.5% 25-SEP-2026</t>
  </si>
  <si>
    <t>Muthoot Finance Limited 7.75% 04-OCT-2025</t>
  </si>
  <si>
    <t>BB+</t>
  </si>
  <si>
    <t>995ICFL626</t>
  </si>
  <si>
    <t>IndoStar Capital Finance Limited 9.95% 26-JUN-2026</t>
  </si>
  <si>
    <t>Piramal Enterprises Ltd 9.0% 03-NOV-2025</t>
  </si>
  <si>
    <t>Power Finance Corporation Limited 5.8% 22-JAN-2026</t>
  </si>
  <si>
    <t>Muthoot Finance Limited 7.25% 03-NOV-2025</t>
  </si>
  <si>
    <t>Edelweiss Financial Services Limited 8.95% 26-OCT-2025</t>
  </si>
  <si>
    <t>Arka Fincap Ltd. 9.3% 27-DEC-2025</t>
  </si>
  <si>
    <t>NTPC Limited 7.62% 05-OCT-2035</t>
  </si>
  <si>
    <t>Cholamandalam Investment and finance Company Limited 8.4% 07-DEC-2025</t>
  </si>
  <si>
    <t>Muthoot Finance Limited 7.6% 23-DEC-2025</t>
  </si>
  <si>
    <t>REC Limited 8.37% 24-SEP-2033</t>
  </si>
  <si>
    <t>REC Limited 7.43% 05-NOV-2035</t>
  </si>
  <si>
    <t>Sammaan Capital Limited 9.65% 09-NOV-2025</t>
  </si>
  <si>
    <t>Power Finance Corporation Limited 7.6% 17-OCT-2035</t>
  </si>
  <si>
    <t>REC Limited 7.18% 05-NOV-2035</t>
  </si>
  <si>
    <t>Indian Railway Finance Corporation Limited 7.5% 21-DEC-2035</t>
  </si>
  <si>
    <t>Muthoot Fincorp Ltd. 9.4% 30-OCT-2026</t>
  </si>
  <si>
    <t>Indian Railway Finance Corporation Limited 7.04% 03-MAR-2026</t>
  </si>
  <si>
    <t>Indian Railway Finance Corporation Limited 7.35% 22-MAR-2031</t>
  </si>
  <si>
    <t>Muthoot Finance Limited 7.5% 03-NOV-2027</t>
  </si>
  <si>
    <t>753NABRD28</t>
  </si>
  <si>
    <t>National Bank for Agriculture &amp; Rural Development 7.53% 24-MAR-2028</t>
  </si>
  <si>
    <t>Muthoot Fincorp Ltd. 9.0% 01-NOV-2025</t>
  </si>
  <si>
    <t>NTPC Limited 7.28% 05-OCT-2030</t>
  </si>
  <si>
    <t>India Infrastructure Finance Co. Ltd. 7.41% 15-NOV-2032</t>
  </si>
  <si>
    <t>Muthoot Finance Limited 7.75% 05-NOV-2025</t>
  </si>
  <si>
    <t>Power Finance Corporation Limited 7.35% 17-OCT-2035</t>
  </si>
  <si>
    <t>Indian Railway Finance Corporation Limited 7.28% 21-DEC-2030</t>
  </si>
  <si>
    <t>Muthoot Finance Limited 8.0% 04-OCT-2026</t>
  </si>
  <si>
    <t>National Bank for Agriculture &amp; Rural Development 7.35% 23-MAR-2031</t>
  </si>
  <si>
    <t>Indian Railway Finance Corporation Limited 7.64% 22-MAR-2031</t>
  </si>
  <si>
    <t>REC Limited 7.38% 21-NOV-2027</t>
  </si>
  <si>
    <t>JM Financial Services Ltd. 8.75% 20-NOV-2025</t>
  </si>
  <si>
    <t>Indian Railway Finance Corporation Limited 7.53% 21-DEC-2030</t>
  </si>
  <si>
    <t>Power Finance Corporation Limited 7.52% 17-OCT-2030</t>
  </si>
  <si>
    <t>NTPC Limited 7.53% 05-OCT-2030</t>
  </si>
  <si>
    <t>India Infrastructure Finance Co. Ltd. 7.4% 22-JAN-2033</t>
  </si>
  <si>
    <t>India Infrastructure Finance Co. Ltd. 7.08% 26-MAR-2033</t>
  </si>
  <si>
    <t>Muthoot Finance Limited 8.25% 25-JAN-2026</t>
  </si>
  <si>
    <t>REC Limited 8.86% 24-MAR-2034</t>
  </si>
  <si>
    <t>India Infrastructure Finance Co. Ltd. 8.5% 12-NOV-2033</t>
  </si>
  <si>
    <t>REC Limited 7.34% 05-NOV-2030</t>
  </si>
  <si>
    <t>NTPC Limited 8.66% 16-DEC-2033</t>
  </si>
  <si>
    <t>Kamarajar Port Ltd. 8.75% 25-MAR-2034</t>
  </si>
  <si>
    <t>Power Finance Corporation Limited 8.67% 16-NOV-2033</t>
  </si>
  <si>
    <t>Aditya Birla Finance Limited 8.0% 09-OCT-2026</t>
  </si>
  <si>
    <t>NTPC Limited 8.91% 16-DEC-2033</t>
  </si>
  <si>
    <t>Edelweiss Financial Services Limited 9.25% 20-OCT-2025</t>
  </si>
  <si>
    <t>HDB Financial Services Limited 7.65% 10-SEP-2027</t>
  </si>
  <si>
    <t>REC Limited 7.04% 25-MAR-2028</t>
  </si>
  <si>
    <t>895AEL27</t>
  </si>
  <si>
    <t>Adani Enterprises Limited 8.95% 17-JUL-2027</t>
  </si>
  <si>
    <t>Indian Railway Finance Corporation Limited 8.48% 21-NOV-2028</t>
  </si>
  <si>
    <t>State Bank of India 6.8% 21-AUG-2035</t>
  </si>
  <si>
    <t>Tata Capital Financial Services Limited 9.0% 27-SEP-2028</t>
  </si>
  <si>
    <t>Indian Railway Finance Corporation Limited 7.04% 23-MAR-2028</t>
  </si>
  <si>
    <t>India Infrastructure Finance Co. Ltd. 8.75% 12-NOV-2033</t>
  </si>
  <si>
    <t>Indian Railway Finance Corporation Limited 7.34% 19-FEB-2028</t>
  </si>
  <si>
    <t>Power Finance Corporation Limited 8.92% 16-NOV-2033</t>
  </si>
  <si>
    <t>National Bank for Agriculture &amp; Rural Development 7.64% 23-MAR-2031</t>
  </si>
  <si>
    <t>NTPC Limited 7.36% 05-OCT-2025</t>
  </si>
  <si>
    <t>India Infrastructure Finance Co. Ltd. 8.66% 22-JAN-2034</t>
  </si>
  <si>
    <t>India Infrastructure Finance Co. Ltd. 7.02% 26-MAR-2028</t>
  </si>
  <si>
    <t>India Infrastructure Finance Co. Ltd. 8.91% 22-JAN-2034</t>
  </si>
  <si>
    <t>Muthoot Finance Limited 8.5% 25-JAN-2027</t>
  </si>
  <si>
    <t>REC Limited 7.38% 19-DEC-2027</t>
  </si>
  <si>
    <t>Indian Railway Finance Corporation Limited 7.07% 21-DEC-2025</t>
  </si>
  <si>
    <t>Indian Railway Finance Corporation Limited 7.29% 22-MAR-2026</t>
  </si>
  <si>
    <t>Power Finance Corporation Limited 7.04% 28-MAR-2028</t>
  </si>
  <si>
    <t>JM Financial Products Limited 8.2% 07-OCT-2026</t>
  </si>
  <si>
    <t>Indian Railway Finance Corporation Limited 7.32% 21-DEC-2025</t>
  </si>
  <si>
    <t>REC Limited 8.62% 24-SEP-2033</t>
  </si>
  <si>
    <t>REC Limited 7.09% 05-NOV-2030</t>
  </si>
  <si>
    <t>Power Finance Corporation Limited 7.05% 09-AUG-2030</t>
  </si>
  <si>
    <t>REC Limited 7.14% 05-NOV-2025</t>
  </si>
  <si>
    <t>Power Finance Corporation Limited 7.36% 04-JAN-2028</t>
  </si>
  <si>
    <t>NHPC Limited 8.67% 02-NOV-2033</t>
  </si>
  <si>
    <t>723BOB35</t>
  </si>
  <si>
    <t>Bank of Baroda 7.23% 16-JAN-2035</t>
  </si>
  <si>
    <t>Axis Bank Limited 6.99% 22-DEC-2031</t>
  </si>
  <si>
    <t>Power Finance Corporation Limited 7.36% 17-OCT-2025</t>
  </si>
  <si>
    <t>Muthoot Fincorp Ltd. 9.4% 10-JAN-2027</t>
  </si>
  <si>
    <t>Muthoot Finance Limited 7.0% 05-MAY-2027</t>
  </si>
  <si>
    <t>India Infrastructure Finance Co. Ltd. 8.55% 27-MAR-2034</t>
  </si>
  <si>
    <t>India Infrastructure Finance Co. Ltd. 8.8% 27-MAR-2034</t>
  </si>
  <si>
    <t>NHPC Limited 8.92% 02-NOV-2033</t>
  </si>
  <si>
    <t>India Infrastructure Finance Co. Ltd. 7.36% 22-JAN-2028</t>
  </si>
  <si>
    <t>Muthoot Finance Limited 7.35% 11-JAN-2026</t>
  </si>
  <si>
    <t>Piramal Enterprises Ltd 9.05% 03-NOV-2026</t>
  </si>
  <si>
    <t>REC Limited 6.89% 05-NOV-2025</t>
  </si>
  <si>
    <t>Bajaj Finance Limited 7.6% 25-AUG-2027</t>
  </si>
  <si>
    <t>Muthoot Fincorp Ltd. 9.27% 20-SEP-2026</t>
  </si>
  <si>
    <t>Sammaan Capital Limited 8.8% 03-NOV-2025</t>
  </si>
  <si>
    <t>India Infradebt Ltd. 7.0% 12-NOV-2025</t>
  </si>
  <si>
    <t>NTPC Limited 8.48% 16-DEC-2028</t>
  </si>
  <si>
    <t>Indian Railway Finance Corporation Limited 7.04% 22-MAR-2026</t>
  </si>
  <si>
    <t>Indian Railway Finance Corporation Limited 7.54% 29-JUL-2034</t>
  </si>
  <si>
    <t>Power Finance Corporation Limited 7.2% 10-AUG-2035</t>
  </si>
  <si>
    <t>Power Finance Corporation Limited 7.41% 25-FEB-2030</t>
  </si>
  <si>
    <t>Nido Home Finance Ltd. 9.5% 08-OCT-2026</t>
  </si>
  <si>
    <t>Power Finance Corporation Limited 7.65% 22-NOV-2027</t>
  </si>
  <si>
    <t>Sammaan Capital Limited 9.25% 25-SEP-2026</t>
  </si>
  <si>
    <t>Kamarajar Port Ltd. 8.75% 25-MAR-2029</t>
  </si>
  <si>
    <t>Indian Railway Finance Corporation Limited 7.38% 30-NOV-2027</t>
  </si>
  <si>
    <t>IIFL Samasta Finance Limited 9.6% 21-DEC-2025</t>
  </si>
  <si>
    <t>Power Finance Corporation Limited 7.0% 22-JAN-2031</t>
  </si>
  <si>
    <t>IIFL Finance Limited 9.3% 21-APR-2027</t>
  </si>
  <si>
    <t>Power Finance Corporation Limited 7.75% 15-OCT-2026</t>
  </si>
  <si>
    <t>India Infrastructure Finance Co. Ltd. 8.48% 05-SEP-2028</t>
  </si>
  <si>
    <t>Indian Railway Finance Corporation Limited 7.77% 08-NOV-2026</t>
  </si>
  <si>
    <t>Cholamandalam Investment and finance Company Limited 8.45% 31-JAN-2026</t>
  </si>
  <si>
    <t>Kotak Mahindra Investments Limited 8.1084% 18-AUG-2026</t>
  </si>
  <si>
    <t>Kamarajar Port Ltd. 7.17% 25-MAR-2028</t>
  </si>
  <si>
    <t>Aditya Birla Finance Limited 8.05% 09-OCT-2028</t>
  </si>
  <si>
    <t>Sammaan Capital Limited 9.3% 03-NOV-2025</t>
  </si>
  <si>
    <t>REC Limited 6.81% 30-APR-2036</t>
  </si>
  <si>
    <t>Sammaan Capital Limited 9.25% 28-AUG-2026</t>
  </si>
  <si>
    <t>National Bank for Agriculture &amp; Rural Development 7.07% 25-FEB-2026</t>
  </si>
  <si>
    <t>Mahindra &amp; Mahindra Financial Services Ltd. 7.45% 17-NOV-2031</t>
  </si>
  <si>
    <t>Sammaan Capital Limited 9.65% 25-SEP-2026</t>
  </si>
  <si>
    <t>National Bank for Agriculture &amp; Rural Development 7.29% 23-MAR-2026</t>
  </si>
  <si>
    <t>REC Limited 7.55% 11-MAY-2030</t>
  </si>
  <si>
    <t>Power Finance Corporation Limited 7.68% 15-JUL-2030</t>
  </si>
  <si>
    <t>Indian Railway Finance Corporation Limited 8.1% 23-FEB-2027</t>
  </si>
  <si>
    <t>Power Finance Corporation Limited 8.54% 16-NOV-2028</t>
  </si>
  <si>
    <t>HDFC Bank Limited 7.05% 01-DEC-2031</t>
  </si>
  <si>
    <t>REC Limited 8.46% 24-SEP-2028</t>
  </si>
  <si>
    <t>REC Limited 8.54% 11-OCT-2028</t>
  </si>
  <si>
    <t>Power Finance Corporation Limited 7.15% 22-JAN-2036</t>
  </si>
  <si>
    <t>Indian Oil Corporation Limited 7.25% 06-JAN-2030</t>
  </si>
  <si>
    <t>Bajaj Finance Limited 6.92% 24-DEC-2030</t>
  </si>
  <si>
    <t>Mahindra Rural Housing Finance Ltd. 9.18% 01-JUN-2028</t>
  </si>
  <si>
    <t>Muthoot Finance Limited 7.5% 23-JUN-2029</t>
  </si>
  <si>
    <t>Edelweiss Financial Services Limited 9.5% 24-OCT-2026</t>
  </si>
  <si>
    <t>Power Finance Corporation Limited 6.95% 22-JAN-2036</t>
  </si>
  <si>
    <t>Aditya Birla Finance Limited 8.1% 09-OCT-2033</t>
  </si>
  <si>
    <t>IndiGrid Infrastructure Trust 7.6% 06-MAY-2026</t>
  </si>
  <si>
    <t>Indian Railway Finance Corporation Limited 8.55% 21-FEB-2029</t>
  </si>
  <si>
    <t>Power Finance Corporation Limited 8.79% 16-NOV-2028</t>
  </si>
  <si>
    <t>Muthoot Finance Limited 7.25% 23-JUN-2027</t>
  </si>
  <si>
    <t>REC Limited 8.63% 24-MAR-2029</t>
  </si>
  <si>
    <t>Sammaan Capital Limited 9.65% 27-DEC-2026</t>
  </si>
  <si>
    <t>Shriram Finance Limited 8.9267% 20-JUL-2027</t>
  </si>
  <si>
    <t>REC Limited 8.71% 24-SEP-2028</t>
  </si>
  <si>
    <t>Edelweiss Financial Services Limited 8.95% 29-JAN-2026</t>
  </si>
  <si>
    <t>Shriram Finance Limited 8.75% 28-APR-2028</t>
  </si>
  <si>
    <t>Muthoot Finance Limited 7.6% 20-APR-2026</t>
  </si>
  <si>
    <t>India Infrastructure Finance Co. Ltd. 8.38% 12-NOV-2028</t>
  </si>
  <si>
    <t>National Bank for Agriculture &amp; Rural Development 7.04% 23-MAR-2026</t>
  </si>
  <si>
    <t>ONGC Petro Additions Limited 8.58% 09-NOV-2029</t>
  </si>
  <si>
    <t>India Infrastructure Finance Co. Ltd. 8.63% 12-NOV-2028</t>
  </si>
  <si>
    <t>Muthoot Finance Limited 8.0% 10-APR-2026</t>
  </si>
  <si>
    <t>Power Finance Corporation Limited 8.46% 30-AUG-2028</t>
  </si>
  <si>
    <t>Power Finance Corporation Limited 8.3% 01-FEB-2027</t>
  </si>
  <si>
    <t>Indian Railway Finance Corporation Limited 8.4% 18-FEB-2029</t>
  </si>
  <si>
    <t>Cholamandalam Investment and finance Company Limited 8.6% 07-DEC-2028</t>
  </si>
  <si>
    <t>Motilal Oswal Financial Services Limited 8.85% 09-MAY-2026</t>
  </si>
  <si>
    <t>JM Financial Credit Solutions Ltd. 8.5% 18-JUL-2031</t>
  </si>
  <si>
    <t>REC Limited 8.88% 24-MAR-2029</t>
  </si>
  <si>
    <t>NTPC Limited 7.11% 05-OCT-2025</t>
  </si>
  <si>
    <t>India Infrastructure Finance Co. Ltd. 8.55% 27-MAR-2029</t>
  </si>
  <si>
    <t>754SBI38</t>
  </si>
  <si>
    <t>State Bank of India 7.54% 01-AUG-2038</t>
  </si>
  <si>
    <t>Avanse Financial Services Limited 9.25% 01-FEB-2026</t>
  </si>
  <si>
    <t>Power Finance Corporation Limited 7.75% 11-JUN-2030</t>
  </si>
  <si>
    <t>NTPC Limited 8.73% 16-DEC-2028</t>
  </si>
  <si>
    <t>Muthoot Finance Limited 7.75% 23-DEC-2027</t>
  </si>
  <si>
    <t>360 ONE Prime Ltd. 9.41% 18-JAN-2026</t>
  </si>
  <si>
    <t>HDFC Bank Limited 7.97% 17-FEB-2033</t>
  </si>
  <si>
    <t>Indian Railway Finance Corporation Limited 8.65% 18-FEB-2029</t>
  </si>
  <si>
    <t>India Infrastructure Finance Co. Ltd. 8.73% 22-JAN-2029</t>
  </si>
  <si>
    <t>IIFL Finance Limited 8.75% 24-JAN-2026</t>
  </si>
  <si>
    <t>Indian Railway Finance Corporation Limited 8.63% 26-MAR-2029</t>
  </si>
  <si>
    <t>IIFL Home Finance Ltd. 8.85% 26-DEC-2026</t>
  </si>
  <si>
    <t>Tata Steel Limited 8.15% 01-OCT-2026</t>
  </si>
  <si>
    <t>ICL Fincorp Ltd. 11.75% 12-DEC-2025</t>
  </si>
  <si>
    <t>Edelweiss Financial Services Limited 9.6% 26-OCT-2026</t>
  </si>
  <si>
    <t>ICICI Home Finance Co. Ltd. 7.25% 12-AUG-2031</t>
  </si>
  <si>
    <t>Aditya Birla Housing Finance Ltd. 8.1% 26-APR-2028</t>
  </si>
  <si>
    <t>IndoStar Capital Finance Limited 10.7% 25-SEP-2027</t>
  </si>
  <si>
    <t>IIFL Finance Limited 9.75% 21-APR-2028</t>
  </si>
  <si>
    <t>Muthoot Finance Limited 8.0% 04-OCT-2028</t>
  </si>
  <si>
    <t>Indian Railway Finance Corporation Limited 7.48% 29-AUG-2034</t>
  </si>
  <si>
    <t>Muthoot Finance Limited 8.5% 25-JAN-2029</t>
  </si>
  <si>
    <t>Sammaan Capital Limited 9.65% 27-DEC-2025</t>
  </si>
  <si>
    <t>NHPC Limited 8.54% 02-NOV-2028</t>
  </si>
  <si>
    <t>Indian Railway Finance Corporation Limited 8.88% 26-MAR-2029</t>
  </si>
  <si>
    <t>India Infrastructure Finance Co. Ltd. 8.48% 22-JAN-2029</t>
  </si>
  <si>
    <t>Edelweiss Financial Services Limited 10.0% 24-OCT-2027</t>
  </si>
  <si>
    <t>IIFL Home Finance Ltd. 8.5% 03-JAN-2027</t>
  </si>
  <si>
    <t>Edelweiss Financial Services Limited 9.6% 20-JAN-2026</t>
  </si>
  <si>
    <t>India Infrastructure Finance Co. Ltd. 8.8% 27-MAR-2029</t>
  </si>
  <si>
    <t>Muthoot Fincorp Ltd. 9.27% 01-NOV-2026</t>
  </si>
  <si>
    <t>State Bank of India 7.51% 06-DEC-2032</t>
  </si>
  <si>
    <t>Power Finance Corporation Limited 7.53% 01-AUG-2033</t>
  </si>
  <si>
    <t>Kamarajar Port Ltd. 9.0% 25-MAR-2029</t>
  </si>
  <si>
    <t>Arka Fincap Ltd. 9.65% 27-DEC-2026</t>
  </si>
  <si>
    <t>NHPC Limited 8.79% 02-NOV-2028</t>
  </si>
  <si>
    <t>HDB Financial Services Limited 8.4% 22-DEC-2033</t>
  </si>
  <si>
    <t>JM Financial Credit Solutions Ltd. 9.0% 08-JUN-2026</t>
  </si>
  <si>
    <t>Kamarajar Port Ltd. 9.0% 25-MAR-2034</t>
  </si>
  <si>
    <t>L&amp;T Finance Ltd. (India) 8.5% 23-DEC-2026</t>
  </si>
  <si>
    <t>L&amp;T Finance Limited 8.55% 28-JAN-2030</t>
  </si>
  <si>
    <t>Tata Capital Housing Finance Ltd. 8.55% 14-JAN-2030</t>
  </si>
  <si>
    <t>Bajaj Housing Finance Limited 7.98% 18-NOV-2027</t>
  </si>
  <si>
    <t>Auxilo Finserve Pvt Ltd. 9.9% 18-DEC-2026</t>
  </si>
  <si>
    <t>NTPC Limited 7.58% 23-AUG-2026</t>
  </si>
  <si>
    <t>Mahindra &amp; Mahindra Financial Services Ltd. 7.9% 30-AUG-2027</t>
  </si>
  <si>
    <t>L&amp;T Finance Limited 8.65% 23-DEC-2026</t>
  </si>
  <si>
    <t>THDC India Ltd. 7.45% 20-JAN-2031</t>
  </si>
  <si>
    <t>Mahindra Rural Housing Finance Ltd. 8.5% 15-JUN-2027</t>
  </si>
  <si>
    <t>Tata Capital Housing Finance Ltd. 8.4% 14-JAN-2028</t>
  </si>
  <si>
    <t>Indian Railway Finance Corporation Limited 7.85% 01-JUL-2034</t>
  </si>
  <si>
    <t>Power Finance Corporation Limited 7.55% 01-AUG-2038</t>
  </si>
  <si>
    <t>REC Limited 8.12% 27-MAR-2027</t>
  </si>
  <si>
    <t>IIFL Finance Limited 8.75% 14-OCT-2026</t>
  </si>
  <si>
    <t>Muthoot Finance Limited 8.0% 03-JUN-2026</t>
  </si>
  <si>
    <t>Nido Home Finance Ltd. 10.0% 08-OCT-2027</t>
  </si>
  <si>
    <t>IndiGrid Infrastructure Trust 7.9% 06-MAY-2028</t>
  </si>
  <si>
    <t>Mahindra &amp; Mahindra Financial Services Ltd. 8.0% 24-JUL-2027</t>
  </si>
  <si>
    <t>Bajaj Housing Finance Limited 7.7% 21-MAY-2027</t>
  </si>
  <si>
    <t>Muthoot Fincorp Ltd. 9.25% 31-JAN-2026</t>
  </si>
  <si>
    <t>Muthoot Finance Limited 8.1% 10-APR-2028</t>
  </si>
  <si>
    <t>Kotak Infrastructure Debt Fund Ltd. 7.97% 17-FEB-2028</t>
  </si>
  <si>
    <t>HDB Financial Services Limited 8.27% 27-OCT-2034</t>
  </si>
  <si>
    <t>National Insurance Co. Ltd. 8.35% 26-MAR-2027</t>
  </si>
  <si>
    <t>Indian Railway Finance Corporation Limited 8.35% 13-MAR-2029</t>
  </si>
  <si>
    <t>Mahindra Rural Housing Finance Ltd. 8.35% 24-SEP-2032</t>
  </si>
  <si>
    <t>Bajaj Finance Limited 7.72% 23-MAY-2033</t>
  </si>
  <si>
    <t>IndiGrid Infrastructure Trust 8.2% 06-MAY-2031</t>
  </si>
  <si>
    <t>Mahindra &amp; Mahindra Financial Services Ltd. 8.05% 24-JUL-2032</t>
  </si>
  <si>
    <t>L&amp;T Finance Ltd. (India) 9.35% 13-MAR-2029</t>
  </si>
  <si>
    <t>REC Limited 7.96% 15-JUN-2030</t>
  </si>
  <si>
    <t>Bajaj Finance Limited 8.45% 29-SEP-2026</t>
  </si>
  <si>
    <t>Cholamandalam Investment and finance Company Limited 8.5% 31-JAN-2027</t>
  </si>
  <si>
    <t>Muthoot Finance Limited 8.1% 03-JUN-2028</t>
  </si>
  <si>
    <t>Muthoot Fincorp Ltd. 9.65% 16-SEP-2027</t>
  </si>
  <si>
    <t>Muthoot Finance Limited 8.0% 20-APR-2031</t>
  </si>
  <si>
    <t>Sammaan Capital Limited 9.65% 26-MAR-2026</t>
  </si>
  <si>
    <t>Cholamandalam Investment and finance Company Limited 8.3% 04-JUN-2026</t>
  </si>
  <si>
    <t>Aadhar Housing Finance Limited 9.75% 29-SEP-2028</t>
  </si>
  <si>
    <t>Hindustan Petroleum Corporation Limited 7.81% 13-APR-2032</t>
  </si>
  <si>
    <t>HDFC Bank Limited 7.8% 03-MAY-2033</t>
  </si>
  <si>
    <t>Nido Home Finance Ltd. 9.5% 01-MAR-2026</t>
  </si>
  <si>
    <t>Cholamandalam Investment and finance Company Limited 8.5% 07-DEC-2026</t>
  </si>
  <si>
    <t>Muthoot Finance Limited 7.5% 05-MAY-2032</t>
  </si>
  <si>
    <t>YES Bank Limited 8.0% 30-SEP-2026</t>
  </si>
  <si>
    <t>Power Finance Corporation Limited 7.5% 01-AUG-2026</t>
  </si>
  <si>
    <t>Muthoot Fincorp Ltd. 9.6% 28-OCT-2025</t>
  </si>
  <si>
    <t>SBI Cards and Payment Services Limited 9.55% 29-JAN-2029</t>
  </si>
  <si>
    <t>Mahindra &amp; Mahindra Financial Services Ltd. 8.1% 21-MAY-2026</t>
  </si>
  <si>
    <t>Axis Finance Limited 8.38% 11-JAN-2034</t>
  </si>
  <si>
    <t>Muthoot Fincorp Ltd. 9.65% 30-OCT-2027</t>
  </si>
  <si>
    <t>Aadhar Housing Finance Limited 9.55% 31-MAR-2026</t>
  </si>
  <si>
    <t>Ugro Capital Limited 11.0% 27-MAY-2026</t>
  </si>
  <si>
    <t>IIFL Finance Limited 9.0% 21-JUL-2026</t>
  </si>
  <si>
    <t>Cholamandalam Investment and finance Company Limited 8.4% 04-MAY-2028</t>
  </si>
  <si>
    <t>Motilal Oswal Financial Services Limited 9.1% 09-MAY-2027</t>
  </si>
  <si>
    <t>Mahindra Rural Housing Finance Ltd. 9.1% 29-MAY-2026</t>
  </si>
  <si>
    <t>Mahindra &amp; Mahindra Financial Services Ltd. 8.24% 06-OCT-2034</t>
  </si>
  <si>
    <t>Muthoot Fincorp Ltd. 9.4% 24-FEB-2027</t>
  </si>
  <si>
    <t>L&amp;T Infrastructure Finance Company Limited 8.1% 28-JUN-2030</t>
  </si>
  <si>
    <t>360 ONE Prime Ltd. 9.61% 18-JAN-2027</t>
  </si>
  <si>
    <t>ICICI Home Finance Co. Ltd. 8.02% 10-JUN-2030</t>
  </si>
  <si>
    <t>HDB Financial Services Limited 8.85% 07-JUN-2029</t>
  </si>
  <si>
    <t>Edelweiss Financial Services Limited 9.6% 29-APR-2027</t>
  </si>
  <si>
    <t>Power Finance Corporation Limited 8.75% 21-NOV-2026</t>
  </si>
  <si>
    <t>Mahindra &amp; Mahindra Financial Services Ltd. 9.2% 18-JAN-2027</t>
  </si>
  <si>
    <t>Shriram Finance Limited 9.1% 28-JAN-2027</t>
  </si>
  <si>
    <t>JM Financial Products Limited 8.3% 07-FEB-2030</t>
  </si>
  <si>
    <t>IIFL Samasta Finance Limited 10.0% 21-DEC-2026</t>
  </si>
  <si>
    <t>Bajaj Finance Limited 8.15% 22-JUN-2027</t>
  </si>
  <si>
    <t>Shriram Finance Limited 8.75% 04-MAY-2026</t>
  </si>
  <si>
    <t>Edelweiss Financial Services Limited 9.5% 24-JAN-2027</t>
  </si>
  <si>
    <t>ICICI Home Finance Co. Ltd. 7.5% 08-NOV-2030</t>
  </si>
  <si>
    <t>Godrej Properties Limited 8.55% 26-JUL-2029</t>
  </si>
  <si>
    <t>L&amp;T Finance Limited 9.05% 15-APR-2027</t>
  </si>
  <si>
    <t>Aditya Birla Finance Limited 8.01% 02-MAY-2028</t>
  </si>
  <si>
    <t>Aditya Birla Finance Limited 8.12% 18-NOV-2032</t>
  </si>
  <si>
    <t>Piramal Enterprises Ltd 9.35% 03-NOV-2033</t>
  </si>
  <si>
    <t>India Infrastructure Finance Co. Ltd. 8.3% 28-MAR-2026</t>
  </si>
  <si>
    <t>Muthoot Fincorp Ltd. 9.25% 30-JUN-2026</t>
  </si>
  <si>
    <t>Sammaan Capital Limited 9.4% 25-SEP-2027</t>
  </si>
  <si>
    <t>Mahindra &amp; Mahindra Financial Services Ltd. 9.3% 18-JAN-2027</t>
  </si>
  <si>
    <t>InCred Financial Services Limited 10.0% 02-MAY-2026</t>
  </si>
  <si>
    <t>Power Finance Corporation Limited 8.5% 31-MAR-2026</t>
  </si>
  <si>
    <t>Edelweiss Financial Services Limited 9.6% 29-JAN-2027</t>
  </si>
  <si>
    <t>Shriram Finance Limited 8.5% 01-DEC-2026</t>
  </si>
  <si>
    <t>Shriram Finance Limited 8.75% 15-JUN-2026</t>
  </si>
  <si>
    <t>Hinduja Leyland Finance Limited 9.25% 03-OCT-2030</t>
  </si>
  <si>
    <t>Arka Fincap Ltd. 10.0% 27-DEC-2028</t>
  </si>
  <si>
    <t>Power Finance Corporation Limited 8.85% 25-MAY-2029</t>
  </si>
  <si>
    <t>Shriram Finance Limited 9.2% 22-MAY-2029</t>
  </si>
  <si>
    <t>Hinduja Leyland Finance Limited 9.5% 29-NOV-2029</t>
  </si>
  <si>
    <t>Sammaan Capital Limited 9.25% 24-SEP-2026</t>
  </si>
  <si>
    <t>IIFL Finance Limited 9.0% 24-JAN-2028</t>
  </si>
  <si>
    <t>Sammaan Capital Limited 9.55% 28-SEP-2027</t>
  </si>
  <si>
    <t>Tata Capital Financial Services Limited 8.65% 26-AUG-2027</t>
  </si>
  <si>
    <t>REC Limited 8.97% 28-MAR-2029</t>
  </si>
  <si>
    <t>State Bank of India 7.7% 19-JAN-2038</t>
  </si>
  <si>
    <t>Muthoot Fincorp Ltd. 9.4% 29-JAN-2027</t>
  </si>
  <si>
    <t>Tata Capital Financial Services Limited 8.85% 26-AUG-2029</t>
  </si>
  <si>
    <t>IIFL Finance Limited 8.5% 28-JUN-2026</t>
  </si>
  <si>
    <t>833HDBFS27</t>
  </si>
  <si>
    <t>HDB Financial Services Limited 8.3333% 06-AUG-2027</t>
  </si>
  <si>
    <t>Axis Finance Limited 8.35% 07-MAY-2027</t>
  </si>
  <si>
    <t>IFCI Limited 8.75% 12-DEC-2026</t>
  </si>
  <si>
    <t>Nido Home Finance Ltd. 9.5% 06-JAN-2027</t>
  </si>
  <si>
    <t>Motilal Oswal Financial Services Limited 9.35% 09-MAY-2029</t>
  </si>
  <si>
    <t>Mahindra &amp; Mahindra Financial Services Ltd. 9.5% 18-JAN-2029</t>
  </si>
  <si>
    <t>Sammaan Capital Limited 9.25% 06-JAN-2027</t>
  </si>
  <si>
    <t>ICICI Bank Limited 7.47% 25-JUN-2027</t>
  </si>
  <si>
    <t>875PFL26</t>
  </si>
  <si>
    <t>Piramal Finance Limited 8.75% 25-MAY-2026</t>
  </si>
  <si>
    <t>Tata Capital Financial Services Limited 9.1% 27-SEP-2028</t>
  </si>
  <si>
    <t>Muthoot Fincorp Ltd. 9.44% 01-NOV-2028</t>
  </si>
  <si>
    <t>Muthoot Fincorp Ltd. 9.3% 24-AUG-2026</t>
  </si>
  <si>
    <t>Edelweiss Financial Services Limited 9.55% 28-DEC-2026</t>
  </si>
  <si>
    <t>Oxyzo Financial Services Private Limited 9.45% 11-NOV-2026</t>
  </si>
  <si>
    <t>Shriram Finance Limited 9.15% 28-JUN-2029</t>
  </si>
  <si>
    <t>Edelweiss Financial Services Limited 9.75% 20-OCT-2027</t>
  </si>
  <si>
    <t>Shriram Finance Limited 9.7% 06-FEB-2029</t>
  </si>
  <si>
    <t>Muthoot Fincorp Ltd. 10.1% 30-OCT-2030</t>
  </si>
  <si>
    <t>Hedge Finance Ltd. 11.0% 18-MAR-2026</t>
  </si>
  <si>
    <t>Edelweiss Financial Services Limited 9.8% 08-JAN-2026</t>
  </si>
  <si>
    <t>Motilal Oswal Financial Services Limited 9.7% 09-MAY-2034</t>
  </si>
  <si>
    <t>Muthoot Fincorp Ltd. 8.7% 01-FEB-2027</t>
  </si>
  <si>
    <t>Piramal Finance Limited 8.75% 23-JUL-2026</t>
  </si>
  <si>
    <t>Piramal Enterprises Ltd 9.2% 03-NOV-2028</t>
  </si>
  <si>
    <t>Shriram City Union Finance Limited 8.3% 07-OCT-2025</t>
  </si>
  <si>
    <t>EAAA India Alternatives Limited 10.8% 02-JUL-2027</t>
  </si>
  <si>
    <t>ECL Finance Limited 9.75% 30-APR-2027</t>
  </si>
  <si>
    <t>IFCI Limited 8.72% 31-MAR-2027</t>
  </si>
  <si>
    <t>Mahindra &amp; Mahindra Financial Services Ltd. 9.0% 06-JUN-2026</t>
  </si>
  <si>
    <t>Edelweiss Financial Services Limited 9.0% 29-APR-2026</t>
  </si>
  <si>
    <t>Shriram Finance Limited 9.4% 12-JUL-2028</t>
  </si>
  <si>
    <t>Edelweiss Financial Services Limited 10.0% 24-JAN-2028</t>
  </si>
  <si>
    <t>Sammaan Capital Limited 9.65% 19-MAR-2027</t>
  </si>
  <si>
    <t>Navi Finserv Limited 11.19% 13-MAR-2027</t>
  </si>
  <si>
    <t>Shriram Finance Limited 8.72% 17-AUG-2032</t>
  </si>
  <si>
    <t>920NWIL27</t>
  </si>
  <si>
    <t>Nuvama Wealth and Investment Limited 9.2% 20-DEC-2027</t>
  </si>
  <si>
    <t>Mahindra &amp; Mahindra Financial Services Ltd. 8.8% 06-JUN-2026</t>
  </si>
  <si>
    <t>YES Bank Limited 9.0% 31-MAR-2026</t>
  </si>
  <si>
    <t>Edelweiss Financial Services Limited 9.6% 27-APR-2026</t>
  </si>
  <si>
    <t>Edelweiss Financial Services Limited 10.1% 26-OCT-2028</t>
  </si>
  <si>
    <t>Muthoot Fincorp Ltd. 9.5% 31-JAN-2027</t>
  </si>
  <si>
    <t>Hinduja Leyland Finance Limited 9.75% 18-SEP-2026</t>
  </si>
  <si>
    <t>IndoStar Capital Finance Limited 10.5% 25-SEP-2029</t>
  </si>
  <si>
    <t>Fedbank Financial Services Limited 9.0% 26-APR-2030</t>
  </si>
  <si>
    <t>Reliance General Insurance Company Limited 9.1% 17-AUG-2026</t>
  </si>
  <si>
    <t>JM Financial Credit Solutions Ltd. 9.75% 07-JUN-2028</t>
  </si>
  <si>
    <t>Piramal Enterprises Ltd 9.3% 09-APR-2029</t>
  </si>
  <si>
    <t>Hinduja Leyland Finance Limited 9.75% 08-OCT-2026</t>
  </si>
  <si>
    <t>Cholamandalam Investment and finance Company Limited 8.4% 09-AUG-2028</t>
  </si>
  <si>
    <t>Shriram Finance Limited 9.0% 28-MAR-2028</t>
  </si>
  <si>
    <t>IFCI Limited 9.16% 15-FEB-2027</t>
  </si>
  <si>
    <t>Edelweiss Finvest Pvt Ltd. 8.8% 16-JUN-2027</t>
  </si>
  <si>
    <t>Muthoot Finance Limited 7.25% 05-MAY-2029</t>
  </si>
  <si>
    <t>Hinduja Leyland Finance Limited 9.4% 30-JAN-2031</t>
  </si>
  <si>
    <t>Nido Home Finance Ltd. 10.0% 01-MAR-2027</t>
  </si>
  <si>
    <t>920AUSFB35</t>
  </si>
  <si>
    <t>AU Small Finance Bank Limited 9.2% 28-MAR-2035</t>
  </si>
  <si>
    <t>Piramal Finance Limited 9.0% 23-JUL-2031</t>
  </si>
  <si>
    <t>PTC India Financial Services Limited 9.15% 30-MAR-2027</t>
  </si>
  <si>
    <t>360 ONE Prime Ltd. 9.16% 12-DEC-2025</t>
  </si>
  <si>
    <t>IFCI Limited 9.7% 04-MAY-2030</t>
  </si>
  <si>
    <t>Navi Finserv Limited 10.9% 13-JUN-2026</t>
  </si>
  <si>
    <t>915AEL28</t>
  </si>
  <si>
    <t>Adani Enterprises Limited 9.15% 17-JUL-2028</t>
  </si>
  <si>
    <t>835SCL27</t>
  </si>
  <si>
    <t>Sammaan Capital Limited 8.35% 08-SEP-2027</t>
  </si>
  <si>
    <t>Edel Finance Company Limited 10.0% 17-DEC-2027</t>
  </si>
  <si>
    <t>Edelweiss Financial Services Limited 10.1% 29-JAN-2029</t>
  </si>
  <si>
    <t>Edelweiss Financial Services Limited 10.5% 24-OCT-2029</t>
  </si>
  <si>
    <t>SMC Global Securities Limited 10.0% 24-APR-2027</t>
  </si>
  <si>
    <t>Nido Home Finance Ltd. 10.1% 15-SEP-2028</t>
  </si>
  <si>
    <t>Credila Financial Services Limited 9.6% 24-FEB-2034</t>
  </si>
  <si>
    <t>930AEL30</t>
  </si>
  <si>
    <t>Adani Enterprises Limited 9.3% 17-JUL-2030</t>
  </si>
  <si>
    <t>Credila Financial Services Limited 8.15% 07-JUL-2032</t>
  </si>
  <si>
    <t>IFCI Limited 10.12% 08-OCT-2027</t>
  </si>
  <si>
    <t>Piramal Enterprises Ltd 9.19% 08-AUG-2028</t>
  </si>
  <si>
    <t>Edelweiss Financial Services Limited 9.55% 29-APR-2026</t>
  </si>
  <si>
    <t>Hindustan Petroleum Corporation Limited 7.22% 28-AUG-2029</t>
  </si>
  <si>
    <t>Muthoot Fincorp Ltd. 8.8% 01-FEB-2028</t>
  </si>
  <si>
    <t>Oxyzo Financial Services Private Limited 9.6% 14-JUN-2027</t>
  </si>
  <si>
    <t>Motilal Oswal Financial Services Limited 9.25% 03-SEP-2032</t>
  </si>
  <si>
    <t>HDB Financial Services Limited 9.7% 15-NOV-2028</t>
  </si>
  <si>
    <t>Sammaan Capital Limited 9.65% 31-MAY-2026</t>
  </si>
  <si>
    <t>Adani Airport Holdings Limited 10.0% 14-MAR-2029</t>
  </si>
  <si>
    <t>Edelweiss Asset Reconstruction Company Limited 9.9% 08-DEC-2028</t>
  </si>
  <si>
    <t>IIFL Home Finance Ltd. 9.25% 26-DEC-2029</t>
  </si>
  <si>
    <t>JM Financial Credit Solutions Ltd. 10.25% 13-DEC-2028</t>
  </si>
  <si>
    <t>Adani Airport Holdings Limited 9.95% 15-MAR-2027</t>
  </si>
  <si>
    <t>360 ONE Prime Ltd. 9.55% 12-JUN-2027</t>
  </si>
  <si>
    <t>Sammaan Capital Limited 8.43% 23-FEB-2028</t>
  </si>
  <si>
    <t>Nido Home Finance Ltd. 10.0% 03-APR-2028</t>
  </si>
  <si>
    <t>Adani Enterprises Limited 9.9% 12-SEP-2029</t>
  </si>
  <si>
    <t>Muthoot Fincorp Ltd. 10.1% 10-JAN-2031</t>
  </si>
  <si>
    <t>Power Finance Corporation Limited 9.46% 01-AUG-2026</t>
  </si>
  <si>
    <t>1125KLM26A</t>
  </si>
  <si>
    <t>KLM Axiva Finvest Ltd. 11.25% 31-OCT-2026</t>
  </si>
  <si>
    <t>JM Financial Products Limited 10.0% 16-MAR-2030</t>
  </si>
  <si>
    <t>843SCL28</t>
  </si>
  <si>
    <t>Sammaan Capital Limited 8.43% 22-FEB-2028</t>
  </si>
  <si>
    <t>Edel Finance Company Limited 10.35% 10-MAR-2028</t>
  </si>
  <si>
    <t>360 ONE Prime Ltd. 9.85% 12-JUN-2034</t>
  </si>
  <si>
    <t>Hinduja Leyland Finance Limited 9.75% 25-SEP-2026</t>
  </si>
  <si>
    <t>Adani Enterprises Limited 9.25% 12-SEP-2026</t>
  </si>
  <si>
    <t>Sammaan Capital Limited 8.85% 26-SEP-2026</t>
  </si>
  <si>
    <t>925SFL25</t>
  </si>
  <si>
    <t>Shriram Finance Limited 9.25% 19-DEC-2025</t>
  </si>
  <si>
    <t>Mahindra Rural Housing Finance Ltd. 9.25% 13-OCT-2025</t>
  </si>
  <si>
    <t>Ugro Capital Limited 10.39% 24-OCT-2026</t>
  </si>
  <si>
    <t>Edel Finance Company Limited 10.47% 09-APR-2027</t>
  </si>
  <si>
    <t>IIFL Samasta Finance Limited 10.5% 21-DEC-2028</t>
  </si>
  <si>
    <t>Muthoot Fincorp Ltd. 9.4% 19-MAY-2027</t>
  </si>
  <si>
    <t>Adani Enterprises Limited 9.65% 12-SEP-2027</t>
  </si>
  <si>
    <t>360 ONE Prime Ltd. 9.35% 12-JUN-2026</t>
  </si>
  <si>
    <t>IFCI Limited 10.75% 31-OCT-2026</t>
  </si>
  <si>
    <t>Mahindra &amp; Mahindra Financial Services Ltd. 7.95% 24-JUL-2032</t>
  </si>
  <si>
    <t>ECL Finance Limited 10.4% 28-NOV-2029</t>
  </si>
  <si>
    <t>Edelweiss Financial Services Limited 10.1% 20-JAN-2028</t>
  </si>
  <si>
    <t>Shriram Finance Limited 9.7% 02-NOV-2028</t>
  </si>
  <si>
    <t>Nido Home Finance Ltd. 9.55% 29-APR-2027</t>
  </si>
  <si>
    <t>Nido Home Finance Ltd. 10.5% 08-OCT-2029</t>
  </si>
  <si>
    <t>IIFL Samasta Finance Limited 10.0% 21-JUN-2027</t>
  </si>
  <si>
    <t>Sammaan Capital Limited 10.15% 27-DEC-2028</t>
  </si>
  <si>
    <t>IIFL Finance Limited 9.0% 28-JUN-2028</t>
  </si>
  <si>
    <t>Sammaan Capital Limited 9.0% 26-SEP-2026</t>
  </si>
  <si>
    <t>Muthoot Fincorp Ltd. 10.1% 16-SEP-2030</t>
  </si>
  <si>
    <t>Muthoot Fincorp Ltd. 9.15% 02-MAY-2028</t>
  </si>
  <si>
    <t>Edelweiss Financial Services Limited 9.5% 30-APR-2027</t>
  </si>
  <si>
    <t>Sammaan Capital Limited 9.15% 26-SEP-2026</t>
  </si>
  <si>
    <t>Muthoot Fincorp Ltd. 9.44% 20-SEP-2028</t>
  </si>
  <si>
    <t>Mahindra &amp; Mahindra Financial Services Ltd. 8.25% 25-MAR-2027</t>
  </si>
  <si>
    <t>SMC Global Securities Limited 10.25% 24-APR-2028</t>
  </si>
  <si>
    <t>IFCI Limited 9.75% 26-APR-2028</t>
  </si>
  <si>
    <t>SMC Global Securities Limited 10.2% 07-AUG-2027</t>
  </si>
  <si>
    <t>Muthoot Fincorp Ltd. 9.4% 15-MAR-2027</t>
  </si>
  <si>
    <t>Indel Money Pvt Ltd. 12.0% 24-NOV-2026</t>
  </si>
  <si>
    <t>Sammaan Capital Limited 9.3% 29-JUN-2026</t>
  </si>
  <si>
    <t>IIFL Home Finance Ltd. 8.75% 03-JAN-2029</t>
  </si>
  <si>
    <t>Nuvama Wealth and Investment Limited 9.55% 15-JUL-2027</t>
  </si>
  <si>
    <t>Edelweiss Retail Finance Limited 9.25% 22-MAR-2028</t>
  </si>
  <si>
    <t>360 ONE Prime Ltd. 9.6% 12-JUN-2029</t>
  </si>
  <si>
    <t>Indian Railway Finance Corporation Limited 8.4% 08-JAN-2029</t>
  </si>
  <si>
    <t>Sammaan Capital Limited 9.75% 20-OCT-2029</t>
  </si>
  <si>
    <t>Edelweiss Financial Services Limited 10.5% 24-JAN-2030</t>
  </si>
  <si>
    <t>Hinduja Leyland Finance Limited 9.45% 23-AUG-2033</t>
  </si>
  <si>
    <t>Muthoot Fincorp Ltd. 10.0% 19-MAY-2031</t>
  </si>
  <si>
    <t>Shriram Finance Limited 9.7% 22-AUG-2026</t>
  </si>
  <si>
    <t>Mahindra &amp; Mahindra Financial Services Ltd. 7.9% 24-JUL-2027</t>
  </si>
  <si>
    <t>Muthoot Fincorp Ltd. 9.9% 24-FEB-2030</t>
  </si>
  <si>
    <t>Sammaan Capital Limited 9.25% 28-APR-2027</t>
  </si>
  <si>
    <t>Muthoot Fincorp Ltd. 9.65% 24-FEB-2028</t>
  </si>
  <si>
    <t>Muthoot Fincorp Ltd. 9.65% 10-JAN-2028</t>
  </si>
  <si>
    <t>Muthoot Fincorp Ltd. 9.65% 19-MAY-2028</t>
  </si>
  <si>
    <t>Paisalo Digital Limited 10.0% 03-JUN-2027</t>
  </si>
  <si>
    <t>IIFL Finance Limited 10.0% 24-JUN-2028</t>
  </si>
  <si>
    <t>Magma General Insurance Limited 9.7% 28-DEC-2033</t>
  </si>
  <si>
    <t>Edelweiss Financial Services Limited 11.0% 24-OCT-2034</t>
  </si>
  <si>
    <t>IFCI Limited 9.98% 29-OCT-2030</t>
  </si>
  <si>
    <t>Nido Home Finance Ltd. 10.5% 01-MAR-2029</t>
  </si>
  <si>
    <t>Edelweiss Financial Services Limited 10.1% 20-OCT-2032</t>
  </si>
  <si>
    <t>IFCI Limited 9.75% 13-JUL-2030</t>
  </si>
  <si>
    <t>Hinduja Leyland Finance Limited 9.75% 21-APR-2028</t>
  </si>
  <si>
    <t>Auxilo Finserve Pvt Ltd. 9.7% 13-JUN-2028</t>
  </si>
  <si>
    <t>Poonawalla Fincorp Limited 10.75% 06-MAY-2029</t>
  </si>
  <si>
    <t>Nuvama Wealth Finance Ltd. 10.25% 05-FEB-2030</t>
  </si>
  <si>
    <t>Muthoot Fincorp Ltd. 9.9% 19-MAY-2030</t>
  </si>
  <si>
    <t>920MFCL27</t>
  </si>
  <si>
    <t>Muthoot Fincorp Ltd. 9.2% 16-JUL-2027</t>
  </si>
  <si>
    <t>980MFCL31</t>
  </si>
  <si>
    <t>Muthoot Fincorp Ltd. 9.8% 16-JUL-2031</t>
  </si>
  <si>
    <t>Nido Home Finance Ltd. 10.0% 19-JUL-2026</t>
  </si>
  <si>
    <t>Sammaan Capital Limited 9.9% 09-NOV-2026</t>
  </si>
  <si>
    <t>360 ONE Prime Ltd. 9.66% 18-JAN-2029</t>
  </si>
  <si>
    <t>Edelweiss Financial Services Limited 9.95% 08-JAN-2031</t>
  </si>
  <si>
    <t>Oxyzo Financial Services Private Limited 9.75% 19-MAR-2027</t>
  </si>
  <si>
    <t>Sammaan Capital Limited 9.9% 27-DEC-2026</t>
  </si>
  <si>
    <t>KLM Axiva Finvest Ltd. 10.75% 16-OCT-2027</t>
  </si>
  <si>
    <t>Sammaan Capital Limited 9.9% 26-MAR-2027</t>
  </si>
  <si>
    <t>Nuvama Wealth and Investment Limited 9.95% 15-JUL-2032</t>
  </si>
  <si>
    <t>Muthoot Fincorp Ltd. 9.9% 16-SEP-2029</t>
  </si>
  <si>
    <t>Ecap Equities Ltd. 5.0% 12-MAR-2027</t>
  </si>
  <si>
    <t>99TCP27</t>
  </si>
  <si>
    <t>Tyger Capital Pvt Ltd. 9.9% 13-AUG-2027</t>
  </si>
  <si>
    <t>Navi Finserv Limited 11.02% 18-JUL-2026</t>
  </si>
  <si>
    <t>Sammaan Capital Limited 9.9% 31-MAY-2027</t>
  </si>
  <si>
    <t>ECL Finance Limited 10.4% 23-MAY-2029</t>
  </si>
  <si>
    <t>Edelweiss Financial Services Limited 9.7% 28-DEC-2031</t>
  </si>
  <si>
    <t>Edelweiss Financial Services Limited 10.1% 27-APR-2028</t>
  </si>
  <si>
    <t>MAS Financial Services Limited 9.6% 23-DEC-2026</t>
  </si>
  <si>
    <t>SMC Global Securities Limited 10.0% 07-AUG-2026</t>
  </si>
  <si>
    <t>ECL Finance Limited 9.85% 06-AUG-2028</t>
  </si>
  <si>
    <t>Edelweiss Financial Services Limited 10.0% 26-JUL-2027</t>
  </si>
  <si>
    <t>Nido Home Finance Ltd. 10.0% 03-JUL-2027</t>
  </si>
  <si>
    <t>Muthoot Fincorp Ltd. 10.0% 30-APR-2030</t>
  </si>
  <si>
    <t>Nido Home Finance Ltd. 9.5% 03-JUL-2026</t>
  </si>
  <si>
    <t>Edelweiss Financial Services Limited 9.55% 10-SEP-2026</t>
  </si>
  <si>
    <t>Muthoot Fincorp Ltd. 9.9% 10-JAN-2030</t>
  </si>
  <si>
    <t>Muthoot Fincorp Ltd. 9.9% 30-OCT-2029</t>
  </si>
  <si>
    <t>Nido Home Finance Ltd. 10.45% 15-SEP-2033</t>
  </si>
  <si>
    <t>Indian Overseas Bank 9.0802% 24-SEP-2029</t>
  </si>
  <si>
    <t>Nido Home Finance Ltd. 9.5% 03-APR-2027</t>
  </si>
  <si>
    <t>Sammaan Capital Limited 9.75% 12-APR-2028</t>
  </si>
  <si>
    <t>Edelweiss Financial Services Limited 9.5% 26-JUL-2026</t>
  </si>
  <si>
    <t>Muthoot Fincorp Ltd. 10.1% 24-FEB-2031</t>
  </si>
  <si>
    <t>Nido Home Finance Ltd. 10.5% 03-APR-2030</t>
  </si>
  <si>
    <t>Sammaan Capital Limited 10.15% 27-DEC-2029</t>
  </si>
  <si>
    <t>Edelweiss Financial Services Limited 10.45% 20-JAN-2033</t>
  </si>
  <si>
    <t>IIFL Home Finance Ltd. 9.0% 26-DEC-2027</t>
  </si>
  <si>
    <t>Edelweiss Financial Services Limited 10.45% 26-OCT-2033</t>
  </si>
  <si>
    <t>Edelweiss Financial Services Limited 9.7% 10-SEP-2031</t>
  </si>
  <si>
    <t>Edelweiss Financial Services Limited 10.1% 29-APR-2029</t>
  </si>
  <si>
    <t>Nido Home Finance Ltd. 10.5% 03-JUL-2029</t>
  </si>
  <si>
    <t>SMC Global Securities Limited 10.5% 24-APR-2030</t>
  </si>
  <si>
    <t>Edelweiss Financial Services Limited 10.1% 21-JUL-2028</t>
  </si>
  <si>
    <t>IIFL Finance Limited 10.25% 21-APR-2030</t>
  </si>
  <si>
    <t>1025EFSL30</t>
  </si>
  <si>
    <t>Edelweiss Financial Services Limited 10.25% 24-JUL-2030</t>
  </si>
  <si>
    <t>ICL Fincorp Ltd. 12.25% 14-DEC-2026</t>
  </si>
  <si>
    <t>Adani Airport Holdings Limited 9.95% 12-JUN-2028</t>
  </si>
  <si>
    <t>Nido Home Finance Ltd. 9.7% 29-APR-2032</t>
  </si>
  <si>
    <t>Edelweiss Financial Services Limited 9.7% 29-APR-2031</t>
  </si>
  <si>
    <t>925IHFL31</t>
  </si>
  <si>
    <t>IIFL Home Finance Ltd. 9.25% 26-DEC-2031</t>
  </si>
  <si>
    <t>ECL Finance Limited 10.6% 04-JAN-2029</t>
  </si>
  <si>
    <t>Navi Finserv Limited 10.75% 18-OCT-2025</t>
  </si>
  <si>
    <t>Nido Home Finance Ltd. 10.75% 01-MAR-2034</t>
  </si>
  <si>
    <t>Edelweiss Financial Services Limited 10.45% 29-JAN-2034</t>
  </si>
  <si>
    <t>Edelweiss Financial Services Limited 10.5% 26-JUL-2029</t>
  </si>
  <si>
    <t>IIFL Home Finance Ltd. 10.0% 03-NOV-2028</t>
  </si>
  <si>
    <t>India Infoline Finance Ltd. 10.5% 07-FEB-2029</t>
  </si>
  <si>
    <t>KLM Axiva Finvest Ltd. 11.25% 16-MAR-2027</t>
  </si>
  <si>
    <t>IFCI Limited 10.75% 01-AUG-2026</t>
  </si>
  <si>
    <t>Nido Home Finance Ltd. 9.6% 15-SEP-2026</t>
  </si>
  <si>
    <t>Muthoot Fincorp Ltd. 9.75% 30-APR-2029</t>
  </si>
  <si>
    <t>IFCI Limited 10.7% 28-FEB-2027</t>
  </si>
  <si>
    <t>Muthoot Fincorp Ltd. 9.5% 30-JUN-2027</t>
  </si>
  <si>
    <t>SMC Global Securities Limited 10.4% 07-AUG-2029</t>
  </si>
  <si>
    <t>Sammaan Capital Limited 9.4% 31-MAY-2027</t>
  </si>
  <si>
    <t>Sammaan Capital Limited 10.15% 31-MAY-2029</t>
  </si>
  <si>
    <t>Nido Home Finance Ltd. 11.0% 08-OCT-2034</t>
  </si>
  <si>
    <t>Sammaan Finserve Ltd. 9.2% 25-SEP-2028</t>
  </si>
  <si>
    <t>1050EFS30E</t>
  </si>
  <si>
    <t>Edelweiss Financial Services Limited 10.5% 30-APR-2030</t>
  </si>
  <si>
    <t>970MFCL30</t>
  </si>
  <si>
    <t>Muthoot Fincorp Ltd. 9.7% 16-JUL-2030</t>
  </si>
  <si>
    <t>Edelweiss Financial Services Limited 11.0% 30-APR-2035</t>
  </si>
  <si>
    <t>IIFL Samasta Finance Limited 10.5% 21-JUN-2029</t>
  </si>
  <si>
    <t>10NHFL28B</t>
  </si>
  <si>
    <t>Nido Home Finance Ltd. 10.0% 02-JUL-2028</t>
  </si>
  <si>
    <t>KLM Axiva Finvest Ltd. 10.75% 09-MAR-2028</t>
  </si>
  <si>
    <t>Navi Finserv Limited 10.4% 13-FEB-2026</t>
  </si>
  <si>
    <t>975EFSL28</t>
  </si>
  <si>
    <t>Edelweiss Financial Services Limited 9.75% 24-JUL-2028</t>
  </si>
  <si>
    <t>1025EFS30A</t>
  </si>
  <si>
    <t>Edelweiss Financial Services Limited 10.45% 21-JUL-2033</t>
  </si>
  <si>
    <t>Edelweiss Financial Services Limited 10.45% 27-APR-2033</t>
  </si>
  <si>
    <t>9EFSL27</t>
  </si>
  <si>
    <t>Edelweiss Financial Services Limited 9.0% 24-JUL-2027</t>
  </si>
  <si>
    <t>Power Grid Corporation of India Limited 8.36% 07-JAN-2029</t>
  </si>
  <si>
    <t>925NHFL27</t>
  </si>
  <si>
    <t>Nido Home Finance Ltd. 9.25% 02-JUL-2027</t>
  </si>
  <si>
    <t>Sammaan Capital Limited 10.75% 09-NOV-2033</t>
  </si>
  <si>
    <t>Nido Home Finance Ltd. 10.75% 03-JUL-2034</t>
  </si>
  <si>
    <t>Nido Home Finance Ltd. 10.75% 02-JUL-2035</t>
  </si>
  <si>
    <t>IIFL Samasta Finance Limited 9.6% 21-JUN-2026</t>
  </si>
  <si>
    <t>Muthoot Fincorp Ltd. 9.4% 16-SEP-2026</t>
  </si>
  <si>
    <t>Sammaan Capital Limited 9.75% 22-DEC-2028</t>
  </si>
  <si>
    <t>Sammaan Capital Limited 9.45% 19-JUN-2028</t>
  </si>
  <si>
    <t>Svatantra Microfin Private Limited 12.9% 30-SEP-2026</t>
  </si>
  <si>
    <t>Sammaan Capital Limited 10.5% 31-MAY-2031</t>
  </si>
  <si>
    <t>Sammaan Capital Limited 9.55% 03-NOV-2027</t>
  </si>
  <si>
    <t>Edelweiss Financial Services Limited 10.45% 29-APR-2034</t>
  </si>
  <si>
    <t>Finstars Capital Ltd. 12.06% 13-OCT-2025</t>
  </si>
  <si>
    <t>Sammaan Capital Limited 10.5% 27-DEC-2030</t>
  </si>
  <si>
    <t>Edelweiss Financial Services Limited 11.0% 26-JUL-2034</t>
  </si>
  <si>
    <t>Edelweiss Financial Services Limited 11.0% 24-JAN-2035</t>
  </si>
  <si>
    <t>Nido Home Finance Ltd. 11.0% 03-APR-2035</t>
  </si>
  <si>
    <t>KLM Axiva Finvest Ltd. 11.0% 03-DEC-2029</t>
  </si>
  <si>
    <t>105EFSL35</t>
  </si>
  <si>
    <t>Edelweiss Financial Services Limited 10.5% 24-JUL-2035</t>
  </si>
  <si>
    <t>Power Finance Corporation Limited 7.79% 22-JUL-2030</t>
  </si>
  <si>
    <t>945MFCL28</t>
  </si>
  <si>
    <t>Muthoot Fincorp Ltd. 9.45% 16-JUL-2028</t>
  </si>
  <si>
    <t>945SCL29</t>
  </si>
  <si>
    <t>Sammaan Capital Limited 9.45% 19-JUN-2029</t>
  </si>
  <si>
    <t>1050EFSL35</t>
  </si>
  <si>
    <t>Sammaan Capital Limited 10.75% 31-MAY-2034</t>
  </si>
  <si>
    <t>Sammaan Capital Limited 10.75% 19-MAR-2035</t>
  </si>
  <si>
    <t>1050KAFL27</t>
  </si>
  <si>
    <t>KLM Axiva Finvest Ltd. 10.5% 07-AUG-2027</t>
  </si>
  <si>
    <t>Chemmanur Credits &amp; Investments Ltd. 11.15% 17-JAN-2028</t>
  </si>
  <si>
    <t>KLM Axiva Finvest Ltd. 11.0% 07-AUG-2029</t>
  </si>
  <si>
    <t>ESAF Small Finance Bank Limited 11.1% 28-FEB-2034</t>
  </si>
  <si>
    <t>Sammaan Capital Limited 10.15% 25-SEP-2029</t>
  </si>
  <si>
    <t>Edelweiss Financial Services Limited 10.0% 30-APR-2028</t>
  </si>
  <si>
    <t>Sammaan Capital Limited 10.75% 26-SEP-2033</t>
  </si>
  <si>
    <t>KLM Axiva Finvest Ltd. 10.25% 03-DEC-2026</t>
  </si>
  <si>
    <t>925SCL2028</t>
  </si>
  <si>
    <t>Sammaan Capital Limited 9.25% 01-AUG-2028</t>
  </si>
  <si>
    <t>Sammaan Capital Limited 9.75% 23-JUL-2029</t>
  </si>
  <si>
    <t>Nido Home Finance Ltd. 10.3% 02-JUL-2030</t>
  </si>
  <si>
    <t>Edelweiss Financial Services Limited 9.6% 21-JUL-2026</t>
  </si>
  <si>
    <t>1025KAF27A</t>
  </si>
  <si>
    <t>KLM Axiva Finvest Ltd. 10.25% 27-JUL-2027</t>
  </si>
  <si>
    <t>Sammaan Capital Limited 10.75% 26-MAR-2034</t>
  </si>
  <si>
    <t>985SCL32</t>
  </si>
  <si>
    <t>Sammaan Capital Limited 9.85% 01-AUG-2032</t>
  </si>
  <si>
    <t>912CFSL29</t>
  </si>
  <si>
    <t>Credila Financial Services Limited 9.12% 06-JUN-2029</t>
  </si>
  <si>
    <t>950SCL30</t>
  </si>
  <si>
    <t>Sammaan Capital Limited 9.5% 19-JUN-2030</t>
  </si>
  <si>
    <t>965SCL30</t>
  </si>
  <si>
    <t>Sammaan Capital Limited 9.65% 01-AUG-2030</t>
  </si>
  <si>
    <t>Spandana Sphoorty Financial Limited 10.75% 04-SEP-2026</t>
  </si>
  <si>
    <t>995SCL2035</t>
  </si>
  <si>
    <t>Sammaan Capital Limited 9.95% 01-AUG-2035</t>
  </si>
  <si>
    <t>Muthoot Fincorp Ltd. 9.75% 31-JAN-2029</t>
  </si>
  <si>
    <t>Capital Small Finance Bank Limited 11.75% 30-MAR-2030</t>
  </si>
  <si>
    <t>9SCL27</t>
  </si>
  <si>
    <t>Sammaan Capital Limited 9.0% 01-AUG-2027</t>
  </si>
  <si>
    <t>KLM Axiva Finvest Ltd. 11.5% 29-JUL-2026</t>
  </si>
  <si>
    <t>Mahindra &amp; Mahindra Financial Services Ltd. 9.35% 18-JAN-2029</t>
  </si>
  <si>
    <t>Sammaan Capital Limited 9.0% 30-JUN-2026</t>
  </si>
  <si>
    <t>Cholamandalam Investment and finance Company Limited 8.6% 31-JAN-2029</t>
  </si>
  <si>
    <t>Hinduja Leyland Finance Limited 9.75% 18-AUG-2026</t>
  </si>
  <si>
    <t>Sammaan Capital Limited 10.5% 26-MAR-2031</t>
  </si>
  <si>
    <t>Sammaan Capital Limited 10.75% 25-SEP-2034</t>
  </si>
  <si>
    <t>Chemmanur Credits &amp; Investments Ltd. 12.1% 16-JAN-2030</t>
  </si>
  <si>
    <t>KLM Axiva Finvest Ltd. 10.5% 03-DEC-2027</t>
  </si>
  <si>
    <t>Sammaan Capital Limited 10.5% 26-SEP-2030</t>
  </si>
  <si>
    <t>Sammaan Capital Limited 10.15% 26-MAR-2029</t>
  </si>
  <si>
    <t>990SCL28</t>
  </si>
  <si>
    <t>Sammaan Capital Limited 9.9% 19-MAR-2028</t>
  </si>
  <si>
    <t>National Bank for Agriculture &amp; Rural Development 6.49% 30-DEC-2030</t>
  </si>
  <si>
    <t>Nido Home Finance Ltd. 11.0% 06-JAN-2035</t>
  </si>
  <si>
    <t>Sammaan Capital Limited 9.9% 25-SEP-2027</t>
  </si>
  <si>
    <t>Power Finance Corporation Limited 7.85% 03-APR-2028</t>
  </si>
  <si>
    <t>975SCL35</t>
  </si>
  <si>
    <t>Sammaan Capital Limited 9.75% 19-JUN-2035</t>
  </si>
  <si>
    <t>Mahanagar Telephone Nigam Limited 7.05% 11-OCT-2030</t>
  </si>
  <si>
    <t>National Highways Infra Trust 7.9% 25-OCT-2047</t>
  </si>
  <si>
    <t>KLM Axiva Finvest Ltd. 10.0% 11-SEP-2026</t>
  </si>
  <si>
    <t>Power Finance Corporation Limited 7.75% 22-MAR-2027</t>
  </si>
  <si>
    <t>National Highways Infra Trust 7.9% 25-OCT-2035</t>
  </si>
  <si>
    <t>National Highways Infra Trust 7.9% 25-OCT-2040</t>
  </si>
  <si>
    <t>Power Grid Corporation of India Limited 8.24% 14-FEB-2029</t>
  </si>
  <si>
    <t>Mahanagar Telephone Nigam Limited 8.0% 15-NOV-2032</t>
  </si>
  <si>
    <t>REC Limited 8.3% 25-MAR-2029</t>
  </si>
  <si>
    <t>87RECL28</t>
  </si>
  <si>
    <t>REC Limited 8.7% 28-SEP-2028</t>
  </si>
  <si>
    <t>Sammaan Capital Limited 10.75% 27-DEC-2033</t>
  </si>
  <si>
    <t>Sammaan Capital Limited 10.75% 27-DEC-2034</t>
  </si>
  <si>
    <t>REC Limited 8.56% 29-NOV-2028</t>
  </si>
  <si>
    <t>11KAFL30</t>
  </si>
  <si>
    <t>KLM Axiva Finvest Ltd. 11.0% 27-JUL-2030</t>
  </si>
  <si>
    <t>Sammaan Capital Limited 10.15% 27-JUL-2028</t>
  </si>
  <si>
    <t>REC Limited 8.54% 15-NOV-2028</t>
  </si>
  <si>
    <t>Tourism Finance Corporation of India Limited 8.81% 09-NOV-2025</t>
  </si>
  <si>
    <t>Nido Home Finance Ltd. 10.0% 06-JAN-2028</t>
  </si>
  <si>
    <t>Nuvama Wealth Finance Ltd. 9.6177% 23-APR-2026</t>
  </si>
  <si>
    <t>Sammaan Capital Limited 10.15% 26-SEP-2028</t>
  </si>
  <si>
    <t>Nuvama Wealth Finance Ltd. 9.62% 16-JUN-2027</t>
  </si>
  <si>
    <t>Sammaan Capital Limited 9.8% 28-DEC-2027</t>
  </si>
  <si>
    <t>Piramal Finance Limited 6.75% 26-SEP-2031</t>
  </si>
  <si>
    <t>IKF Finance Limited 9.9% 15-MAR-2027</t>
  </si>
  <si>
    <t>West Bengal State Electricity Distribution Company Limited 9.34% 25-OCT-2025</t>
  </si>
  <si>
    <t>KLM Axiva Finvest Ltd. 10.25% 07-AUG-2026</t>
  </si>
  <si>
    <t>1004DCAL26</t>
  </si>
  <si>
    <t>Dishman Carbogen Amcis Limited 10.04% 15-JUL-2026</t>
  </si>
  <si>
    <t>ICL Fincorp Ltd. 12.25% 19-APR-2027</t>
  </si>
  <si>
    <t>ESAF Small Finance Bank Limited 11.0% 20-APR-2030</t>
  </si>
  <si>
    <t>ESAF Small Finance Bank Limited 11.1% 20-APR-2031</t>
  </si>
  <si>
    <t>West Bengal State Electricity Distribution Company Limited 10.85% 04-AUG-2026</t>
  </si>
  <si>
    <t>Sammaan Finserve Ltd. 10.5% 25-APR-2028</t>
  </si>
  <si>
    <t>Sammaan Finserve Ltd. 10.25% 25-APR-2026</t>
  </si>
  <si>
    <t>Sammaan Capital Limited 10.15% 09-NOV-2028</t>
  </si>
  <si>
    <t>ICL Fincorp Ltd. 11.75% 19-APR-2026</t>
  </si>
  <si>
    <t>Sammaan Capital Limited 9.65% 23-MAR-2028</t>
  </si>
  <si>
    <t>Satin Creditcare Network Limited 13.0% 11-SEP-2026</t>
  </si>
  <si>
    <t>InCred Financial Services Limited 10.3% 10-NOV-2026</t>
  </si>
  <si>
    <t>Sammaan Capital Limited 10.15% 23-MAR-2028</t>
  </si>
  <si>
    <t>Power Finance Corporation Limited 6.82% 22-JAN-2031</t>
  </si>
  <si>
    <t>Power Finance Corporation Limited 6.97% 22-JAN-2036</t>
  </si>
  <si>
    <t>Power Finance Corporation Limited 6.63% 22-JAN-2031</t>
  </si>
  <si>
    <t>InCred Financial Services Limited 9.65% 02-MAY-2026</t>
  </si>
  <si>
    <t>Arka Fincap Ltd. 9.65% 27-DEC-2028</t>
  </si>
  <si>
    <t>IndiGrid Infrastructure Trust 7.69% 06-MAY-2028</t>
  </si>
  <si>
    <t>IndiGrid Infrastructure Trust 7.32% 27-JUN-2031</t>
  </si>
  <si>
    <t>IndiGrid Infrastructure Trust 7.97% 06-MAY-2031</t>
  </si>
  <si>
    <t>UP Power Corporation Limited 8.97% 13-FEB-2026</t>
  </si>
  <si>
    <t>UP Power Corporation Limited 8.48% 15-MAR-2027</t>
  </si>
  <si>
    <t>Mahindra &amp; Mahindra Financial Services Ltd. 8.53% 06-JUN-2026</t>
  </si>
  <si>
    <t>Kerala Financial Corporation 8.9% 24-MAR-2033</t>
  </si>
  <si>
    <t>UP Power Corporation Limited 8.97% 15-FEB-2027</t>
  </si>
  <si>
    <t>Mahindra &amp; Mahindra Financial Services Ltd. 8.72% 06-JUN-2026</t>
  </si>
  <si>
    <t>885AEL28</t>
  </si>
  <si>
    <t>Adani Enterprises Limited 8.85% 17-JUL-2028</t>
  </si>
  <si>
    <t>Sammaan Capital Limited 9.9% 26-SEP-2026</t>
  </si>
  <si>
    <t>9AEL30</t>
  </si>
  <si>
    <t>Adani Enterprises Limited 9.0% 17-JUL-2030</t>
  </si>
  <si>
    <t>Kerala Financial Corporation 8.89% 13-MAR-2032</t>
  </si>
  <si>
    <t>Kerala Financial Corporation 8.9% 29-MAR-2030</t>
  </si>
  <si>
    <t>Kerala Financial Corporation 8.9% 30-MAR-2029</t>
  </si>
  <si>
    <t>915BML27</t>
  </si>
  <si>
    <t>Belstar Microfinance Limited 9.15% 17-JUN-2027</t>
  </si>
  <si>
    <t>910BML27</t>
  </si>
  <si>
    <t>Belstar Microfinance Limited 9.1% 12-AUG-2027</t>
  </si>
  <si>
    <t>Arka Fincap Ltd. 9.0% 27-DEC-2025</t>
  </si>
  <si>
    <t>Adani Enterprises Limited 9.32% 12-SEP-2027</t>
  </si>
  <si>
    <t>920SCL28</t>
  </si>
  <si>
    <t>Sammaan Capital Limited 9.2% 04-AUG-2028</t>
  </si>
  <si>
    <t>UP Power Corporation Limited 9.95% 22-MAR-2032</t>
  </si>
  <si>
    <t>Adani Enterprises Limited 9.56% 12-SEP-2029</t>
  </si>
  <si>
    <t>925MASFS27</t>
  </si>
  <si>
    <t>MAS Financial Services Limited 9.25% 16-MAY-2027</t>
  </si>
  <si>
    <t>Andhra Pradesh State Beverages Corporation Limited 9.62% 30-MAY-2031</t>
  </si>
  <si>
    <t>Andhra Pradesh State Beverages Corporation Limited 9.62% 30-NOV-2029</t>
  </si>
  <si>
    <t>Andhra Pradesh State Beverages Corporation Limited 9.62% 31-MAY-2030</t>
  </si>
  <si>
    <t>Arka Fincap Ltd. 9.3% 27-DEC-2026</t>
  </si>
  <si>
    <t>Andhra Pradesh State Beverages Corporation Limited 9.62% 30-NOV-2028</t>
  </si>
  <si>
    <t>Andhra Pradesh State Beverages Corporation Limited 9.62% 31-MAY-2028</t>
  </si>
  <si>
    <t>Andhra Pradesh State Beverages Corporation Limited 9.62% 29-NOV-2030</t>
  </si>
  <si>
    <t>Andhra Pradesh State Beverages Corporation Limited 9.62% 30-NOV-2026</t>
  </si>
  <si>
    <t>InCred Financial Services Limited 9.5% 11-DEC-2026</t>
  </si>
  <si>
    <t>UP Power Corporation Limited 9.95% 31-MAR-2031</t>
  </si>
  <si>
    <t>Andhra Pradesh State Beverages Corporation Limited 9.62% 29-MAY-2026</t>
  </si>
  <si>
    <t>Andhra Pradesh State Beverages Corporation Limited 9.62% 31-MAY-2029</t>
  </si>
  <si>
    <t>UP Power Corporation Limited 9.75% 20-OCT-2027</t>
  </si>
  <si>
    <t>UP Power Corporation Limited 9.95% 29-MAR-2030</t>
  </si>
  <si>
    <t>Andhra Pradesh State Beverages Corporation Limited 9.62% 30-NOV-2027</t>
  </si>
  <si>
    <t>Andhra Pradesh State Beverages Corporation Limited 9.62% 31-MAY-2027</t>
  </si>
  <si>
    <t>UP Power Corporation Limited 9.75% 20-OCT-2026</t>
  </si>
  <si>
    <t>UP Power Corporation Limited 9.95% 30-MAR-2029</t>
  </si>
  <si>
    <t>UP Power Corporation Limited 9.95% 31-MAR-2028</t>
  </si>
  <si>
    <t>986VCL27</t>
  </si>
  <si>
    <t>Vivriti Capital Ltd. 9.86% 16-APR-2027</t>
  </si>
  <si>
    <t>Meghalaya Energy Corp. Ltd. 10.55% 03-APR-2033</t>
  </si>
  <si>
    <t>Andhra Pradesh State Beverages Corporation Limited 9.62% 31-MAY-2032</t>
  </si>
  <si>
    <t>Andhra Pradesh State Beverages Corporation Limited 9.62% 28-NOV-2031</t>
  </si>
  <si>
    <t>Andhra Pradesh State Beverages Corporation Limited 9.62% 29-NOV-2032</t>
  </si>
  <si>
    <t>IKF Finance Limited 9.9% 20-JAN-2027</t>
  </si>
  <si>
    <t>965AXFPL27</t>
  </si>
  <si>
    <t>Auxilo Finserve Pvt Ltd. 9.65% 19-JUL-2027</t>
  </si>
  <si>
    <t>UP Power Corporation Limited 9.95% 31-MAR-2027</t>
  </si>
  <si>
    <t>IKF Finance Limited 9.95% 25-JUL-2026</t>
  </si>
  <si>
    <t>Auxilo Finserve Pvt Ltd. 9.9% 21-FEB-2027</t>
  </si>
  <si>
    <t>UP Power Corporation Limited 10.15% 20-JAN-2028</t>
  </si>
  <si>
    <t>Sammaan Finserve Ltd. 10.3% 02-FEB-2028</t>
  </si>
  <si>
    <t>UP Power Corporation Limited 10.15% 20-JAN-2027</t>
  </si>
  <si>
    <t>InCred Financial Services Limited 9.6% 16-AUG-2027</t>
  </si>
  <si>
    <t>Vivriti Capital Ltd. 9.9% 11-MAR-2026</t>
  </si>
  <si>
    <t>Vivriti Capital Ltd. 9.74% 24-JUN-2026</t>
  </si>
  <si>
    <t>UP Power Corporation Limited 9.95% 31-MAR-2026</t>
  </si>
  <si>
    <t>IndoStar Capital Finance Limited 9.95% 28-NOV-2026</t>
  </si>
  <si>
    <t>Paisalo Digital Limited 9.95% 17-JAN-2034</t>
  </si>
  <si>
    <t>Paisalo Digital Limited 9.95% 24-FEB-2034</t>
  </si>
  <si>
    <t>Ugro Capital Limited 10.0% 30-JAN-2029</t>
  </si>
  <si>
    <t>Paisalo Digital Limited 9.95% 26-SEP-2026</t>
  </si>
  <si>
    <t>InCred Financial Services Limited 9.9% 21-AUG-2026</t>
  </si>
  <si>
    <t>Vivriti Capital Ltd. 9.86% 06-JAN-2027</t>
  </si>
  <si>
    <t>Paisalo Digital Limited 9.95% 15-DEC-2033</t>
  </si>
  <si>
    <t>1025NBSP27</t>
  </si>
  <si>
    <t>Nirmal Bang Securities Pvt Ltd. 10.25% 30-JAN-2027</t>
  </si>
  <si>
    <t>975PDL28</t>
  </si>
  <si>
    <t>Paisalo Digital Limited 9.75% 08-AUG-2028</t>
  </si>
  <si>
    <t>Meghalaya Energy Corp. Ltd. 11.01% 10-JAN-2031</t>
  </si>
  <si>
    <t>Auxilo Finserve Pvt Ltd. 9.9% 29-NOV-2026</t>
  </si>
  <si>
    <t>IndoStar Capital Finance Limited 10.3% 25-SEP-2027</t>
  </si>
  <si>
    <t>Arman Financial Services Ltd. 10.2% 25-JAN-2026</t>
  </si>
  <si>
    <t>IndoStar Capital Finance Limited 9.95% 28-FEB-2026</t>
  </si>
  <si>
    <t>1025NBFS27</t>
  </si>
  <si>
    <t>Nirmal Bang Financial Services Private Limited 10.25% 02-MAR-2027</t>
  </si>
  <si>
    <t>IndoStar Capital Finance Limited 10.25% 25-MAY-2026</t>
  </si>
  <si>
    <t>Spandana Sphoorty Financial Limited 10.11% 18-DEC-2025</t>
  </si>
  <si>
    <t>Aye Finance Limited 10.25% 20-MAR-2026</t>
  </si>
  <si>
    <t>Meghalaya Energy Corp. Ltd. 11.45% 13-FEB-2030</t>
  </si>
  <si>
    <t>Vivriti Capital Ltd. 10.11% 23-DEC-2026</t>
  </si>
  <si>
    <t>Meghalaya Energy Corp. Ltd. 11.45% 27-AUG-2029</t>
  </si>
  <si>
    <t>Meghalaya Energy Corp. Ltd. 11.64% 10-JUN-2029</t>
  </si>
  <si>
    <t>Meghalaya Energy Corp. Ltd. 11.01% 20-DEC-2030</t>
  </si>
  <si>
    <t>Nirmal Bang Securities Pvt Ltd. 10.75% 13-AUG-2026</t>
  </si>
  <si>
    <t>Satin Creditcare Network Limited 10.4% 30-APR-2027</t>
  </si>
  <si>
    <t>Bamboo Hotel &amp; Global Centre (Delhi) Private Limited 10.81% 31-JAN-2028</t>
  </si>
  <si>
    <t>1040ERFL27</t>
  </si>
  <si>
    <t>Edelweiss Retail Finance Limited 10.4% 18-MAR-2027</t>
  </si>
  <si>
    <t>Utkarsh Small Finance Bank Limited 11.0% 28-JUN-2031</t>
  </si>
  <si>
    <t>Namra Finance Limited 11.0% 24-MAY-2026</t>
  </si>
  <si>
    <t>Satin Finserv Ltd. 10.8% 30-AUG-2026</t>
  </si>
  <si>
    <t>Thirumeni Finance Pvt Ltd. 11.65% 16-SEP-2026</t>
  </si>
  <si>
    <t>Meghalaya Energy Corp. Ltd. 10.96% 17-FEB-2031</t>
  </si>
  <si>
    <t>Finkurve Financial Services Limited 12.0% 18-DEC-2027</t>
  </si>
  <si>
    <t>Andhra Pradesh State Beverages Corporation Limited 9.62% 28-NOV-2025</t>
  </si>
  <si>
    <t>Crest Ventures Limited 12.0% 20-DEC-2025</t>
  </si>
  <si>
    <t>Dar Credit &amp; Capital Limited 12.25% 10-FEB-2026</t>
  </si>
  <si>
    <t>Nirmal Bang Securities Pvt Ltd. 10.25% 12-DEC-2026</t>
  </si>
  <si>
    <t>Sammaan Finserve Ltd. 10.05% 02-FEB-2026</t>
  </si>
  <si>
    <t>Thirumeni Finance Pvt Ltd. 11.35% 27-SEP-2027</t>
  </si>
  <si>
    <t>AVIOM India Housing Finance Pvt Ltd. 11.75% 31-JAN-2027</t>
  </si>
  <si>
    <t>Sammaan Capital Limited 9.55% 28-DEC-2025</t>
  </si>
  <si>
    <t>1175NFP27</t>
  </si>
  <si>
    <t>Namdev Finvest Pvt Ltd. 11.75% 05-AUG-2027</t>
  </si>
  <si>
    <t>Sammaan Capital Limited 9.9% 23-MAR-2026</t>
  </si>
  <si>
    <t>By MJK</t>
  </si>
  <si>
    <t xml:space="preserve">Cheap </t>
  </si>
  <si>
    <t>Rich</t>
  </si>
  <si>
    <t>Transition</t>
  </si>
  <si>
    <t>In Years</t>
  </si>
  <si>
    <t xml:space="preserve">Annual Coupon </t>
  </si>
  <si>
    <t>Current yield % (Coupon/Current Ask Price)</t>
  </si>
  <si>
    <t>more than 180</t>
  </si>
  <si>
    <t>less than 179</t>
  </si>
  <si>
    <t>t</t>
  </si>
  <si>
    <r>
      <t>1/(1+IRR)</t>
    </r>
    <r>
      <rPr>
        <vertAlign val="superscript"/>
        <sz val="11"/>
        <color theme="1"/>
        <rFont val="Calibri"/>
        <family val="2"/>
        <scheme val="minor"/>
      </rPr>
      <t>t</t>
    </r>
  </si>
  <si>
    <r>
      <t>1/(1+IRR)</t>
    </r>
    <r>
      <rPr>
        <vertAlign val="superscript"/>
        <sz val="11"/>
        <color theme="1"/>
        <rFont val="Calibri"/>
        <family val="2"/>
        <scheme val="minor"/>
      </rPr>
      <t>t+2</t>
    </r>
  </si>
  <si>
    <r>
      <t>t*(PV of CF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</si>
  <si>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>PV of CF</t>
    </r>
    <r>
      <rPr>
        <vertAlign val="subscript"/>
        <sz val="11"/>
        <color theme="1"/>
        <rFont val="Calibri"/>
        <family val="2"/>
        <scheme val="minor"/>
      </rPr>
      <t>t</t>
    </r>
  </si>
  <si>
    <r>
      <t>Bond Cash Flows (CF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</si>
  <si>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>t(t+1)CF</t>
    </r>
    <r>
      <rPr>
        <vertAlign val="subscript"/>
        <sz val="11"/>
        <color theme="1"/>
        <rFont val="Calibri"/>
        <family val="2"/>
        <scheme val="minor"/>
      </rPr>
      <t>t</t>
    </r>
  </si>
  <si>
    <r>
      <t>t(t+1)CF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/(1+IRR)</t>
    </r>
    <r>
      <rPr>
        <vertAlign val="superscript"/>
        <sz val="11"/>
        <color theme="1"/>
        <rFont val="Calibri"/>
        <family val="2"/>
        <scheme val="minor"/>
      </rPr>
      <t>t+2</t>
    </r>
  </si>
  <si>
    <t>Step 1</t>
  </si>
  <si>
    <t>Step 2</t>
  </si>
  <si>
    <t>Step 3</t>
  </si>
  <si>
    <t>Step 4</t>
  </si>
  <si>
    <t>Step 5</t>
  </si>
  <si>
    <t>Step 5 (input)</t>
  </si>
  <si>
    <t>Step 6</t>
  </si>
  <si>
    <t>Step 7</t>
  </si>
  <si>
    <t>Step 8</t>
  </si>
  <si>
    <t>Step 9</t>
  </si>
  <si>
    <t>Step 10</t>
  </si>
  <si>
    <t>Steps</t>
  </si>
  <si>
    <t>Sheets</t>
  </si>
  <si>
    <t>Description</t>
  </si>
  <si>
    <t>IRR (Frequency based)</t>
  </si>
  <si>
    <t>IRR (Annualised)</t>
  </si>
  <si>
    <t>Formation of Yield Cluster</t>
  </si>
  <si>
    <t>Macaulay duration</t>
  </si>
  <si>
    <t>Modified duration</t>
  </si>
  <si>
    <t>% Price change due to Duration and Convexity</t>
  </si>
  <si>
    <t>Average of yield cluster</t>
  </si>
  <si>
    <t>Effective Yield from cluster</t>
  </si>
  <si>
    <t>Bond pricing from Base data</t>
  </si>
  <si>
    <t>Bond pricing from Base data, Base Data</t>
  </si>
  <si>
    <t>Base data</t>
  </si>
  <si>
    <t>Cluster details, Base data</t>
  </si>
  <si>
    <t>Convexity Template</t>
  </si>
  <si>
    <t>Step 11</t>
  </si>
  <si>
    <t>Rich/Cheap Analysis</t>
  </si>
  <si>
    <t xml:space="preserve">Average Yield from cluster </t>
  </si>
  <si>
    <t>Bond pricing from Base data, DurationTemplate, Base Data</t>
  </si>
  <si>
    <t>Bond pricing from Base data, Duration Template, Base Data</t>
  </si>
  <si>
    <t>Yield Clusters</t>
  </si>
  <si>
    <t>Average Yield</t>
  </si>
  <si>
    <t>Min Coupon</t>
  </si>
  <si>
    <t>Max Coupon</t>
  </si>
  <si>
    <t>Average Coupon</t>
  </si>
  <si>
    <t>Min Duration</t>
  </si>
  <si>
    <t>Max Duration</t>
  </si>
  <si>
    <t>Average Duration</t>
  </si>
  <si>
    <t>Name</t>
  </si>
  <si>
    <t>Value</t>
  </si>
  <si>
    <t>Plain vanilla convertible bond:</t>
  </si>
  <si>
    <r>
      <rPr>
        <b/>
        <sz val="11"/>
        <color theme="1"/>
        <rFont val="Calibri"/>
        <family val="2"/>
        <scheme val="minor"/>
      </rPr>
      <t>Physical settle</t>
    </r>
    <r>
      <rPr>
        <sz val="11"/>
        <color theme="1"/>
        <rFont val="Calibri"/>
        <family val="2"/>
        <scheme val="minor"/>
      </rPr>
      <t xml:space="preserve"> means actual stock delivered to the bondholder.</t>
    </r>
  </si>
  <si>
    <r>
      <rPr>
        <b/>
        <sz val="11"/>
        <color theme="1"/>
        <rFont val="Calibri"/>
        <family val="2"/>
        <scheme val="minor"/>
      </rPr>
      <t>Cash settle</t>
    </r>
    <r>
      <rPr>
        <sz val="11"/>
        <color theme="1"/>
        <rFont val="Calibri"/>
        <family val="2"/>
        <scheme val="minor"/>
      </rPr>
      <t xml:space="preserve"> means the cash value of the shares is delivered to the bondholder.</t>
    </r>
  </si>
  <si>
    <t>Exchangeable convertible bond: Another firm's stock can be exchanged for the bond.</t>
  </si>
  <si>
    <t>Purchase price of the convertible bond = Par value of the bond/ conversion ratio</t>
  </si>
  <si>
    <t>Essentials</t>
  </si>
  <si>
    <t>Example</t>
  </si>
  <si>
    <t>Maturity in yrs</t>
  </si>
  <si>
    <t>Coupon amount</t>
  </si>
  <si>
    <t>Conversion ratio</t>
  </si>
  <si>
    <t>Dividend per share</t>
  </si>
  <si>
    <t>Par value</t>
  </si>
  <si>
    <t>Ask Price of the convertible bond</t>
  </si>
  <si>
    <t>Ask Price of the stock</t>
  </si>
  <si>
    <t>Conversion price of the bond</t>
  </si>
  <si>
    <t>Conversion value of the bond</t>
  </si>
  <si>
    <t>IRR - Required Yield</t>
  </si>
  <si>
    <t>Straight Value of Equivalent Bond</t>
  </si>
  <si>
    <t>Straight value (non convertible)</t>
  </si>
  <si>
    <t>equals Ask Price of a bond of equivalent yield</t>
  </si>
  <si>
    <t>Market conversion price</t>
  </si>
  <si>
    <t>Name of Equivalent Straight Bond:</t>
  </si>
  <si>
    <t>Market conversion premium per share</t>
  </si>
  <si>
    <t>market conversion premium ratio</t>
  </si>
  <si>
    <t>conversion ratio * dividend per share</t>
  </si>
  <si>
    <t>favourable income differential per share</t>
  </si>
  <si>
    <t>premium payback period (break even time) in yrs</t>
  </si>
  <si>
    <t>premium over straight value</t>
  </si>
  <si>
    <t>Coupon              {Annual)</t>
  </si>
  <si>
    <t>105OICFL26</t>
  </si>
  <si>
    <t>1. Stage 1:</t>
  </si>
  <si>
    <t>Undertsnding the choices across clusters</t>
  </si>
  <si>
    <t>2. Stage 2: Choosing the bonds as per your preferences</t>
  </si>
  <si>
    <t>Selling Price: Bid Price</t>
  </si>
  <si>
    <t>3. For each Bond, Buying Price: Ask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</si>
</sst>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&quot;$&quot;#,##0.00_);[Red]\(&quot;$&quot;#,##0.00\)"/>
    <numFmt numFmtId="165" formatCode="_(* #,##0.00_);_(* \(#,##0.00\);_(* &quot;-&quot;??_);_(@_)"/>
    <numFmt numFmtId="166" formatCode="0.000%"/>
    <numFmt numFmtId="167" formatCode="0.0%"/>
    <numFmt numFmtId="168" formatCode="0.0000%"/>
    <numFmt numFmtId="169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  <font>
      <b/>
      <sz val="11"/>
      <color theme="1"/>
      <name val="Calibri Light"/>
      <family val="2"/>
      <scheme val="major"/>
    </font>
    <font>
      <vertAlign val="superscript"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9C5700"/>
      <name val="Calibri"/>
      <family val="2"/>
    </font>
    <font>
      <sz val="5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6" fillId="6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2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9" fontId="0" fillId="0" borderId="0" xfId="1" applyFont="1"/>
    <xf numFmtId="1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  <xf numFmtId="0" fontId="3" fillId="2" borderId="1" xfId="0" applyFont="1" applyFill="1" applyBorder="1"/>
    <xf numFmtId="165" fontId="0" fillId="0" borderId="0" xfId="0" applyNumberFormat="1"/>
    <xf numFmtId="165" fontId="0" fillId="0" borderId="0" xfId="2" applyFont="1"/>
    <xf numFmtId="9" fontId="0" fillId="2" borderId="0" xfId="1" applyFont="1" applyFill="1"/>
    <xf numFmtId="0" fontId="9" fillId="3" borderId="1" xfId="0" applyFont="1" applyFill="1" applyBorder="1"/>
    <xf numFmtId="0" fontId="10" fillId="0" borderId="0" xfId="0" applyFont="1"/>
    <xf numFmtId="0" fontId="10" fillId="0" borderId="1" xfId="0" applyFont="1" applyBorder="1"/>
    <xf numFmtId="0" fontId="11" fillId="2" borderId="1" xfId="0" applyFont="1" applyFill="1" applyBorder="1"/>
    <xf numFmtId="0" fontId="0" fillId="2" borderId="0" xfId="0" applyFill="1"/>
    <xf numFmtId="0" fontId="4" fillId="0" borderId="0" xfId="0" applyFont="1"/>
    <xf numFmtId="14" fontId="0" fillId="0" borderId="0" xfId="0" applyNumberFormat="1"/>
    <xf numFmtId="10" fontId="0" fillId="0" borderId="0" xfId="1" applyNumberFormat="1" applyFont="1"/>
    <xf numFmtId="10" fontId="10" fillId="0" borderId="0" xfId="1" applyNumberFormat="1" applyFont="1"/>
    <xf numFmtId="1" fontId="10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168" fontId="0" fillId="0" borderId="0" xfId="1" applyNumberFormat="1" applyFont="1"/>
    <xf numFmtId="10" fontId="0" fillId="2" borderId="0" xfId="0" applyNumberFormat="1" applyFill="1"/>
    <xf numFmtId="167" fontId="0" fillId="2" borderId="0" xfId="0" applyNumberFormat="1" applyFill="1"/>
    <xf numFmtId="166" fontId="0" fillId="2" borderId="0" xfId="1" applyNumberFormat="1" applyFont="1" applyFill="1"/>
    <xf numFmtId="10" fontId="0" fillId="0" borderId="0" xfId="1" applyNumberFormat="1" applyFont="1" applyBorder="1"/>
    <xf numFmtId="9" fontId="0" fillId="0" borderId="0" xfId="1" applyFont="1" applyBorder="1"/>
    <xf numFmtId="0" fontId="12" fillId="2" borderId="3" xfId="0" applyFont="1" applyFill="1" applyBorder="1" applyAlignment="1">
      <alignment horizontal="center" vertical="center" wrapText="1"/>
    </xf>
    <xf numFmtId="2" fontId="0" fillId="2" borderId="0" xfId="0" applyNumberFormat="1" applyFill="1"/>
    <xf numFmtId="10" fontId="4" fillId="2" borderId="5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7" fontId="0" fillId="0" borderId="0" xfId="0" applyNumberFormat="1"/>
    <xf numFmtId="9" fontId="4" fillId="0" borderId="1" xfId="1" applyFont="1" applyBorder="1"/>
    <xf numFmtId="9" fontId="4" fillId="0" borderId="0" xfId="0" applyNumberFormat="1" applyFont="1"/>
    <xf numFmtId="9" fontId="15" fillId="4" borderId="1" xfId="0" applyNumberFormat="1" applyFont="1" applyFill="1" applyBorder="1"/>
    <xf numFmtId="0" fontId="4" fillId="5" borderId="1" xfId="0" applyFont="1" applyFill="1" applyBorder="1"/>
    <xf numFmtId="43" fontId="0" fillId="0" borderId="0" xfId="0" applyNumberFormat="1"/>
    <xf numFmtId="169" fontId="0" fillId="0" borderId="0" xfId="1" applyNumberFormat="1" applyFont="1"/>
    <xf numFmtId="167" fontId="4" fillId="2" borderId="0" xfId="1" applyNumberFormat="1" applyFont="1" applyFill="1"/>
    <xf numFmtId="0" fontId="1" fillId="0" borderId="0" xfId="4"/>
    <xf numFmtId="9" fontId="0" fillId="0" borderId="0" xfId="5" applyFont="1"/>
    <xf numFmtId="0" fontId="0" fillId="0" borderId="8" xfId="0" applyBorder="1" applyAlignment="1">
      <alignment horizontal="center"/>
    </xf>
    <xf numFmtId="9" fontId="0" fillId="2" borderId="0" xfId="0" applyNumberFormat="1" applyFill="1"/>
    <xf numFmtId="0" fontId="0" fillId="7" borderId="12" xfId="0" applyFill="1" applyBorder="1"/>
    <xf numFmtId="0" fontId="0" fillId="7" borderId="7" xfId="0" applyFill="1" applyBorder="1"/>
    <xf numFmtId="14" fontId="0" fillId="7" borderId="7" xfId="0" applyNumberFormat="1" applyFill="1" applyBorder="1"/>
    <xf numFmtId="10" fontId="0" fillId="7" borderId="7" xfId="5" applyNumberFormat="1" applyFont="1" applyFill="1" applyBorder="1"/>
    <xf numFmtId="0" fontId="0" fillId="7" borderId="13" xfId="0" applyFill="1" applyBorder="1"/>
    <xf numFmtId="0" fontId="0" fillId="7" borderId="14" xfId="0" applyFill="1" applyBorder="1"/>
    <xf numFmtId="14" fontId="0" fillId="7" borderId="14" xfId="0" applyNumberFormat="1" applyFill="1" applyBorder="1"/>
    <xf numFmtId="10" fontId="0" fillId="7" borderId="14" xfId="5" applyNumberFormat="1" applyFont="1" applyFill="1" applyBorder="1"/>
    <xf numFmtId="0" fontId="0" fillId="7" borderId="15" xfId="0" applyFont="1" applyFill="1" applyBorder="1"/>
    <xf numFmtId="0" fontId="17" fillId="0" borderId="0" xfId="4" applyFont="1"/>
    <xf numFmtId="10" fontId="0" fillId="2" borderId="0" xfId="1" applyNumberFormat="1" applyFont="1" applyFill="1"/>
    <xf numFmtId="0" fontId="12" fillId="0" borderId="3" xfId="0" applyFont="1" applyBorder="1" applyAlignment="1">
      <alignment horizontal="center" wrapText="1"/>
    </xf>
    <xf numFmtId="0" fontId="12" fillId="0" borderId="3" xfId="0" applyNumberFormat="1" applyFont="1" applyBorder="1" applyAlignment="1">
      <alignment horizontal="center" wrapText="1"/>
    </xf>
    <xf numFmtId="0" fontId="16" fillId="6" borderId="0" xfId="3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2" fontId="4" fillId="0" borderId="0" xfId="0" applyNumberFormat="1" applyFont="1"/>
    <xf numFmtId="0" fontId="4" fillId="0" borderId="16" xfId="0" applyFont="1" applyBorder="1"/>
    <xf numFmtId="0" fontId="6" fillId="0" borderId="17" xfId="0" applyFont="1" applyBorder="1"/>
    <xf numFmtId="0" fontId="4" fillId="0" borderId="4" xfId="0" applyFont="1" applyBorder="1"/>
    <xf numFmtId="0" fontId="4" fillId="0" borderId="18" xfId="0" applyFont="1" applyBorder="1"/>
    <xf numFmtId="164" fontId="4" fillId="0" borderId="0" xfId="0" applyNumberFormat="1" applyFont="1"/>
    <xf numFmtId="165" fontId="0" fillId="0" borderId="9" xfId="2" applyFont="1" applyBorder="1"/>
    <xf numFmtId="165" fontId="0" fillId="0" borderId="11" xfId="2" applyFont="1" applyBorder="1"/>
    <xf numFmtId="0" fontId="19" fillId="0" borderId="9" xfId="0" applyFont="1" applyBorder="1"/>
    <xf numFmtId="0" fontId="19" fillId="0" borderId="11" xfId="0" applyFont="1" applyBorder="1"/>
    <xf numFmtId="10" fontId="4" fillId="0" borderId="0" xfId="0" applyNumberFormat="1" applyFont="1"/>
    <xf numFmtId="0" fontId="0" fillId="0" borderId="0" xfId="0" applyNumberFormat="1"/>
    <xf numFmtId="2" fontId="0" fillId="2" borderId="0" xfId="1" applyNumberFormat="1" applyFont="1" applyFill="1"/>
    <xf numFmtId="167" fontId="14" fillId="3" borderId="1" xfId="1" applyNumberFormat="1" applyFont="1" applyFill="1" applyBorder="1"/>
    <xf numFmtId="0" fontId="20" fillId="0" borderId="0" xfId="0" applyFont="1"/>
    <xf numFmtId="0" fontId="21" fillId="0" borderId="0" xfId="0" applyFont="1"/>
    <xf numFmtId="0" fontId="9" fillId="0" borderId="0" xfId="0" applyFont="1"/>
    <xf numFmtId="0" fontId="21" fillId="0" borderId="0" xfId="0" applyFont="1" applyFill="1"/>
    <xf numFmtId="0" fontId="20" fillId="0" borderId="0" xfId="0" applyNumberFormat="1" applyFont="1"/>
    <xf numFmtId="0" fontId="20" fillId="8" borderId="0" xfId="0" applyFont="1" applyFill="1"/>
    <xf numFmtId="166" fontId="20" fillId="0" borderId="0" xfId="0" applyNumberFormat="1" applyFont="1"/>
    <xf numFmtId="10" fontId="21" fillId="0" borderId="0" xfId="0" applyNumberFormat="1" applyFont="1" applyFill="1"/>
    <xf numFmtId="0" fontId="23" fillId="0" borderId="0" xfId="4" applyFont="1"/>
    <xf numFmtId="0" fontId="9" fillId="9" borderId="0" xfId="0" applyFont="1" applyFill="1" applyBorder="1"/>
    <xf numFmtId="0" fontId="15" fillId="0" borderId="0" xfId="0" applyFont="1"/>
    <xf numFmtId="0" fontId="0" fillId="0" borderId="0" xfId="0"/>
    <xf numFmtId="9" fontId="0" fillId="0" borderId="0" xfId="0" applyNumberFormat="1"/>
    <xf numFmtId="9" fontId="0" fillId="0" borderId="0" xfId="1" applyFont="1"/>
    <xf numFmtId="1" fontId="0" fillId="0" borderId="0" xfId="1" applyNumberFormat="1" applyFont="1"/>
    <xf numFmtId="0" fontId="4" fillId="0" borderId="0" xfId="0" applyFont="1"/>
    <xf numFmtId="0" fontId="0" fillId="0" borderId="2" xfId="0" applyBorder="1"/>
    <xf numFmtId="10" fontId="0" fillId="0" borderId="24" xfId="1" applyNumberFormat="1" applyFont="1" applyBorder="1"/>
    <xf numFmtId="10" fontId="0" fillId="0" borderId="20" xfId="1" applyNumberFormat="1" applyFont="1" applyBorder="1"/>
    <xf numFmtId="0" fontId="0" fillId="0" borderId="33" xfId="0" applyBorder="1"/>
    <xf numFmtId="10" fontId="0" fillId="0" borderId="34" xfId="1" applyNumberFormat="1" applyFont="1" applyBorder="1"/>
    <xf numFmtId="0" fontId="0" fillId="0" borderId="35" xfId="0" applyBorder="1"/>
    <xf numFmtId="10" fontId="0" fillId="0" borderId="36" xfId="1" applyNumberFormat="1" applyFont="1" applyBorder="1"/>
    <xf numFmtId="0" fontId="0" fillId="0" borderId="33" xfId="0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24" xfId="0" applyBorder="1"/>
    <xf numFmtId="0" fontId="0" fillId="11" borderId="31" xfId="0" applyFill="1" applyBorder="1"/>
    <xf numFmtId="0" fontId="0" fillId="11" borderId="32" xfId="0" applyFill="1" applyBorder="1"/>
    <xf numFmtId="0" fontId="0" fillId="11" borderId="37" xfId="0" applyFill="1" applyBorder="1"/>
    <xf numFmtId="0" fontId="0" fillId="11" borderId="38" xfId="0" applyFill="1" applyBorder="1"/>
    <xf numFmtId="2" fontId="0" fillId="0" borderId="34" xfId="0" applyNumberFormat="1" applyBorder="1"/>
    <xf numFmtId="2" fontId="0" fillId="0" borderId="36" xfId="0" applyNumberFormat="1" applyBorder="1"/>
    <xf numFmtId="2" fontId="0" fillId="0" borderId="24" xfId="0" applyNumberFormat="1" applyBorder="1"/>
    <xf numFmtId="2" fontId="0" fillId="0" borderId="20" xfId="0" applyNumberFormat="1" applyBorder="1"/>
    <xf numFmtId="0" fontId="0" fillId="0" borderId="19" xfId="0" applyBorder="1"/>
    <xf numFmtId="9" fontId="4" fillId="2" borderId="0" xfId="0" applyNumberFormat="1" applyFont="1" applyFill="1"/>
    <xf numFmtId="0" fontId="4" fillId="12" borderId="0" xfId="0" applyFont="1" applyFill="1"/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0" fontId="4" fillId="2" borderId="5" xfId="0" applyNumberFormat="1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3" xfId="0" applyFill="1" applyBorder="1" applyAlignment="1">
      <alignment horizontal="center" vertical="center"/>
    </xf>
    <xf numFmtId="9" fontId="0" fillId="0" borderId="27" xfId="1" applyNumberFormat="1" applyFont="1" applyBorder="1"/>
    <xf numFmtId="9" fontId="0" fillId="0" borderId="28" xfId="1" applyNumberFormat="1" applyFont="1" applyBorder="1"/>
  </cellXfs>
  <cellStyles count="7">
    <cellStyle name="Comma" xfId="2" builtinId="3"/>
    <cellStyle name="Comma 2" xfId="6" xr:uid="{F89231E3-E343-4F8E-967C-A7478F37A72E}"/>
    <cellStyle name="Neutral" xfId="3" builtinId="28"/>
    <cellStyle name="Normal" xfId="0" builtinId="0"/>
    <cellStyle name="Normal 2" xfId="4" xr:uid="{9B9B93A1-4E5D-E248-AE16-65665925120A}"/>
    <cellStyle name="Per cent 2" xfId="5" xr:uid="{A07F93D3-C927-4746-8454-45F2371D4935}"/>
    <cellStyle name="Percent" xfId="1" builtinId="5"/>
  </cellStyles>
  <dxfs count="24">
    <dxf>
      <numFmt numFmtId="2" formatCode="0.00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solid">
          <fgColor indexed="64"/>
          <bgColor rgb="FFFFFF00"/>
        </patternFill>
      </fill>
    </dxf>
    <dxf>
      <numFmt numFmtId="13" formatCode="0%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>
          <fgColor indexed="64"/>
          <bgColor rgb="FFFFFF00"/>
        </patternFill>
      </fill>
    </dxf>
    <dxf>
      <numFmt numFmtId="2" formatCode="0.00"/>
      <fill>
        <patternFill patternType="none">
          <fgColor indexed="64"/>
          <bgColor rgb="FFFFFF00"/>
        </patternFill>
      </fill>
    </dxf>
    <dxf>
      <numFmt numFmtId="2" formatCode="0.00"/>
      <fill>
        <patternFill patternType="none">
          <fgColor indexed="64"/>
          <bgColor rgb="FFFFFF00"/>
        </patternFill>
      </fill>
    </dxf>
    <dxf>
      <numFmt numFmtId="0" formatCode="General"/>
      <fill>
        <patternFill>
          <fgColor indexed="64"/>
          <bgColor rgb="FFFFFF00"/>
        </patternFill>
      </fill>
    </dxf>
    <dxf>
      <numFmt numFmtId="14" formatCode="0.00%"/>
      <fill>
        <patternFill patternType="solid">
          <fgColor indexed="64"/>
          <bgColor rgb="FFFFFF00"/>
        </patternFill>
      </fill>
    </dxf>
    <dxf>
      <numFmt numFmtId="167" formatCode="0.0%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70" formatCode="dd/mm/yy"/>
    </dxf>
    <dxf>
      <numFmt numFmtId="170" formatCode="dd/mm/yy"/>
    </dxf>
    <dxf>
      <numFmt numFmtId="170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222250</xdr:colOff>
      <xdr:row>0</xdr:row>
      <xdr:rowOff>0</xdr:rowOff>
    </xdr:from>
    <xdr:to>
      <xdr:col>20</xdr:col>
      <xdr:colOff>0</xdr:colOff>
      <xdr:row>13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B3B07-7F31-49E9-9B82-545E10A80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0"/>
          <a:ext cx="3435350" cy="2444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2D0DB-97A6-445B-8599-78ECF3122C03}" name="Table1" displayName="Table1" ref="A3:AP1521" totalsRowShown="0">
  <autoFilter ref="A3:AP1521" xr:uid="{D4B2D0DB-97A6-445B-8599-78ECF3122C03}"/>
  <tableColumns count="42">
    <tableColumn id="1" xr3:uid="{9DF2B284-D6B1-4968-B968-97BE82CF07BD}" name="Symbol"/>
    <tableColumn id="2" xr3:uid="{A5DB3F60-C133-4B4D-8E9B-B0CB14351A04}" name="Issuer Name"/>
    <tableColumn id="31" xr3:uid="{2DF9E211-324D-0048-BD3A-B42237BE1B81}" name="BOND TYPE"/>
    <tableColumn id="14" xr3:uid="{290CCF3B-6010-424C-A8B6-B8CC0FCA078F}" name="Issue date" dataDxfId="23"/>
    <tableColumn id="15" xr3:uid="{B8FAB5AF-F478-4CDB-948B-97F27FC86D3E}" name="Maturity date" dataDxfId="22"/>
    <tableColumn id="8" xr3:uid="{A297FC58-C896-4245-B6F3-2928F1FEC5AB}" name="Face value" dataDxfId="21"/>
    <tableColumn id="32" xr3:uid="{E559C654-7F6F-F74C-9130-CCF9C3A1857A}" name="Face value - Currency"/>
    <tableColumn id="6" xr3:uid="{00518F24-9DEF-492F-98DA-2D9A16C9407F}" name="Ask Price"/>
    <tableColumn id="7" xr3:uid="{4F2842A1-6B49-4FBF-9549-49D9CE0A2588}" name="Price - Currency"/>
    <tableColumn id="33" xr3:uid="{413D3BCC-D83C-DD4B-80D7-9913C49B2CC2}" name="Price % of face value"/>
    <tableColumn id="10" xr3:uid="{24C97981-3DD0-4AD5-BC67-D4CDD91B1174}" name="Volume 1 day"/>
    <tableColumn id="13" xr3:uid="{D926513B-AA8D-42BD-8C65-51CCD612088B}" name="Current coupon %" dataDxfId="20"/>
    <tableColumn id="19" xr3:uid="{86259741-FD34-4825-A49B-B70B07A34133}" name="Coupon frequency" dataDxfId="19"/>
    <tableColumn id="34" xr3:uid="{D5C9B1CD-FE5F-4A49-B004-662F1CB7D297}" name="Term to maturity"/>
    <tableColumn id="35" xr3:uid="{CB01ED8E-C47B-0E4D-8994-2E224F35F229}" name="Current yield % (Coupon/Current Ask Price)"/>
    <tableColumn id="36" xr3:uid="{7C6A5234-500A-1448-AF6A-096E4E353568}" name="S&amp;P rating"/>
    <tableColumn id="37" xr3:uid="{0358A316-A9DA-344C-96DA-E5F155C44DA2}" name="Yield to maturity %"/>
    <tableColumn id="38" xr3:uid="{76B82380-71DE-6A48-A62A-70D05998628B}" name="Exchange"/>
    <tableColumn id="16" xr3:uid="{AF450F30-F1C1-424D-A38E-1502CD3A66EB}" name="Term to Maturity (Years)" dataDxfId="18">
      <calculatedColumnFormula>ROUND(YEARFRAC(D4,E4),0)</calculatedColumnFormula>
    </tableColumn>
    <tableColumn id="18" xr3:uid="{2DD90E85-325E-49B5-9171-408BD3603F37}" name="Coupon Frequency2" dataDxfId="17">
      <calculatedColumnFormula array="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calculatedColumnFormula>
    </tableColumn>
    <tableColumn id="21" xr3:uid="{F06DCE09-D262-4FD7-B187-95B8F1C0D377}" name="Total No. of Coupons" dataDxfId="16">
      <calculatedColumnFormula>Table1[[#This Row],[Term to Maturity (Years)]]*Table1[[#This Row],[Coupon Frequency2]]</calculatedColumnFormula>
    </tableColumn>
    <tableColumn id="22" xr3:uid="{0828A22C-992C-4CE5-A807-E4EC8689D228}" name="Coupon Amount" dataDxfId="15">
      <calculatedColumnFormula>Table1[[#This Row],[Face value]]*Table1[[#This Row],[Current coupon %]]</calculatedColumnFormula>
    </tableColumn>
    <tableColumn id="3" xr3:uid="{A1C5CC63-95AA-4DAC-BCA4-E8A4E373B965}" name="IRR" dataDxfId="14">
      <calculatedColumnFormula>RATE(Table1[[#This Row],[Total No. of Coupons]],Table1[[#This Row],[Coupon Amount]],-Table1[[#This Row],[Ask Price]],Table1[[#This Row],[Face value]])</calculatedColumnFormula>
    </tableColumn>
    <tableColumn id="4" xr3:uid="{91456D60-1790-409C-9BF0-4C81AA80A3E3}" name="Yield (Annualised)" dataDxfId="13">
      <calculatedColumnFormula>Table1[[#This Row],[IRR]]*Table1[[#This Row],[Coupon Frequency2]]</calculatedColumnFormula>
    </tableColumn>
    <tableColumn id="5" xr3:uid="{1B94CF72-97F1-4A5F-86A7-60E8E9025566}" name="Yield Cluster" dataDxfId="12">
      <calculatedColumnFormula array="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calculatedColumnFormula>
    </tableColumn>
    <tableColumn id="25" xr3:uid="{6007886D-CB83-418B-81C2-56900E99ACAF}" name="Macaulay Duration in Years" dataDxfId="11">
      <calculatedColumnFormula>DURATION(Table1[[#This Row],[Issue date]],Table1[[#This Row],[Maturity date]],Table1[[#This Row],[Current coupon %]],Table1[[#This Row],[Yield (Annualised)]],Table1[[#This Row],[Coupon Frequency2]])</calculatedColumnFormula>
    </tableColumn>
    <tableColumn id="26" xr3:uid="{F408A3F9-3BB6-45A2-B752-67B6E9121FD1}" name="Modified Duration in Years" dataDxfId="10">
      <calculatedColumnFormula>Table1[[#This Row],[Macaulay Duration in Years]]/(1+Table1[[#This Row],[IRR]])</calculatedColumnFormula>
    </tableColumn>
    <tableColumn id="9" xr3:uid="{013531DD-4DD8-4DA7-8C05-092ADCF6686C}" name="Average Cluster Yield" dataDxfId="9">
      <calculatedColumnFormula>VLOOKUP(Table1[[#This Row],[Yield Cluster]],'Cluster Details'!$B$3:$C$16,2,0)</calculatedColumnFormula>
    </tableColumn>
    <tableColumn id="11" xr3:uid="{78CCC0AA-F256-4336-8487-CD97A25F2704}" name="Calculated Bond Price" dataDxfId="8">
      <calculatedColumnFormula>PRICE(Table1[[#This Row],[Issue date]],Table1[[#This Row],[Maturity date]],Table1[[#This Row],[Current coupon %]],Table1[[#This Row],[Average Cluster Yield]],100,Table1[[#This Row],[Coupon Frequency2]])*Table1[[#This Row],[Face value]]/100</calculatedColumnFormula>
    </tableColumn>
    <tableColumn id="39" xr3:uid="{DCB1A65F-98FB-5146-9D71-ABF592BBB360}" name="Rich/Cheap" dataDxfId="7">
      <calculatedColumnFormula>IF(Table1[[#This Row],[Ask Price]]&gt;Table1[[#This Row],[Calculated Bond Price]],"Rich","Cheap")</calculatedColumnFormula>
    </tableColumn>
    <tableColumn id="40" xr3:uid="{104B0283-BFA0-914D-A808-CFAE15E22E8F}" name="P (+ shock)" dataDxfId="6">
      <calculatedColumnFormula>PRICE(Table1[[#This Row],[Issue date]],Table1[[#This Row],[Maturity date]],Table1[[#This Row],[Current coupon %]],Table1[[#This Row],[Yield (Annualised)]]+$AF$2,100,Table1[[#This Row],[Coupon Frequency2]])*Table1[[#This Row],[Face value]]/100</calculatedColumnFormula>
    </tableColumn>
    <tableColumn id="41" xr3:uid="{61E8B124-E0CB-624B-A5F2-82D86F177A97}" name="P (-shock)" dataDxfId="5">
      <calculatedColumnFormula>PRICE(Table1[[#This Row],[Issue date]],Table1[[#This Row],[Maturity date]],Table1[[#This Row],[Current coupon %]],Table1[[#This Row],[Yield (Annualised)]]-$AF$2,100,Table1[[#This Row],[Coupon Frequency2]])*Table1[[#This Row],[Face value]]/100</calculatedColumnFormula>
    </tableColumn>
    <tableColumn id="42" xr3:uid="{17047F67-D944-C142-9A60-7603601D7E11}" name="Convexity Estimation" dataDxfId="4">
      <calculatedColumnFormula>(Table1[[#This Row],[P (+ shock)]]+Table1[[#This Row],[P (-shock)]]-2*Table1[[#This Row],[Ask Price]])/(2*Table1[[#This Row],[Ask Price]]*($AF$2^2))</calculatedColumnFormula>
    </tableColumn>
    <tableColumn id="12" xr3:uid="{F602C21D-7263-439C-B81D-8675910AACA7}" name="Column4"/>
    <tableColumn id="17" xr3:uid="{FBBF22C8-0B08-469D-B15E-EE3DE9F29EDB}" name="Coupon Yield" dataDxfId="3">
      <calculatedColumnFormula>(L4*F4)/H4</calculatedColumnFormula>
    </tableColumn>
    <tableColumn id="20" xr3:uid="{600F3CFC-012D-41A1-88F2-721228F96A1E}" name="Column5"/>
    <tableColumn id="23" xr3:uid="{75CA5BE4-1BDD-4895-88A3-75E806A5CD68}" name="IRR2" dataDxfId="2">
      <calculatedColumnFormula>RATE(Table1[[#This Row],[Total No. of Coupons]],Table1[[#This Row],[Coupon Amount]],-Table1[[#This Row],[Ask Price]],Table1[[#This Row],[Face value]])</calculatedColumnFormula>
    </tableColumn>
    <tableColumn id="24" xr3:uid="{BA6F3AD8-51FE-4C98-B586-BAD36CBA5658}" name="Yield (Annual)" dataDxfId="1">
      <calculatedColumnFormula>Table1[[#This Row],[IRR]]*Table1[[#This Row],[Coupon Frequency2]]</calculatedColumnFormula>
    </tableColumn>
    <tableColumn id="27" xr3:uid="{25262646-B622-4A2A-9765-0844154052BC}" name="Dollar Duration" dataDxfId="0">
      <calculatedColumnFormula>-AA4*H4</calculatedColumnFormula>
    </tableColumn>
    <tableColumn id="28" xr3:uid="{A1B04762-7C43-44CE-89C1-8B0C7F0C9F58}" name="Bond Type2"/>
    <tableColumn id="29" xr3:uid="{852C907E-4279-4E4E-A338-E81B7A0A4A1D}" name="Country"/>
    <tableColumn id="30" xr3:uid="{C120D8AB-1D7C-4B20-9DE5-845E76C55218}" name="Yearly Payment Frequency">
      <calculatedColumnFormula>_xlfn.SWITCH(PROPER(TRIM(M4)),
   "Annual",1,
   "Semi-Annual",2,
   "Quarterly",4,
   "Monthly",12,
   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4BF1-643C-45A6-9CB3-F885878F5BF4}">
  <sheetPr filterMode="1"/>
  <dimension ref="A1:AD1950"/>
  <sheetViews>
    <sheetView topLeftCell="C1" zoomScale="96" zoomScaleNormal="96" workbookViewId="0">
      <pane ySplit="2" topLeftCell="A3" activePane="bottomLeft" state="frozen"/>
      <selection pane="bottomLeft" activeCell="N5" sqref="A5:XFD5"/>
    </sheetView>
  </sheetViews>
  <sheetFormatPr defaultColWidth="8.81640625" defaultRowHeight="14.5" x14ac:dyDescent="0.35"/>
  <cols>
    <col min="1" max="1" width="13.81640625" customWidth="1"/>
    <col min="2" max="2" width="46.81640625" bestFit="1" customWidth="1"/>
    <col min="3" max="3" width="17.7265625" bestFit="1" customWidth="1"/>
    <col min="4" max="4" width="27.453125" bestFit="1" customWidth="1"/>
    <col min="5" max="5" width="9.453125" bestFit="1" customWidth="1"/>
    <col min="6" max="6" width="18.453125" bestFit="1" customWidth="1"/>
    <col min="7" max="7" width="11" bestFit="1" customWidth="1"/>
    <col min="8" max="8" width="13.81640625" bestFit="1" customWidth="1"/>
    <col min="9" max="9" width="7.26953125" customWidth="1"/>
    <col min="10" max="10" width="12" bestFit="1" customWidth="1"/>
    <col min="11" max="11" width="8.1796875" customWidth="1"/>
    <col min="12" max="12" width="7.81640625" customWidth="1"/>
    <col min="13" max="13" width="15.7265625" bestFit="1" customWidth="1"/>
    <col min="14" max="14" width="15.7265625" customWidth="1"/>
    <col min="15" max="15" width="11.81640625" customWidth="1"/>
    <col min="16" max="16" width="13.7265625" bestFit="1" customWidth="1"/>
    <col min="17" max="17" width="22.453125" customWidth="1"/>
    <col min="18" max="18" width="10.1796875" customWidth="1"/>
    <col min="19" max="19" width="13.26953125" customWidth="1"/>
    <col min="20" max="20" width="12.26953125" customWidth="1"/>
    <col min="21" max="21" width="13.81640625" customWidth="1"/>
    <col min="22" max="22" width="11.26953125" customWidth="1"/>
    <col min="23" max="23" width="0.1796875" style="19" customWidth="1"/>
    <col min="24" max="24" width="0.1796875" style="27" customWidth="1"/>
    <col min="25" max="25" width="24" bestFit="1" customWidth="1"/>
    <col min="26" max="26" width="23.453125" bestFit="1" customWidth="1"/>
    <col min="27" max="27" width="23.453125" customWidth="1"/>
    <col min="28" max="28" width="9.81640625" customWidth="1"/>
    <col min="29" max="29" width="10" customWidth="1"/>
    <col min="30" max="30" width="23.1796875" bestFit="1" customWidth="1"/>
  </cols>
  <sheetData>
    <row r="1" spans="1:30" x14ac:dyDescent="0.35">
      <c r="A1" s="117" t="s">
        <v>2205</v>
      </c>
      <c r="B1" s="117" t="s">
        <v>2204</v>
      </c>
      <c r="C1" s="119" t="s">
        <v>2217</v>
      </c>
      <c r="D1" s="119" t="s">
        <v>2218</v>
      </c>
      <c r="E1" s="119"/>
      <c r="F1" s="117" t="s">
        <v>2215</v>
      </c>
      <c r="G1" s="117" t="s">
        <v>2203</v>
      </c>
      <c r="H1" s="117" t="s">
        <v>2216</v>
      </c>
      <c r="I1" s="117"/>
      <c r="J1" s="117" t="s">
        <v>2202</v>
      </c>
      <c r="K1" s="117"/>
      <c r="L1" s="117"/>
      <c r="M1" s="117" t="s">
        <v>45</v>
      </c>
      <c r="N1" s="117" t="s">
        <v>61</v>
      </c>
      <c r="O1" s="117" t="s">
        <v>60</v>
      </c>
      <c r="P1" s="117" t="s">
        <v>2221</v>
      </c>
      <c r="Q1" s="117" t="s">
        <v>2200</v>
      </c>
      <c r="R1" s="117" t="s">
        <v>2199</v>
      </c>
      <c r="S1" s="117" t="s">
        <v>2198</v>
      </c>
      <c r="T1" s="117"/>
      <c r="U1" s="117" t="s">
        <v>2209</v>
      </c>
      <c r="V1" s="117" t="s">
        <v>2219</v>
      </c>
      <c r="W1" s="122" t="s">
        <v>2210</v>
      </c>
      <c r="X1" s="124" t="s">
        <v>2211</v>
      </c>
      <c r="Y1" s="117" t="s">
        <v>2213</v>
      </c>
      <c r="Z1" s="117" t="s">
        <v>2214</v>
      </c>
      <c r="AA1" s="117" t="s">
        <v>36</v>
      </c>
      <c r="AB1" s="117" t="s">
        <v>2196</v>
      </c>
      <c r="AC1" s="117" t="s">
        <v>2197</v>
      </c>
      <c r="AD1" s="121" t="s">
        <v>2212</v>
      </c>
    </row>
    <row r="2" spans="1:30" ht="15" thickBot="1" x14ac:dyDescent="0.4">
      <c r="A2" s="118"/>
      <c r="B2" s="118"/>
      <c r="C2" s="120"/>
      <c r="D2" s="120"/>
      <c r="E2" s="12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23"/>
      <c r="X2" s="124"/>
      <c r="Y2" s="118"/>
      <c r="Z2" s="118"/>
      <c r="AA2" s="118"/>
      <c r="AB2" s="118"/>
      <c r="AC2" s="118"/>
      <c r="AD2" s="121"/>
    </row>
    <row r="3" spans="1:30" hidden="1" x14ac:dyDescent="0.35">
      <c r="A3" t="s">
        <v>2195</v>
      </c>
      <c r="B3" t="s">
        <v>2194</v>
      </c>
      <c r="C3" s="36">
        <f>RATE(U3,V3,-F3,H3)</f>
        <v>0.39761211732948082</v>
      </c>
      <c r="D3" s="3">
        <f>C3*AD3</f>
        <v>1.5904484693179233</v>
      </c>
      <c r="F3">
        <v>12724.84</v>
      </c>
      <c r="G3" t="s">
        <v>76</v>
      </c>
      <c r="H3">
        <v>100000</v>
      </c>
      <c r="I3" s="22"/>
      <c r="J3">
        <v>10</v>
      </c>
      <c r="K3" s="22"/>
      <c r="M3" s="22">
        <v>0.1</v>
      </c>
      <c r="N3" s="21">
        <v>45139</v>
      </c>
      <c r="O3" s="21">
        <v>45870</v>
      </c>
      <c r="P3">
        <f>ROUND(YEARFRAC(N3,O3),0)</f>
        <v>2</v>
      </c>
      <c r="Q3" s="6">
        <f>(M3*H3)/F3</f>
        <v>0.78586449809977965</v>
      </c>
      <c r="R3" s="5">
        <f>IF(S3="Quarterly",4,IF(S3="Semi-annual",2,IF(S3="Annual",1,IF(S3="Pays at maturity",0,IF(S3="Monthly",12,0)))))</f>
        <v>4</v>
      </c>
      <c r="S3" t="s">
        <v>105</v>
      </c>
      <c r="U3">
        <f>R3*P3</f>
        <v>8</v>
      </c>
      <c r="V3">
        <f>(H3*M3)/AD3</f>
        <v>2500</v>
      </c>
      <c r="Y3" s="5">
        <f>DURATION(N3,O3,M3,D3,AD3)</f>
        <v>1.4161487651401181</v>
      </c>
      <c r="Z3" s="5">
        <f>Y3/(1+C3)</f>
        <v>1.0132630846432962</v>
      </c>
      <c r="AA3" s="5">
        <f>-Z3*F3</f>
        <v>-12893.610629992401</v>
      </c>
      <c r="AB3" t="s">
        <v>64</v>
      </c>
      <c r="AC3" t="s">
        <v>62</v>
      </c>
      <c r="AD3">
        <f>_xlfn.SWITCH(PROPER(TRIM(S3)),
   "Annual",1,
   "Semi-Annual",2,
   "Quarterly",4,
   "Monthly",12,
   "")</f>
        <v>4</v>
      </c>
    </row>
    <row r="4" spans="1:30" x14ac:dyDescent="0.35">
      <c r="A4" t="s">
        <v>2193</v>
      </c>
      <c r="B4" t="s">
        <v>316</v>
      </c>
      <c r="C4" s="36">
        <f>RATE(U4,V4,-F4,H4)</f>
        <v>8.5847009649252876E-2</v>
      </c>
      <c r="D4" s="3">
        <f>C4*AD4</f>
        <v>8.5847009649252876E-2</v>
      </c>
      <c r="F4">
        <v>997.84</v>
      </c>
      <c r="G4" t="s">
        <v>76</v>
      </c>
      <c r="H4">
        <v>1000</v>
      </c>
      <c r="I4" s="22"/>
      <c r="J4">
        <v>220</v>
      </c>
      <c r="K4" s="22"/>
      <c r="L4">
        <v>11.444720596488301</v>
      </c>
      <c r="M4" s="22">
        <v>8.5000000000000006E-2</v>
      </c>
      <c r="N4" s="21">
        <v>44784</v>
      </c>
      <c r="O4" s="21">
        <v>45879</v>
      </c>
      <c r="P4">
        <f>ROUND(YEARFRAC(N4,O4),0)</f>
        <v>3</v>
      </c>
      <c r="Q4" s="6">
        <f>(M4*H4)/F4</f>
        <v>8.5183997434458425E-2</v>
      </c>
      <c r="R4" s="5">
        <f>IF(S4="Quarterly",4,IF(S4="Semi-annual",2,IF(S4="Annual",1,IF(S4="Pays at maturity",0,IF(S4="Monthly",12,0)))))</f>
        <v>1</v>
      </c>
      <c r="S4" t="s">
        <v>93</v>
      </c>
      <c r="U4">
        <f>R4*P4</f>
        <v>3</v>
      </c>
      <c r="V4">
        <f>(H4*M4)/AD4</f>
        <v>85</v>
      </c>
      <c r="W4" s="28">
        <f>RATE(U4,V4,-F4,H4)</f>
        <v>8.5847009649252876E-2</v>
      </c>
      <c r="X4" s="27">
        <f>W4*AD4</f>
        <v>8.5847009649252876E-2</v>
      </c>
      <c r="Y4" s="5">
        <f>DURATION(N4,O4,M4,D4,AD4)</f>
        <v>2.7680763595319644</v>
      </c>
      <c r="Z4" s="5">
        <f>Y4/(1+C4)</f>
        <v>2.5492323825859224</v>
      </c>
      <c r="AA4" s="5">
        <f>-Z4*F4</f>
        <v>-2543.7260406395371</v>
      </c>
      <c r="AB4" t="s">
        <v>64</v>
      </c>
      <c r="AC4" t="s">
        <v>62</v>
      </c>
      <c r="AD4">
        <f>_xlfn.SWITCH(PROPER(TRIM(S4)),
   "Annual",1,
   "Semi-Annual",2,
   "Quarterly",4,
   "Monthly",12,
   "")</f>
        <v>1</v>
      </c>
    </row>
    <row r="5" spans="1:30" x14ac:dyDescent="0.35">
      <c r="C5" s="28"/>
      <c r="D5" s="27"/>
      <c r="I5" s="22"/>
      <c r="K5" s="22"/>
      <c r="M5" s="22"/>
      <c r="N5" s="21"/>
      <c r="O5" s="21"/>
      <c r="P5" s="5"/>
      <c r="Q5" s="6"/>
      <c r="R5" s="5"/>
      <c r="W5" s="28"/>
      <c r="Y5" s="33"/>
      <c r="Z5" s="33"/>
      <c r="AA5" s="33"/>
    </row>
    <row r="6" spans="1:30" x14ac:dyDescent="0.35">
      <c r="A6" t="s">
        <v>2191</v>
      </c>
      <c r="B6" t="s">
        <v>353</v>
      </c>
      <c r="C6" s="36">
        <f>RATE(U6,V6,-F6,H6)</f>
        <v>9.5000000000000001E-2</v>
      </c>
      <c r="D6" s="3">
        <f>C6*AD6</f>
        <v>9.5000000000000001E-2</v>
      </c>
      <c r="F6">
        <v>1000</v>
      </c>
      <c r="G6" t="s">
        <v>76</v>
      </c>
      <c r="H6">
        <v>1000</v>
      </c>
      <c r="I6" s="22"/>
      <c r="J6">
        <v>100</v>
      </c>
      <c r="K6" s="22"/>
      <c r="L6">
        <v>9.5</v>
      </c>
      <c r="M6" s="22">
        <v>9.5000000000000001E-2</v>
      </c>
      <c r="N6" s="21">
        <v>45518</v>
      </c>
      <c r="O6" s="21">
        <v>45884</v>
      </c>
      <c r="P6">
        <f>ROUND(YEARFRAC(N6,O6),0)</f>
        <v>1</v>
      </c>
      <c r="Q6" s="6">
        <f>(M6*H6)/F6</f>
        <v>9.5000000000000001E-2</v>
      </c>
      <c r="R6" s="5">
        <f>IF(S6="Quarterly",4,IF(S6="Semi-annual",2,IF(S6="Annual",1,IF(S6="Pays at maturity",0,IF(S6="Monthly",12,0)))))</f>
        <v>1</v>
      </c>
      <c r="S6" t="s">
        <v>93</v>
      </c>
      <c r="U6">
        <f>R6*P6</f>
        <v>1</v>
      </c>
      <c r="V6">
        <f>(H6*M6)/AD6</f>
        <v>95</v>
      </c>
      <c r="W6" s="28">
        <f>RATE(U6,V6,-F6,H6)</f>
        <v>9.5000000000000001E-2</v>
      </c>
      <c r="X6" s="27">
        <f>W6*AD6</f>
        <v>9.5000000000000001E-2</v>
      </c>
      <c r="Y6" s="5">
        <f>DURATION(N6,O6,M6,D6,AD6)</f>
        <v>0.91601978691019781</v>
      </c>
      <c r="Z6" s="5">
        <f>Y6/(1+C6)</f>
        <v>0.83654775060292041</v>
      </c>
      <c r="AA6" s="5">
        <f>-Z6*F6</f>
        <v>-836.54775060292036</v>
      </c>
      <c r="AB6" t="s">
        <v>64</v>
      </c>
      <c r="AC6" t="s">
        <v>62</v>
      </c>
      <c r="AD6">
        <f>_xlfn.SWITCH(PROPER(TRIM(S6)),
   "Annual",1,
   "Semi-Annual",2,
   "Quarterly",4,
   "Monthly",12,
   "")</f>
        <v>1</v>
      </c>
    </row>
    <row r="7" spans="1:30" x14ac:dyDescent="0.35">
      <c r="C7" s="28"/>
      <c r="D7" s="27"/>
      <c r="I7" s="22"/>
      <c r="K7" s="22"/>
      <c r="M7" s="22"/>
      <c r="N7" s="21"/>
      <c r="O7" s="21"/>
      <c r="P7" s="5"/>
      <c r="Q7" s="6"/>
      <c r="R7" s="5"/>
      <c r="W7" s="28"/>
      <c r="Y7" s="33"/>
      <c r="Z7" s="33"/>
      <c r="AA7" s="33"/>
    </row>
    <row r="8" spans="1:30" x14ac:dyDescent="0.35">
      <c r="A8" t="s">
        <v>2189</v>
      </c>
      <c r="B8" t="s">
        <v>1696</v>
      </c>
      <c r="C8" s="36">
        <f>RATE(U8,V8,-F8,H8)</f>
        <v>4.6699999999999998E-2</v>
      </c>
      <c r="D8" s="3">
        <f>C8*AD8</f>
        <v>9.3399999999999997E-2</v>
      </c>
      <c r="F8">
        <v>1000000</v>
      </c>
      <c r="G8" t="s">
        <v>76</v>
      </c>
      <c r="H8">
        <v>1000000</v>
      </c>
      <c r="I8" s="22"/>
      <c r="J8">
        <v>1</v>
      </c>
      <c r="K8" s="22"/>
      <c r="M8" s="22">
        <v>9.3399999999999997E-2</v>
      </c>
      <c r="N8" s="21">
        <v>40406</v>
      </c>
      <c r="O8" s="21">
        <v>45885</v>
      </c>
      <c r="P8">
        <f>ROUND(YEARFRAC(N8,O8),0)</f>
        <v>15</v>
      </c>
      <c r="Q8" s="6">
        <f>(M8*H8)/F8</f>
        <v>9.3399999999999997E-2</v>
      </c>
      <c r="R8" s="5">
        <f>IF(S8="Quarterly",4,IF(S8="Semi-annual",2,IF(S8="Annual",1,IF(S8="Pays at maturity",0,IF(S8="Monthly",12,0)))))</f>
        <v>2</v>
      </c>
      <c r="S8" t="s">
        <v>65</v>
      </c>
      <c r="U8">
        <f>R8*P8</f>
        <v>30</v>
      </c>
      <c r="V8">
        <f>(H8*M8)/AD8</f>
        <v>46700</v>
      </c>
      <c r="W8" s="28">
        <f>RATE(U8,V8,-F8,H8)</f>
        <v>4.6699999999999998E-2</v>
      </c>
      <c r="X8" s="27">
        <f>W8*AD8</f>
        <v>9.3399999999999997E-2</v>
      </c>
      <c r="Y8" s="5">
        <f>DURATION(N8,O8,M8,D8,AD8)</f>
        <v>8.3568759069053389</v>
      </c>
      <c r="Z8" s="5">
        <f>Y8/(1+C8)</f>
        <v>7.9840220759580962</v>
      </c>
      <c r="AA8" s="5">
        <f>-Z8*F8</f>
        <v>-7984022.0759580964</v>
      </c>
      <c r="AB8" t="s">
        <v>64</v>
      </c>
      <c r="AC8" t="s">
        <v>62</v>
      </c>
      <c r="AD8">
        <f>_xlfn.SWITCH(PROPER(TRIM(S8)),
   "Annual",1,
   "Semi-Annual",2,
   "Quarterly",4,
   "Monthly",12,
   "")</f>
        <v>2</v>
      </c>
    </row>
    <row r="9" spans="1:30" x14ac:dyDescent="0.35">
      <c r="A9" t="s">
        <v>2188</v>
      </c>
      <c r="B9" t="s">
        <v>1495</v>
      </c>
      <c r="C9" s="36">
        <f>RATE(U9,V9,-F9,H9)</f>
        <v>2.6540883332180014E-2</v>
      </c>
      <c r="D9" s="3">
        <f>C9*AD9</f>
        <v>0.10616353332872006</v>
      </c>
      <c r="F9">
        <v>100238</v>
      </c>
      <c r="G9" t="s">
        <v>76</v>
      </c>
      <c r="H9">
        <v>100000</v>
      </c>
      <c r="I9" s="22"/>
      <c r="J9">
        <v>5</v>
      </c>
      <c r="K9" s="22"/>
      <c r="M9" s="22">
        <v>0.1075</v>
      </c>
      <c r="N9" s="21">
        <v>45342</v>
      </c>
      <c r="O9" s="21">
        <v>45889</v>
      </c>
      <c r="P9">
        <f>ROUND(YEARFRAC(N9,O9),0)</f>
        <v>2</v>
      </c>
      <c r="Q9" s="6">
        <f>(M9*H9)/F9</f>
        <v>0.10724475747720426</v>
      </c>
      <c r="R9" s="5">
        <f>IF(S9="Quarterly",4,IF(S9="Semi-annual",2,IF(S9="Annual",1,IF(S9="Pays at maturity",0,IF(S9="Monthly",12,0)))))</f>
        <v>4</v>
      </c>
      <c r="S9" t="s">
        <v>105</v>
      </c>
      <c r="U9">
        <f>R9*P9</f>
        <v>8</v>
      </c>
      <c r="V9">
        <f>(H9*M9)/AD9</f>
        <v>2687.5</v>
      </c>
      <c r="W9" s="28">
        <f>RATE(U9,V9,-F9,H9)</f>
        <v>2.6540883332180014E-2</v>
      </c>
      <c r="X9" s="27">
        <f>W9*AD9</f>
        <v>0.10616353332872006</v>
      </c>
      <c r="Y9" s="5">
        <f>DURATION(N9,O9,M9,D9,AD9)</f>
        <v>1.4053172186342</v>
      </c>
      <c r="Z9" s="5">
        <f>Y9/(1+C9)</f>
        <v>1.3689831953623721</v>
      </c>
      <c r="AA9" s="5">
        <f>-Z9*F9</f>
        <v>-137224.13753673347</v>
      </c>
      <c r="AB9" t="s">
        <v>69</v>
      </c>
      <c r="AC9" t="s">
        <v>62</v>
      </c>
      <c r="AD9">
        <f>_xlfn.SWITCH(PROPER(TRIM(S9)),
   "Annual",1,
   "Semi-Annual",2,
   "Quarterly",4,
   "Monthly",12,
   "")</f>
        <v>4</v>
      </c>
    </row>
    <row r="10" spans="1:30" x14ac:dyDescent="0.35">
      <c r="A10" t="s">
        <v>2187</v>
      </c>
      <c r="B10" t="s">
        <v>114</v>
      </c>
      <c r="C10" s="36">
        <f>RATE(U10,V10,-F10,H10)</f>
        <v>5.7215909327662406E-2</v>
      </c>
      <c r="D10" s="3">
        <f>C10*AD10</f>
        <v>5.7215909327662406E-2</v>
      </c>
      <c r="F10">
        <v>1106532.8999999999</v>
      </c>
      <c r="G10" t="s">
        <v>76</v>
      </c>
      <c r="H10">
        <v>1000000</v>
      </c>
      <c r="I10" s="22"/>
      <c r="J10">
        <v>8</v>
      </c>
      <c r="K10" s="22"/>
      <c r="L10">
        <v>3.47599555417789</v>
      </c>
      <c r="M10" s="22">
        <v>7.1500000000000008E-2</v>
      </c>
      <c r="N10" s="21">
        <v>42237</v>
      </c>
      <c r="O10" s="21">
        <v>45890</v>
      </c>
      <c r="P10">
        <f>ROUND(YEARFRAC(N10,O10),0)</f>
        <v>10</v>
      </c>
      <c r="Q10" s="6">
        <f>(M10*H10)/F10</f>
        <v>6.4616244126134897E-2</v>
      </c>
      <c r="R10" s="5">
        <f>IF(S10="Quarterly",4,IF(S10="Semi-annual",2,IF(S10="Annual",1,IF(S10="Pays at maturity",0,IF(S10="Monthly",12,0)))))</f>
        <v>1</v>
      </c>
      <c r="S10" t="s">
        <v>93</v>
      </c>
      <c r="U10">
        <f>R10*P10</f>
        <v>10</v>
      </c>
      <c r="V10">
        <f>(H10*M10)/AD10</f>
        <v>71500.000000000015</v>
      </c>
      <c r="W10" s="28">
        <f>RATE(U10,V10,-F10,H10)</f>
        <v>5.7215909327662406E-2</v>
      </c>
      <c r="X10" s="27">
        <f>W10*AD10</f>
        <v>5.7215909327662406E-2</v>
      </c>
      <c r="Y10" s="5">
        <f>DURATION(N10,O10,M10,D10,AD10)</f>
        <v>7.6113042349575606</v>
      </c>
      <c r="Z10" s="5">
        <f>Y10/(1+C10)</f>
        <v>7.199384882316024</v>
      </c>
      <c r="AA10" s="5">
        <f>-Z10*F10</f>
        <v>-7966356.2320453078</v>
      </c>
      <c r="AB10" t="s">
        <v>64</v>
      </c>
      <c r="AC10" t="s">
        <v>62</v>
      </c>
      <c r="AD10">
        <f>_xlfn.SWITCH(PROPER(TRIM(S10)),
   "Annual",1,
   "Semi-Annual",2,
   "Quarterly",4,
   "Monthly",12,
   "")</f>
        <v>1</v>
      </c>
    </row>
    <row r="11" spans="1:30" x14ac:dyDescent="0.35">
      <c r="A11" t="s">
        <v>2186</v>
      </c>
      <c r="B11" t="s">
        <v>72</v>
      </c>
      <c r="C11" s="36">
        <f>RATE(U11,V11,-F11,H11)</f>
        <v>6.059966178986425E-2</v>
      </c>
      <c r="D11" s="3">
        <f>C11*AD11</f>
        <v>6.059966178986425E-2</v>
      </c>
      <c r="F11">
        <v>1080000</v>
      </c>
      <c r="G11" t="s">
        <v>76</v>
      </c>
      <c r="H11">
        <v>1000000</v>
      </c>
      <c r="I11" s="22"/>
      <c r="J11">
        <v>7</v>
      </c>
      <c r="K11" s="22"/>
      <c r="L11">
        <v>0.84322570433681598</v>
      </c>
      <c r="M11" s="22">
        <v>7.1500000000000008E-2</v>
      </c>
      <c r="N11" s="21">
        <v>42237</v>
      </c>
      <c r="O11" s="21">
        <v>45890</v>
      </c>
      <c r="P11">
        <f>ROUND(YEARFRAC(N11,O11),0)</f>
        <v>10</v>
      </c>
      <c r="Q11" s="6">
        <f>(M11*H11)/F11</f>
        <v>6.6203703703703723E-2</v>
      </c>
      <c r="R11" s="5">
        <f>IF(S11="Quarterly",4,IF(S11="Semi-annual",2,IF(S11="Annual",1,IF(S11="Pays at maturity",0,IF(S11="Monthly",12,0)))))</f>
        <v>1</v>
      </c>
      <c r="S11" t="s">
        <v>93</v>
      </c>
      <c r="U11">
        <f>R11*P11</f>
        <v>10</v>
      </c>
      <c r="V11">
        <f>(H11*M11)/AD11</f>
        <v>71500.000000000015</v>
      </c>
      <c r="W11" s="28">
        <f>RATE(U11,V11,-F11,H11)</f>
        <v>6.059966178986425E-2</v>
      </c>
      <c r="X11" s="27">
        <f>W11*AD11</f>
        <v>6.059966178986425E-2</v>
      </c>
      <c r="Y11" s="5">
        <f>DURATION(N11,O11,M11,D11,AD11)</f>
        <v>7.5790461484439087</v>
      </c>
      <c r="Z11" s="5">
        <f>Y11/(1+C11)</f>
        <v>7.1460009101393984</v>
      </c>
      <c r="AA11" s="5">
        <f>-Z11*F11</f>
        <v>-7717680.9829505505</v>
      </c>
      <c r="AB11" t="s">
        <v>64</v>
      </c>
      <c r="AC11" t="s">
        <v>62</v>
      </c>
      <c r="AD11">
        <f>_xlfn.SWITCH(PROPER(TRIM(S11)),
   "Annual",1,
   "Semi-Annual",2,
   "Quarterly",4,
   "Monthly",12,
   "")</f>
        <v>1</v>
      </c>
    </row>
    <row r="12" spans="1:30" x14ac:dyDescent="0.35">
      <c r="A12" t="s">
        <v>2185</v>
      </c>
      <c r="B12" t="s">
        <v>1446</v>
      </c>
      <c r="C12" s="36">
        <f>RATE(U12,V12,-F12,H12)</f>
        <v>2.6058789452280719E-2</v>
      </c>
      <c r="D12" s="3">
        <f>C12*AD12</f>
        <v>0.10423515780912287</v>
      </c>
      <c r="F12">
        <v>99508.89</v>
      </c>
      <c r="G12" t="s">
        <v>76</v>
      </c>
      <c r="H12">
        <v>100000</v>
      </c>
      <c r="I12" s="22"/>
      <c r="J12">
        <v>1</v>
      </c>
      <c r="K12" s="22"/>
      <c r="M12" s="22">
        <v>9.9000000000000005E-2</v>
      </c>
      <c r="N12" s="21">
        <v>45463</v>
      </c>
      <c r="O12" s="21">
        <v>45891</v>
      </c>
      <c r="P12">
        <f>ROUND(YEARFRAC(N12,O12),0)</f>
        <v>1</v>
      </c>
      <c r="Q12" s="6">
        <f>(M12*H12)/F12</f>
        <v>9.9488598455876653E-2</v>
      </c>
      <c r="R12" s="5">
        <f>IF(S12="Quarterly",4,IF(S12="Semi-annual",2,IF(S12="Annual",1,IF(S12="Pays at maturity",0,IF(S12="Monthly",12,0)))))</f>
        <v>4</v>
      </c>
      <c r="S12" t="s">
        <v>105</v>
      </c>
      <c r="U12">
        <f>R12*P12</f>
        <v>4</v>
      </c>
      <c r="V12">
        <f>(H12*M12)/AD12</f>
        <v>2475</v>
      </c>
      <c r="W12" s="28">
        <f>RATE(U12,V12,-F12,H12)</f>
        <v>2.6058789452280719E-2</v>
      </c>
      <c r="X12" s="27">
        <f>W12*AD12</f>
        <v>0.10423515780912287</v>
      </c>
      <c r="Y12" s="5">
        <f>DURATION(N12,O12,M12,D12,AD12)</f>
        <v>1.1130722763875076</v>
      </c>
      <c r="Z12" s="5">
        <f>Y12/(1+C12)</f>
        <v>1.084803607580493</v>
      </c>
      <c r="AA12" s="5">
        <f>-Z12*F12</f>
        <v>-107947.60285833044</v>
      </c>
      <c r="AB12" t="s">
        <v>64</v>
      </c>
      <c r="AC12" t="s">
        <v>62</v>
      </c>
      <c r="AD12">
        <f>_xlfn.SWITCH(PROPER(TRIM(S12)),
   "Annual",1,
   "Semi-Annual",2,
   "Quarterly",4,
   "Monthly",12,
   "")</f>
        <v>4</v>
      </c>
    </row>
    <row r="13" spans="1:30" x14ac:dyDescent="0.35">
      <c r="C13" s="28"/>
      <c r="D13" s="27"/>
      <c r="I13" s="22"/>
      <c r="K13" s="22"/>
      <c r="M13" s="22"/>
      <c r="N13" s="21"/>
      <c r="O13" s="21"/>
      <c r="P13" s="5"/>
      <c r="Q13" s="6"/>
      <c r="R13" s="5"/>
      <c r="W13" s="28"/>
      <c r="Y13" s="33"/>
      <c r="Z13" s="33"/>
      <c r="AA13" s="33"/>
    </row>
    <row r="14" spans="1:30" x14ac:dyDescent="0.35">
      <c r="A14" t="s">
        <v>2183</v>
      </c>
      <c r="B14" t="s">
        <v>1086</v>
      </c>
      <c r="C14" s="36">
        <f t="shared" ref="C14:C19" si="0">RATE(U14,V14,-F14,H14)</f>
        <v>9.5000000000276599E-2</v>
      </c>
      <c r="D14" s="3">
        <f t="shared" ref="D14:D19" si="1">C14*AD14</f>
        <v>9.5000000000276599E-2</v>
      </c>
      <c r="F14">
        <v>100000</v>
      </c>
      <c r="G14" t="s">
        <v>76</v>
      </c>
      <c r="H14">
        <v>100000</v>
      </c>
      <c r="I14" s="22"/>
      <c r="J14">
        <v>1</v>
      </c>
      <c r="K14" s="22"/>
      <c r="L14">
        <v>9.5</v>
      </c>
      <c r="M14" s="22">
        <v>9.5000000000000001E-2</v>
      </c>
      <c r="N14" s="21">
        <v>45345</v>
      </c>
      <c r="O14" s="21">
        <v>45892</v>
      </c>
      <c r="P14">
        <f t="shared" ref="P14:P19" si="2">ROUND(YEARFRAC(N14,O14),0)</f>
        <v>2</v>
      </c>
      <c r="Q14" s="6">
        <f t="shared" ref="Q14:Q19" si="3">(M14*H14)/F14</f>
        <v>9.5000000000000001E-2</v>
      </c>
      <c r="R14" s="5">
        <f t="shared" ref="R14:R19" si="4">IF(S14="Quarterly",4,IF(S14="Semi-annual",2,IF(S14="Annual",1,IF(S14="Pays at maturity",0,IF(S14="Monthly",12,0)))))</f>
        <v>1</v>
      </c>
      <c r="S14" t="s">
        <v>93</v>
      </c>
      <c r="U14">
        <f t="shared" ref="U14:U19" si="5">R14*P14</f>
        <v>2</v>
      </c>
      <c r="V14">
        <f t="shared" ref="V14:V19" si="6">(H14*M14)/AD14</f>
        <v>9500</v>
      </c>
      <c r="W14" s="28">
        <f t="shared" ref="W14:W19" si="7">RATE(U14,V14,-F14,H14)</f>
        <v>9.5000000000276599E-2</v>
      </c>
      <c r="X14" s="27">
        <f t="shared" ref="X14:X19" si="8">W14*AD14</f>
        <v>9.5000000000276599E-2</v>
      </c>
      <c r="Y14" s="5">
        <f t="shared" ref="Y14:Y19" si="9">DURATION(N14,O14,M14,D14,AD14)</f>
        <v>1.4132420091324003</v>
      </c>
      <c r="Z14" s="5">
        <f t="shared" ref="Z14:Z19" si="10">Y14/(1+C14)</f>
        <v>1.2906319718100852</v>
      </c>
      <c r="AA14" s="5">
        <f t="shared" ref="AA14:AA19" si="11">-Z14*F14</f>
        <v>-129063.19718100851</v>
      </c>
      <c r="AB14" t="s">
        <v>64</v>
      </c>
      <c r="AC14" t="s">
        <v>62</v>
      </c>
      <c r="AD14">
        <f t="shared" ref="AD14:AD19" si="12">_xlfn.SWITCH(PROPER(TRIM(S14)),
   "Annual",1,
   "Semi-Annual",2,
   "Quarterly",4,
   "Monthly",12,
   "")</f>
        <v>1</v>
      </c>
    </row>
    <row r="15" spans="1:30" x14ac:dyDescent="0.35">
      <c r="A15" t="s">
        <v>2182</v>
      </c>
      <c r="B15" t="s">
        <v>2181</v>
      </c>
      <c r="C15" s="36">
        <f t="shared" si="0"/>
        <v>0.19017603377679074</v>
      </c>
      <c r="D15" s="3">
        <f t="shared" si="1"/>
        <v>0.19017603377679074</v>
      </c>
      <c r="F15">
        <v>90000</v>
      </c>
      <c r="G15" t="s">
        <v>76</v>
      </c>
      <c r="H15">
        <v>100000</v>
      </c>
      <c r="I15" s="22"/>
      <c r="J15">
        <v>1</v>
      </c>
      <c r="K15" s="22"/>
      <c r="L15">
        <v>23.811976209786401</v>
      </c>
      <c r="M15" s="22">
        <v>0.1255</v>
      </c>
      <c r="N15" s="21">
        <v>45286</v>
      </c>
      <c r="O15" s="21">
        <v>45895</v>
      </c>
      <c r="P15">
        <f t="shared" si="2"/>
        <v>2</v>
      </c>
      <c r="Q15" s="6">
        <f t="shared" si="3"/>
        <v>0.13944444444444445</v>
      </c>
      <c r="R15" s="5">
        <f t="shared" si="4"/>
        <v>1</v>
      </c>
      <c r="S15" t="s">
        <v>93</v>
      </c>
      <c r="U15">
        <f t="shared" si="5"/>
        <v>2</v>
      </c>
      <c r="V15">
        <f t="shared" si="6"/>
        <v>12550</v>
      </c>
      <c r="W15" s="28">
        <f t="shared" si="7"/>
        <v>0.19017603377679074</v>
      </c>
      <c r="X15" s="27">
        <f t="shared" si="8"/>
        <v>0.19017603377679074</v>
      </c>
      <c r="Y15" s="5">
        <f t="shared" si="9"/>
        <v>1.5495037928672801</v>
      </c>
      <c r="Z15" s="5">
        <f t="shared" si="10"/>
        <v>1.3019114390585005</v>
      </c>
      <c r="AA15" s="5">
        <f t="shared" si="11"/>
        <v>-117172.02951526505</v>
      </c>
      <c r="AB15" t="s">
        <v>79</v>
      </c>
      <c r="AC15" t="s">
        <v>62</v>
      </c>
      <c r="AD15">
        <f t="shared" si="12"/>
        <v>1</v>
      </c>
    </row>
    <row r="16" spans="1:30" x14ac:dyDescent="0.35">
      <c r="A16" t="s">
        <v>2180</v>
      </c>
      <c r="B16" t="s">
        <v>598</v>
      </c>
      <c r="C16" s="36">
        <f t="shared" si="0"/>
        <v>0.10338557866596433</v>
      </c>
      <c r="D16" s="3">
        <f t="shared" si="1"/>
        <v>0.10338557866596433</v>
      </c>
      <c r="F16">
        <v>998.47</v>
      </c>
      <c r="G16" t="s">
        <v>76</v>
      </c>
      <c r="H16">
        <v>1000</v>
      </c>
      <c r="I16" s="22"/>
      <c r="J16">
        <v>1</v>
      </c>
      <c r="K16" s="22"/>
      <c r="L16">
        <v>11.863722924646099</v>
      </c>
      <c r="M16" s="22">
        <v>0.10249999999999999</v>
      </c>
      <c r="N16" s="21">
        <v>45349</v>
      </c>
      <c r="O16" s="21">
        <v>45896</v>
      </c>
      <c r="P16">
        <f t="shared" si="2"/>
        <v>2</v>
      </c>
      <c r="Q16" s="6">
        <f t="shared" si="3"/>
        <v>0.10265706530992418</v>
      </c>
      <c r="R16" s="5">
        <f t="shared" si="4"/>
        <v>1</v>
      </c>
      <c r="S16" t="s">
        <v>93</v>
      </c>
      <c r="U16">
        <f t="shared" si="5"/>
        <v>2</v>
      </c>
      <c r="V16">
        <f t="shared" si="6"/>
        <v>102.5</v>
      </c>
      <c r="W16" s="28">
        <f t="shared" si="7"/>
        <v>0.10338557866596433</v>
      </c>
      <c r="X16" s="27">
        <f t="shared" si="8"/>
        <v>0.10338557866596433</v>
      </c>
      <c r="Y16" s="5">
        <f t="shared" si="9"/>
        <v>1.4069617481913879</v>
      </c>
      <c r="Z16" s="5">
        <f t="shared" si="10"/>
        <v>1.2751315364230686</v>
      </c>
      <c r="AA16" s="5">
        <f t="shared" si="11"/>
        <v>-1273.1805851723414</v>
      </c>
      <c r="AB16" t="s">
        <v>64</v>
      </c>
      <c r="AC16" t="s">
        <v>62</v>
      </c>
      <c r="AD16">
        <f t="shared" si="12"/>
        <v>1</v>
      </c>
    </row>
    <row r="17" spans="1:30" x14ac:dyDescent="0.35">
      <c r="A17" t="s">
        <v>2179</v>
      </c>
      <c r="B17" t="s">
        <v>598</v>
      </c>
      <c r="C17" s="36">
        <f t="shared" si="0"/>
        <v>8.516441804390272E-2</v>
      </c>
      <c r="D17" s="3">
        <f t="shared" si="1"/>
        <v>8.516441804390272E-2</v>
      </c>
      <c r="F17">
        <v>1039.55</v>
      </c>
      <c r="G17" t="s">
        <v>76</v>
      </c>
      <c r="H17">
        <v>1000</v>
      </c>
      <c r="I17" s="22"/>
      <c r="J17">
        <v>4</v>
      </c>
      <c r="K17" s="22"/>
      <c r="L17">
        <v>-19.204811410829301</v>
      </c>
      <c r="M17" s="22">
        <v>0.1075</v>
      </c>
      <c r="N17" s="21">
        <v>45349</v>
      </c>
      <c r="O17" s="21">
        <v>45896</v>
      </c>
      <c r="P17">
        <f t="shared" si="2"/>
        <v>2</v>
      </c>
      <c r="Q17" s="6">
        <f t="shared" si="3"/>
        <v>0.10341012938290607</v>
      </c>
      <c r="R17" s="5">
        <f t="shared" si="4"/>
        <v>1</v>
      </c>
      <c r="S17" t="s">
        <v>93</v>
      </c>
      <c r="U17">
        <f t="shared" si="5"/>
        <v>2</v>
      </c>
      <c r="V17">
        <f t="shared" si="6"/>
        <v>107.5</v>
      </c>
      <c r="W17" s="28">
        <f t="shared" si="7"/>
        <v>8.516441804390272E-2</v>
      </c>
      <c r="X17" s="27">
        <f t="shared" si="8"/>
        <v>8.516441804390272E-2</v>
      </c>
      <c r="Y17" s="5">
        <f t="shared" si="9"/>
        <v>1.4047055656604448</v>
      </c>
      <c r="Z17" s="5">
        <f t="shared" si="10"/>
        <v>1.2944633479528762</v>
      </c>
      <c r="AA17" s="5">
        <f t="shared" si="11"/>
        <v>-1345.6593733644124</v>
      </c>
      <c r="AB17" t="s">
        <v>64</v>
      </c>
      <c r="AC17" t="s">
        <v>62</v>
      </c>
      <c r="AD17">
        <f t="shared" si="12"/>
        <v>1</v>
      </c>
    </row>
    <row r="18" spans="1:30" x14ac:dyDescent="0.35">
      <c r="A18" t="s">
        <v>2178</v>
      </c>
      <c r="B18" t="s">
        <v>2177</v>
      </c>
      <c r="C18" s="36">
        <f t="shared" si="0"/>
        <v>-5.1132153410176039E-2</v>
      </c>
      <c r="D18" s="3">
        <f t="shared" si="1"/>
        <v>-5.1132153410176039E-2</v>
      </c>
      <c r="F18">
        <v>1444844</v>
      </c>
      <c r="G18" t="s">
        <v>76</v>
      </c>
      <c r="H18">
        <v>1000000</v>
      </c>
      <c r="I18" s="22"/>
      <c r="J18">
        <v>1863</v>
      </c>
      <c r="K18" s="22"/>
      <c r="L18">
        <v>-8.1778983246780399</v>
      </c>
      <c r="M18" s="22">
        <v>1E-4</v>
      </c>
      <c r="N18" s="21">
        <v>43340</v>
      </c>
      <c r="O18" s="21">
        <v>45897</v>
      </c>
      <c r="P18">
        <f t="shared" si="2"/>
        <v>7</v>
      </c>
      <c r="Q18" s="6">
        <f t="shared" si="3"/>
        <v>6.92116242307128E-5</v>
      </c>
      <c r="R18" s="5">
        <f t="shared" si="4"/>
        <v>1</v>
      </c>
      <c r="S18" t="s">
        <v>93</v>
      </c>
      <c r="U18">
        <f t="shared" si="5"/>
        <v>7</v>
      </c>
      <c r="V18">
        <f t="shared" si="6"/>
        <v>100</v>
      </c>
      <c r="W18" s="28">
        <f t="shared" si="7"/>
        <v>-5.1132153410176039E-2</v>
      </c>
      <c r="X18" s="27">
        <f t="shared" si="8"/>
        <v>-5.1132153410176039E-2</v>
      </c>
      <c r="Y18" s="5" t="e">
        <f t="shared" si="9"/>
        <v>#NUM!</v>
      </c>
      <c r="Z18" s="5" t="e">
        <f t="shared" si="10"/>
        <v>#NUM!</v>
      </c>
      <c r="AA18" s="5" t="e">
        <f t="shared" si="11"/>
        <v>#NUM!</v>
      </c>
      <c r="AB18" t="s">
        <v>64</v>
      </c>
      <c r="AC18" t="s">
        <v>62</v>
      </c>
      <c r="AD18">
        <f t="shared" si="12"/>
        <v>1</v>
      </c>
    </row>
    <row r="19" spans="1:30" x14ac:dyDescent="0.35">
      <c r="A19" t="s">
        <v>2176</v>
      </c>
      <c r="B19" t="s">
        <v>357</v>
      </c>
      <c r="C19" s="36">
        <f t="shared" si="0"/>
        <v>0.10208835851108114</v>
      </c>
      <c r="D19" s="3">
        <f t="shared" si="1"/>
        <v>0.10208835851108114</v>
      </c>
      <c r="F19">
        <v>993.41</v>
      </c>
      <c r="G19" t="s">
        <v>76</v>
      </c>
      <c r="H19">
        <v>1000</v>
      </c>
      <c r="I19" s="22"/>
      <c r="J19">
        <v>17</v>
      </c>
      <c r="K19" s="22"/>
      <c r="L19">
        <v>12.0510145465172</v>
      </c>
      <c r="M19" s="22">
        <v>0.1</v>
      </c>
      <c r="N19" s="21">
        <v>44406</v>
      </c>
      <c r="O19" s="21">
        <v>45898</v>
      </c>
      <c r="P19">
        <f t="shared" si="2"/>
        <v>4</v>
      </c>
      <c r="Q19" s="6">
        <f t="shared" si="3"/>
        <v>0.100663371618969</v>
      </c>
      <c r="R19" s="5">
        <f t="shared" si="4"/>
        <v>1</v>
      </c>
      <c r="S19" t="s">
        <v>93</v>
      </c>
      <c r="U19">
        <f t="shared" si="5"/>
        <v>4</v>
      </c>
      <c r="V19">
        <f t="shared" si="6"/>
        <v>100</v>
      </c>
      <c r="W19" s="28">
        <f t="shared" si="7"/>
        <v>0.10208835851108114</v>
      </c>
      <c r="X19" s="27">
        <f t="shared" si="8"/>
        <v>0.10208835851108114</v>
      </c>
      <c r="Y19" s="5">
        <f t="shared" si="9"/>
        <v>3.249630423367575</v>
      </c>
      <c r="Z19" s="5">
        <f t="shared" si="10"/>
        <v>2.9486115140149183</v>
      </c>
      <c r="AA19" s="5">
        <f t="shared" si="11"/>
        <v>-2929.18016413756</v>
      </c>
      <c r="AB19" t="s">
        <v>64</v>
      </c>
      <c r="AC19" t="s">
        <v>62</v>
      </c>
      <c r="AD19">
        <f t="shared" si="12"/>
        <v>1</v>
      </c>
    </row>
    <row r="20" spans="1:30" x14ac:dyDescent="0.35">
      <c r="C20" s="28"/>
      <c r="D20" s="27"/>
      <c r="I20" s="22"/>
      <c r="K20" s="22"/>
      <c r="M20" s="22"/>
      <c r="N20" s="21"/>
      <c r="O20" s="21"/>
      <c r="P20" s="5"/>
      <c r="Q20" s="6"/>
      <c r="R20" s="5"/>
      <c r="W20" s="28"/>
      <c r="Y20" s="33"/>
      <c r="Z20" s="33"/>
      <c r="AA20" s="33"/>
    </row>
    <row r="21" spans="1:30" x14ac:dyDescent="0.35">
      <c r="A21" t="s">
        <v>2174</v>
      </c>
      <c r="B21" t="s">
        <v>1654</v>
      </c>
      <c r="C21" s="36">
        <f>RATE(U21,V21,-F21,H21)</f>
        <v>0.11319127362826738</v>
      </c>
      <c r="D21" s="3">
        <f>C21*AD21</f>
        <v>0.11319127362826738</v>
      </c>
      <c r="F21">
        <v>99200</v>
      </c>
      <c r="G21" t="s">
        <v>76</v>
      </c>
      <c r="H21">
        <v>100000</v>
      </c>
      <c r="I21" s="22"/>
      <c r="J21">
        <v>3</v>
      </c>
      <c r="K21" s="22"/>
      <c r="L21">
        <v>14.4839438398756</v>
      </c>
      <c r="M21" s="22">
        <v>0.1085</v>
      </c>
      <c r="N21" s="21">
        <v>45355</v>
      </c>
      <c r="O21" s="21">
        <v>45904</v>
      </c>
      <c r="P21">
        <f>ROUND(YEARFRAC(N21,O21),0)</f>
        <v>2</v>
      </c>
      <c r="Q21" s="6">
        <f>(M21*H21)/F21</f>
        <v>0.109375</v>
      </c>
      <c r="R21" s="5">
        <f>IF(S21="Quarterly",4,IF(S21="Semi-annual",2,IF(S21="Annual",1,IF(S21="Pays at maturity",0,IF(S21="Monthly",12,0)))))</f>
        <v>1</v>
      </c>
      <c r="S21" t="s">
        <v>93</v>
      </c>
      <c r="U21">
        <f>R21*P21</f>
        <v>2</v>
      </c>
      <c r="V21">
        <f>(H21*M21)/AD21</f>
        <v>10850</v>
      </c>
      <c r="W21" s="28">
        <f>RATE(U21,V21,-F21,H21)</f>
        <v>0.11319127362826738</v>
      </c>
      <c r="X21" s="27">
        <f>W21*AD21</f>
        <v>0.11319127362826738</v>
      </c>
      <c r="Y21" s="5">
        <f>DURATION(N21,O21,M21,D21,AD21)</f>
        <v>1.4017464450260109</v>
      </c>
      <c r="Z21" s="5">
        <f>Y21/(1+C21)</f>
        <v>1.2592143670487501</v>
      </c>
      <c r="AA21" s="5">
        <f>-Z21*F21</f>
        <v>-124914.06521123601</v>
      </c>
      <c r="AB21" t="s">
        <v>64</v>
      </c>
      <c r="AC21" t="s">
        <v>62</v>
      </c>
      <c r="AD21">
        <f>_xlfn.SWITCH(PROPER(TRIM(S21)),
   "Annual",1,
   "Semi-Annual",2,
   "Quarterly",4,
   "Monthly",12,
   "")</f>
        <v>1</v>
      </c>
    </row>
    <row r="22" spans="1:30" x14ac:dyDescent="0.35">
      <c r="A22" t="s">
        <v>2173</v>
      </c>
      <c r="B22" t="s">
        <v>1446</v>
      </c>
      <c r="C22" s="36">
        <f>RATE(U22,V22,-F22,H22)</f>
        <v>6.1183404501770768E-2</v>
      </c>
      <c r="D22" s="3">
        <f>C22*AD22</f>
        <v>6.1183404501770768E-2</v>
      </c>
      <c r="F22">
        <v>1080.2</v>
      </c>
      <c r="G22" t="s">
        <v>76</v>
      </c>
      <c r="H22">
        <v>1000</v>
      </c>
      <c r="I22" s="22"/>
      <c r="J22">
        <v>9</v>
      </c>
      <c r="K22" s="22"/>
      <c r="L22">
        <v>-50.500936040650899</v>
      </c>
      <c r="M22" s="22">
        <v>0.105</v>
      </c>
      <c r="N22" s="21">
        <v>45175</v>
      </c>
      <c r="O22" s="21">
        <v>45906</v>
      </c>
      <c r="P22">
        <f>ROUND(YEARFRAC(N22,O22),0)</f>
        <v>2</v>
      </c>
      <c r="Q22" s="6">
        <f>(M22*H22)/F22</f>
        <v>9.7204221440473984E-2</v>
      </c>
      <c r="R22" s="5">
        <f>IF(S22="Quarterly",4,IF(S22="Semi-annual",2,IF(S22="Annual",1,IF(S22="Pays at maturity",0,IF(S22="Monthly",12,0)))))</f>
        <v>1</v>
      </c>
      <c r="S22" t="s">
        <v>93</v>
      </c>
      <c r="U22">
        <f>R22*P22</f>
        <v>2</v>
      </c>
      <c r="V22">
        <f>(H22*M22)/AD22</f>
        <v>105</v>
      </c>
      <c r="W22" s="28">
        <f>RATE(U22,V22,-F22,H22)</f>
        <v>6.1183404501770768E-2</v>
      </c>
      <c r="X22" s="27">
        <f>W22*AD22</f>
        <v>6.1183404501770768E-2</v>
      </c>
      <c r="Y22" s="5">
        <f>DURATION(N22,O22,M22,D22,AD22)</f>
        <v>1.9084001681253977</v>
      </c>
      <c r="Z22" s="5">
        <f>Y22/(1+C22)</f>
        <v>1.7983697822916842</v>
      </c>
      <c r="AA22" s="5">
        <f>-Z22*F22</f>
        <v>-1942.5990388314774</v>
      </c>
      <c r="AB22" t="s">
        <v>64</v>
      </c>
      <c r="AC22" t="s">
        <v>62</v>
      </c>
      <c r="AD22">
        <f>_xlfn.SWITCH(PROPER(TRIM(S22)),
   "Annual",1,
   "Semi-Annual",2,
   "Quarterly",4,
   "Monthly",12,
   "")</f>
        <v>1</v>
      </c>
    </row>
    <row r="23" spans="1:30" x14ac:dyDescent="0.35">
      <c r="A23" t="s">
        <v>2172</v>
      </c>
      <c r="B23" t="s">
        <v>1446</v>
      </c>
      <c r="C23" s="36">
        <f>RATE(U23,V23,-F23,H23)</f>
        <v>0.11200984980181118</v>
      </c>
      <c r="D23" s="3">
        <f>C23*AD23</f>
        <v>0.11200984980181118</v>
      </c>
      <c r="F23">
        <v>980</v>
      </c>
      <c r="G23" t="s">
        <v>76</v>
      </c>
      <c r="H23">
        <v>1000</v>
      </c>
      <c r="I23" s="22"/>
      <c r="J23">
        <v>50</v>
      </c>
      <c r="K23" s="22"/>
      <c r="L23">
        <v>26.787981859410401</v>
      </c>
      <c r="M23" s="22">
        <v>0.1003</v>
      </c>
      <c r="N23" s="21">
        <v>45175</v>
      </c>
      <c r="O23" s="21">
        <v>45906</v>
      </c>
      <c r="P23">
        <f>ROUND(YEARFRAC(N23,O23),0)</f>
        <v>2</v>
      </c>
      <c r="Q23" s="6">
        <f>(M23*H23)/F23</f>
        <v>0.1023469387755102</v>
      </c>
      <c r="R23" s="5">
        <f>IF(S23="Quarterly",4,IF(S23="Semi-annual",2,IF(S23="Annual",1,IF(S23="Pays at maturity",0,IF(S23="Monthly",12,0)))))</f>
        <v>1</v>
      </c>
      <c r="S23" t="s">
        <v>93</v>
      </c>
      <c r="U23">
        <f>R23*P23</f>
        <v>2</v>
      </c>
      <c r="V23">
        <f>(H23*M23)/AD23</f>
        <v>100.3</v>
      </c>
      <c r="W23" s="28">
        <f>RATE(U23,V23,-F23,H23)</f>
        <v>0.11200984980181118</v>
      </c>
      <c r="X23" s="27">
        <f>W23*AD23</f>
        <v>0.11200984980181118</v>
      </c>
      <c r="Y23" s="5">
        <f>DURATION(N23,O23,M23,D23,AD23)</f>
        <v>1.9079622012397182</v>
      </c>
      <c r="Z23" s="5">
        <f>Y23/(1+C23)</f>
        <v>1.7157781485296792</v>
      </c>
      <c r="AA23" s="5">
        <f>-Z23*F23</f>
        <v>-1681.4625855590857</v>
      </c>
      <c r="AB23" t="s">
        <v>64</v>
      </c>
      <c r="AC23" t="s">
        <v>62</v>
      </c>
      <c r="AD23">
        <f>_xlfn.SWITCH(PROPER(TRIM(S23)),
   "Annual",1,
   "Semi-Annual",2,
   "Quarterly",4,
   "Monthly",12,
   "")</f>
        <v>1</v>
      </c>
    </row>
    <row r="24" spans="1:30" x14ac:dyDescent="0.35">
      <c r="A24" t="s">
        <v>2171</v>
      </c>
      <c r="B24" t="s">
        <v>1446</v>
      </c>
      <c r="C24" s="36">
        <f>RATE(U24,V24,-F24,H24)</f>
        <v>0.2477575782663276</v>
      </c>
      <c r="D24" s="3">
        <f>C24*AD24</f>
        <v>0.99103031306531042</v>
      </c>
      <c r="F24">
        <v>251</v>
      </c>
      <c r="G24" t="s">
        <v>76</v>
      </c>
      <c r="H24">
        <v>1000</v>
      </c>
      <c r="I24" s="22"/>
      <c r="J24">
        <v>1786</v>
      </c>
      <c r="K24" s="22"/>
      <c r="M24" s="22">
        <v>9.6500000000000002E-2</v>
      </c>
      <c r="N24" s="21">
        <v>45175</v>
      </c>
      <c r="O24" s="21">
        <v>45906</v>
      </c>
      <c r="P24">
        <f>ROUND(YEARFRAC(N24,O24),0)</f>
        <v>2</v>
      </c>
      <c r="Q24" s="6">
        <f>(M24*H24)/F24</f>
        <v>0.3844621513944223</v>
      </c>
      <c r="R24" s="5">
        <f>IF(S24="Quarterly",4,IF(S24="Semi-annual",2,IF(S24="Annual",1,IF(S24="Pays at maturity",0,IF(S24="Monthly",12,0)))))</f>
        <v>4</v>
      </c>
      <c r="S24" t="s">
        <v>105</v>
      </c>
      <c r="U24">
        <f>R24*P24</f>
        <v>8</v>
      </c>
      <c r="V24">
        <f>(H24*M24)/AD24</f>
        <v>24.125</v>
      </c>
      <c r="W24" s="28">
        <f>RATE(U24,V24,-F24,H24)</f>
        <v>0.2477575782663276</v>
      </c>
      <c r="X24" s="27">
        <f>W24*AD24</f>
        <v>0.99103031306531042</v>
      </c>
      <c r="Y24" s="5">
        <f>DURATION(N24,O24,M24,D24,AD24)</f>
        <v>1.6294228155625456</v>
      </c>
      <c r="Z24" s="5">
        <f>Y24/(1+C24)</f>
        <v>1.3058809210572098</v>
      </c>
      <c r="AA24" s="5">
        <f>-Z24*F24</f>
        <v>-327.77611118535964</v>
      </c>
      <c r="AB24" t="s">
        <v>64</v>
      </c>
      <c r="AC24" t="s">
        <v>62</v>
      </c>
      <c r="AD24">
        <f>_xlfn.SWITCH(PROPER(TRIM(S24)),
   "Annual",1,
   "Semi-Annual",2,
   "Quarterly",4,
   "Monthly",12,
   "")</f>
        <v>4</v>
      </c>
    </row>
    <row r="25" spans="1:30" x14ac:dyDescent="0.35">
      <c r="A25" t="s">
        <v>2170</v>
      </c>
      <c r="B25" t="s">
        <v>875</v>
      </c>
      <c r="C25" s="36">
        <f>RATE(U25,V25,-F25,H25)</f>
        <v>9.0118731301082514E-2</v>
      </c>
      <c r="D25" s="3">
        <f>C25*AD25</f>
        <v>9.0118731301082514E-2</v>
      </c>
      <c r="F25">
        <v>1001.55</v>
      </c>
      <c r="G25" t="s">
        <v>76</v>
      </c>
      <c r="H25">
        <v>1000</v>
      </c>
      <c r="I25" s="22"/>
      <c r="J25">
        <v>25</v>
      </c>
      <c r="K25" s="22"/>
      <c r="L25">
        <v>8.4053452089021192</v>
      </c>
      <c r="M25" s="22">
        <v>9.0999999999999998E-2</v>
      </c>
      <c r="N25" s="21">
        <v>45176</v>
      </c>
      <c r="O25" s="21">
        <v>45907</v>
      </c>
      <c r="P25">
        <f>ROUND(YEARFRAC(N25,O25),0)</f>
        <v>2</v>
      </c>
      <c r="Q25" s="6">
        <f>(M25*H25)/F25</f>
        <v>9.0859168289151818E-2</v>
      </c>
      <c r="R25" s="5">
        <f>IF(S25="Quarterly",4,IF(S25="Semi-annual",2,IF(S25="Annual",1,IF(S25="Pays at maturity",0,IF(S25="Monthly",12,0)))))</f>
        <v>1</v>
      </c>
      <c r="S25" t="s">
        <v>93</v>
      </c>
      <c r="U25">
        <f>R25*P25</f>
        <v>2</v>
      </c>
      <c r="V25">
        <f>(H25*M25)/AD25</f>
        <v>91</v>
      </c>
      <c r="W25" s="28">
        <f>RATE(U25,V25,-F25,H25)</f>
        <v>9.0118731301082514E-2</v>
      </c>
      <c r="X25" s="27">
        <f>W25*AD25</f>
        <v>9.0118731301082514E-2</v>
      </c>
      <c r="Y25" s="5">
        <f>DURATION(N25,O25,M25,D25,AD25)</f>
        <v>1.9166520437817729</v>
      </c>
      <c r="Z25" s="5">
        <f>Y25/(1+C25)</f>
        <v>1.7582048530568806</v>
      </c>
      <c r="AA25" s="5">
        <f>-Z25*F25</f>
        <v>-1760.9300705791186</v>
      </c>
      <c r="AB25" t="s">
        <v>64</v>
      </c>
      <c r="AC25" t="s">
        <v>62</v>
      </c>
      <c r="AD25">
        <f>_xlfn.SWITCH(PROPER(TRIM(S25)),
   "Annual",1,
   "Semi-Annual",2,
   "Quarterly",4,
   "Monthly",12,
   "")</f>
        <v>1</v>
      </c>
    </row>
    <row r="26" spans="1:30" x14ac:dyDescent="0.35">
      <c r="C26" s="28"/>
      <c r="D26" s="27"/>
      <c r="I26" s="22"/>
      <c r="K26" s="22"/>
      <c r="M26" s="22"/>
      <c r="N26" s="21"/>
      <c r="O26" s="21"/>
      <c r="P26" s="5"/>
      <c r="Q26" s="6"/>
      <c r="R26" s="5"/>
      <c r="W26" s="28"/>
      <c r="Y26" s="33"/>
      <c r="Z26" s="33"/>
      <c r="AA26" s="33"/>
    </row>
    <row r="27" spans="1:30" x14ac:dyDescent="0.35">
      <c r="A27" t="s">
        <v>2168</v>
      </c>
      <c r="B27" t="s">
        <v>353</v>
      </c>
      <c r="C27" s="36">
        <f t="shared" ref="C27:C32" si="13">RATE(U27,V27,-F27,H27)</f>
        <v>0.11055276381909555</v>
      </c>
      <c r="D27" s="3">
        <f t="shared" ref="D27:D32" si="14">C27*AD27</f>
        <v>0.11055276381909555</v>
      </c>
      <c r="F27">
        <v>995</v>
      </c>
      <c r="G27" t="s">
        <v>76</v>
      </c>
      <c r="H27">
        <v>1000</v>
      </c>
      <c r="I27" s="22"/>
      <c r="J27">
        <v>10</v>
      </c>
      <c r="K27" s="22"/>
      <c r="L27">
        <v>13.418655778894401</v>
      </c>
      <c r="M27" s="22">
        <v>0.105</v>
      </c>
      <c r="N27" s="21">
        <v>45362</v>
      </c>
      <c r="O27" s="21">
        <v>45910</v>
      </c>
      <c r="P27">
        <f t="shared" ref="P27:P32" si="15">ROUND(YEARFRAC(N27,O27),0)</f>
        <v>1</v>
      </c>
      <c r="Q27" s="6">
        <f t="shared" ref="Q27:Q32" si="16">(M27*H27)/F27</f>
        <v>0.10552763819095477</v>
      </c>
      <c r="R27" s="5">
        <f t="shared" ref="R27:R32" si="17">IF(S27="Quarterly",4,IF(S27="Semi-annual",2,IF(S27="Annual",1,IF(S27="Pays at maturity",0,IF(S27="Monthly",12,0)))))</f>
        <v>1</v>
      </c>
      <c r="S27" t="s">
        <v>93</v>
      </c>
      <c r="U27">
        <f t="shared" ref="U27:U32" si="18">R27*P27</f>
        <v>1</v>
      </c>
      <c r="V27">
        <f t="shared" ref="V27:V32" si="19">(H27*M27)/AD27</f>
        <v>105</v>
      </c>
      <c r="W27" s="28">
        <f t="shared" ref="W27:W32" si="20">RATE(U27,V27,-F27,H27)</f>
        <v>0.11055276381909555</v>
      </c>
      <c r="X27" s="27">
        <f t="shared" ref="X27:X32" si="21">W27*AD27</f>
        <v>0.11055276381909555</v>
      </c>
      <c r="Y27" s="5">
        <f t="shared" ref="Y27:Y32" si="22">DURATION(N27,O27,M27,D27,AD27)</f>
        <v>1.401767676767677</v>
      </c>
      <c r="Z27" s="5">
        <f t="shared" ref="Z27:Z32" si="23">Y27/(1+C27)</f>
        <v>1.2622251931075461</v>
      </c>
      <c r="AA27" s="5">
        <f t="shared" ref="AA27:AA32" si="24">-Z27*F27</f>
        <v>-1255.9140671420084</v>
      </c>
      <c r="AB27" t="s">
        <v>64</v>
      </c>
      <c r="AC27" t="s">
        <v>62</v>
      </c>
      <c r="AD27">
        <f t="shared" ref="AD27:AD32" si="25">_xlfn.SWITCH(PROPER(TRIM(S27)),
   "Annual",1,
   "Semi-Annual",2,
   "Quarterly",4,
   "Monthly",12,
   "")</f>
        <v>1</v>
      </c>
    </row>
    <row r="28" spans="1:30" x14ac:dyDescent="0.35">
      <c r="A28" t="s">
        <v>2167</v>
      </c>
      <c r="B28" t="s">
        <v>326</v>
      </c>
      <c r="C28" s="36">
        <f t="shared" si="13"/>
        <v>0.10076784268527811</v>
      </c>
      <c r="D28" s="3">
        <f t="shared" si="14"/>
        <v>0.10076784268527811</v>
      </c>
      <c r="F28">
        <v>990</v>
      </c>
      <c r="G28" t="s">
        <v>76</v>
      </c>
      <c r="H28">
        <v>1000</v>
      </c>
      <c r="I28" s="22"/>
      <c r="J28">
        <v>10</v>
      </c>
      <c r="K28" s="22"/>
      <c r="L28">
        <v>12.476325757575699</v>
      </c>
      <c r="M28" s="22">
        <v>9.5000000000000001E-2</v>
      </c>
      <c r="N28" s="21">
        <v>45181</v>
      </c>
      <c r="O28" s="21">
        <v>45911</v>
      </c>
      <c r="P28">
        <f t="shared" si="15"/>
        <v>2</v>
      </c>
      <c r="Q28" s="6">
        <f t="shared" si="16"/>
        <v>9.5959595959595953E-2</v>
      </c>
      <c r="R28" s="5">
        <f t="shared" si="17"/>
        <v>1</v>
      </c>
      <c r="S28" t="s">
        <v>93</v>
      </c>
      <c r="U28">
        <f t="shared" si="18"/>
        <v>2</v>
      </c>
      <c r="V28">
        <f t="shared" si="19"/>
        <v>95</v>
      </c>
      <c r="W28" s="28">
        <f t="shared" si="20"/>
        <v>0.10076784268527811</v>
      </c>
      <c r="X28" s="27">
        <f t="shared" si="21"/>
        <v>0.10076784268527811</v>
      </c>
      <c r="Y28" s="5">
        <f t="shared" si="22"/>
        <v>1.9100470775291272</v>
      </c>
      <c r="Z28" s="5">
        <f t="shared" si="23"/>
        <v>1.7351952005335163</v>
      </c>
      <c r="AA28" s="5">
        <f t="shared" si="24"/>
        <v>-1717.8432485281812</v>
      </c>
      <c r="AB28" t="s">
        <v>64</v>
      </c>
      <c r="AC28" t="s">
        <v>62</v>
      </c>
      <c r="AD28">
        <f t="shared" si="25"/>
        <v>1</v>
      </c>
    </row>
    <row r="29" spans="1:30" x14ac:dyDescent="0.35">
      <c r="A29" t="s">
        <v>2166</v>
      </c>
      <c r="B29" t="s">
        <v>326</v>
      </c>
      <c r="C29" s="36">
        <f t="shared" si="13"/>
        <v>0.11620795107033623</v>
      </c>
      <c r="D29" s="3">
        <f t="shared" si="14"/>
        <v>0.11620795107033623</v>
      </c>
      <c r="F29">
        <v>981</v>
      </c>
      <c r="G29" t="s">
        <v>76</v>
      </c>
      <c r="H29">
        <v>1000</v>
      </c>
      <c r="I29" s="22"/>
      <c r="J29">
        <v>10</v>
      </c>
      <c r="K29" s="22"/>
      <c r="L29">
        <v>22.086306489976199</v>
      </c>
      <c r="M29" s="22">
        <v>9.5000000000000001E-2</v>
      </c>
      <c r="N29" s="21">
        <v>45512</v>
      </c>
      <c r="O29" s="21">
        <v>45911</v>
      </c>
      <c r="P29">
        <f t="shared" si="15"/>
        <v>1</v>
      </c>
      <c r="Q29" s="6">
        <f t="shared" si="16"/>
        <v>9.6839959225280325E-2</v>
      </c>
      <c r="R29" s="5">
        <f t="shared" si="17"/>
        <v>1</v>
      </c>
      <c r="S29" t="s">
        <v>93</v>
      </c>
      <c r="U29">
        <f t="shared" si="18"/>
        <v>1</v>
      </c>
      <c r="V29">
        <f t="shared" si="19"/>
        <v>95</v>
      </c>
      <c r="W29" s="28">
        <f t="shared" si="20"/>
        <v>0.11620795107033623</v>
      </c>
      <c r="X29" s="27">
        <f t="shared" si="21"/>
        <v>0.11620795107033623</v>
      </c>
      <c r="Y29" s="5">
        <f t="shared" si="22"/>
        <v>1.0033767038413879</v>
      </c>
      <c r="Z29" s="5">
        <f t="shared" si="23"/>
        <v>0.89891556755105173</v>
      </c>
      <c r="AA29" s="5">
        <f t="shared" si="24"/>
        <v>-881.83617176758173</v>
      </c>
      <c r="AB29" t="s">
        <v>64</v>
      </c>
      <c r="AC29" t="s">
        <v>62</v>
      </c>
      <c r="AD29">
        <f t="shared" si="25"/>
        <v>1</v>
      </c>
    </row>
    <row r="30" spans="1:30" x14ac:dyDescent="0.35">
      <c r="A30" t="s">
        <v>2165</v>
      </c>
      <c r="B30" t="s">
        <v>882</v>
      </c>
      <c r="C30" s="36">
        <f t="shared" si="13"/>
        <v>0.10173259154111272</v>
      </c>
      <c r="D30" s="3">
        <f t="shared" si="14"/>
        <v>0.10173259154111272</v>
      </c>
      <c r="F30">
        <v>997</v>
      </c>
      <c r="G30" t="s">
        <v>76</v>
      </c>
      <c r="H30">
        <v>1000</v>
      </c>
      <c r="I30" s="22"/>
      <c r="J30">
        <v>20</v>
      </c>
      <c r="K30" s="22"/>
      <c r="L30">
        <v>12.102344770159499</v>
      </c>
      <c r="M30" s="22">
        <v>0.1</v>
      </c>
      <c r="N30" s="21">
        <v>45364</v>
      </c>
      <c r="O30" s="21">
        <v>45913</v>
      </c>
      <c r="P30">
        <f t="shared" si="15"/>
        <v>2</v>
      </c>
      <c r="Q30" s="6">
        <f t="shared" si="16"/>
        <v>0.10030090270812438</v>
      </c>
      <c r="R30" s="5">
        <f t="shared" si="17"/>
        <v>1</v>
      </c>
      <c r="S30" t="s">
        <v>93</v>
      </c>
      <c r="U30">
        <f t="shared" si="18"/>
        <v>2</v>
      </c>
      <c r="V30">
        <f t="shared" si="19"/>
        <v>100</v>
      </c>
      <c r="W30" s="28">
        <f t="shared" si="20"/>
        <v>0.10173259154111272</v>
      </c>
      <c r="X30" s="27">
        <f t="shared" si="21"/>
        <v>0.10173259154111272</v>
      </c>
      <c r="Y30" s="5">
        <f t="shared" si="22"/>
        <v>1.4089607555606376</v>
      </c>
      <c r="Z30" s="5">
        <f t="shared" si="23"/>
        <v>1.2788591046306179</v>
      </c>
      <c r="AA30" s="5">
        <f t="shared" si="24"/>
        <v>-1275.0225273167262</v>
      </c>
      <c r="AB30" t="s">
        <v>64</v>
      </c>
      <c r="AC30" t="s">
        <v>62</v>
      </c>
      <c r="AD30">
        <f t="shared" si="25"/>
        <v>1</v>
      </c>
    </row>
    <row r="31" spans="1:30" x14ac:dyDescent="0.35">
      <c r="A31" t="s">
        <v>2164</v>
      </c>
      <c r="B31" t="s">
        <v>119</v>
      </c>
      <c r="C31" s="36">
        <f t="shared" si="13"/>
        <v>5.6474071954619919E-2</v>
      </c>
      <c r="D31" s="3">
        <f t="shared" si="14"/>
        <v>5.6474071954619919E-2</v>
      </c>
      <c r="F31">
        <v>1060.8499999999999</v>
      </c>
      <c r="G31" t="s">
        <v>76</v>
      </c>
      <c r="H31">
        <v>1000</v>
      </c>
      <c r="I31" s="22"/>
      <c r="J31">
        <v>14</v>
      </c>
      <c r="K31" s="22"/>
      <c r="L31">
        <v>-29.629328111677101</v>
      </c>
      <c r="M31" s="22">
        <v>8.9499999999999996E-2</v>
      </c>
      <c r="N31" s="21">
        <v>45184</v>
      </c>
      <c r="O31" s="21">
        <v>45915</v>
      </c>
      <c r="P31">
        <f t="shared" si="15"/>
        <v>2</v>
      </c>
      <c r="Q31" s="6">
        <f t="shared" si="16"/>
        <v>8.436631003440638E-2</v>
      </c>
      <c r="R31" s="5">
        <f t="shared" si="17"/>
        <v>1</v>
      </c>
      <c r="S31" t="s">
        <v>93</v>
      </c>
      <c r="U31">
        <f t="shared" si="18"/>
        <v>2</v>
      </c>
      <c r="V31">
        <f t="shared" si="19"/>
        <v>89.5</v>
      </c>
      <c r="W31" s="28">
        <f t="shared" si="20"/>
        <v>5.6474071954619919E-2</v>
      </c>
      <c r="X31" s="27">
        <f t="shared" si="21"/>
        <v>5.6474071954619919E-2</v>
      </c>
      <c r="Y31" s="5">
        <f t="shared" si="22"/>
        <v>1.9201435110675924</v>
      </c>
      <c r="Z31" s="5">
        <f t="shared" si="23"/>
        <v>1.817501784511443</v>
      </c>
      <c r="AA31" s="5">
        <f t="shared" si="24"/>
        <v>-1928.096768098964</v>
      </c>
      <c r="AB31" t="s">
        <v>64</v>
      </c>
      <c r="AC31" t="s">
        <v>62</v>
      </c>
      <c r="AD31">
        <f t="shared" si="25"/>
        <v>1</v>
      </c>
    </row>
    <row r="32" spans="1:30" x14ac:dyDescent="0.35">
      <c r="A32" t="s">
        <v>2163</v>
      </c>
      <c r="B32" t="s">
        <v>882</v>
      </c>
      <c r="C32" s="36">
        <f t="shared" si="13"/>
        <v>2.5260972918455468E-2</v>
      </c>
      <c r="D32" s="3">
        <f t="shared" si="14"/>
        <v>0.10104389167382187</v>
      </c>
      <c r="F32">
        <v>100136.86</v>
      </c>
      <c r="G32" t="s">
        <v>76</v>
      </c>
      <c r="H32">
        <v>100000</v>
      </c>
      <c r="I32" s="22"/>
      <c r="J32">
        <v>1</v>
      </c>
      <c r="K32" s="22"/>
      <c r="M32" s="22">
        <v>0.10249999999999999</v>
      </c>
      <c r="N32" s="21">
        <v>45447</v>
      </c>
      <c r="O32" s="21">
        <v>45915</v>
      </c>
      <c r="P32">
        <f t="shared" si="15"/>
        <v>1</v>
      </c>
      <c r="Q32" s="6">
        <f t="shared" si="16"/>
        <v>0.10235991022686351</v>
      </c>
      <c r="R32" s="5">
        <f t="shared" si="17"/>
        <v>4</v>
      </c>
      <c r="S32" t="s">
        <v>105</v>
      </c>
      <c r="U32">
        <f t="shared" si="18"/>
        <v>4</v>
      </c>
      <c r="V32">
        <f t="shared" si="19"/>
        <v>2562.5</v>
      </c>
      <c r="W32" s="28">
        <f t="shared" si="20"/>
        <v>2.5260972918455468E-2</v>
      </c>
      <c r="X32" s="27">
        <f t="shared" si="21"/>
        <v>0.10104389167382187</v>
      </c>
      <c r="Y32" s="5">
        <f t="shared" si="22"/>
        <v>1.1900334665573287</v>
      </c>
      <c r="Z32" s="5">
        <f t="shared" si="23"/>
        <v>1.1607127336270688</v>
      </c>
      <c r="AA32" s="5">
        <f t="shared" si="24"/>
        <v>-116230.12850743109</v>
      </c>
      <c r="AB32" t="s">
        <v>64</v>
      </c>
      <c r="AC32" t="s">
        <v>62</v>
      </c>
      <c r="AD32">
        <f t="shared" si="25"/>
        <v>4</v>
      </c>
    </row>
    <row r="33" spans="1:30" x14ac:dyDescent="0.35">
      <c r="C33" s="28"/>
      <c r="D33" s="27"/>
      <c r="I33" s="22"/>
      <c r="K33" s="22"/>
      <c r="M33" s="22"/>
      <c r="N33" s="21"/>
      <c r="O33" s="21"/>
      <c r="P33" s="5"/>
      <c r="Q33" s="6"/>
      <c r="R33" s="5"/>
      <c r="W33" s="28"/>
      <c r="Y33" s="33"/>
      <c r="Z33" s="33"/>
      <c r="AA33" s="33"/>
    </row>
    <row r="34" spans="1:30" x14ac:dyDescent="0.35">
      <c r="A34" t="s">
        <v>2161</v>
      </c>
      <c r="B34" t="s">
        <v>465</v>
      </c>
      <c r="C34" s="36">
        <f>RATE(U34,V34,-F34,H34)</f>
        <v>0.11949556135138238</v>
      </c>
      <c r="D34" s="3">
        <f>C34*AD34</f>
        <v>0.11949556135138238</v>
      </c>
      <c r="F34">
        <v>99151.8</v>
      </c>
      <c r="G34" t="s">
        <v>76</v>
      </c>
      <c r="H34">
        <v>100000</v>
      </c>
      <c r="I34" s="22"/>
      <c r="J34">
        <v>1</v>
      </c>
      <c r="K34" s="22"/>
      <c r="L34">
        <v>13.108561008018301</v>
      </c>
      <c r="M34" s="22">
        <v>0.11</v>
      </c>
      <c r="N34" s="21">
        <v>45462</v>
      </c>
      <c r="O34" s="21">
        <v>45919</v>
      </c>
      <c r="P34">
        <f>ROUND(YEARFRAC(N34,O34),0)</f>
        <v>1</v>
      </c>
      <c r="Q34" s="6">
        <f>(M34*H34)/F34</f>
        <v>0.11094100157536221</v>
      </c>
      <c r="R34" s="5">
        <f>IF(S34="Quarterly",4,IF(S34="Semi-annual",2,IF(S34="Annual",1,IF(S34="Pays at maturity",0,IF(S34="Monthly",12,0)))))</f>
        <v>1</v>
      </c>
      <c r="S34" t="s">
        <v>93</v>
      </c>
      <c r="U34">
        <f>R34*P34</f>
        <v>1</v>
      </c>
      <c r="V34">
        <f>(H34*M34)/AD34</f>
        <v>11000</v>
      </c>
      <c r="W34" s="28">
        <f>RATE(U34,V34,-F34,H34)</f>
        <v>0.11949556135138238</v>
      </c>
      <c r="X34" s="27">
        <f>W34*AD34</f>
        <v>0.11949556135138238</v>
      </c>
      <c r="Y34" s="5">
        <f>DURATION(N34,O34,M34,D34,AD34)</f>
        <v>1.1501378098224451</v>
      </c>
      <c r="Z34" s="5">
        <f>Y34/(1+C34)</f>
        <v>1.0273714783058838</v>
      </c>
      <c r="AA34" s="5">
        <f>-Z34*F34</f>
        <v>-101865.73134268934</v>
      </c>
      <c r="AB34" t="s">
        <v>64</v>
      </c>
      <c r="AC34" t="s">
        <v>62</v>
      </c>
      <c r="AD34">
        <f>_xlfn.SWITCH(PROPER(TRIM(S34)),
   "Annual",1,
   "Semi-Annual",2,
   "Quarterly",4,
   "Monthly",12,
   "")</f>
        <v>1</v>
      </c>
    </row>
    <row r="35" spans="1:30" x14ac:dyDescent="0.35">
      <c r="A35" t="s">
        <v>2160</v>
      </c>
      <c r="B35" t="s">
        <v>241</v>
      </c>
      <c r="C35" s="36">
        <f>RATE(U35,V35,-F35,H35)</f>
        <v>5.0701230703146687E-2</v>
      </c>
      <c r="D35" s="3">
        <f>C35*AD35</f>
        <v>5.0701230703146687E-2</v>
      </c>
      <c r="F35">
        <v>1073</v>
      </c>
      <c r="G35" t="s">
        <v>76</v>
      </c>
      <c r="H35">
        <v>1000</v>
      </c>
      <c r="I35" s="22"/>
      <c r="J35">
        <v>1</v>
      </c>
      <c r="K35" s="22"/>
      <c r="L35">
        <v>-29.815757401964198</v>
      </c>
      <c r="M35" s="22">
        <v>0.09</v>
      </c>
      <c r="N35" s="21">
        <v>45189</v>
      </c>
      <c r="O35" s="21">
        <v>45920</v>
      </c>
      <c r="P35">
        <f>ROUND(YEARFRAC(N35,O35),0)</f>
        <v>2</v>
      </c>
      <c r="Q35" s="6">
        <f>(M35*H35)/F35</f>
        <v>8.3876980428704562E-2</v>
      </c>
      <c r="R35" s="5">
        <f>IF(S35="Quarterly",4,IF(S35="Semi-annual",2,IF(S35="Annual",1,IF(S35="Pays at maturity",0,IF(S35="Monthly",12,0)))))</f>
        <v>1</v>
      </c>
      <c r="S35" t="s">
        <v>93</v>
      </c>
      <c r="U35">
        <f>R35*P35</f>
        <v>2</v>
      </c>
      <c r="V35">
        <f>(H35*M35)/AD35</f>
        <v>90</v>
      </c>
      <c r="W35" s="28">
        <f>RATE(U35,V35,-F35,H35)</f>
        <v>5.0701230703146687E-2</v>
      </c>
      <c r="X35" s="27">
        <f>W35*AD35</f>
        <v>5.0701230703146687E-2</v>
      </c>
      <c r="Y35" s="5">
        <f>DURATION(N35,O35,M35,D35,AD35)</f>
        <v>1.9201704747479846</v>
      </c>
      <c r="Z35" s="5">
        <f>Y35/(1+C35)</f>
        <v>1.8275133012483242</v>
      </c>
      <c r="AA35" s="5">
        <f>-Z35*F35</f>
        <v>-1960.9217722394519</v>
      </c>
      <c r="AB35" t="s">
        <v>64</v>
      </c>
      <c r="AC35" t="s">
        <v>62</v>
      </c>
      <c r="AD35">
        <f>_xlfn.SWITCH(PROPER(TRIM(S35)),
   "Annual",1,
   "Semi-Annual",2,
   "Quarterly",4,
   "Monthly",12,
   "")</f>
        <v>1</v>
      </c>
    </row>
    <row r="36" spans="1:30" x14ac:dyDescent="0.35">
      <c r="A36" t="s">
        <v>2159</v>
      </c>
      <c r="B36" t="s">
        <v>241</v>
      </c>
      <c r="C36" s="36">
        <f>RATE(U36,V36,-F36,H36)</f>
        <v>9.2086768471014532E-2</v>
      </c>
      <c r="D36" s="3">
        <f>C36*AD36</f>
        <v>9.2086768471014532E-2</v>
      </c>
      <c r="F36">
        <v>990.2</v>
      </c>
      <c r="G36" t="s">
        <v>76</v>
      </c>
      <c r="H36">
        <v>1000</v>
      </c>
      <c r="I36" s="22"/>
      <c r="J36">
        <v>21</v>
      </c>
      <c r="K36" s="22"/>
      <c r="L36">
        <v>14.7562781929576</v>
      </c>
      <c r="M36" s="22">
        <v>8.6500000000000007E-2</v>
      </c>
      <c r="N36" s="21">
        <v>45189</v>
      </c>
      <c r="O36" s="21">
        <v>45920</v>
      </c>
      <c r="P36">
        <f>ROUND(YEARFRAC(N36,O36),0)</f>
        <v>2</v>
      </c>
      <c r="Q36" s="6">
        <f>(M36*H36)/F36</f>
        <v>8.7356089678852764E-2</v>
      </c>
      <c r="R36" s="5">
        <f>IF(S36="Quarterly",4,IF(S36="Semi-annual",2,IF(S36="Annual",1,IF(S36="Pays at maturity",0,IF(S36="Monthly",12,0)))))</f>
        <v>1</v>
      </c>
      <c r="S36" t="s">
        <v>93</v>
      </c>
      <c r="U36">
        <f>R36*P36</f>
        <v>2</v>
      </c>
      <c r="V36">
        <f>(H36*M36)/AD36</f>
        <v>86.500000000000014</v>
      </c>
      <c r="W36" s="28">
        <f>RATE(U36,V36,-F36,H36)</f>
        <v>9.2086768471014532E-2</v>
      </c>
      <c r="X36" s="27">
        <f>W36*AD36</f>
        <v>9.2086768471014532E-2</v>
      </c>
      <c r="Y36" s="5">
        <f>DURATION(N36,O36,M36,D36,AD36)</f>
        <v>1.9200099367551569</v>
      </c>
      <c r="Z36" s="5">
        <f>Y36/(1+C36)</f>
        <v>1.7581111612983678</v>
      </c>
      <c r="AA36" s="5">
        <f>-Z36*F36</f>
        <v>-1740.8816719176439</v>
      </c>
      <c r="AB36" t="s">
        <v>64</v>
      </c>
      <c r="AC36" t="s">
        <v>62</v>
      </c>
      <c r="AD36">
        <f>_xlfn.SWITCH(PROPER(TRIM(S36)),
   "Annual",1,
   "Semi-Annual",2,
   "Quarterly",4,
   "Monthly",12,
   "")</f>
        <v>1</v>
      </c>
    </row>
    <row r="37" spans="1:30" x14ac:dyDescent="0.35">
      <c r="C37" s="28"/>
      <c r="D37" s="27"/>
      <c r="I37" s="22"/>
      <c r="K37" s="22"/>
      <c r="M37" s="22"/>
      <c r="N37" s="21"/>
      <c r="O37" s="21"/>
      <c r="P37" s="5"/>
      <c r="Q37" s="6"/>
      <c r="R37" s="5"/>
      <c r="W37" s="28"/>
      <c r="Y37" s="33"/>
      <c r="Z37" s="33"/>
      <c r="AA37" s="33"/>
    </row>
    <row r="38" spans="1:30" x14ac:dyDescent="0.35">
      <c r="C38" s="28"/>
      <c r="D38" s="27"/>
      <c r="I38" s="22"/>
      <c r="K38" s="22"/>
      <c r="M38" s="22"/>
      <c r="N38" s="21"/>
      <c r="O38" s="21"/>
      <c r="P38" s="5"/>
      <c r="Q38" s="6"/>
      <c r="R38" s="5"/>
      <c r="W38" s="28"/>
      <c r="Y38" s="33"/>
      <c r="Z38" s="33"/>
      <c r="AA38" s="33"/>
    </row>
    <row r="39" spans="1:30" x14ac:dyDescent="0.35">
      <c r="A39" t="s">
        <v>2156</v>
      </c>
      <c r="B39" t="s">
        <v>316</v>
      </c>
      <c r="C39" s="36">
        <f>RATE(U39,V39,-F39,H39)</f>
        <v>0.10353902382177528</v>
      </c>
      <c r="D39" s="3">
        <f>C39*AD39</f>
        <v>0.10353902382177528</v>
      </c>
      <c r="F39">
        <v>995</v>
      </c>
      <c r="G39" t="s">
        <v>76</v>
      </c>
      <c r="H39">
        <v>1000</v>
      </c>
      <c r="I39" s="22"/>
      <c r="J39">
        <v>313</v>
      </c>
      <c r="K39" s="22"/>
      <c r="L39">
        <v>11.2006108976253</v>
      </c>
      <c r="M39" s="22">
        <v>0.10249999999999999</v>
      </c>
      <c r="N39" s="21">
        <v>43367</v>
      </c>
      <c r="O39" s="21">
        <v>45923</v>
      </c>
      <c r="P39">
        <f>ROUND(YEARFRAC(N39,O39),0)</f>
        <v>7</v>
      </c>
      <c r="Q39" s="6">
        <f>(M39*H39)/F39</f>
        <v>0.10301507537688442</v>
      </c>
      <c r="R39" s="5">
        <f>IF(S39="Quarterly",4,IF(S39="Semi-annual",2,IF(S39="Annual",1,IF(S39="Pays at maturity",0,IF(S39="Monthly",12,0)))))</f>
        <v>1</v>
      </c>
      <c r="S39" t="s">
        <v>93</v>
      </c>
      <c r="U39">
        <f>R39*P39</f>
        <v>7</v>
      </c>
      <c r="V39">
        <f>(H39*M39)/AD39</f>
        <v>102.5</v>
      </c>
      <c r="W39" s="28">
        <f>RATE(U39,V39,-F39,H39)</f>
        <v>0.10353902382177528</v>
      </c>
      <c r="X39" s="27">
        <f>W39*AD39</f>
        <v>0.10353902382177528</v>
      </c>
      <c r="Y39" s="5">
        <f>DURATION(N39,O39,M39,D39,AD39)</f>
        <v>5.3162326093073276</v>
      </c>
      <c r="Z39" s="5">
        <f>Y39/(1+C39)</f>
        <v>4.817439614320258</v>
      </c>
      <c r="AA39" s="5">
        <f>-Z39*F39</f>
        <v>-4793.3524162486565</v>
      </c>
      <c r="AB39" t="s">
        <v>64</v>
      </c>
      <c r="AC39" t="s">
        <v>62</v>
      </c>
      <c r="AD39">
        <f>_xlfn.SWITCH(PROPER(TRIM(S39)),
   "Annual",1,
   "Semi-Annual",2,
   "Quarterly",4,
   "Monthly",12,
   "")</f>
        <v>1</v>
      </c>
    </row>
    <row r="40" spans="1:30" x14ac:dyDescent="0.35">
      <c r="C40" s="28"/>
      <c r="D40" s="27"/>
      <c r="I40" s="22"/>
      <c r="K40" s="22"/>
      <c r="M40" s="22"/>
      <c r="N40" s="21"/>
      <c r="O40" s="21"/>
      <c r="P40" s="5"/>
      <c r="Q40" s="6"/>
      <c r="R40" s="5"/>
      <c r="W40" s="28"/>
      <c r="Y40" s="33"/>
      <c r="Z40" s="33"/>
      <c r="AA40" s="33"/>
    </row>
    <row r="41" spans="1:30" x14ac:dyDescent="0.35">
      <c r="C41" s="28"/>
      <c r="D41" s="27"/>
      <c r="I41" s="22"/>
      <c r="K41" s="22"/>
      <c r="M41" s="22"/>
      <c r="N41" s="21"/>
      <c r="O41" s="21"/>
      <c r="P41" s="5"/>
      <c r="Q41" s="6"/>
      <c r="R41" s="5"/>
      <c r="W41" s="28"/>
      <c r="Y41" s="33"/>
      <c r="Z41" s="33"/>
      <c r="AA41" s="33"/>
    </row>
    <row r="42" spans="1:30" x14ac:dyDescent="0.35">
      <c r="A42" t="s">
        <v>2153</v>
      </c>
      <c r="B42" t="s">
        <v>128</v>
      </c>
      <c r="C42" s="36">
        <f t="shared" ref="C42:C48" si="26">RATE(U42,V42,-F42,H42)</f>
        <v>9.8576530128294676E-2</v>
      </c>
      <c r="D42" s="3">
        <f t="shared" ref="D42:D48" si="27">C42*AD42</f>
        <v>9.8576530128294676E-2</v>
      </c>
      <c r="F42">
        <v>983</v>
      </c>
      <c r="G42" t="s">
        <v>76</v>
      </c>
      <c r="H42">
        <v>1000</v>
      </c>
      <c r="I42" s="22"/>
      <c r="J42">
        <v>200</v>
      </c>
      <c r="K42" s="22"/>
      <c r="L42">
        <v>15.474702597213801</v>
      </c>
      <c r="M42" s="22">
        <v>8.8800000000000004E-2</v>
      </c>
      <c r="N42" s="21">
        <v>45195</v>
      </c>
      <c r="O42" s="21">
        <v>45926</v>
      </c>
      <c r="P42">
        <f t="shared" ref="P42:P48" si="28">ROUND(YEARFRAC(N42,O42),0)</f>
        <v>2</v>
      </c>
      <c r="Q42" s="6">
        <f t="shared" ref="Q42:Q48" si="29">(M42*H42)/F42</f>
        <v>9.0335707019328582E-2</v>
      </c>
      <c r="R42" s="5">
        <f t="shared" ref="R42:R48" si="30">IF(S42="Quarterly",4,IF(S42="Semi-annual",2,IF(S42="Annual",1,IF(S42="Pays at maturity",0,IF(S42="Monthly",12,0)))))</f>
        <v>1</v>
      </c>
      <c r="S42" t="s">
        <v>93</v>
      </c>
      <c r="U42">
        <f t="shared" ref="U42:U48" si="31">R42*P42</f>
        <v>2</v>
      </c>
      <c r="V42">
        <f t="shared" ref="V42:V48" si="32">(H42*M42)/AD42</f>
        <v>88.8</v>
      </c>
      <c r="W42" s="28">
        <f t="shared" ref="W42:W48" si="33">RATE(U42,V42,-F42,H42)</f>
        <v>9.8576530128294676E-2</v>
      </c>
      <c r="X42" s="27">
        <f t="shared" ref="X42:X48" si="34">W42*AD42</f>
        <v>9.8576530128294676E-2</v>
      </c>
      <c r="Y42" s="5">
        <f t="shared" ref="Y42:Y48" si="35">DURATION(N42,O42,M42,D42,AD42)</f>
        <v>1.9177702194231483</v>
      </c>
      <c r="Z42" s="5">
        <f t="shared" ref="Z42:Z48" si="36">Y42/(1+C42)</f>
        <v>1.7456865014212402</v>
      </c>
      <c r="AA42" s="5">
        <f t="shared" ref="AA42:AA48" si="37">-Z42*F42</f>
        <v>-1716.0098308970792</v>
      </c>
      <c r="AB42" t="s">
        <v>64</v>
      </c>
      <c r="AC42" t="s">
        <v>62</v>
      </c>
      <c r="AD42">
        <f t="shared" ref="AD42:AD48" si="38">_xlfn.SWITCH(PROPER(TRIM(S42)),
   "Annual",1,
   "Semi-Annual",2,
   "Quarterly",4,
   "Monthly",12,
   "")</f>
        <v>1</v>
      </c>
    </row>
    <row r="43" spans="1:30" x14ac:dyDescent="0.35">
      <c r="A43" t="s">
        <v>2152</v>
      </c>
      <c r="B43" t="s">
        <v>128</v>
      </c>
      <c r="C43" s="36">
        <f t="shared" si="26"/>
        <v>5.6447068231982936E-2</v>
      </c>
      <c r="D43" s="3">
        <f t="shared" si="27"/>
        <v>5.6447068231982936E-2</v>
      </c>
      <c r="F43">
        <v>1073.8</v>
      </c>
      <c r="G43" t="s">
        <v>76</v>
      </c>
      <c r="H43">
        <v>1000</v>
      </c>
      <c r="I43" s="22"/>
      <c r="J43">
        <v>325</v>
      </c>
      <c r="K43" s="22"/>
      <c r="L43">
        <v>-25.854442168001398</v>
      </c>
      <c r="M43" s="22">
        <v>9.6500000000000002E-2</v>
      </c>
      <c r="N43" s="21">
        <v>45195</v>
      </c>
      <c r="O43" s="21">
        <v>45926</v>
      </c>
      <c r="P43">
        <f t="shared" si="28"/>
        <v>2</v>
      </c>
      <c r="Q43" s="6">
        <f t="shared" si="29"/>
        <v>8.9867759359284788E-2</v>
      </c>
      <c r="R43" s="5">
        <f t="shared" si="30"/>
        <v>1</v>
      </c>
      <c r="S43" t="s">
        <v>93</v>
      </c>
      <c r="U43">
        <f t="shared" si="31"/>
        <v>2</v>
      </c>
      <c r="V43">
        <f t="shared" si="32"/>
        <v>96.5</v>
      </c>
      <c r="W43" s="28">
        <f t="shared" si="33"/>
        <v>5.6447068231982936E-2</v>
      </c>
      <c r="X43" s="27">
        <f t="shared" si="34"/>
        <v>5.6447068231982936E-2</v>
      </c>
      <c r="Y43" s="5">
        <f t="shared" si="35"/>
        <v>1.9149339687129832</v>
      </c>
      <c r="Z43" s="5">
        <f t="shared" si="36"/>
        <v>1.8126170503911012</v>
      </c>
      <c r="AA43" s="5">
        <f t="shared" si="37"/>
        <v>-1946.3881887099644</v>
      </c>
      <c r="AB43" t="s">
        <v>64</v>
      </c>
      <c r="AC43" t="s">
        <v>62</v>
      </c>
      <c r="AD43">
        <f t="shared" si="38"/>
        <v>1</v>
      </c>
    </row>
    <row r="44" spans="1:30" x14ac:dyDescent="0.35">
      <c r="A44" t="s">
        <v>2151</v>
      </c>
      <c r="B44" t="s">
        <v>598</v>
      </c>
      <c r="C44" s="36">
        <f t="shared" si="26"/>
        <v>0.10699058658904574</v>
      </c>
      <c r="D44" s="3">
        <f t="shared" si="27"/>
        <v>0.10699058658904574</v>
      </c>
      <c r="F44">
        <v>995.11</v>
      </c>
      <c r="G44" t="s">
        <v>76</v>
      </c>
      <c r="H44">
        <v>1000</v>
      </c>
      <c r="I44" s="22"/>
      <c r="J44">
        <v>30</v>
      </c>
      <c r="K44" s="22"/>
      <c r="L44">
        <v>13.269204592274299</v>
      </c>
      <c r="M44" s="22">
        <v>0.105</v>
      </c>
      <c r="N44" s="21">
        <v>44830</v>
      </c>
      <c r="O44" s="21">
        <v>45926</v>
      </c>
      <c r="P44">
        <f t="shared" si="28"/>
        <v>3</v>
      </c>
      <c r="Q44" s="6">
        <f t="shared" si="29"/>
        <v>0.10551597310850057</v>
      </c>
      <c r="R44" s="5">
        <f t="shared" si="30"/>
        <v>1</v>
      </c>
      <c r="S44" t="s">
        <v>93</v>
      </c>
      <c r="U44">
        <f t="shared" si="31"/>
        <v>3</v>
      </c>
      <c r="V44">
        <f t="shared" si="32"/>
        <v>105</v>
      </c>
      <c r="W44" s="28">
        <f t="shared" si="33"/>
        <v>0.10699058658904574</v>
      </c>
      <c r="X44" s="27">
        <f t="shared" si="34"/>
        <v>0.10699058658904574</v>
      </c>
      <c r="Y44" s="5">
        <f t="shared" si="35"/>
        <v>2.7232588882458253</v>
      </c>
      <c r="Z44" s="5">
        <f t="shared" si="36"/>
        <v>2.460056048567643</v>
      </c>
      <c r="AA44" s="5">
        <f t="shared" si="37"/>
        <v>-2448.0263744901472</v>
      </c>
      <c r="AB44" t="s">
        <v>64</v>
      </c>
      <c r="AC44" t="s">
        <v>62</v>
      </c>
      <c r="AD44">
        <f t="shared" si="38"/>
        <v>1</v>
      </c>
    </row>
    <row r="45" spans="1:30" x14ac:dyDescent="0.35">
      <c r="A45" t="s">
        <v>2150</v>
      </c>
      <c r="B45" t="s">
        <v>1546</v>
      </c>
      <c r="C45" s="36">
        <f t="shared" si="26"/>
        <v>8.9036517698853429E-2</v>
      </c>
      <c r="D45" s="3">
        <f t="shared" si="27"/>
        <v>1.068438212386241</v>
      </c>
      <c r="F45">
        <v>22000</v>
      </c>
      <c r="G45" t="s">
        <v>76</v>
      </c>
      <c r="H45">
        <v>100000</v>
      </c>
      <c r="I45" s="22"/>
      <c r="J45">
        <v>1</v>
      </c>
      <c r="K45" s="22"/>
      <c r="M45" s="22">
        <v>0.1115</v>
      </c>
      <c r="N45" s="21">
        <v>45196</v>
      </c>
      <c r="O45" s="21">
        <v>45927</v>
      </c>
      <c r="P45">
        <f t="shared" si="28"/>
        <v>2</v>
      </c>
      <c r="Q45" s="6">
        <f t="shared" si="29"/>
        <v>0.50681818181818183</v>
      </c>
      <c r="R45" s="5">
        <f t="shared" si="30"/>
        <v>12</v>
      </c>
      <c r="S45" t="s">
        <v>1717</v>
      </c>
      <c r="U45">
        <f t="shared" si="31"/>
        <v>24</v>
      </c>
      <c r="V45">
        <f t="shared" si="32"/>
        <v>929.16666666666663</v>
      </c>
      <c r="W45" s="28">
        <f t="shared" si="33"/>
        <v>8.9036517698853429E-2</v>
      </c>
      <c r="X45" s="27">
        <f t="shared" si="34"/>
        <v>1.068438212386241</v>
      </c>
      <c r="Y45" s="5" t="e">
        <f t="shared" si="35"/>
        <v>#NUM!</v>
      </c>
      <c r="Z45" s="5" t="e">
        <f t="shared" si="36"/>
        <v>#NUM!</v>
      </c>
      <c r="AA45" s="5" t="e">
        <f t="shared" si="37"/>
        <v>#NUM!</v>
      </c>
      <c r="AB45" t="s">
        <v>64</v>
      </c>
      <c r="AC45" t="s">
        <v>62</v>
      </c>
      <c r="AD45">
        <f t="shared" si="38"/>
        <v>12</v>
      </c>
    </row>
    <row r="46" spans="1:30" x14ac:dyDescent="0.35">
      <c r="A46" t="s">
        <v>2149</v>
      </c>
      <c r="B46" t="s">
        <v>316</v>
      </c>
      <c r="C46" s="36">
        <f t="shared" si="26"/>
        <v>9.3209447267133705E-2</v>
      </c>
      <c r="D46" s="3">
        <f t="shared" si="27"/>
        <v>9.3209447267133705E-2</v>
      </c>
      <c r="F46">
        <v>990</v>
      </c>
      <c r="G46" t="s">
        <v>76</v>
      </c>
      <c r="H46">
        <v>1000</v>
      </c>
      <c r="I46" s="22"/>
      <c r="J46">
        <v>500</v>
      </c>
      <c r="K46" s="22"/>
      <c r="L46">
        <v>12.252151141040001</v>
      </c>
      <c r="M46" s="22">
        <v>8.7499999999999994E-2</v>
      </c>
      <c r="N46" s="21">
        <v>45197</v>
      </c>
      <c r="O46" s="21">
        <v>45927</v>
      </c>
      <c r="P46">
        <f t="shared" si="28"/>
        <v>2</v>
      </c>
      <c r="Q46" s="6">
        <f t="shared" si="29"/>
        <v>8.8383838383838384E-2</v>
      </c>
      <c r="R46" s="5">
        <f t="shared" si="30"/>
        <v>1</v>
      </c>
      <c r="S46" t="s">
        <v>93</v>
      </c>
      <c r="U46">
        <f t="shared" si="31"/>
        <v>2</v>
      </c>
      <c r="V46">
        <f t="shared" si="32"/>
        <v>87.5</v>
      </c>
      <c r="W46" s="28">
        <f t="shared" si="33"/>
        <v>9.3209447267133705E-2</v>
      </c>
      <c r="X46" s="27">
        <f t="shared" si="34"/>
        <v>9.3209447267133705E-2</v>
      </c>
      <c r="Y46" s="5">
        <f t="shared" si="35"/>
        <v>1.9163741847258791</v>
      </c>
      <c r="Z46" s="5">
        <f t="shared" si="36"/>
        <v>1.752979897417223</v>
      </c>
      <c r="AA46" s="5">
        <f t="shared" si="37"/>
        <v>-1735.4500984430508</v>
      </c>
      <c r="AB46" t="s">
        <v>64</v>
      </c>
      <c r="AC46" t="s">
        <v>62</v>
      </c>
      <c r="AD46">
        <f t="shared" si="38"/>
        <v>1</v>
      </c>
    </row>
    <row r="47" spans="1:30" x14ac:dyDescent="0.35">
      <c r="A47" t="s">
        <v>2148</v>
      </c>
      <c r="B47" t="s">
        <v>128</v>
      </c>
      <c r="C47" s="36">
        <f t="shared" si="26"/>
        <v>6.9327693870895046E-2</v>
      </c>
      <c r="D47" s="3">
        <f t="shared" si="27"/>
        <v>6.9327693870895046E-2</v>
      </c>
      <c r="F47">
        <v>1062.2</v>
      </c>
      <c r="G47" t="s">
        <v>76</v>
      </c>
      <c r="H47">
        <v>1000</v>
      </c>
      <c r="I47" s="22"/>
      <c r="J47">
        <v>25</v>
      </c>
      <c r="K47" s="22"/>
      <c r="L47">
        <v>-22.220766852499199</v>
      </c>
      <c r="M47" s="22">
        <v>9.3000000000000013E-2</v>
      </c>
      <c r="N47" s="21">
        <v>44832</v>
      </c>
      <c r="O47" s="21">
        <v>45928</v>
      </c>
      <c r="P47">
        <f t="shared" si="28"/>
        <v>3</v>
      </c>
      <c r="Q47" s="6">
        <f t="shared" si="29"/>
        <v>8.7554132931651305E-2</v>
      </c>
      <c r="R47" s="5">
        <f t="shared" si="30"/>
        <v>1</v>
      </c>
      <c r="S47" t="s">
        <v>93</v>
      </c>
      <c r="U47">
        <f t="shared" si="31"/>
        <v>3</v>
      </c>
      <c r="V47">
        <f t="shared" si="32"/>
        <v>93.000000000000014</v>
      </c>
      <c r="W47" s="28">
        <f t="shared" si="33"/>
        <v>6.9327693870895046E-2</v>
      </c>
      <c r="X47" s="27">
        <f t="shared" si="34"/>
        <v>6.9327693870895046E-2</v>
      </c>
      <c r="Y47" s="5">
        <f t="shared" si="35"/>
        <v>2.7596751627194891</v>
      </c>
      <c r="Z47" s="5">
        <f t="shared" si="36"/>
        <v>2.58075721646154</v>
      </c>
      <c r="AA47" s="5">
        <f t="shared" si="37"/>
        <v>-2741.2803153254481</v>
      </c>
      <c r="AB47" t="s">
        <v>64</v>
      </c>
      <c r="AC47" t="s">
        <v>62</v>
      </c>
      <c r="AD47">
        <f t="shared" si="38"/>
        <v>1</v>
      </c>
    </row>
    <row r="48" spans="1:30" x14ac:dyDescent="0.35">
      <c r="A48" t="s">
        <v>2147</v>
      </c>
      <c r="B48" t="s">
        <v>128</v>
      </c>
      <c r="C48" s="36">
        <f t="shared" si="26"/>
        <v>9.1380134218070494E-2</v>
      </c>
      <c r="D48" s="3">
        <f t="shared" si="27"/>
        <v>9.1380134218070494E-2</v>
      </c>
      <c r="F48">
        <v>995</v>
      </c>
      <c r="G48" t="s">
        <v>76</v>
      </c>
      <c r="H48">
        <v>1000</v>
      </c>
      <c r="I48" s="22"/>
      <c r="J48">
        <v>1</v>
      </c>
      <c r="K48" s="22"/>
      <c r="L48">
        <v>11.6822347029263</v>
      </c>
      <c r="M48" s="22">
        <v>8.9399999999999993E-2</v>
      </c>
      <c r="N48" s="21">
        <v>44832</v>
      </c>
      <c r="O48" s="21">
        <v>45928</v>
      </c>
      <c r="P48">
        <f t="shared" si="28"/>
        <v>3</v>
      </c>
      <c r="Q48" s="6">
        <f t="shared" si="29"/>
        <v>8.9849246231155769E-2</v>
      </c>
      <c r="R48" s="5">
        <f t="shared" si="30"/>
        <v>1</v>
      </c>
      <c r="S48" t="s">
        <v>93</v>
      </c>
      <c r="U48">
        <f t="shared" si="31"/>
        <v>3</v>
      </c>
      <c r="V48">
        <f t="shared" si="32"/>
        <v>89.399999999999991</v>
      </c>
      <c r="W48" s="28">
        <f t="shared" si="33"/>
        <v>9.1380134218070494E-2</v>
      </c>
      <c r="X48" s="27">
        <f t="shared" si="34"/>
        <v>9.1380134218070494E-2</v>
      </c>
      <c r="Y48" s="5">
        <f t="shared" si="35"/>
        <v>2.7599143088090399</v>
      </c>
      <c r="Z48" s="5">
        <f t="shared" si="36"/>
        <v>2.5288295271989778</v>
      </c>
      <c r="AA48" s="5">
        <f t="shared" si="37"/>
        <v>-2516.1853795629827</v>
      </c>
      <c r="AB48" t="s">
        <v>64</v>
      </c>
      <c r="AC48" t="s">
        <v>62</v>
      </c>
      <c r="AD48">
        <f t="shared" si="38"/>
        <v>1</v>
      </c>
    </row>
    <row r="49" spans="1:30" x14ac:dyDescent="0.35">
      <c r="C49" s="28"/>
      <c r="D49" s="27"/>
      <c r="I49" s="22"/>
      <c r="K49" s="22"/>
      <c r="M49" s="22"/>
      <c r="N49" s="21"/>
      <c r="O49" s="21"/>
      <c r="P49" s="5"/>
      <c r="Q49" s="6"/>
      <c r="R49" s="5"/>
      <c r="W49" s="28"/>
      <c r="Y49" s="33"/>
      <c r="Z49" s="33"/>
      <c r="AA49" s="33"/>
    </row>
    <row r="50" spans="1:30" x14ac:dyDescent="0.35">
      <c r="A50" t="s">
        <v>2145</v>
      </c>
      <c r="B50" t="s">
        <v>460</v>
      </c>
      <c r="C50" s="36">
        <f>RATE(U50,V50,-F50,H50)</f>
        <v>0.11039786435261091</v>
      </c>
      <c r="D50" s="3">
        <f>C50*AD50</f>
        <v>0.11039786435261091</v>
      </c>
      <c r="F50">
        <v>980.07</v>
      </c>
      <c r="G50" t="s">
        <v>76</v>
      </c>
      <c r="H50">
        <v>1000</v>
      </c>
      <c r="I50" s="22"/>
      <c r="J50">
        <v>10</v>
      </c>
      <c r="K50" s="22"/>
      <c r="L50">
        <v>15.5332464325699</v>
      </c>
      <c r="M50" s="22">
        <v>0.105</v>
      </c>
      <c r="N50" s="21">
        <v>44104</v>
      </c>
      <c r="O50" s="21">
        <v>45929</v>
      </c>
      <c r="P50">
        <f>ROUND(YEARFRAC(N50,O50),0)</f>
        <v>5</v>
      </c>
      <c r="Q50" s="6">
        <f>(M50*H50)/F50</f>
        <v>0.10713520462824083</v>
      </c>
      <c r="R50" s="5">
        <f>IF(S50="Quarterly",4,IF(S50="Semi-annual",2,IF(S50="Annual",1,IF(S50="Pays at maturity",0,IF(S50="Monthly",12,0)))))</f>
        <v>1</v>
      </c>
      <c r="S50" t="s">
        <v>93</v>
      </c>
      <c r="U50">
        <f>R50*P50</f>
        <v>5</v>
      </c>
      <c r="V50">
        <f>(H50*M50)/AD50</f>
        <v>105</v>
      </c>
      <c r="W50" s="28">
        <f>RATE(U50,V50,-F50,H50)</f>
        <v>0.11039786435261091</v>
      </c>
      <c r="X50" s="27">
        <f>W50*AD50</f>
        <v>0.11039786435261091</v>
      </c>
      <c r="Y50" s="5">
        <f>DURATION(N50,O50,M50,D50,AD50)</f>
        <v>4.1236381323520543</v>
      </c>
      <c r="Z50" s="5">
        <f>Y50/(1+C50)</f>
        <v>3.7136581983217667</v>
      </c>
      <c r="AA50" s="5">
        <f>-Z50*F50</f>
        <v>-3639.644990429214</v>
      </c>
      <c r="AB50" t="s">
        <v>64</v>
      </c>
      <c r="AC50" t="s">
        <v>62</v>
      </c>
      <c r="AD50">
        <f>_xlfn.SWITCH(PROPER(TRIM(S50)),
   "Annual",1,
   "Semi-Annual",2,
   "Quarterly",4,
   "Monthly",12,
   "")</f>
        <v>1</v>
      </c>
    </row>
    <row r="51" spans="1:30" x14ac:dyDescent="0.35">
      <c r="A51" t="s">
        <v>2144</v>
      </c>
      <c r="B51" t="s">
        <v>785</v>
      </c>
      <c r="C51" s="36">
        <f>RATE(U51,V51,-F51,H51)</f>
        <v>0.14385313940657868</v>
      </c>
      <c r="D51" s="3">
        <f>C51*AD51</f>
        <v>0.14385313940657868</v>
      </c>
      <c r="F51">
        <v>870010</v>
      </c>
      <c r="G51" t="s">
        <v>76</v>
      </c>
      <c r="H51">
        <v>1000000</v>
      </c>
      <c r="I51" s="22"/>
      <c r="J51">
        <v>2</v>
      </c>
      <c r="K51" s="22"/>
      <c r="L51">
        <v>27.0996705497638</v>
      </c>
      <c r="M51" s="22">
        <v>8.7499999999999994E-2</v>
      </c>
      <c r="N51" s="21">
        <v>44833</v>
      </c>
      <c r="O51" s="21">
        <v>45929</v>
      </c>
      <c r="P51">
        <f>ROUND(YEARFRAC(N51,O51),0)</f>
        <v>3</v>
      </c>
      <c r="Q51" s="6">
        <f>(M51*H51)/F51</f>
        <v>0.1005735566257859</v>
      </c>
      <c r="R51" s="5">
        <f>IF(S51="Quarterly",4,IF(S51="Semi-annual",2,IF(S51="Annual",1,IF(S51="Pays at maturity",0,IF(S51="Monthly",12,0)))))</f>
        <v>1</v>
      </c>
      <c r="S51" t="s">
        <v>93</v>
      </c>
      <c r="U51">
        <f>R51*P51</f>
        <v>3</v>
      </c>
      <c r="V51">
        <f>(H51*M51)/AD51</f>
        <v>87500</v>
      </c>
      <c r="W51" s="28">
        <f>RATE(U51,V51,-F51,H51)</f>
        <v>0.14385313940657868</v>
      </c>
      <c r="X51" s="27">
        <f>W51*AD51</f>
        <v>0.14385313940657868</v>
      </c>
      <c r="Y51" s="5">
        <f>DURATION(N51,O51,M51,D51,AD51)</f>
        <v>2.7472819378964521</v>
      </c>
      <c r="Z51" s="5">
        <f>Y51/(1+C51)</f>
        <v>2.4017785529020959</v>
      </c>
      <c r="AA51" s="5">
        <f>-Z51*F51</f>
        <v>-2089571.3588103524</v>
      </c>
      <c r="AB51" t="s">
        <v>64</v>
      </c>
      <c r="AC51" t="s">
        <v>62</v>
      </c>
      <c r="AD51">
        <f>_xlfn.SWITCH(PROPER(TRIM(S51)),
   "Annual",1,
   "Semi-Annual",2,
   "Quarterly",4,
   "Monthly",12,
   "")</f>
        <v>1</v>
      </c>
    </row>
    <row r="52" spans="1:30" x14ac:dyDescent="0.35">
      <c r="A52" t="s">
        <v>2143</v>
      </c>
      <c r="B52" t="s">
        <v>272</v>
      </c>
      <c r="C52" s="36">
        <f>RATE(U52,V52,-F52,H52)</f>
        <v>4.6976396563809864E-2</v>
      </c>
      <c r="D52" s="3">
        <f>C52*AD52</f>
        <v>4.6976396563809864E-2</v>
      </c>
      <c r="F52">
        <v>1057</v>
      </c>
      <c r="G52" t="s">
        <v>76</v>
      </c>
      <c r="H52">
        <v>1000</v>
      </c>
      <c r="I52" s="22"/>
      <c r="J52">
        <v>68</v>
      </c>
      <c r="K52" s="22"/>
      <c r="L52">
        <v>-13.171121097445599</v>
      </c>
      <c r="M52" s="22">
        <v>7.7499999999999999E-2</v>
      </c>
      <c r="N52" s="21">
        <v>45203</v>
      </c>
      <c r="O52" s="21">
        <v>45934</v>
      </c>
      <c r="P52">
        <f>ROUND(YEARFRAC(N52,O52),0)</f>
        <v>2</v>
      </c>
      <c r="Q52" s="6">
        <f>(M52*H52)/F52</f>
        <v>7.3320719016083252E-2</v>
      </c>
      <c r="R52" s="5">
        <f>IF(S52="Quarterly",4,IF(S52="Semi-annual",2,IF(S52="Annual",1,IF(S52="Pays at maturity",0,IF(S52="Monthly",12,0)))))</f>
        <v>1</v>
      </c>
      <c r="S52" t="s">
        <v>93</v>
      </c>
      <c r="U52">
        <f>R52*P52</f>
        <v>2</v>
      </c>
      <c r="V52">
        <f>(H52*M52)/AD52</f>
        <v>77.5</v>
      </c>
      <c r="W52" s="28">
        <f>RATE(U52,V52,-F52,H52)</f>
        <v>4.6976396563809864E-2</v>
      </c>
      <c r="X52" s="27">
        <f>W52*AD52</f>
        <v>4.6976396563809864E-2</v>
      </c>
      <c r="Y52" s="5">
        <f>DURATION(N52,O52,M52,D52,AD52)</f>
        <v>1.9299690811972674</v>
      </c>
      <c r="Z52" s="5">
        <f>Y52/(1+C52)</f>
        <v>1.843374012567476</v>
      </c>
      <c r="AA52" s="5">
        <f>-Z52*F52</f>
        <v>-1948.4463312838222</v>
      </c>
      <c r="AB52" t="s">
        <v>64</v>
      </c>
      <c r="AC52" t="s">
        <v>62</v>
      </c>
      <c r="AD52">
        <f>_xlfn.SWITCH(PROPER(TRIM(S52)),
   "Annual",1,
   "Semi-Annual",2,
   "Quarterly",4,
   "Monthly",12,
   "")</f>
        <v>1</v>
      </c>
    </row>
    <row r="53" spans="1:30" x14ac:dyDescent="0.35">
      <c r="C53" s="28"/>
      <c r="D53" s="27"/>
      <c r="I53" s="22"/>
      <c r="K53" s="22"/>
      <c r="M53" s="22"/>
      <c r="N53" s="21"/>
      <c r="O53" s="21"/>
      <c r="P53" s="5"/>
      <c r="Q53" s="6"/>
      <c r="R53" s="5"/>
      <c r="W53" s="28"/>
      <c r="Y53" s="33"/>
      <c r="Z53" s="33"/>
      <c r="AA53" s="33"/>
    </row>
    <row r="54" spans="1:30" x14ac:dyDescent="0.35">
      <c r="A54" t="s">
        <v>2141</v>
      </c>
      <c r="B54" t="s">
        <v>114</v>
      </c>
      <c r="C54" s="36">
        <f t="shared" ref="C54:C61" si="39">RATE(U54,V54,-F54,H54)</f>
        <v>6.632174886222203E-2</v>
      </c>
      <c r="D54" s="3">
        <f t="shared" ref="D54:D61" si="40">C54*AD54</f>
        <v>6.632174886222203E-2</v>
      </c>
      <c r="F54">
        <v>1052</v>
      </c>
      <c r="G54" t="s">
        <v>76</v>
      </c>
      <c r="H54">
        <v>1000</v>
      </c>
      <c r="I54" s="22"/>
      <c r="J54">
        <v>9</v>
      </c>
      <c r="K54" s="22"/>
      <c r="L54">
        <v>-16.743045827496399</v>
      </c>
      <c r="M54" s="22">
        <v>7.3599999999999999E-2</v>
      </c>
      <c r="N54" s="21">
        <v>42282</v>
      </c>
      <c r="O54" s="21">
        <v>45935</v>
      </c>
      <c r="P54">
        <f t="shared" ref="P54:P61" si="41">ROUND(YEARFRAC(N54,O54),0)</f>
        <v>10</v>
      </c>
      <c r="Q54" s="6">
        <f t="shared" ref="Q54:Q61" si="42">(M54*H54)/F54</f>
        <v>6.996197718631178E-2</v>
      </c>
      <c r="R54" s="5">
        <f t="shared" ref="R54:R61" si="43">IF(S54="Quarterly",4,IF(S54="Semi-annual",2,IF(S54="Annual",1,IF(S54="Pays at maturity",0,IF(S54="Monthly",12,0)))))</f>
        <v>1</v>
      </c>
      <c r="S54" t="s">
        <v>93</v>
      </c>
      <c r="U54">
        <f t="shared" ref="U54:U61" si="44">R54*P54</f>
        <v>10</v>
      </c>
      <c r="V54">
        <f t="shared" ref="V54:V61" si="45">(H54*M54)/AD54</f>
        <v>73.599999999999994</v>
      </c>
      <c r="W54" s="28">
        <f t="shared" ref="W54:W61" si="46">RATE(U54,V54,-F54,H54)</f>
        <v>6.632174886222203E-2</v>
      </c>
      <c r="X54" s="27">
        <f t="shared" ref="X54:X61" si="47">W54*AD54</f>
        <v>6.632174886222203E-2</v>
      </c>
      <c r="Y54" s="5">
        <f t="shared" ref="Y54:Y61" si="48">DURATION(N54,O54,M54,D54,AD54)</f>
        <v>7.487695016138316</v>
      </c>
      <c r="Z54" s="5">
        <f t="shared" ref="Z54:Z61" si="49">Y54/(1+C54)</f>
        <v>7.0219847097067793</v>
      </c>
      <c r="AA54" s="5">
        <f t="shared" ref="AA54:AA61" si="50">-Z54*F54</f>
        <v>-7387.1279146115321</v>
      </c>
      <c r="AB54" t="s">
        <v>64</v>
      </c>
      <c r="AC54" t="s">
        <v>62</v>
      </c>
      <c r="AD54">
        <f t="shared" ref="AD54:AD61" si="51">_xlfn.SWITCH(PROPER(TRIM(S54)),
   "Annual",1,
   "Semi-Annual",2,
   "Quarterly",4,
   "Monthly",12,
   "")</f>
        <v>1</v>
      </c>
    </row>
    <row r="55" spans="1:30" x14ac:dyDescent="0.35">
      <c r="A55" t="s">
        <v>2140</v>
      </c>
      <c r="B55" t="s">
        <v>114</v>
      </c>
      <c r="C55" s="36">
        <f t="shared" si="39"/>
        <v>3.4213517951622578E-2</v>
      </c>
      <c r="D55" s="3">
        <f t="shared" si="40"/>
        <v>3.4213517951622578E-2</v>
      </c>
      <c r="F55">
        <v>1307.99</v>
      </c>
      <c r="G55" t="s">
        <v>76</v>
      </c>
      <c r="H55">
        <v>1000</v>
      </c>
      <c r="I55" s="22"/>
      <c r="J55">
        <v>10</v>
      </c>
      <c r="K55" s="22"/>
      <c r="L55">
        <v>-14.1865253811828</v>
      </c>
      <c r="M55" s="22">
        <v>7.1099999999999997E-2</v>
      </c>
      <c r="N55" s="21">
        <v>42282</v>
      </c>
      <c r="O55" s="21">
        <v>45935</v>
      </c>
      <c r="P55">
        <f t="shared" si="41"/>
        <v>10</v>
      </c>
      <c r="Q55" s="6">
        <f t="shared" si="42"/>
        <v>5.4358213747811523E-2</v>
      </c>
      <c r="R55" s="5">
        <f t="shared" si="43"/>
        <v>1</v>
      </c>
      <c r="S55" t="s">
        <v>93</v>
      </c>
      <c r="U55">
        <f t="shared" si="44"/>
        <v>10</v>
      </c>
      <c r="V55">
        <f t="shared" si="45"/>
        <v>71.099999999999994</v>
      </c>
      <c r="W55" s="28">
        <f t="shared" si="46"/>
        <v>3.4213517951622578E-2</v>
      </c>
      <c r="X55" s="27">
        <f t="shared" si="47"/>
        <v>3.4213517951622578E-2</v>
      </c>
      <c r="Y55" s="5">
        <f t="shared" si="48"/>
        <v>7.8318417397956841</v>
      </c>
      <c r="Z55" s="5">
        <f t="shared" si="49"/>
        <v>7.5727512780025705</v>
      </c>
      <c r="AA55" s="5">
        <f t="shared" si="50"/>
        <v>-9905.0829441145816</v>
      </c>
      <c r="AB55" t="s">
        <v>64</v>
      </c>
      <c r="AC55" t="s">
        <v>62</v>
      </c>
      <c r="AD55">
        <f t="shared" si="51"/>
        <v>1</v>
      </c>
    </row>
    <row r="56" spans="1:30" x14ac:dyDescent="0.35">
      <c r="A56" t="s">
        <v>2139</v>
      </c>
      <c r="B56" t="s">
        <v>1452</v>
      </c>
      <c r="C56" s="36">
        <f t="shared" si="39"/>
        <v>0.11084619678259809</v>
      </c>
      <c r="D56" s="3">
        <f t="shared" si="40"/>
        <v>0.11084619678259809</v>
      </c>
      <c r="F56">
        <v>100710.55</v>
      </c>
      <c r="G56" t="s">
        <v>76</v>
      </c>
      <c r="H56">
        <v>100000</v>
      </c>
      <c r="I56" s="22"/>
      <c r="J56">
        <v>2</v>
      </c>
      <c r="K56" s="22"/>
      <c r="L56">
        <v>7.9852508004374698</v>
      </c>
      <c r="M56" s="22">
        <v>0.115</v>
      </c>
      <c r="N56" s="21">
        <v>45371</v>
      </c>
      <c r="O56" s="21">
        <v>45936</v>
      </c>
      <c r="P56">
        <f t="shared" si="41"/>
        <v>2</v>
      </c>
      <c r="Q56" s="6">
        <f t="shared" si="42"/>
        <v>0.11418863267055934</v>
      </c>
      <c r="R56" s="5">
        <f t="shared" si="43"/>
        <v>1</v>
      </c>
      <c r="S56" t="s">
        <v>93</v>
      </c>
      <c r="U56">
        <f t="shared" si="44"/>
        <v>2</v>
      </c>
      <c r="V56">
        <f t="shared" si="45"/>
        <v>11500</v>
      </c>
      <c r="W56" s="28">
        <f t="shared" si="46"/>
        <v>0.11084619678259809</v>
      </c>
      <c r="X56" s="27">
        <f t="shared" si="47"/>
        <v>0.11084619678259809</v>
      </c>
      <c r="Y56" s="5">
        <f t="shared" si="48"/>
        <v>1.4416501665315433</v>
      </c>
      <c r="Z56" s="5">
        <f t="shared" si="49"/>
        <v>1.2977945738186529</v>
      </c>
      <c r="AA56" s="5">
        <f t="shared" si="50"/>
        <v>-130701.60531629215</v>
      </c>
      <c r="AB56" t="s">
        <v>64</v>
      </c>
      <c r="AC56" t="s">
        <v>62</v>
      </c>
      <c r="AD56">
        <f t="shared" si="51"/>
        <v>1</v>
      </c>
    </row>
    <row r="57" spans="1:30" x14ac:dyDescent="0.35">
      <c r="A57" t="s">
        <v>2138</v>
      </c>
      <c r="B57" t="s">
        <v>2137</v>
      </c>
      <c r="C57" s="36">
        <f t="shared" si="39"/>
        <v>8.5213903161897669E-2</v>
      </c>
      <c r="D57" s="3">
        <f t="shared" si="40"/>
        <v>8.5213903161897669E-2</v>
      </c>
      <c r="F57">
        <v>994347.81</v>
      </c>
      <c r="G57" t="s">
        <v>76</v>
      </c>
      <c r="H57">
        <v>1000000</v>
      </c>
      <c r="I57" s="22"/>
      <c r="J57">
        <v>1</v>
      </c>
      <c r="K57" s="22"/>
      <c r="L57">
        <v>8.9094498682202907</v>
      </c>
      <c r="M57" s="22">
        <v>8.3000000000000004E-2</v>
      </c>
      <c r="N57" s="21">
        <v>44841</v>
      </c>
      <c r="O57" s="21">
        <v>45937</v>
      </c>
      <c r="P57">
        <f t="shared" si="41"/>
        <v>3</v>
      </c>
      <c r="Q57" s="6">
        <f t="shared" si="42"/>
        <v>8.3471798464563415E-2</v>
      </c>
      <c r="R57" s="5">
        <f t="shared" si="43"/>
        <v>1</v>
      </c>
      <c r="S57" t="s">
        <v>93</v>
      </c>
      <c r="U57">
        <f t="shared" si="44"/>
        <v>3</v>
      </c>
      <c r="V57">
        <f t="shared" si="45"/>
        <v>83000</v>
      </c>
      <c r="W57" s="28">
        <f t="shared" si="46"/>
        <v>8.5213903161897669E-2</v>
      </c>
      <c r="X57" s="27">
        <f t="shared" si="47"/>
        <v>8.5213903161897669E-2</v>
      </c>
      <c r="Y57" s="5">
        <f t="shared" si="48"/>
        <v>2.7752876502672961</v>
      </c>
      <c r="Z57" s="5">
        <f t="shared" si="49"/>
        <v>2.5573646284674116</v>
      </c>
      <c r="AA57" s="5">
        <f t="shared" si="50"/>
        <v>-2542909.9176880345</v>
      </c>
      <c r="AB57" t="s">
        <v>64</v>
      </c>
      <c r="AC57" t="s">
        <v>62</v>
      </c>
      <c r="AD57">
        <f t="shared" si="51"/>
        <v>1</v>
      </c>
    </row>
    <row r="58" spans="1:30" x14ac:dyDescent="0.35">
      <c r="A58" t="s">
        <v>2136</v>
      </c>
      <c r="B58" t="s">
        <v>1254</v>
      </c>
      <c r="C58" s="36">
        <f t="shared" si="39"/>
        <v>0.13262649185898681</v>
      </c>
      <c r="D58" s="3">
        <f t="shared" si="40"/>
        <v>1.5915179023078418</v>
      </c>
      <c r="F58">
        <v>12552.49</v>
      </c>
      <c r="G58" t="s">
        <v>76</v>
      </c>
      <c r="H58">
        <v>100000</v>
      </c>
      <c r="I58" s="22"/>
      <c r="J58">
        <v>1</v>
      </c>
      <c r="K58" s="22"/>
      <c r="M58" s="22">
        <v>0.126</v>
      </c>
      <c r="N58" s="21">
        <v>45209</v>
      </c>
      <c r="O58" s="21">
        <v>45940</v>
      </c>
      <c r="P58">
        <f t="shared" si="41"/>
        <v>2</v>
      </c>
      <c r="Q58" s="6">
        <f t="shared" si="42"/>
        <v>1.0037849064209572</v>
      </c>
      <c r="R58" s="5">
        <f t="shared" si="43"/>
        <v>12</v>
      </c>
      <c r="S58" t="s">
        <v>1717</v>
      </c>
      <c r="U58">
        <f t="shared" si="44"/>
        <v>24</v>
      </c>
      <c r="V58">
        <f t="shared" si="45"/>
        <v>1050</v>
      </c>
      <c r="W58" s="28">
        <f t="shared" si="46"/>
        <v>0.13262649185898681</v>
      </c>
      <c r="X58" s="27">
        <f t="shared" si="47"/>
        <v>1.5915179023078418</v>
      </c>
      <c r="Y58" s="5" t="e">
        <f t="shared" si="48"/>
        <v>#NUM!</v>
      </c>
      <c r="Z58" s="5" t="e">
        <f t="shared" si="49"/>
        <v>#NUM!</v>
      </c>
      <c r="AA58" s="5" t="e">
        <f t="shared" si="50"/>
        <v>#NUM!</v>
      </c>
      <c r="AB58" t="s">
        <v>64</v>
      </c>
      <c r="AC58" t="s">
        <v>62</v>
      </c>
      <c r="AD58">
        <f t="shared" si="51"/>
        <v>12</v>
      </c>
    </row>
    <row r="59" spans="1:30" x14ac:dyDescent="0.35">
      <c r="A59" t="s">
        <v>2135</v>
      </c>
      <c r="B59" t="s">
        <v>257</v>
      </c>
      <c r="C59" s="36">
        <f t="shared" si="39"/>
        <v>9.2500157539050637E-2</v>
      </c>
      <c r="D59" s="3">
        <f t="shared" si="40"/>
        <v>9.2500157539050637E-2</v>
      </c>
      <c r="F59">
        <v>999999</v>
      </c>
      <c r="G59" t="s">
        <v>76</v>
      </c>
      <c r="H59">
        <v>1000000</v>
      </c>
      <c r="I59" s="22"/>
      <c r="J59">
        <v>2</v>
      </c>
      <c r="K59" s="22"/>
      <c r="L59">
        <v>9.2500922046376495</v>
      </c>
      <c r="M59" s="22">
        <v>9.2499999999999999E-2</v>
      </c>
      <c r="N59" s="21">
        <v>42290</v>
      </c>
      <c r="O59" s="21">
        <v>45943</v>
      </c>
      <c r="P59">
        <f t="shared" si="41"/>
        <v>10</v>
      </c>
      <c r="Q59" s="6">
        <f t="shared" si="42"/>
        <v>9.2500092500092501E-2</v>
      </c>
      <c r="R59" s="5">
        <f t="shared" si="43"/>
        <v>1</v>
      </c>
      <c r="S59" t="s">
        <v>93</v>
      </c>
      <c r="U59">
        <f t="shared" si="44"/>
        <v>10</v>
      </c>
      <c r="V59">
        <f t="shared" si="45"/>
        <v>92500</v>
      </c>
      <c r="W59" s="28">
        <f t="shared" si="46"/>
        <v>9.2500157539050637E-2</v>
      </c>
      <c r="X59" s="27">
        <f t="shared" si="47"/>
        <v>9.2500157539050637E-2</v>
      </c>
      <c r="Y59" s="5">
        <f t="shared" si="48"/>
        <v>6.9347916769210789</v>
      </c>
      <c r="Z59" s="5">
        <f t="shared" si="49"/>
        <v>6.3476344868839973</v>
      </c>
      <c r="AA59" s="5">
        <f t="shared" si="50"/>
        <v>-6347628.1392495101</v>
      </c>
      <c r="AB59" t="s">
        <v>64</v>
      </c>
      <c r="AC59" t="s">
        <v>62</v>
      </c>
      <c r="AD59">
        <f t="shared" si="51"/>
        <v>1</v>
      </c>
    </row>
    <row r="60" spans="1:30" x14ac:dyDescent="0.35">
      <c r="A60" t="s">
        <v>2134</v>
      </c>
      <c r="B60" t="s">
        <v>612</v>
      </c>
      <c r="C60" s="36">
        <f t="shared" si="39"/>
        <v>0.10955970697953493</v>
      </c>
      <c r="D60" s="3">
        <f t="shared" si="40"/>
        <v>0.10955970697953493</v>
      </c>
      <c r="F60">
        <v>1027000</v>
      </c>
      <c r="G60" t="s">
        <v>76</v>
      </c>
      <c r="H60">
        <v>1000000</v>
      </c>
      <c r="I60" s="22"/>
      <c r="J60">
        <v>1</v>
      </c>
      <c r="K60" s="22"/>
      <c r="L60">
        <v>8.8612858233111407</v>
      </c>
      <c r="M60" s="22">
        <v>0.1206</v>
      </c>
      <c r="N60" s="21">
        <v>44847</v>
      </c>
      <c r="O60" s="21">
        <v>45943</v>
      </c>
      <c r="P60">
        <f t="shared" si="41"/>
        <v>3</v>
      </c>
      <c r="Q60" s="6">
        <f t="shared" si="42"/>
        <v>0.11742940603700097</v>
      </c>
      <c r="R60" s="5">
        <f t="shared" si="43"/>
        <v>1</v>
      </c>
      <c r="S60" t="s">
        <v>93</v>
      </c>
      <c r="U60">
        <f t="shared" si="44"/>
        <v>3</v>
      </c>
      <c r="V60">
        <f t="shared" si="45"/>
        <v>120600</v>
      </c>
      <c r="W60" s="28">
        <f t="shared" si="46"/>
        <v>0.10955970697953493</v>
      </c>
      <c r="X60" s="27">
        <f t="shared" si="47"/>
        <v>0.10955970697953493</v>
      </c>
      <c r="Y60" s="5">
        <f t="shared" si="48"/>
        <v>2.6929475287622453</v>
      </c>
      <c r="Z60" s="5">
        <f t="shared" si="49"/>
        <v>2.4270415659676754</v>
      </c>
      <c r="AA60" s="5">
        <f t="shared" si="50"/>
        <v>-2492571.6882488024</v>
      </c>
      <c r="AB60" t="s">
        <v>64</v>
      </c>
      <c r="AC60" t="s">
        <v>62</v>
      </c>
      <c r="AD60">
        <f t="shared" si="51"/>
        <v>1</v>
      </c>
    </row>
    <row r="61" spans="1:30" x14ac:dyDescent="0.35">
      <c r="A61" t="s">
        <v>2133</v>
      </c>
      <c r="B61" t="s">
        <v>636</v>
      </c>
      <c r="C61" s="36">
        <f t="shared" si="39"/>
        <v>3.8627549965451653E-2</v>
      </c>
      <c r="D61" s="3">
        <f t="shared" si="40"/>
        <v>7.7255099930903307E-2</v>
      </c>
      <c r="F61">
        <v>1001</v>
      </c>
      <c r="G61" t="s">
        <v>66</v>
      </c>
      <c r="H61">
        <v>1000</v>
      </c>
      <c r="I61" s="22"/>
      <c r="J61">
        <v>810000</v>
      </c>
      <c r="K61" s="22"/>
      <c r="M61" s="22">
        <v>7.7499999999999999E-2</v>
      </c>
      <c r="N61" s="21">
        <v>44117</v>
      </c>
      <c r="O61" s="21">
        <v>45945</v>
      </c>
      <c r="P61">
        <f t="shared" si="41"/>
        <v>5</v>
      </c>
      <c r="Q61" s="6">
        <f t="shared" si="42"/>
        <v>7.7422577422577424E-2</v>
      </c>
      <c r="R61" s="5">
        <f t="shared" si="43"/>
        <v>2</v>
      </c>
      <c r="S61" t="s">
        <v>65</v>
      </c>
      <c r="U61">
        <f t="shared" si="44"/>
        <v>10</v>
      </c>
      <c r="V61">
        <f t="shared" si="45"/>
        <v>38.75</v>
      </c>
      <c r="W61" s="28">
        <f t="shared" si="46"/>
        <v>3.8627549965451653E-2</v>
      </c>
      <c r="X61" s="27">
        <f t="shared" si="47"/>
        <v>7.7255099930903307E-2</v>
      </c>
      <c r="Y61" s="5">
        <f t="shared" si="48"/>
        <v>4.0869404976376362</v>
      </c>
      <c r="Z61" s="5">
        <f t="shared" si="49"/>
        <v>3.9349432794976238</v>
      </c>
      <c r="AA61" s="5">
        <f t="shared" si="50"/>
        <v>-3938.8782227771212</v>
      </c>
      <c r="AB61" t="s">
        <v>69</v>
      </c>
      <c r="AC61" t="s">
        <v>62</v>
      </c>
      <c r="AD61">
        <f t="shared" si="51"/>
        <v>2</v>
      </c>
    </row>
    <row r="62" spans="1:30" x14ac:dyDescent="0.35">
      <c r="C62" s="28"/>
      <c r="D62" s="27"/>
      <c r="I62" s="22"/>
      <c r="K62" s="22"/>
      <c r="M62" s="22"/>
      <c r="N62" s="21"/>
      <c r="O62" s="21"/>
      <c r="P62" s="5"/>
      <c r="Q62" s="6"/>
      <c r="R62" s="5"/>
      <c r="W62" s="28"/>
      <c r="Y62" s="33"/>
      <c r="Z62" s="33"/>
      <c r="AA62" s="33"/>
    </row>
    <row r="63" spans="1:30" x14ac:dyDescent="0.35">
      <c r="A63" t="s">
        <v>2131</v>
      </c>
      <c r="B63" t="s">
        <v>338</v>
      </c>
      <c r="C63" s="36">
        <f t="shared" ref="C63:C69" si="52">RATE(U63,V63,-F63,H63)</f>
        <v>0.22863485016648177</v>
      </c>
      <c r="D63" s="3">
        <f t="shared" ref="D63:D69" si="53">C63*AD63</f>
        <v>0.22863485016648177</v>
      </c>
      <c r="F63">
        <v>901</v>
      </c>
      <c r="G63" t="s">
        <v>76</v>
      </c>
      <c r="H63">
        <v>1000</v>
      </c>
      <c r="I63" s="22"/>
      <c r="J63">
        <v>10</v>
      </c>
      <c r="K63" s="22"/>
      <c r="L63">
        <v>58.509924373435197</v>
      </c>
      <c r="M63" s="22">
        <v>0.107</v>
      </c>
      <c r="N63" s="21">
        <v>45546</v>
      </c>
      <c r="O63" s="21">
        <v>45946</v>
      </c>
      <c r="P63">
        <f t="shared" ref="P63:P69" si="54">ROUND(YEARFRAC(N63,O63),0)</f>
        <v>1</v>
      </c>
      <c r="Q63" s="6">
        <f t="shared" ref="Q63:Q69" si="55">(M63*H63)/F63</f>
        <v>0.11875693673695893</v>
      </c>
      <c r="R63" s="5">
        <f t="shared" ref="R63:R69" si="56">IF(S63="Quarterly",4,IF(S63="Semi-annual",2,IF(S63="Annual",1,IF(S63="Pays at maturity",0,IF(S63="Monthly",12,0)))))</f>
        <v>1</v>
      </c>
      <c r="S63" t="s">
        <v>93</v>
      </c>
      <c r="U63">
        <f t="shared" ref="U63:U69" si="57">R63*P63</f>
        <v>1</v>
      </c>
      <c r="V63">
        <f t="shared" ref="V63:V69" si="58">(H63*M63)/AD63</f>
        <v>107</v>
      </c>
      <c r="W63" s="28">
        <f t="shared" ref="W63:W69" si="59">RATE(U63,V63,-F63,H63)</f>
        <v>0.22863485016648177</v>
      </c>
      <c r="X63" s="27">
        <f t="shared" ref="X63:X69" si="60">W63*AD63</f>
        <v>0.22863485016648177</v>
      </c>
      <c r="Y63" s="5">
        <f t="shared" ref="Y63:Y69" si="61">DURATION(N63,O63,M63,D63,AD63)</f>
        <v>0.9910714285714286</v>
      </c>
      <c r="Z63" s="5">
        <f t="shared" ref="Z63:Z69" si="62">Y63/(1+C63)</f>
        <v>0.80664440572977159</v>
      </c>
      <c r="AA63" s="5">
        <f t="shared" ref="AA63:AA69" si="63">-Z63*F63</f>
        <v>-726.78660956252418</v>
      </c>
      <c r="AB63" t="s">
        <v>64</v>
      </c>
      <c r="AC63" t="s">
        <v>62</v>
      </c>
      <c r="AD63">
        <f t="shared" ref="AD63:AD69" si="64">_xlfn.SWITCH(PROPER(TRIM(S63)),
   "Annual",1,
   "Semi-Annual",2,
   "Quarterly",4,
   "Monthly",12,
   "")</f>
        <v>1</v>
      </c>
    </row>
    <row r="64" spans="1:30" x14ac:dyDescent="0.35">
      <c r="A64" t="s">
        <v>2130</v>
      </c>
      <c r="B64" t="s">
        <v>94</v>
      </c>
      <c r="C64" s="36">
        <f t="shared" si="52"/>
        <v>4.1771106952096987E-2</v>
      </c>
      <c r="D64" s="3">
        <f t="shared" si="53"/>
        <v>4.1771106952096987E-2</v>
      </c>
      <c r="F64">
        <v>1235.8</v>
      </c>
      <c r="G64" t="s">
        <v>76</v>
      </c>
      <c r="H64">
        <v>1000</v>
      </c>
      <c r="I64" s="22"/>
      <c r="J64">
        <v>8</v>
      </c>
      <c r="K64" s="22"/>
      <c r="L64">
        <v>-62.525822758298901</v>
      </c>
      <c r="M64" s="22">
        <v>7.1099999999999997E-2</v>
      </c>
      <c r="N64" s="21">
        <v>42294</v>
      </c>
      <c r="O64" s="21">
        <v>45947</v>
      </c>
      <c r="P64">
        <f t="shared" si="54"/>
        <v>10</v>
      </c>
      <c r="Q64" s="6">
        <f t="shared" si="55"/>
        <v>5.753358148567729E-2</v>
      </c>
      <c r="R64" s="5">
        <f t="shared" si="56"/>
        <v>1</v>
      </c>
      <c r="S64" t="s">
        <v>93</v>
      </c>
      <c r="U64">
        <f t="shared" si="57"/>
        <v>10</v>
      </c>
      <c r="V64">
        <f t="shared" si="58"/>
        <v>71.099999999999994</v>
      </c>
      <c r="W64" s="28">
        <f t="shared" si="59"/>
        <v>4.1771106952096987E-2</v>
      </c>
      <c r="X64" s="27">
        <f t="shared" si="60"/>
        <v>4.1771106952096987E-2</v>
      </c>
      <c r="Y64" s="5">
        <f t="shared" si="61"/>
        <v>7.7627467038803344</v>
      </c>
      <c r="Z64" s="5">
        <f t="shared" si="62"/>
        <v>7.4514897294394666</v>
      </c>
      <c r="AA64" s="5">
        <f t="shared" si="63"/>
        <v>-9208.551007641292</v>
      </c>
      <c r="AB64" t="s">
        <v>64</v>
      </c>
      <c r="AC64" t="s">
        <v>62</v>
      </c>
      <c r="AD64">
        <f t="shared" si="64"/>
        <v>1</v>
      </c>
    </row>
    <row r="65" spans="1:30" x14ac:dyDescent="0.35">
      <c r="A65" t="s">
        <v>2129</v>
      </c>
      <c r="B65" t="s">
        <v>326</v>
      </c>
      <c r="C65" s="36">
        <f t="shared" si="52"/>
        <v>9.9014170961521847E-2</v>
      </c>
      <c r="D65" s="3">
        <f t="shared" si="53"/>
        <v>9.9014170961521847E-2</v>
      </c>
      <c r="F65">
        <v>990</v>
      </c>
      <c r="G65" t="s">
        <v>76</v>
      </c>
      <c r="H65">
        <v>1000</v>
      </c>
      <c r="I65" s="22"/>
      <c r="J65">
        <v>50</v>
      </c>
      <c r="K65" s="22"/>
      <c r="L65">
        <v>13.2463246324632</v>
      </c>
      <c r="M65" s="22">
        <v>9.5000000000000001E-2</v>
      </c>
      <c r="N65" s="21">
        <v>44852</v>
      </c>
      <c r="O65" s="21">
        <v>45947</v>
      </c>
      <c r="P65">
        <f t="shared" si="54"/>
        <v>3</v>
      </c>
      <c r="Q65" s="6">
        <f t="shared" si="55"/>
        <v>9.5959595959595953E-2</v>
      </c>
      <c r="R65" s="5">
        <f t="shared" si="56"/>
        <v>1</v>
      </c>
      <c r="S65" t="s">
        <v>93</v>
      </c>
      <c r="U65">
        <f t="shared" si="57"/>
        <v>3</v>
      </c>
      <c r="V65">
        <f t="shared" si="58"/>
        <v>95</v>
      </c>
      <c r="W65" s="28">
        <f t="shared" si="59"/>
        <v>9.9014170961521847E-2</v>
      </c>
      <c r="X65" s="27">
        <f t="shared" si="60"/>
        <v>9.9014170961521847E-2</v>
      </c>
      <c r="Y65" s="5">
        <f t="shared" si="61"/>
        <v>2.7431459351545411</v>
      </c>
      <c r="Z65" s="5">
        <f t="shared" si="62"/>
        <v>2.496005973020873</v>
      </c>
      <c r="AA65" s="5">
        <f t="shared" si="63"/>
        <v>-2471.0459132906644</v>
      </c>
      <c r="AB65" t="s">
        <v>64</v>
      </c>
      <c r="AC65" t="s">
        <v>62</v>
      </c>
      <c r="AD65">
        <f t="shared" si="64"/>
        <v>1</v>
      </c>
    </row>
    <row r="66" spans="1:30" x14ac:dyDescent="0.35">
      <c r="A66" t="s">
        <v>2128</v>
      </c>
      <c r="B66" t="s">
        <v>316</v>
      </c>
      <c r="C66" s="36">
        <f t="shared" si="52"/>
        <v>9.7706397441436638E-2</v>
      </c>
      <c r="D66" s="3">
        <f t="shared" si="53"/>
        <v>9.7706397441436638E-2</v>
      </c>
      <c r="F66">
        <v>987</v>
      </c>
      <c r="G66" t="s">
        <v>76</v>
      </c>
      <c r="H66">
        <v>1000</v>
      </c>
      <c r="I66" s="22"/>
      <c r="J66">
        <v>6</v>
      </c>
      <c r="K66" s="22"/>
      <c r="L66">
        <v>13.588936881210101</v>
      </c>
      <c r="M66" s="22">
        <v>9.2499999999999999E-2</v>
      </c>
      <c r="N66" s="21">
        <v>44669</v>
      </c>
      <c r="O66" s="21">
        <v>45947</v>
      </c>
      <c r="P66">
        <f t="shared" si="54"/>
        <v>3</v>
      </c>
      <c r="Q66" s="6">
        <f t="shared" si="55"/>
        <v>9.3718338399189458E-2</v>
      </c>
      <c r="R66" s="5">
        <f t="shared" si="56"/>
        <v>1</v>
      </c>
      <c r="S66" t="s">
        <v>93</v>
      </c>
      <c r="U66">
        <f t="shared" si="57"/>
        <v>3</v>
      </c>
      <c r="V66">
        <f t="shared" si="58"/>
        <v>92.5</v>
      </c>
      <c r="W66" s="28">
        <f t="shared" si="59"/>
        <v>9.7706397441436638E-2</v>
      </c>
      <c r="X66" s="27">
        <f t="shared" si="60"/>
        <v>9.7706397441436638E-2</v>
      </c>
      <c r="Y66" s="5">
        <f t="shared" si="61"/>
        <v>3.0129245827918223</v>
      </c>
      <c r="Z66" s="5">
        <f t="shared" si="62"/>
        <v>2.7447453980540035</v>
      </c>
      <c r="AA66" s="5">
        <f t="shared" si="63"/>
        <v>-2709.0637078793015</v>
      </c>
      <c r="AB66" t="s">
        <v>64</v>
      </c>
      <c r="AC66" t="s">
        <v>62</v>
      </c>
      <c r="AD66">
        <f t="shared" si="64"/>
        <v>1</v>
      </c>
    </row>
    <row r="67" spans="1:30" x14ac:dyDescent="0.35">
      <c r="A67" t="s">
        <v>2127</v>
      </c>
      <c r="B67" t="s">
        <v>94</v>
      </c>
      <c r="C67" s="36">
        <f t="shared" si="52"/>
        <v>6.4664068938203603E-2</v>
      </c>
      <c r="D67" s="3">
        <f t="shared" si="53"/>
        <v>6.4664068938203603E-2</v>
      </c>
      <c r="F67">
        <v>1064.3399999999999</v>
      </c>
      <c r="G67" t="s">
        <v>76</v>
      </c>
      <c r="H67">
        <v>1000</v>
      </c>
      <c r="I67" s="22"/>
      <c r="J67">
        <v>1</v>
      </c>
      <c r="K67" s="22"/>
      <c r="L67">
        <v>-17.3315888688795</v>
      </c>
      <c r="M67" s="22">
        <v>7.3599999999999999E-2</v>
      </c>
      <c r="N67" s="21">
        <v>42294</v>
      </c>
      <c r="O67" s="21">
        <v>45947</v>
      </c>
      <c r="P67">
        <f t="shared" si="54"/>
        <v>10</v>
      </c>
      <c r="Q67" s="6">
        <f t="shared" si="55"/>
        <v>6.9150835259409585E-2</v>
      </c>
      <c r="R67" s="5">
        <f t="shared" si="56"/>
        <v>1</v>
      </c>
      <c r="S67" t="s">
        <v>93</v>
      </c>
      <c r="U67">
        <f t="shared" si="57"/>
        <v>10</v>
      </c>
      <c r="V67">
        <f t="shared" si="58"/>
        <v>73.599999999999994</v>
      </c>
      <c r="W67" s="28">
        <f t="shared" si="59"/>
        <v>6.4664068938203603E-2</v>
      </c>
      <c r="X67" s="27">
        <f t="shared" si="60"/>
        <v>6.4664068938203603E-2</v>
      </c>
      <c r="Y67" s="5">
        <f t="shared" si="61"/>
        <v>7.503771023248115</v>
      </c>
      <c r="Z67" s="5">
        <f t="shared" si="62"/>
        <v>7.0480175317005616</v>
      </c>
      <c r="AA67" s="5">
        <f t="shared" si="63"/>
        <v>-7501.4869796901748</v>
      </c>
      <c r="AB67" t="s">
        <v>64</v>
      </c>
      <c r="AC67" t="s">
        <v>62</v>
      </c>
      <c r="AD67">
        <f t="shared" si="64"/>
        <v>1</v>
      </c>
    </row>
    <row r="68" spans="1:30" x14ac:dyDescent="0.35">
      <c r="A68" t="s">
        <v>2126</v>
      </c>
      <c r="B68" t="s">
        <v>882</v>
      </c>
      <c r="C68" s="36">
        <f t="shared" si="52"/>
        <v>9.4498562106647921E-2</v>
      </c>
      <c r="D68" s="3">
        <f t="shared" si="53"/>
        <v>9.4498562106647921E-2</v>
      </c>
      <c r="F68">
        <v>1013.99</v>
      </c>
      <c r="G68" t="s">
        <v>76</v>
      </c>
      <c r="H68">
        <v>1000</v>
      </c>
      <c r="I68" s="22"/>
      <c r="J68">
        <v>1</v>
      </c>
      <c r="K68" s="22"/>
      <c r="L68">
        <v>4.3859698275668801</v>
      </c>
      <c r="M68" s="22">
        <v>0.10249999999999999</v>
      </c>
      <c r="N68" s="21">
        <v>45125</v>
      </c>
      <c r="O68" s="21">
        <v>45948</v>
      </c>
      <c r="P68">
        <f t="shared" si="54"/>
        <v>2</v>
      </c>
      <c r="Q68" s="6">
        <f t="shared" si="55"/>
        <v>0.10108580952474876</v>
      </c>
      <c r="R68" s="5">
        <f t="shared" si="56"/>
        <v>1</v>
      </c>
      <c r="S68" t="s">
        <v>93</v>
      </c>
      <c r="U68">
        <f t="shared" si="57"/>
        <v>2</v>
      </c>
      <c r="V68">
        <f t="shared" si="58"/>
        <v>102.5</v>
      </c>
      <c r="W68" s="28">
        <f t="shared" si="59"/>
        <v>9.4498562106647921E-2</v>
      </c>
      <c r="X68" s="27">
        <f t="shared" si="60"/>
        <v>9.4498562106647921E-2</v>
      </c>
      <c r="Y68" s="5">
        <f t="shared" si="61"/>
        <v>1.9825097479090112</v>
      </c>
      <c r="Z68" s="5">
        <f t="shared" si="62"/>
        <v>1.8113406600490678</v>
      </c>
      <c r="AA68" s="5">
        <f t="shared" si="63"/>
        <v>-1836.6813158831542</v>
      </c>
      <c r="AB68" t="s">
        <v>64</v>
      </c>
      <c r="AC68" t="s">
        <v>62</v>
      </c>
      <c r="AD68">
        <f t="shared" si="64"/>
        <v>1</v>
      </c>
    </row>
    <row r="69" spans="1:30" x14ac:dyDescent="0.35">
      <c r="A69" t="s">
        <v>2125</v>
      </c>
      <c r="B69" t="s">
        <v>882</v>
      </c>
      <c r="C69" s="36">
        <f t="shared" si="52"/>
        <v>0.10517920740172296</v>
      </c>
      <c r="D69" s="3">
        <f t="shared" si="53"/>
        <v>0.10517920740172296</v>
      </c>
      <c r="F69">
        <v>1004</v>
      </c>
      <c r="G69" t="s">
        <v>76</v>
      </c>
      <c r="H69">
        <v>1000</v>
      </c>
      <c r="I69" s="22"/>
      <c r="J69">
        <v>610</v>
      </c>
      <c r="K69" s="22"/>
      <c r="L69">
        <v>9.0356962952786493</v>
      </c>
      <c r="M69" s="22">
        <v>0.1075</v>
      </c>
      <c r="N69" s="21">
        <v>45125</v>
      </c>
      <c r="O69" s="21">
        <v>45948</v>
      </c>
      <c r="P69">
        <f t="shared" si="54"/>
        <v>2</v>
      </c>
      <c r="Q69" s="6">
        <f t="shared" si="55"/>
        <v>0.10707171314741036</v>
      </c>
      <c r="R69" s="5">
        <f t="shared" si="56"/>
        <v>1</v>
      </c>
      <c r="S69" t="s">
        <v>93</v>
      </c>
      <c r="U69">
        <f t="shared" si="57"/>
        <v>2</v>
      </c>
      <c r="V69">
        <f t="shared" si="58"/>
        <v>107.5</v>
      </c>
      <c r="W69" s="28">
        <f t="shared" si="59"/>
        <v>0.10517920740172296</v>
      </c>
      <c r="X69" s="27">
        <f t="shared" si="60"/>
        <v>0.10517920740172296</v>
      </c>
      <c r="Y69" s="5">
        <f t="shared" si="61"/>
        <v>1.9690559668276075</v>
      </c>
      <c r="Z69" s="5">
        <f t="shared" si="62"/>
        <v>1.7816621536491437</v>
      </c>
      <c r="AA69" s="5">
        <f t="shared" si="63"/>
        <v>-1788.7888022637403</v>
      </c>
      <c r="AB69" t="s">
        <v>64</v>
      </c>
      <c r="AC69" t="s">
        <v>62</v>
      </c>
      <c r="AD69">
        <f t="shared" si="64"/>
        <v>1</v>
      </c>
    </row>
    <row r="70" spans="1:30" x14ac:dyDescent="0.35">
      <c r="C70" s="28"/>
      <c r="D70" s="27"/>
      <c r="I70" s="22"/>
      <c r="K70" s="22"/>
      <c r="M70" s="22"/>
      <c r="N70" s="21"/>
      <c r="O70" s="21"/>
      <c r="P70" s="5"/>
      <c r="Q70" s="6"/>
      <c r="R70" s="5"/>
      <c r="W70" s="28"/>
      <c r="Y70" s="33"/>
      <c r="Z70" s="33"/>
      <c r="AA70" s="33"/>
    </row>
    <row r="71" spans="1:30" x14ac:dyDescent="0.35">
      <c r="A71" t="s">
        <v>2123</v>
      </c>
      <c r="B71" t="s">
        <v>122</v>
      </c>
      <c r="C71" s="36">
        <f>RATE(U71,V71,-F71,H71)</f>
        <v>9.038363713219269E-2</v>
      </c>
      <c r="D71" s="3">
        <f>C71*AD71</f>
        <v>9.038363713219269E-2</v>
      </c>
      <c r="F71">
        <v>996.5</v>
      </c>
      <c r="G71" t="s">
        <v>76</v>
      </c>
      <c r="H71">
        <v>1000</v>
      </c>
      <c r="I71" s="22"/>
      <c r="J71">
        <v>150</v>
      </c>
      <c r="K71" s="22"/>
      <c r="L71">
        <v>10.3716941880852</v>
      </c>
      <c r="M71" s="22">
        <v>8.900000000000001E-2</v>
      </c>
      <c r="N71" s="21">
        <v>44854</v>
      </c>
      <c r="O71" s="21">
        <v>45950</v>
      </c>
      <c r="P71">
        <f>ROUND(YEARFRAC(N71,O71),0)</f>
        <v>3</v>
      </c>
      <c r="Q71" s="6">
        <f>(M71*H71)/F71</f>
        <v>8.9312594079277483E-2</v>
      </c>
      <c r="R71" s="5">
        <f>IF(S71="Quarterly",4,IF(S71="Semi-annual",2,IF(S71="Annual",1,IF(S71="Pays at maturity",0,IF(S71="Monthly",12,0)))))</f>
        <v>1</v>
      </c>
      <c r="S71" t="s">
        <v>93</v>
      </c>
      <c r="U71">
        <f>R71*P71</f>
        <v>3</v>
      </c>
      <c r="V71">
        <f>(H71*M71)/AD71</f>
        <v>89.000000000000014</v>
      </c>
      <c r="W71" s="28">
        <f>RATE(U71,V71,-F71,H71)</f>
        <v>9.038363713219269E-2</v>
      </c>
      <c r="X71" s="27">
        <f>W71*AD71</f>
        <v>9.038363713219269E-2</v>
      </c>
      <c r="Y71" s="5">
        <f>DURATION(N71,O71,M71,D71,AD71)</f>
        <v>2.7610616024223931</v>
      </c>
      <c r="Z71" s="5">
        <f>Y71/(1+C71)</f>
        <v>2.5321928066384363</v>
      </c>
      <c r="AA71" s="5">
        <f>-Z71*F71</f>
        <v>-2523.3301318152016</v>
      </c>
      <c r="AB71" t="s">
        <v>64</v>
      </c>
      <c r="AC71" t="s">
        <v>62</v>
      </c>
      <c r="AD71">
        <f>_xlfn.SWITCH(PROPER(TRIM(S71)),
   "Annual",1,
   "Semi-Annual",2,
   "Quarterly",4,
   "Monthly",12,
   "")</f>
        <v>1</v>
      </c>
    </row>
    <row r="72" spans="1:30" x14ac:dyDescent="0.35">
      <c r="A72" t="s">
        <v>2122</v>
      </c>
      <c r="B72" t="s">
        <v>283</v>
      </c>
      <c r="C72" s="36">
        <f>RATE(U72,V72,-F72,H72)</f>
        <v>5.9387737866129907E-2</v>
      </c>
      <c r="D72" s="3">
        <f>C72*AD72</f>
        <v>0.23755095146451963</v>
      </c>
      <c r="F72">
        <v>503500</v>
      </c>
      <c r="G72" t="s">
        <v>76</v>
      </c>
      <c r="H72">
        <v>1000000</v>
      </c>
      <c r="I72" s="22"/>
      <c r="J72">
        <v>1</v>
      </c>
      <c r="K72" s="22"/>
      <c r="M72" s="22">
        <v>9.7500000000000003E-2</v>
      </c>
      <c r="N72" s="21">
        <v>43074</v>
      </c>
      <c r="O72" s="21">
        <v>45950</v>
      </c>
      <c r="P72">
        <f>ROUND(YEARFRAC(N72,O72),0)</f>
        <v>8</v>
      </c>
      <c r="Q72" s="6">
        <f>(M72*H72)/F72</f>
        <v>0.1936444885799404</v>
      </c>
      <c r="R72" s="5">
        <f>IF(S72="Quarterly",4,IF(S72="Semi-annual",2,IF(S72="Annual",1,IF(S72="Pays at maturity",0,IF(S72="Monthly",12,0)))))</f>
        <v>4</v>
      </c>
      <c r="S72" t="s">
        <v>105</v>
      </c>
      <c r="U72">
        <f>R72*P72</f>
        <v>32</v>
      </c>
      <c r="V72">
        <f>(H72*M72)/AD72</f>
        <v>24375</v>
      </c>
      <c r="W72" s="28">
        <f>RATE(U72,V72,-F72,H72)</f>
        <v>5.9387737866129907E-2</v>
      </c>
      <c r="X72" s="27">
        <f>W72*AD72</f>
        <v>0.23755095146451963</v>
      </c>
      <c r="Y72" s="5">
        <f>DURATION(N72,O72,M72,D72,AD72)</f>
        <v>4.4151530702645019</v>
      </c>
      <c r="Z72" s="5">
        <f>Y72/(1+C72)</f>
        <v>4.1676460019800849</v>
      </c>
      <c r="AA72" s="5">
        <f>-Z72*F72</f>
        <v>-2098409.7619969728</v>
      </c>
      <c r="AB72" t="s">
        <v>64</v>
      </c>
      <c r="AC72" t="s">
        <v>62</v>
      </c>
      <c r="AD72">
        <f>_xlfn.SWITCH(PROPER(TRIM(S72)),
   "Annual",1,
   "Semi-Annual",2,
   "Quarterly",4,
   "Monthly",12,
   "")</f>
        <v>4</v>
      </c>
    </row>
    <row r="73" spans="1:30" x14ac:dyDescent="0.35">
      <c r="A73" t="s">
        <v>2121</v>
      </c>
      <c r="B73" t="s">
        <v>122</v>
      </c>
      <c r="C73" s="36">
        <f>RATE(U73,V73,-F73,H73)</f>
        <v>6.9651457804971825E-2</v>
      </c>
      <c r="D73" s="3">
        <f>C73*AD73</f>
        <v>6.9651457804971825E-2</v>
      </c>
      <c r="F73">
        <v>1060</v>
      </c>
      <c r="G73" t="s">
        <v>76</v>
      </c>
      <c r="H73">
        <v>1000</v>
      </c>
      <c r="I73" s="22"/>
      <c r="J73">
        <v>17</v>
      </c>
      <c r="K73" s="22"/>
      <c r="L73">
        <v>-13.977296288617</v>
      </c>
      <c r="M73" s="22">
        <v>9.2499999999999999E-2</v>
      </c>
      <c r="N73" s="21">
        <v>44854</v>
      </c>
      <c r="O73" s="21">
        <v>45950</v>
      </c>
      <c r="P73">
        <f>ROUND(YEARFRAC(N73,O73),0)</f>
        <v>3</v>
      </c>
      <c r="Q73" s="6">
        <f>(M73*H73)/F73</f>
        <v>8.7264150943396221E-2</v>
      </c>
      <c r="R73" s="5">
        <f>IF(S73="Quarterly",4,IF(S73="Semi-annual",2,IF(S73="Annual",1,IF(S73="Pays at maturity",0,IF(S73="Monthly",12,0)))))</f>
        <v>1</v>
      </c>
      <c r="S73" t="s">
        <v>93</v>
      </c>
      <c r="U73">
        <f>R73*P73</f>
        <v>3</v>
      </c>
      <c r="V73">
        <f>(H73*M73)/AD73</f>
        <v>92.5</v>
      </c>
      <c r="W73" s="28">
        <f>RATE(U73,V73,-F73,H73)</f>
        <v>6.9651457804971825E-2</v>
      </c>
      <c r="X73" s="27">
        <f>W73*AD73</f>
        <v>6.9651457804971825E-2</v>
      </c>
      <c r="Y73" s="5">
        <f>DURATION(N73,O73,M73,D73,AD73)</f>
        <v>2.7605667193946366</v>
      </c>
      <c r="Z73" s="5">
        <f>Y73/(1+C73)</f>
        <v>2.5808095704927907</v>
      </c>
      <c r="AA73" s="5">
        <f>-Z73*F73</f>
        <v>-2735.658144722358</v>
      </c>
      <c r="AB73" t="s">
        <v>64</v>
      </c>
      <c r="AC73" t="s">
        <v>62</v>
      </c>
      <c r="AD73">
        <f>_xlfn.SWITCH(PROPER(TRIM(S73)),
   "Annual",1,
   "Semi-Annual",2,
   "Quarterly",4,
   "Monthly",12,
   "")</f>
        <v>1</v>
      </c>
    </row>
    <row r="74" spans="1:30" x14ac:dyDescent="0.35">
      <c r="A74" t="s">
        <v>2120</v>
      </c>
      <c r="B74" t="s">
        <v>1696</v>
      </c>
      <c r="C74" s="36">
        <f>RATE(U74,V74,-F74,H74)</f>
        <v>4.9945475695771929E-2</v>
      </c>
      <c r="D74" s="3">
        <f>C74*AD74</f>
        <v>9.9890951391543858E-2</v>
      </c>
      <c r="F74">
        <v>950078.06</v>
      </c>
      <c r="G74" t="s">
        <v>76</v>
      </c>
      <c r="H74">
        <v>1000000</v>
      </c>
      <c r="I74" s="22"/>
      <c r="J74">
        <v>1</v>
      </c>
      <c r="K74" s="22"/>
      <c r="M74" s="22">
        <v>9.3399999999999997E-2</v>
      </c>
      <c r="N74" s="21">
        <v>40476</v>
      </c>
      <c r="O74" s="21">
        <v>45955</v>
      </c>
      <c r="P74">
        <f>ROUND(YEARFRAC(N74,O74),0)</f>
        <v>15</v>
      </c>
      <c r="Q74" s="6">
        <f>(M74*H74)/F74</f>
        <v>9.8307711684237811E-2</v>
      </c>
      <c r="R74" s="5">
        <f>IF(S74="Quarterly",4,IF(S74="Semi-annual",2,IF(S74="Annual",1,IF(S74="Pays at maturity",0,IF(S74="Monthly",12,0)))))</f>
        <v>2</v>
      </c>
      <c r="S74" t="s">
        <v>65</v>
      </c>
      <c r="U74">
        <f>R74*P74</f>
        <v>30</v>
      </c>
      <c r="V74">
        <f>(H74*M74)/AD74</f>
        <v>46700</v>
      </c>
      <c r="W74" s="28">
        <f>RATE(U74,V74,-F74,H74)</f>
        <v>4.9945475695771929E-2</v>
      </c>
      <c r="X74" s="27">
        <f>W74*AD74</f>
        <v>9.9890951391543858E-2</v>
      </c>
      <c r="Y74" s="5">
        <f>DURATION(N74,O74,M74,D74,AD74)</f>
        <v>8.1848928522597628</v>
      </c>
      <c r="Z74" s="5">
        <f>Y74/(1+C74)</f>
        <v>7.7955408559057258</v>
      </c>
      <c r="AA74" s="5">
        <f>-Z74*F74</f>
        <v>-7406372.333029652</v>
      </c>
      <c r="AB74" t="s">
        <v>64</v>
      </c>
      <c r="AC74" t="s">
        <v>62</v>
      </c>
      <c r="AD74">
        <f>_xlfn.SWITCH(PROPER(TRIM(S74)),
   "Annual",1,
   "Semi-Annual",2,
   "Quarterly",4,
   "Monthly",12,
   "")</f>
        <v>2</v>
      </c>
    </row>
    <row r="75" spans="1:30" x14ac:dyDescent="0.35">
      <c r="C75" s="28"/>
      <c r="D75" s="27"/>
      <c r="I75" s="22"/>
      <c r="K75" s="22"/>
      <c r="M75" s="22"/>
      <c r="N75" s="21"/>
      <c r="O75" s="21"/>
      <c r="P75" s="5"/>
      <c r="Q75" s="6"/>
      <c r="R75" s="5"/>
      <c r="W75" s="28"/>
      <c r="Y75" s="33"/>
      <c r="Z75" s="33"/>
      <c r="AA75" s="33"/>
    </row>
    <row r="76" spans="1:30" x14ac:dyDescent="0.35">
      <c r="A76" t="s">
        <v>2118</v>
      </c>
      <c r="B76" t="s">
        <v>122</v>
      </c>
      <c r="C76" s="36">
        <f>RATE(U76,V76,-F76,H76)</f>
        <v>6.2146109956806167E-2</v>
      </c>
      <c r="D76" s="3">
        <f>C76*AD76</f>
        <v>6.2146109956806167E-2</v>
      </c>
      <c r="F76">
        <v>1050</v>
      </c>
      <c r="G76" t="s">
        <v>76</v>
      </c>
      <c r="H76">
        <v>1000</v>
      </c>
      <c r="I76" s="22"/>
      <c r="J76">
        <v>100</v>
      </c>
      <c r="K76" s="22"/>
      <c r="L76">
        <v>-9.5813492063492003</v>
      </c>
      <c r="M76" s="22">
        <v>8.9499999999999996E-2</v>
      </c>
      <c r="N76" s="21">
        <v>45225</v>
      </c>
      <c r="O76" s="21">
        <v>45956</v>
      </c>
      <c r="P76">
        <f>ROUND(YEARFRAC(N76,O76),0)</f>
        <v>2</v>
      </c>
      <c r="Q76" s="6">
        <f>(M76*H76)/F76</f>
        <v>8.5238095238095238E-2</v>
      </c>
      <c r="R76" s="5">
        <f>IF(S76="Quarterly",4,IF(S76="Semi-annual",2,IF(S76="Annual",1,IF(S76="Pays at maturity",0,IF(S76="Monthly",12,0)))))</f>
        <v>1</v>
      </c>
      <c r="S76" t="s">
        <v>93</v>
      </c>
      <c r="U76">
        <f>R76*P76</f>
        <v>2</v>
      </c>
      <c r="V76">
        <f>(H76*M76)/AD76</f>
        <v>89.5</v>
      </c>
      <c r="W76" s="28">
        <f>RATE(U76,V76,-F76,H76)</f>
        <v>6.2146109956806167E-2</v>
      </c>
      <c r="X76" s="27">
        <f>W76*AD76</f>
        <v>6.2146109956806167E-2</v>
      </c>
      <c r="Y76" s="5">
        <f>DURATION(N76,O76,M76,D76,AD76)</f>
        <v>1.9197491809845579</v>
      </c>
      <c r="Z76" s="5">
        <f>Y76/(1+C76)</f>
        <v>1.8074247629289228</v>
      </c>
      <c r="AA76" s="5">
        <f>-Z76*F76</f>
        <v>-1897.7960010753691</v>
      </c>
      <c r="AB76" t="s">
        <v>64</v>
      </c>
      <c r="AC76" t="s">
        <v>62</v>
      </c>
      <c r="AD76">
        <f>_xlfn.SWITCH(PROPER(TRIM(S76)),
   "Annual",1,
   "Semi-Annual",2,
   "Quarterly",4,
   "Monthly",12,
   "")</f>
        <v>1</v>
      </c>
    </row>
    <row r="77" spans="1:30" x14ac:dyDescent="0.35">
      <c r="C77" s="28"/>
      <c r="D77" s="27"/>
      <c r="I77" s="22"/>
      <c r="K77" s="22"/>
      <c r="M77" s="22"/>
      <c r="N77" s="21"/>
      <c r="O77" s="21"/>
      <c r="P77" s="5"/>
      <c r="Q77" s="6"/>
      <c r="R77" s="5"/>
      <c r="W77" s="28"/>
      <c r="Y77" s="33"/>
      <c r="Z77" s="33"/>
      <c r="AA77" s="33"/>
    </row>
    <row r="78" spans="1:30" x14ac:dyDescent="0.35">
      <c r="C78" s="28"/>
      <c r="D78" s="27"/>
      <c r="I78" s="22"/>
      <c r="K78" s="22"/>
      <c r="M78" s="22"/>
      <c r="N78" s="21"/>
      <c r="O78" s="21"/>
      <c r="P78" s="5"/>
      <c r="Q78" s="6"/>
      <c r="R78" s="5"/>
      <c r="W78" s="28"/>
      <c r="Y78" s="33"/>
      <c r="Z78" s="33"/>
      <c r="AA78" s="33"/>
    </row>
    <row r="79" spans="1:30" x14ac:dyDescent="0.35">
      <c r="A79" t="s">
        <v>2115</v>
      </c>
      <c r="B79" t="s">
        <v>241</v>
      </c>
      <c r="C79" s="36">
        <f>RATE(U79,V79,-F79,H79)</f>
        <v>8.0911392328394352E-2</v>
      </c>
      <c r="D79" s="3">
        <f>C79*AD79</f>
        <v>8.0911392328394352E-2</v>
      </c>
      <c r="F79">
        <v>1060.0999999999999</v>
      </c>
      <c r="G79" t="s">
        <v>76</v>
      </c>
      <c r="H79">
        <v>1000</v>
      </c>
      <c r="I79" s="22"/>
      <c r="J79">
        <v>30</v>
      </c>
      <c r="K79" s="22"/>
      <c r="L79">
        <v>-10.651735460715701</v>
      </c>
      <c r="M79" s="22">
        <v>9.6000000000000002E-2</v>
      </c>
      <c r="N79" s="21">
        <v>44132</v>
      </c>
      <c r="O79" s="21">
        <v>45958</v>
      </c>
      <c r="P79">
        <f>ROUND(YEARFRAC(N79,O79),0)</f>
        <v>5</v>
      </c>
      <c r="Q79" s="6">
        <f>(M79*H79)/F79</f>
        <v>9.0557494575983402E-2</v>
      </c>
      <c r="R79" s="5">
        <f>IF(S79="Quarterly",4,IF(S79="Semi-annual",2,IF(S79="Annual",1,IF(S79="Pays at maturity",0,IF(S79="Monthly",12,0)))))</f>
        <v>1</v>
      </c>
      <c r="S79" t="s">
        <v>93</v>
      </c>
      <c r="U79">
        <f>R79*P79</f>
        <v>5</v>
      </c>
      <c r="V79">
        <f>(H79*M79)/AD79</f>
        <v>96</v>
      </c>
      <c r="W79" s="28">
        <f>RATE(U79,V79,-F79,H79)</f>
        <v>8.0911392328394352E-2</v>
      </c>
      <c r="X79" s="27">
        <f>W79*AD79</f>
        <v>8.0911392328394352E-2</v>
      </c>
      <c r="Y79" s="5">
        <f>DURATION(N79,O79,M79,D79,AD79)</f>
        <v>4.2226121161693477</v>
      </c>
      <c r="Z79" s="5">
        <f>Y79/(1+C79)</f>
        <v>3.9065293844978419</v>
      </c>
      <c r="AA79" s="5">
        <f>-Z79*F79</f>
        <v>-4141.3118005061615</v>
      </c>
      <c r="AB79" t="s">
        <v>64</v>
      </c>
      <c r="AC79" t="s">
        <v>62</v>
      </c>
      <c r="AD79">
        <f>_xlfn.SWITCH(PROPER(TRIM(S79)),
   "Annual",1,
   "Semi-Annual",2,
   "Quarterly",4,
   "Monthly",12,
   "")</f>
        <v>1</v>
      </c>
    </row>
    <row r="80" spans="1:30" x14ac:dyDescent="0.35">
      <c r="A80" t="s">
        <v>2114</v>
      </c>
      <c r="B80" t="s">
        <v>241</v>
      </c>
      <c r="C80" s="36">
        <f>RATE(U80,V80,-F80,H80)</f>
        <v>8.998322054269009E-2</v>
      </c>
      <c r="D80" s="3">
        <f>C80*AD80</f>
        <v>8.998322054269009E-2</v>
      </c>
      <c r="F80">
        <v>1005.9</v>
      </c>
      <c r="G80" t="s">
        <v>76</v>
      </c>
      <c r="H80">
        <v>1000</v>
      </c>
      <c r="I80" s="22"/>
      <c r="J80">
        <v>1</v>
      </c>
      <c r="K80" s="22"/>
      <c r="L80">
        <v>6.9117715681560501</v>
      </c>
      <c r="M80" s="22">
        <v>9.1499999999999998E-2</v>
      </c>
      <c r="N80" s="21">
        <v>44132</v>
      </c>
      <c r="O80" s="21">
        <v>45958</v>
      </c>
      <c r="P80">
        <f>ROUND(YEARFRAC(N80,O80),0)</f>
        <v>5</v>
      </c>
      <c r="Q80" s="6">
        <f>(M80*H80)/F80</f>
        <v>9.0963316433045033E-2</v>
      </c>
      <c r="R80" s="5">
        <f>IF(S80="Quarterly",4,IF(S80="Semi-annual",2,IF(S80="Annual",1,IF(S80="Pays at maturity",0,IF(S80="Monthly",12,0)))))</f>
        <v>1</v>
      </c>
      <c r="S80" t="s">
        <v>93</v>
      </c>
      <c r="U80">
        <f>R80*P80</f>
        <v>5</v>
      </c>
      <c r="V80">
        <f>(H80*M80)/AD80</f>
        <v>91.5</v>
      </c>
      <c r="W80" s="28">
        <f>RATE(U80,V80,-F80,H80)</f>
        <v>8.998322054269009E-2</v>
      </c>
      <c r="X80" s="27">
        <f>W80*AD80</f>
        <v>8.998322054269009E-2</v>
      </c>
      <c r="Y80" s="5">
        <f>DURATION(N80,O80,M80,D80,AD80)</f>
        <v>4.2315595401286892</v>
      </c>
      <c r="Z80" s="5">
        <f>Y80/(1+C80)</f>
        <v>3.8822244786684372</v>
      </c>
      <c r="AA80" s="5">
        <f>-Z80*F80</f>
        <v>-3905.129603092581</v>
      </c>
      <c r="AB80" t="s">
        <v>64</v>
      </c>
      <c r="AC80" t="s">
        <v>62</v>
      </c>
      <c r="AD80">
        <f>_xlfn.SWITCH(PROPER(TRIM(S80)),
   "Annual",1,
   "Semi-Annual",2,
   "Quarterly",4,
   "Monthly",12,
   "")</f>
        <v>1</v>
      </c>
    </row>
    <row r="81" spans="1:30" x14ac:dyDescent="0.35">
      <c r="C81" s="28"/>
      <c r="D81" s="27"/>
      <c r="I81" s="22"/>
      <c r="K81" s="22"/>
      <c r="M81" s="22"/>
      <c r="N81" s="21"/>
      <c r="O81" s="21"/>
      <c r="P81" s="5"/>
      <c r="Q81" s="6"/>
      <c r="R81" s="5"/>
      <c r="W81" s="28"/>
      <c r="Y81" s="33"/>
      <c r="Z81" s="33"/>
      <c r="AA81" s="33"/>
    </row>
    <row r="82" spans="1:30" x14ac:dyDescent="0.35">
      <c r="A82" t="s">
        <v>2112</v>
      </c>
      <c r="B82" t="s">
        <v>353</v>
      </c>
      <c r="C82" s="36">
        <f>RATE(U82,V82,-F82,H82)</f>
        <v>0.10750000000000001</v>
      </c>
      <c r="D82" s="3">
        <f>C82*AD82</f>
        <v>0.10750000000000001</v>
      </c>
      <c r="F82">
        <v>1000</v>
      </c>
      <c r="G82" t="s">
        <v>76</v>
      </c>
      <c r="H82">
        <v>1000</v>
      </c>
      <c r="I82" s="22"/>
      <c r="J82">
        <v>5</v>
      </c>
      <c r="K82" s="22"/>
      <c r="L82">
        <v>10.75</v>
      </c>
      <c r="M82" s="22">
        <v>0.1075</v>
      </c>
      <c r="N82" s="21">
        <v>45233</v>
      </c>
      <c r="O82" s="21">
        <v>45962</v>
      </c>
      <c r="P82">
        <f>ROUND(YEARFRAC(N82,O82),0)</f>
        <v>2</v>
      </c>
      <c r="Q82" s="6">
        <f>(M82*H82)/F82</f>
        <v>0.1075</v>
      </c>
      <c r="R82" s="5">
        <f>IF(S82="Quarterly",4,IF(S82="Semi-annual",2,IF(S82="Annual",1,IF(S82="Pays at maturity",0,IF(S82="Monthly",12,0)))))</f>
        <v>1</v>
      </c>
      <c r="S82" t="s">
        <v>93</v>
      </c>
      <c r="U82">
        <f>R82*P82</f>
        <v>2</v>
      </c>
      <c r="V82">
        <f>(H82*M82)/AD82</f>
        <v>107.5</v>
      </c>
      <c r="W82" s="28">
        <f>RATE(U82,V82,-F82,H82)</f>
        <v>0.10750000000000001</v>
      </c>
      <c r="X82" s="27">
        <f>W82*AD82</f>
        <v>0.10750000000000001</v>
      </c>
      <c r="Y82" s="5">
        <f>DURATION(N82,O82,M82,D82,AD82)</f>
        <v>1.897378981690494</v>
      </c>
      <c r="Z82" s="5">
        <f>Y82/(1+C82)</f>
        <v>1.7132090128130872</v>
      </c>
      <c r="AA82" s="5">
        <f>-Z82*F82</f>
        <v>-1713.2090128130872</v>
      </c>
      <c r="AB82" t="s">
        <v>64</v>
      </c>
      <c r="AC82" t="s">
        <v>62</v>
      </c>
      <c r="AD82">
        <f>_xlfn.SWITCH(PROPER(TRIM(S82)),
   "Annual",1,
   "Semi-Annual",2,
   "Quarterly",4,
   "Monthly",12,
   "")</f>
        <v>1</v>
      </c>
    </row>
    <row r="83" spans="1:30" x14ac:dyDescent="0.35">
      <c r="C83" s="28"/>
      <c r="D83" s="27"/>
      <c r="I83" s="22"/>
      <c r="K83" s="22"/>
      <c r="M83" s="22"/>
      <c r="N83" s="21"/>
      <c r="O83" s="21"/>
      <c r="P83" s="5"/>
      <c r="Q83" s="6"/>
      <c r="R83" s="5"/>
      <c r="W83" s="28"/>
      <c r="Y83" s="33"/>
      <c r="Z83" s="33"/>
      <c r="AA83" s="33"/>
    </row>
    <row r="84" spans="1:30" x14ac:dyDescent="0.35">
      <c r="A84" t="s">
        <v>2110</v>
      </c>
      <c r="B84" t="s">
        <v>241</v>
      </c>
      <c r="C84" s="36">
        <f>RATE(U84,V84,-F84,H84)</f>
        <v>6.3683800351134842E-2</v>
      </c>
      <c r="D84" s="3">
        <f>C84*AD84</f>
        <v>6.3683800351134842E-2</v>
      </c>
      <c r="F84">
        <v>1048</v>
      </c>
      <c r="G84" t="s">
        <v>76</v>
      </c>
      <c r="H84">
        <v>1000</v>
      </c>
      <c r="I84" s="22"/>
      <c r="J84">
        <v>50</v>
      </c>
      <c r="K84" s="22"/>
      <c r="L84">
        <v>-3.61481027469772</v>
      </c>
      <c r="M84" s="22">
        <v>0.09</v>
      </c>
      <c r="N84" s="21">
        <v>45231</v>
      </c>
      <c r="O84" s="21">
        <v>45962</v>
      </c>
      <c r="P84">
        <f>ROUND(YEARFRAC(N84,O84),0)</f>
        <v>2</v>
      </c>
      <c r="Q84" s="6">
        <f>(M84*H84)/F84</f>
        <v>8.5877862595419852E-2</v>
      </c>
      <c r="R84" s="5">
        <f>IF(S84="Quarterly",4,IF(S84="Semi-annual",2,IF(S84="Annual",1,IF(S84="Pays at maturity",0,IF(S84="Monthly",12,0)))))</f>
        <v>1</v>
      </c>
      <c r="S84" t="s">
        <v>93</v>
      </c>
      <c r="U84">
        <f>R84*P84</f>
        <v>2</v>
      </c>
      <c r="V84">
        <f>(H84*M84)/AD84</f>
        <v>90</v>
      </c>
      <c r="W84" s="28">
        <f>RATE(U84,V84,-F84,H84)</f>
        <v>6.3683800351134842E-2</v>
      </c>
      <c r="X84" s="27">
        <f>W84*AD84</f>
        <v>6.3683800351134842E-2</v>
      </c>
      <c r="Y84" s="5">
        <f>DURATION(N84,O84,M84,D84,AD84)</f>
        <v>1.9192637299100788</v>
      </c>
      <c r="Z84" s="5">
        <f>Y84/(1+C84)</f>
        <v>1.8043555136183391</v>
      </c>
      <c r="AA84" s="5">
        <f>-Z84*F84</f>
        <v>-1890.9645782720195</v>
      </c>
      <c r="AB84" t="s">
        <v>64</v>
      </c>
      <c r="AC84" t="s">
        <v>62</v>
      </c>
      <c r="AD84">
        <f>_xlfn.SWITCH(PROPER(TRIM(S84)),
   "Annual",1,
   "Semi-Annual",2,
   "Quarterly",4,
   "Monthly",12,
   "")</f>
        <v>1</v>
      </c>
    </row>
    <row r="85" spans="1:30" x14ac:dyDescent="0.35">
      <c r="A85" t="s">
        <v>2109</v>
      </c>
      <c r="B85" t="s">
        <v>241</v>
      </c>
      <c r="C85" s="36">
        <f>RATE(U85,V85,-F85,H85)</f>
        <v>8.945384862563141E-2</v>
      </c>
      <c r="D85" s="3">
        <f>C85*AD85</f>
        <v>8.945384862563141E-2</v>
      </c>
      <c r="F85">
        <v>994.8</v>
      </c>
      <c r="G85" t="s">
        <v>76</v>
      </c>
      <c r="H85">
        <v>1000</v>
      </c>
      <c r="I85" s="22"/>
      <c r="J85">
        <v>200</v>
      </c>
      <c r="K85" s="22"/>
      <c r="L85">
        <v>10.3259169905732</v>
      </c>
      <c r="M85" s="22">
        <v>8.6500000000000007E-2</v>
      </c>
      <c r="N85" s="21">
        <v>45231</v>
      </c>
      <c r="O85" s="21">
        <v>45962</v>
      </c>
      <c r="P85">
        <f>ROUND(YEARFRAC(N85,O85),0)</f>
        <v>2</v>
      </c>
      <c r="Q85" s="6">
        <f>(M85*H85)/F85</f>
        <v>8.6952151186168086E-2</v>
      </c>
      <c r="R85" s="5">
        <f>IF(S85="Quarterly",4,IF(S85="Semi-annual",2,IF(S85="Annual",1,IF(S85="Pays at maturity",0,IF(S85="Monthly",12,0)))))</f>
        <v>1</v>
      </c>
      <c r="S85" t="s">
        <v>93</v>
      </c>
      <c r="U85">
        <f>R85*P85</f>
        <v>2</v>
      </c>
      <c r="V85">
        <f>(H85*M85)/AD85</f>
        <v>86.500000000000014</v>
      </c>
      <c r="W85" s="28">
        <f>RATE(U85,V85,-F85,H85)</f>
        <v>8.945384862563141E-2</v>
      </c>
      <c r="X85" s="27">
        <f>W85*AD85</f>
        <v>8.945384862563141E-2</v>
      </c>
      <c r="Y85" s="5">
        <f>DURATION(N85,O85,M85,D85,AD85)</f>
        <v>1.9201873936230891</v>
      </c>
      <c r="Z85" s="5">
        <f>Y85/(1+C85)</f>
        <v>1.7625229338952222</v>
      </c>
      <c r="AA85" s="5">
        <f>-Z85*F85</f>
        <v>-1753.3578146389671</v>
      </c>
      <c r="AB85" t="s">
        <v>64</v>
      </c>
      <c r="AC85" t="s">
        <v>62</v>
      </c>
      <c r="AD85">
        <f>_xlfn.SWITCH(PROPER(TRIM(S85)),
   "Annual",1,
   "Semi-Annual",2,
   "Quarterly",4,
   "Monthly",12,
   "")</f>
        <v>1</v>
      </c>
    </row>
    <row r="86" spans="1:30" x14ac:dyDescent="0.35">
      <c r="C86" s="28"/>
      <c r="D86" s="27"/>
      <c r="I86" s="22"/>
      <c r="K86" s="22"/>
      <c r="M86" s="22"/>
      <c r="N86" s="21"/>
      <c r="O86" s="21"/>
      <c r="P86" s="5"/>
      <c r="Q86" s="6"/>
      <c r="R86" s="5"/>
      <c r="W86" s="28"/>
      <c r="Y86" s="33"/>
      <c r="Z86" s="33"/>
      <c r="AA86" s="33"/>
    </row>
    <row r="87" spans="1:30" x14ac:dyDescent="0.35">
      <c r="A87" t="s">
        <v>2107</v>
      </c>
      <c r="B87" t="s">
        <v>272</v>
      </c>
      <c r="C87" s="36">
        <f>RATE(U87,V87,-F87,H87)</f>
        <v>7.3837260869247107E-2</v>
      </c>
      <c r="D87" s="3">
        <f>C87*AD87</f>
        <v>7.3837260869247107E-2</v>
      </c>
      <c r="F87">
        <v>990</v>
      </c>
      <c r="G87" t="s">
        <v>76</v>
      </c>
      <c r="H87">
        <v>1000</v>
      </c>
      <c r="I87" s="22"/>
      <c r="J87">
        <v>999</v>
      </c>
      <c r="K87" s="22"/>
      <c r="L87">
        <v>10.4531554072838</v>
      </c>
      <c r="M87" s="22">
        <v>7.0000000000000007E-2</v>
      </c>
      <c r="N87" s="21">
        <v>44868</v>
      </c>
      <c r="O87" s="21">
        <v>45964</v>
      </c>
      <c r="P87">
        <f>ROUND(YEARFRAC(N87,O87),0)</f>
        <v>3</v>
      </c>
      <c r="Q87" s="6">
        <f>(M87*H87)/F87</f>
        <v>7.0707070707070704E-2</v>
      </c>
      <c r="R87" s="5">
        <f>IF(S87="Quarterly",4,IF(S87="Semi-annual",2,IF(S87="Annual",1,IF(S87="Pays at maturity",0,IF(S87="Monthly",12,0)))))</f>
        <v>1</v>
      </c>
      <c r="S87" t="s">
        <v>93</v>
      </c>
      <c r="U87">
        <f>R87*P87</f>
        <v>3</v>
      </c>
      <c r="V87">
        <f>(H87*M87)/AD87</f>
        <v>70</v>
      </c>
      <c r="W87" s="28">
        <f>RATE(U87,V87,-F87,H87)</f>
        <v>7.3837260869247107E-2</v>
      </c>
      <c r="X87" s="27">
        <f>W87*AD87</f>
        <v>7.3837260869247107E-2</v>
      </c>
      <c r="Y87" s="5">
        <f>DURATION(N87,O87,M87,D87,AD87)</f>
        <v>2.8069918156027041</v>
      </c>
      <c r="Z87" s="5">
        <f>Y87/(1+C87)</f>
        <v>2.6139825073033016</v>
      </c>
      <c r="AA87" s="5">
        <f>-Z87*F87</f>
        <v>-2587.8426822302686</v>
      </c>
      <c r="AB87" t="s">
        <v>64</v>
      </c>
      <c r="AC87" t="s">
        <v>62</v>
      </c>
      <c r="AD87">
        <f>_xlfn.SWITCH(PROPER(TRIM(S87)),
   "Annual",1,
   "Semi-Annual",2,
   "Quarterly",4,
   "Monthly",12,
   "")</f>
        <v>1</v>
      </c>
    </row>
    <row r="88" spans="1:30" x14ac:dyDescent="0.35">
      <c r="C88" s="28"/>
      <c r="D88" s="27"/>
      <c r="I88" s="22"/>
      <c r="K88" s="22"/>
      <c r="M88" s="22"/>
      <c r="N88" s="21"/>
      <c r="O88" s="21"/>
      <c r="P88" s="5"/>
      <c r="Q88" s="6"/>
      <c r="R88" s="5"/>
      <c r="W88" s="28"/>
      <c r="Y88" s="33"/>
      <c r="Z88" s="33"/>
      <c r="AA88" s="33"/>
    </row>
    <row r="89" spans="1:30" x14ac:dyDescent="0.35">
      <c r="A89" t="s">
        <v>2105</v>
      </c>
      <c r="B89" t="s">
        <v>128</v>
      </c>
      <c r="C89" s="36">
        <f>RATE(U89,V89,-F89,H89)</f>
        <v>8.9400000000000188E-2</v>
      </c>
      <c r="D89" s="3">
        <f>C89*AD89</f>
        <v>8.9400000000000188E-2</v>
      </c>
      <c r="F89">
        <v>1000</v>
      </c>
      <c r="G89" t="s">
        <v>76</v>
      </c>
      <c r="H89">
        <v>1000</v>
      </c>
      <c r="I89" s="22"/>
      <c r="J89">
        <v>99</v>
      </c>
      <c r="K89" s="22"/>
      <c r="L89">
        <v>8.94</v>
      </c>
      <c r="M89" s="22">
        <v>8.9399999999999993E-2</v>
      </c>
      <c r="N89" s="21">
        <v>44868</v>
      </c>
      <c r="O89" s="21">
        <v>45964</v>
      </c>
      <c r="P89">
        <f>ROUND(YEARFRAC(N89,O89),0)</f>
        <v>3</v>
      </c>
      <c r="Q89" s="6">
        <f>(M89*H89)/F89</f>
        <v>8.9399999999999993E-2</v>
      </c>
      <c r="R89" s="5">
        <f>IF(S89="Quarterly",4,IF(S89="Semi-annual",2,IF(S89="Annual",1,IF(S89="Pays at maturity",0,IF(S89="Monthly",12,0)))))</f>
        <v>1</v>
      </c>
      <c r="S89" t="s">
        <v>93</v>
      </c>
      <c r="U89">
        <f>R89*P89</f>
        <v>3</v>
      </c>
      <c r="V89">
        <f>(H89*M89)/AD89</f>
        <v>89.399999999999991</v>
      </c>
      <c r="W89" s="28">
        <f>RATE(U89,V89,-F89,H89)</f>
        <v>8.9400000000000188E-2</v>
      </c>
      <c r="X89" s="27">
        <f>W89*AD89</f>
        <v>8.9400000000000188E-2</v>
      </c>
      <c r="Y89" s="5">
        <f>DURATION(N89,O89,M89,D89,AD89)</f>
        <v>2.7605438578994561</v>
      </c>
      <c r="Z89" s="5">
        <f>Y89/(1+C89)</f>
        <v>2.5340039084812336</v>
      </c>
      <c r="AA89" s="5">
        <f>-Z89*F89</f>
        <v>-2534.0039084812338</v>
      </c>
      <c r="AB89" t="s">
        <v>64</v>
      </c>
      <c r="AC89" t="s">
        <v>62</v>
      </c>
      <c r="AD89">
        <f>_xlfn.SWITCH(PROPER(TRIM(S89)),
   "Annual",1,
   "Semi-Annual",2,
   "Quarterly",4,
   "Monthly",12,
   "")</f>
        <v>1</v>
      </c>
    </row>
    <row r="90" spans="1:30" x14ac:dyDescent="0.35">
      <c r="A90" t="s">
        <v>2104</v>
      </c>
      <c r="B90" t="s">
        <v>209</v>
      </c>
      <c r="C90" s="36">
        <f>RATE(U90,V90,-F90,H90)</f>
        <v>5.7393286365113774E-2</v>
      </c>
      <c r="D90" s="3">
        <f>C90*AD90</f>
        <v>5.7393286365113774E-2</v>
      </c>
      <c r="F90">
        <v>1060</v>
      </c>
      <c r="G90" t="s">
        <v>76</v>
      </c>
      <c r="H90">
        <v>1000</v>
      </c>
      <c r="I90" s="22"/>
      <c r="J90">
        <v>12</v>
      </c>
      <c r="K90" s="22"/>
      <c r="L90">
        <v>-11.568052756915099</v>
      </c>
      <c r="M90" s="22">
        <v>0.09</v>
      </c>
      <c r="N90" s="21">
        <v>45233</v>
      </c>
      <c r="O90" s="21">
        <v>45964</v>
      </c>
      <c r="P90">
        <f>ROUND(YEARFRAC(N90,O90),0)</f>
        <v>2</v>
      </c>
      <c r="Q90" s="6">
        <f>(M90*H90)/F90</f>
        <v>8.4905660377358486E-2</v>
      </c>
      <c r="R90" s="5">
        <f>IF(S90="Quarterly",4,IF(S90="Semi-annual",2,IF(S90="Annual",1,IF(S90="Pays at maturity",0,IF(S90="Monthly",12,0)))))</f>
        <v>1</v>
      </c>
      <c r="S90" t="s">
        <v>93</v>
      </c>
      <c r="U90">
        <f>R90*P90</f>
        <v>2</v>
      </c>
      <c r="V90">
        <f>(H90*M90)/AD90</f>
        <v>90</v>
      </c>
      <c r="W90" s="28">
        <f>RATE(U90,V90,-F90,H90)</f>
        <v>5.7393286365113774E-2</v>
      </c>
      <c r="X90" s="27">
        <f>W90*AD90</f>
        <v>5.7393286365113774E-2</v>
      </c>
      <c r="Y90" s="5">
        <f>DURATION(N90,O90,M90,D90,AD90)</f>
        <v>1.9197028565698193</v>
      </c>
      <c r="Z90" s="5">
        <f>Y90/(1+C90)</f>
        <v>1.8155050550481302</v>
      </c>
      <c r="AA90" s="5">
        <f>-Z90*F90</f>
        <v>-1924.4353583510181</v>
      </c>
      <c r="AB90" t="s">
        <v>64</v>
      </c>
      <c r="AC90" t="s">
        <v>62</v>
      </c>
      <c r="AD90">
        <f>_xlfn.SWITCH(PROPER(TRIM(S90)),
   "Annual",1,
   "Semi-Annual",2,
   "Quarterly",4,
   "Monthly",12,
   "")</f>
        <v>1</v>
      </c>
    </row>
    <row r="91" spans="1:30" x14ac:dyDescent="0.35">
      <c r="A91" t="s">
        <v>2103</v>
      </c>
      <c r="B91" t="s">
        <v>272</v>
      </c>
      <c r="C91" s="36">
        <f>RATE(U91,V91,-F91,H91)</f>
        <v>5.8327788499215119E-2</v>
      </c>
      <c r="D91" s="3">
        <f>C91*AD91</f>
        <v>5.8327788499215119E-2</v>
      </c>
      <c r="F91">
        <v>1038</v>
      </c>
      <c r="G91" t="s">
        <v>76</v>
      </c>
      <c r="H91">
        <v>1000</v>
      </c>
      <c r="I91" s="22"/>
      <c r="J91">
        <v>50</v>
      </c>
      <c r="K91" s="22"/>
      <c r="L91">
        <v>-5.8637172076478397</v>
      </c>
      <c r="M91" s="22">
        <v>7.2499999999999995E-2</v>
      </c>
      <c r="N91" s="21">
        <v>44868</v>
      </c>
      <c r="O91" s="21">
        <v>45964</v>
      </c>
      <c r="P91">
        <f>ROUND(YEARFRAC(N91,O91),0)</f>
        <v>3</v>
      </c>
      <c r="Q91" s="6">
        <f>(M91*H91)/F91</f>
        <v>6.9845857418111751E-2</v>
      </c>
      <c r="R91" s="5">
        <f>IF(S91="Quarterly",4,IF(S91="Semi-annual",2,IF(S91="Annual",1,IF(S91="Pays at maturity",0,IF(S91="Monthly",12,0)))))</f>
        <v>1</v>
      </c>
      <c r="S91" t="s">
        <v>93</v>
      </c>
      <c r="U91">
        <f>R91*P91</f>
        <v>3</v>
      </c>
      <c r="V91">
        <f>(H91*M91)/AD91</f>
        <v>72.5</v>
      </c>
      <c r="W91" s="28">
        <f>RATE(U91,V91,-F91,H91)</f>
        <v>5.8327788499215119E-2</v>
      </c>
      <c r="X91" s="27">
        <f>W91*AD91</f>
        <v>5.8327788499215119E-2</v>
      </c>
      <c r="Y91" s="5">
        <f>DURATION(N91,O91,M91,D91,AD91)</f>
        <v>2.8056479773183645</v>
      </c>
      <c r="Z91" s="5">
        <f>Y91/(1+C91)</f>
        <v>2.651019852079076</v>
      </c>
      <c r="AA91" s="5">
        <f>-Z91*F91</f>
        <v>-2751.758606458081</v>
      </c>
      <c r="AB91" t="s">
        <v>64</v>
      </c>
      <c r="AC91" t="s">
        <v>62</v>
      </c>
      <c r="AD91">
        <f>_xlfn.SWITCH(PROPER(TRIM(S91)),
   "Annual",1,
   "Semi-Annual",2,
   "Quarterly",4,
   "Monthly",12,
   "")</f>
        <v>1</v>
      </c>
    </row>
    <row r="92" spans="1:30" x14ac:dyDescent="0.35">
      <c r="C92" s="28"/>
      <c r="D92" s="27"/>
      <c r="I92" s="22"/>
      <c r="K92" s="22"/>
      <c r="M92" s="22"/>
      <c r="N92" s="21"/>
      <c r="O92" s="21"/>
      <c r="P92" s="5"/>
      <c r="Q92" s="6"/>
      <c r="R92" s="5"/>
      <c r="W92" s="28"/>
      <c r="Y92" s="33"/>
      <c r="Z92" s="33"/>
      <c r="AA92" s="33"/>
    </row>
    <row r="93" spans="1:30" x14ac:dyDescent="0.35">
      <c r="A93" t="s">
        <v>2101</v>
      </c>
      <c r="B93" t="s">
        <v>128</v>
      </c>
      <c r="C93" s="36">
        <f t="shared" ref="C93:C98" si="65">RATE(U93,V93,-F93,H93)</f>
        <v>8.023602438171186E-2</v>
      </c>
      <c r="D93" s="3">
        <f t="shared" ref="D93:D98" si="66">C93*AD93</f>
        <v>8.023602438171186E-2</v>
      </c>
      <c r="F93">
        <v>1020</v>
      </c>
      <c r="G93" t="s">
        <v>76</v>
      </c>
      <c r="H93">
        <v>1000</v>
      </c>
      <c r="I93" s="22"/>
      <c r="J93">
        <v>100</v>
      </c>
      <c r="K93" s="22"/>
      <c r="L93">
        <v>4.7588765235824004</v>
      </c>
      <c r="M93" s="22">
        <v>8.8000000000000009E-2</v>
      </c>
      <c r="N93" s="21">
        <v>44868</v>
      </c>
      <c r="O93" s="21">
        <v>45964</v>
      </c>
      <c r="P93">
        <f t="shared" ref="P93:P98" si="67">ROUND(YEARFRAC(N93,O93),0)</f>
        <v>3</v>
      </c>
      <c r="Q93" s="6">
        <f t="shared" ref="Q93:Q98" si="68">(M93*H93)/F93</f>
        <v>8.6274509803921581E-2</v>
      </c>
      <c r="R93" s="5">
        <f t="shared" ref="R93:R98" si="69">IF(S93="Quarterly",4,IF(S93="Semi-annual",2,IF(S93="Annual",1,IF(S93="Pays at maturity",0,IF(S93="Monthly",12,0)))))</f>
        <v>1</v>
      </c>
      <c r="S93" t="s">
        <v>93</v>
      </c>
      <c r="U93">
        <f t="shared" ref="U93:U98" si="70">R93*P93</f>
        <v>3</v>
      </c>
      <c r="V93">
        <f t="shared" ref="V93:V98" si="71">(H93*M93)/AD93</f>
        <v>88.000000000000014</v>
      </c>
      <c r="W93" s="28">
        <f t="shared" ref="W93:W98" si="72">RATE(U93,V93,-F93,H93)</f>
        <v>8.023602438171186E-2</v>
      </c>
      <c r="X93" s="27">
        <f t="shared" ref="X93:X98" si="73">W93*AD93</f>
        <v>8.023602438171186E-2</v>
      </c>
      <c r="Y93" s="5">
        <f t="shared" ref="Y93:Y98" si="74">DURATION(N93,O93,M93,D93,AD93)</f>
        <v>2.7663331297930625</v>
      </c>
      <c r="Z93" s="5">
        <f t="shared" ref="Z93:Z98" si="75">Y93/(1+C93)</f>
        <v>2.5608599114961117</v>
      </c>
      <c r="AA93" s="5">
        <f t="shared" ref="AA93:AA98" si="76">-Z93*F93</f>
        <v>-2612.077109726034</v>
      </c>
      <c r="AB93" t="s">
        <v>64</v>
      </c>
      <c r="AC93" t="s">
        <v>62</v>
      </c>
      <c r="AD93">
        <f t="shared" ref="AD93:AD98" si="77">_xlfn.SWITCH(PROPER(TRIM(S93)),
   "Annual",1,
   "Semi-Annual",2,
   "Quarterly",4,
   "Monthly",12,
   "")</f>
        <v>1</v>
      </c>
    </row>
    <row r="94" spans="1:30" x14ac:dyDescent="0.35">
      <c r="A94" t="s">
        <v>2100</v>
      </c>
      <c r="B94" t="s">
        <v>128</v>
      </c>
      <c r="C94" s="36">
        <f t="shared" si="65"/>
        <v>8.1331026001442916E-2</v>
      </c>
      <c r="D94" s="3">
        <f t="shared" si="66"/>
        <v>8.1331026001442916E-2</v>
      </c>
      <c r="F94">
        <v>1030</v>
      </c>
      <c r="G94" t="s">
        <v>76</v>
      </c>
      <c r="H94">
        <v>1000</v>
      </c>
      <c r="I94" s="22"/>
      <c r="J94">
        <v>150</v>
      </c>
      <c r="K94" s="22"/>
      <c r="L94">
        <v>2.54676770068671</v>
      </c>
      <c r="M94" s="22">
        <v>9.3000000000000013E-2</v>
      </c>
      <c r="N94" s="21">
        <v>44868</v>
      </c>
      <c r="O94" s="21">
        <v>45964</v>
      </c>
      <c r="P94">
        <f t="shared" si="67"/>
        <v>3</v>
      </c>
      <c r="Q94" s="6">
        <f t="shared" si="68"/>
        <v>9.029126213592234E-2</v>
      </c>
      <c r="R94" s="5">
        <f t="shared" si="69"/>
        <v>1</v>
      </c>
      <c r="S94" t="s">
        <v>93</v>
      </c>
      <c r="U94">
        <f t="shared" si="70"/>
        <v>3</v>
      </c>
      <c r="V94">
        <f t="shared" si="71"/>
        <v>93.000000000000014</v>
      </c>
      <c r="W94" s="28">
        <f t="shared" si="72"/>
        <v>8.1331026001442916E-2</v>
      </c>
      <c r="X94" s="27">
        <f t="shared" si="73"/>
        <v>8.1331026001442916E-2</v>
      </c>
      <c r="Y94" s="5">
        <f t="shared" si="74"/>
        <v>2.7557800245708717</v>
      </c>
      <c r="Z94" s="5">
        <f t="shared" si="75"/>
        <v>2.548507310255606</v>
      </c>
      <c r="AA94" s="5">
        <f t="shared" si="76"/>
        <v>-2624.9625295632741</v>
      </c>
      <c r="AB94" t="s">
        <v>64</v>
      </c>
      <c r="AC94" t="s">
        <v>62</v>
      </c>
      <c r="AD94">
        <f t="shared" si="77"/>
        <v>1</v>
      </c>
    </row>
    <row r="95" spans="1:30" x14ac:dyDescent="0.35">
      <c r="A95" t="s">
        <v>2099</v>
      </c>
      <c r="B95" t="s">
        <v>241</v>
      </c>
      <c r="C95" s="36">
        <f t="shared" si="65"/>
        <v>8.6900190235469812E-2</v>
      </c>
      <c r="D95" s="3">
        <f t="shared" si="66"/>
        <v>8.6900190235469812E-2</v>
      </c>
      <c r="F95">
        <v>988.8</v>
      </c>
      <c r="G95" t="s">
        <v>76</v>
      </c>
      <c r="H95">
        <v>1000</v>
      </c>
      <c r="I95" s="22"/>
      <c r="J95">
        <v>94</v>
      </c>
      <c r="K95" s="22"/>
      <c r="L95">
        <v>10.5903510623329</v>
      </c>
      <c r="M95" s="22">
        <v>8.2500000000000004E-2</v>
      </c>
      <c r="N95" s="21">
        <v>44810</v>
      </c>
      <c r="O95" s="21">
        <v>45966</v>
      </c>
      <c r="P95">
        <f t="shared" si="67"/>
        <v>3</v>
      </c>
      <c r="Q95" s="6">
        <f t="shared" si="68"/>
        <v>8.343446601941748E-2</v>
      </c>
      <c r="R95" s="5">
        <f t="shared" si="69"/>
        <v>1</v>
      </c>
      <c r="S95" t="s">
        <v>93</v>
      </c>
      <c r="U95">
        <f t="shared" si="70"/>
        <v>3</v>
      </c>
      <c r="V95">
        <f t="shared" si="71"/>
        <v>82.5</v>
      </c>
      <c r="W95" s="28">
        <f t="shared" si="72"/>
        <v>8.6900190235469812E-2</v>
      </c>
      <c r="X95" s="27">
        <f t="shared" si="73"/>
        <v>8.6900190235469812E-2</v>
      </c>
      <c r="Y95" s="5">
        <f t="shared" si="74"/>
        <v>2.7259694399271037</v>
      </c>
      <c r="Z95" s="5">
        <f t="shared" si="75"/>
        <v>2.5080218629242674</v>
      </c>
      <c r="AA95" s="5">
        <f t="shared" si="76"/>
        <v>-2479.9320180595155</v>
      </c>
      <c r="AB95" t="s">
        <v>64</v>
      </c>
      <c r="AC95" t="s">
        <v>62</v>
      </c>
      <c r="AD95">
        <f t="shared" si="77"/>
        <v>1</v>
      </c>
    </row>
    <row r="96" spans="1:30" x14ac:dyDescent="0.35">
      <c r="A96" t="s">
        <v>2098</v>
      </c>
      <c r="B96" t="s">
        <v>272</v>
      </c>
      <c r="C96" s="36">
        <f t="shared" si="65"/>
        <v>7.6526230965786049E-2</v>
      </c>
      <c r="D96" s="3">
        <f t="shared" si="66"/>
        <v>7.6526230965786049E-2</v>
      </c>
      <c r="F96">
        <v>993.85</v>
      </c>
      <c r="G96" t="s">
        <v>76</v>
      </c>
      <c r="H96">
        <v>1000</v>
      </c>
      <c r="I96" s="22"/>
      <c r="J96">
        <v>750</v>
      </c>
      <c r="K96" s="22"/>
      <c r="L96">
        <v>9.5452074505999391</v>
      </c>
      <c r="M96" s="22">
        <v>7.4999999999999997E-2</v>
      </c>
      <c r="N96" s="21">
        <v>44140</v>
      </c>
      <c r="O96" s="21">
        <v>45966</v>
      </c>
      <c r="P96">
        <f t="shared" si="67"/>
        <v>5</v>
      </c>
      <c r="Q96" s="6">
        <f t="shared" si="68"/>
        <v>7.5464104241082658E-2</v>
      </c>
      <c r="R96" s="5">
        <f t="shared" si="69"/>
        <v>1</v>
      </c>
      <c r="S96" t="s">
        <v>93</v>
      </c>
      <c r="U96">
        <f t="shared" si="70"/>
        <v>5</v>
      </c>
      <c r="V96">
        <f t="shared" si="71"/>
        <v>75</v>
      </c>
      <c r="W96" s="28">
        <f t="shared" si="72"/>
        <v>7.6526230965786049E-2</v>
      </c>
      <c r="X96" s="27">
        <f t="shared" si="73"/>
        <v>7.6526230965786049E-2</v>
      </c>
      <c r="Y96" s="5">
        <f t="shared" si="74"/>
        <v>4.3470888146178304</v>
      </c>
      <c r="Z96" s="5">
        <f t="shared" si="75"/>
        <v>4.0380704989584117</v>
      </c>
      <c r="AA96" s="5">
        <f t="shared" si="76"/>
        <v>-4013.2363653898178</v>
      </c>
      <c r="AB96" t="s">
        <v>64</v>
      </c>
      <c r="AC96" t="s">
        <v>62</v>
      </c>
      <c r="AD96">
        <f t="shared" si="77"/>
        <v>1</v>
      </c>
    </row>
    <row r="97" spans="1:30" x14ac:dyDescent="0.35">
      <c r="A97" t="s">
        <v>2097</v>
      </c>
      <c r="B97" t="s">
        <v>101</v>
      </c>
      <c r="C97" s="36">
        <f t="shared" si="65"/>
        <v>6.6069021355792096E-2</v>
      </c>
      <c r="D97" s="3">
        <f t="shared" si="66"/>
        <v>6.6069021355792096E-2</v>
      </c>
      <c r="F97">
        <v>1020.25</v>
      </c>
      <c r="G97" t="s">
        <v>76</v>
      </c>
      <c r="H97">
        <v>1000</v>
      </c>
      <c r="I97" s="22"/>
      <c r="J97">
        <v>35</v>
      </c>
      <c r="K97" s="22"/>
      <c r="L97">
        <v>4.5645615855956096</v>
      </c>
      <c r="M97" s="22">
        <v>6.8900000000000003E-2</v>
      </c>
      <c r="N97" s="21">
        <v>42313</v>
      </c>
      <c r="O97" s="21">
        <v>45966</v>
      </c>
      <c r="P97">
        <f t="shared" si="67"/>
        <v>10</v>
      </c>
      <c r="Q97" s="6">
        <f t="shared" si="68"/>
        <v>6.7532467532467541E-2</v>
      </c>
      <c r="R97" s="5">
        <f t="shared" si="69"/>
        <v>1</v>
      </c>
      <c r="S97" t="s">
        <v>93</v>
      </c>
      <c r="U97">
        <f t="shared" si="70"/>
        <v>10</v>
      </c>
      <c r="V97">
        <f t="shared" si="71"/>
        <v>68.900000000000006</v>
      </c>
      <c r="W97" s="28">
        <f t="shared" si="72"/>
        <v>6.6069021355792096E-2</v>
      </c>
      <c r="X97" s="27">
        <f t="shared" si="73"/>
        <v>6.6069021355792096E-2</v>
      </c>
      <c r="Y97" s="5">
        <f t="shared" si="74"/>
        <v>7.5730016849858801</v>
      </c>
      <c r="Z97" s="5">
        <f t="shared" si="75"/>
        <v>7.103669212106718</v>
      </c>
      <c r="AA97" s="5">
        <f t="shared" si="76"/>
        <v>-7247.5185136518794</v>
      </c>
      <c r="AB97" t="s">
        <v>64</v>
      </c>
      <c r="AC97" t="s">
        <v>62</v>
      </c>
      <c r="AD97">
        <f t="shared" si="77"/>
        <v>1</v>
      </c>
    </row>
    <row r="98" spans="1:30" x14ac:dyDescent="0.35">
      <c r="A98" t="s">
        <v>2096</v>
      </c>
      <c r="B98" t="s">
        <v>101</v>
      </c>
      <c r="C98" s="36">
        <f t="shared" si="65"/>
        <v>6.5772404255929742E-2</v>
      </c>
      <c r="D98" s="3">
        <f t="shared" si="66"/>
        <v>6.5772404255929742E-2</v>
      </c>
      <c r="F98">
        <v>1040.31</v>
      </c>
      <c r="G98" t="s">
        <v>76</v>
      </c>
      <c r="H98">
        <v>1000</v>
      </c>
      <c r="I98" s="22"/>
      <c r="J98">
        <v>21</v>
      </c>
      <c r="K98" s="22"/>
      <c r="L98">
        <v>-6.6062268069361902</v>
      </c>
      <c r="M98" s="22">
        <v>7.1399999999999991E-2</v>
      </c>
      <c r="N98" s="21">
        <v>42313</v>
      </c>
      <c r="O98" s="21">
        <v>45966</v>
      </c>
      <c r="P98">
        <f t="shared" si="67"/>
        <v>10</v>
      </c>
      <c r="Q98" s="6">
        <f t="shared" si="68"/>
        <v>6.8633388124693592E-2</v>
      </c>
      <c r="R98" s="5">
        <f t="shared" si="69"/>
        <v>1</v>
      </c>
      <c r="S98" t="s">
        <v>93</v>
      </c>
      <c r="U98">
        <f t="shared" si="70"/>
        <v>10</v>
      </c>
      <c r="V98">
        <f t="shared" si="71"/>
        <v>71.399999999999991</v>
      </c>
      <c r="W98" s="28">
        <f t="shared" si="72"/>
        <v>6.5772404255929742E-2</v>
      </c>
      <c r="X98" s="27">
        <f t="shared" si="73"/>
        <v>6.5772404255929742E-2</v>
      </c>
      <c r="Y98" s="5">
        <f t="shared" si="74"/>
        <v>7.5311238934742084</v>
      </c>
      <c r="Z98" s="5">
        <f t="shared" si="75"/>
        <v>7.0663528755298097</v>
      </c>
      <c r="AA98" s="5">
        <f t="shared" si="76"/>
        <v>-7351.1975599424159</v>
      </c>
      <c r="AB98" t="s">
        <v>64</v>
      </c>
      <c r="AC98" t="s">
        <v>62</v>
      </c>
      <c r="AD98">
        <f t="shared" si="77"/>
        <v>1</v>
      </c>
    </row>
    <row r="99" spans="1:30" x14ac:dyDescent="0.35">
      <c r="C99" s="28"/>
      <c r="D99" s="27"/>
      <c r="I99" s="22"/>
      <c r="K99" s="22"/>
      <c r="M99" s="22"/>
      <c r="N99" s="21"/>
      <c r="O99" s="21"/>
      <c r="P99" s="5"/>
      <c r="Q99" s="6"/>
      <c r="R99" s="5"/>
      <c r="W99" s="28"/>
      <c r="Y99" s="33"/>
      <c r="Z99" s="33"/>
      <c r="AA99" s="33"/>
    </row>
    <row r="100" spans="1:30" x14ac:dyDescent="0.35">
      <c r="A100" t="s">
        <v>2094</v>
      </c>
      <c r="B100" t="s">
        <v>1452</v>
      </c>
      <c r="C100" s="36" t="e">
        <f>RATE(U100,V100,-F100,H100)</f>
        <v>#VALUE!</v>
      </c>
      <c r="D100" s="3" t="e">
        <f>C100*AD100</f>
        <v>#VALUE!</v>
      </c>
      <c r="F100">
        <v>100000</v>
      </c>
      <c r="G100" t="s">
        <v>76</v>
      </c>
      <c r="H100">
        <v>100000</v>
      </c>
      <c r="I100" s="22"/>
      <c r="J100">
        <v>1</v>
      </c>
      <c r="K100" s="22"/>
      <c r="L100">
        <v>12.13</v>
      </c>
      <c r="M100" s="22">
        <v>0.12130000000000001</v>
      </c>
      <c r="N100" s="21">
        <v>45407</v>
      </c>
      <c r="O100" s="21">
        <v>45966</v>
      </c>
      <c r="P100">
        <f>ROUND(YEARFRAC(N100,O100),0)</f>
        <v>2</v>
      </c>
      <c r="Q100" s="6">
        <f>(M100*H100)/F100</f>
        <v>0.12130000000000001</v>
      </c>
      <c r="R100" s="5">
        <f>IF(S100="Quarterly",4,IF(S100="Semi-annual",2,IF(S100="Annual",1,IF(S100="Pays at maturity",0,IF(S100="Monthly",12,0)))))</f>
        <v>0</v>
      </c>
      <c r="S100" t="s">
        <v>782</v>
      </c>
      <c r="U100">
        <f>R100*P100</f>
        <v>0</v>
      </c>
      <c r="V100" t="e">
        <f>(H100*M100)/AD100</f>
        <v>#VALUE!</v>
      </c>
      <c r="W100" s="28" t="e">
        <f>RATE(U100,V100,-F100,H100)</f>
        <v>#VALUE!</v>
      </c>
      <c r="X100" s="27" t="e">
        <f>W100*AD100</f>
        <v>#VALUE!</v>
      </c>
      <c r="Y100" s="5" t="e">
        <f>DURATION(N100,O100,M100,D100,AD100)</f>
        <v>#VALUE!</v>
      </c>
      <c r="Z100" s="5" t="e">
        <f>Y100/(1+C100)</f>
        <v>#VALUE!</v>
      </c>
      <c r="AA100" s="5" t="e">
        <f>-Z100*F100</f>
        <v>#VALUE!</v>
      </c>
      <c r="AB100" t="s">
        <v>64</v>
      </c>
      <c r="AC100" t="s">
        <v>62</v>
      </c>
      <c r="AD100" t="str">
        <f>_xlfn.SWITCH(PROPER(TRIM(S100)),
   "Annual",1,
   "Semi-Annual",2,
   "Quarterly",4,
   "Monthly",12,
   "")</f>
        <v/>
      </c>
    </row>
    <row r="101" spans="1:30" x14ac:dyDescent="0.35">
      <c r="C101" s="28"/>
      <c r="D101" s="27"/>
      <c r="I101" s="22"/>
      <c r="K101" s="22"/>
      <c r="M101" s="22"/>
      <c r="N101" s="21"/>
      <c r="O101" s="21"/>
      <c r="P101" s="5"/>
      <c r="Q101" s="6"/>
      <c r="R101" s="5"/>
      <c r="W101" s="28"/>
      <c r="Y101" s="33"/>
      <c r="Z101" s="33"/>
      <c r="AA101" s="33"/>
    </row>
    <row r="102" spans="1:30" x14ac:dyDescent="0.35">
      <c r="A102" t="s">
        <v>2092</v>
      </c>
      <c r="B102" t="s">
        <v>272</v>
      </c>
      <c r="C102" s="36">
        <f>RATE(U102,V102,-F102,H102)</f>
        <v>6.5687036257798953E-2</v>
      </c>
      <c r="D102" s="3">
        <f>C102*AD102</f>
        <v>6.5687036257798953E-2</v>
      </c>
      <c r="F102">
        <v>1049</v>
      </c>
      <c r="G102" t="s">
        <v>76</v>
      </c>
      <c r="H102">
        <v>1000</v>
      </c>
      <c r="I102" s="22"/>
      <c r="J102">
        <v>46</v>
      </c>
      <c r="K102" s="22"/>
      <c r="L102">
        <v>-7.7001273863856801</v>
      </c>
      <c r="M102" s="22">
        <v>7.7499999999999999E-2</v>
      </c>
      <c r="N102" s="21">
        <v>44140</v>
      </c>
      <c r="O102" s="21">
        <v>45966</v>
      </c>
      <c r="P102">
        <f>ROUND(YEARFRAC(N102,O102),0)</f>
        <v>5</v>
      </c>
      <c r="Q102" s="6">
        <f>(M102*H102)/F102</f>
        <v>7.3879885605338411E-2</v>
      </c>
      <c r="R102" s="5">
        <f>IF(S102="Quarterly",4,IF(S102="Semi-annual",2,IF(S102="Annual",1,IF(S102="Pays at maturity",0,IF(S102="Monthly",12,0)))))</f>
        <v>1</v>
      </c>
      <c r="S102" t="s">
        <v>93</v>
      </c>
      <c r="U102">
        <f>R102*P102</f>
        <v>5</v>
      </c>
      <c r="V102">
        <f>(H102*M102)/AD102</f>
        <v>77.5</v>
      </c>
      <c r="W102" s="28">
        <f>RATE(U102,V102,-F102,H102)</f>
        <v>6.5687036257798953E-2</v>
      </c>
      <c r="X102" s="27">
        <f>W102*AD102</f>
        <v>6.5687036257798953E-2</v>
      </c>
      <c r="Y102" s="5">
        <f>DURATION(N102,O102,M102,D102,AD102)</f>
        <v>4.3481700130920462</v>
      </c>
      <c r="Z102" s="5">
        <f>Y102/(1+C102)</f>
        <v>4.0801566174257049</v>
      </c>
      <c r="AA102" s="5">
        <f>-Z102*F102</f>
        <v>-4280.0842916795646</v>
      </c>
      <c r="AB102" t="s">
        <v>64</v>
      </c>
      <c r="AC102" t="s">
        <v>62</v>
      </c>
      <c r="AD102">
        <f>_xlfn.SWITCH(PROPER(TRIM(S102)),
   "Annual",1,
   "Semi-Annual",2,
   "Quarterly",4,
   "Monthly",12,
   "")</f>
        <v>1</v>
      </c>
    </row>
    <row r="103" spans="1:30" x14ac:dyDescent="0.35">
      <c r="A103" t="s">
        <v>2091</v>
      </c>
      <c r="B103" t="s">
        <v>465</v>
      </c>
      <c r="C103" s="36">
        <f>RATE(U103,V103,-F103,H103)</f>
        <v>0.11236954938920805</v>
      </c>
      <c r="D103" s="3">
        <f>C103*AD103</f>
        <v>0.11236954938920805</v>
      </c>
      <c r="F103">
        <v>988.88</v>
      </c>
      <c r="G103" t="s">
        <v>76</v>
      </c>
      <c r="H103">
        <v>1000</v>
      </c>
      <c r="I103" s="22"/>
      <c r="J103">
        <v>10</v>
      </c>
      <c r="K103" s="22"/>
      <c r="L103">
        <v>13.2456118140593</v>
      </c>
      <c r="M103" s="22">
        <v>0.1</v>
      </c>
      <c r="N103" s="21">
        <v>45604</v>
      </c>
      <c r="O103" s="21">
        <v>45970</v>
      </c>
      <c r="P103">
        <f>ROUND(YEARFRAC(N103,O103),0)</f>
        <v>1</v>
      </c>
      <c r="Q103" s="6">
        <f>(M103*H103)/F103</f>
        <v>0.101124504489928</v>
      </c>
      <c r="R103" s="5">
        <f>IF(S103="Quarterly",4,IF(S103="Semi-annual",2,IF(S103="Annual",1,IF(S103="Pays at maturity",0,IF(S103="Monthly",12,0)))))</f>
        <v>1</v>
      </c>
      <c r="S103" t="s">
        <v>93</v>
      </c>
      <c r="U103">
        <f>R103*P103</f>
        <v>1</v>
      </c>
      <c r="V103">
        <f>(H103*M103)/AD103</f>
        <v>100</v>
      </c>
      <c r="W103" s="28">
        <f>RATE(U103,V103,-F103,H103)</f>
        <v>0.11236954938920805</v>
      </c>
      <c r="X103" s="27">
        <f>W103*AD103</f>
        <v>0.11236954938920805</v>
      </c>
      <c r="Y103" s="5">
        <f>DURATION(N103,O103,M103,D103,AD103)</f>
        <v>0.91094029339015004</v>
      </c>
      <c r="Z103" s="5">
        <f>Y103/(1+C103)</f>
        <v>0.81891876120695595</v>
      </c>
      <c r="AA103" s="5">
        <f>-Z103*F103</f>
        <v>-809.81238458233463</v>
      </c>
      <c r="AB103" t="s">
        <v>64</v>
      </c>
      <c r="AC103" t="s">
        <v>62</v>
      </c>
      <c r="AD103">
        <f>_xlfn.SWITCH(PROPER(TRIM(S103)),
   "Annual",1,
   "Semi-Annual",2,
   "Quarterly",4,
   "Monthly",12,
   "")</f>
        <v>1</v>
      </c>
    </row>
    <row r="104" spans="1:30" x14ac:dyDescent="0.35">
      <c r="A104" t="s">
        <v>2090</v>
      </c>
      <c r="B104" t="s">
        <v>128</v>
      </c>
      <c r="C104" s="36">
        <f>RATE(U104,V104,-F104,H104)</f>
        <v>7.1021741049383302E-2</v>
      </c>
      <c r="D104" s="3">
        <f>C104*AD104</f>
        <v>7.1021741049383302E-2</v>
      </c>
      <c r="F104">
        <v>1046</v>
      </c>
      <c r="G104" t="s">
        <v>76</v>
      </c>
      <c r="H104">
        <v>1000</v>
      </c>
      <c r="I104" s="22"/>
      <c r="J104">
        <v>118</v>
      </c>
      <c r="K104" s="22"/>
      <c r="L104">
        <v>-4.0401845677354</v>
      </c>
      <c r="M104" s="22">
        <v>9.6500000000000002E-2</v>
      </c>
      <c r="N104" s="21">
        <v>45239</v>
      </c>
      <c r="O104" s="21">
        <v>45970</v>
      </c>
      <c r="P104">
        <f>ROUND(YEARFRAC(N104,O104),0)</f>
        <v>2</v>
      </c>
      <c r="Q104" s="6">
        <f>(M104*H104)/F104</f>
        <v>9.2256214149139579E-2</v>
      </c>
      <c r="R104" s="5">
        <f>IF(S104="Quarterly",4,IF(S104="Semi-annual",2,IF(S104="Annual",1,IF(S104="Pays at maturity",0,IF(S104="Monthly",12,0)))))</f>
        <v>1</v>
      </c>
      <c r="S104" t="s">
        <v>93</v>
      </c>
      <c r="U104">
        <f>R104*P104</f>
        <v>2</v>
      </c>
      <c r="V104">
        <f>(H104*M104)/AD104</f>
        <v>96.5</v>
      </c>
      <c r="W104" s="28">
        <f>RATE(U104,V104,-F104,H104)</f>
        <v>7.1021741049383302E-2</v>
      </c>
      <c r="X104" s="27">
        <f>W104*AD104</f>
        <v>7.1021741049383302E-2</v>
      </c>
      <c r="Y104" s="5">
        <f>DURATION(N104,O104,M104,D104,AD104)</f>
        <v>1.9138614926166226</v>
      </c>
      <c r="Z104" s="5">
        <f>Y104/(1+C104)</f>
        <v>1.7869492459988983</v>
      </c>
      <c r="AA104" s="5">
        <f>-Z104*F104</f>
        <v>-1869.1489113148475</v>
      </c>
      <c r="AB104" t="s">
        <v>64</v>
      </c>
      <c r="AC104" t="s">
        <v>62</v>
      </c>
      <c r="AD104">
        <f>_xlfn.SWITCH(PROPER(TRIM(S104)),
   "Annual",1,
   "Semi-Annual",2,
   "Quarterly",4,
   "Monthly",12,
   "")</f>
        <v>1</v>
      </c>
    </row>
    <row r="105" spans="1:30" x14ac:dyDescent="0.35">
      <c r="A105" t="s">
        <v>2089</v>
      </c>
      <c r="B105" t="s">
        <v>128</v>
      </c>
      <c r="C105" s="36">
        <f>RATE(U105,V105,-F105,H105)</f>
        <v>0.13148145250240401</v>
      </c>
      <c r="D105" s="3">
        <f>C105*AD105</f>
        <v>0.13148145250240401</v>
      </c>
      <c r="F105">
        <v>935.1</v>
      </c>
      <c r="G105" t="s">
        <v>76</v>
      </c>
      <c r="H105">
        <v>1000</v>
      </c>
      <c r="I105" s="22"/>
      <c r="J105">
        <v>12</v>
      </c>
      <c r="K105" s="22"/>
      <c r="L105">
        <v>32.714138585168399</v>
      </c>
      <c r="M105" s="22">
        <v>9.2499999999999999E-2</v>
      </c>
      <c r="N105" s="21">
        <v>45239</v>
      </c>
      <c r="O105" s="21">
        <v>45970</v>
      </c>
      <c r="P105">
        <f>ROUND(YEARFRAC(N105,O105),0)</f>
        <v>2</v>
      </c>
      <c r="Q105" s="6">
        <f>(M105*H105)/F105</f>
        <v>9.8919901614800548E-2</v>
      </c>
      <c r="R105" s="5">
        <f>IF(S105="Quarterly",4,IF(S105="Semi-annual",2,IF(S105="Annual",1,IF(S105="Pays at maturity",0,IF(S105="Monthly",12,0)))))</f>
        <v>1</v>
      </c>
      <c r="S105" t="s">
        <v>93</v>
      </c>
      <c r="U105">
        <f>R105*P105</f>
        <v>2</v>
      </c>
      <c r="V105">
        <f>(H105*M105)/AD105</f>
        <v>92.5</v>
      </c>
      <c r="W105" s="28">
        <f>RATE(U105,V105,-F105,H105)</f>
        <v>0.13148145250240401</v>
      </c>
      <c r="X105" s="27">
        <f>W105*AD105</f>
        <v>0.13148145250240401</v>
      </c>
      <c r="Y105" s="5">
        <f>DURATION(N105,O105,M105,D105,AD105)</f>
        <v>1.9125748801307982</v>
      </c>
      <c r="Z105" s="5">
        <f>Y105/(1+C105)</f>
        <v>1.6903280879248304</v>
      </c>
      <c r="AA105" s="5">
        <f>-Z105*F105</f>
        <v>-1580.6257950185088</v>
      </c>
      <c r="AB105" t="s">
        <v>64</v>
      </c>
      <c r="AC105" t="s">
        <v>62</v>
      </c>
      <c r="AD105">
        <f>_xlfn.SWITCH(PROPER(TRIM(S105)),
   "Annual",1,
   "Semi-Annual",2,
   "Quarterly",4,
   "Monthly",12,
   "")</f>
        <v>1</v>
      </c>
    </row>
    <row r="106" spans="1:30" x14ac:dyDescent="0.35">
      <c r="C106" s="28"/>
      <c r="D106" s="27"/>
      <c r="I106" s="22"/>
      <c r="K106" s="22"/>
      <c r="M106" s="22"/>
      <c r="N106" s="21"/>
      <c r="O106" s="21"/>
      <c r="P106" s="5"/>
      <c r="Q106" s="6"/>
      <c r="R106" s="5"/>
      <c r="W106" s="28"/>
      <c r="Y106" s="33"/>
      <c r="Z106" s="33"/>
      <c r="AA106" s="33"/>
    </row>
    <row r="107" spans="1:30" x14ac:dyDescent="0.35">
      <c r="A107" t="s">
        <v>2087</v>
      </c>
      <c r="B107" t="s">
        <v>2086</v>
      </c>
      <c r="C107" s="36">
        <f>RATE(U107,V107,-F107,H107)</f>
        <v>4.3292570315847212E-2</v>
      </c>
      <c r="D107" s="3">
        <f>C107*AD107</f>
        <v>8.6585140631694424E-2</v>
      </c>
      <c r="F107">
        <v>101000</v>
      </c>
      <c r="G107" t="s">
        <v>76</v>
      </c>
      <c r="H107">
        <v>100000</v>
      </c>
      <c r="I107" s="22"/>
      <c r="J107">
        <v>10</v>
      </c>
      <c r="K107" s="22"/>
      <c r="M107" s="22">
        <v>8.8100000000000012E-2</v>
      </c>
      <c r="N107" s="21">
        <v>42317</v>
      </c>
      <c r="O107" s="21">
        <v>45970</v>
      </c>
      <c r="P107">
        <f>ROUND(YEARFRAC(N107,O107),0)</f>
        <v>10</v>
      </c>
      <c r="Q107" s="6">
        <f>(M107*H107)/F107</f>
        <v>8.722772277227725E-2</v>
      </c>
      <c r="R107" s="5">
        <f>IF(S107="Quarterly",4,IF(S107="Semi-annual",2,IF(S107="Annual",1,IF(S107="Pays at maturity",0,IF(S107="Monthly",12,0)))))</f>
        <v>2</v>
      </c>
      <c r="S107" t="s">
        <v>65</v>
      </c>
      <c r="U107">
        <f>R107*P107</f>
        <v>20</v>
      </c>
      <c r="V107">
        <f>(H107*M107)/AD107</f>
        <v>4405.0000000000009</v>
      </c>
      <c r="W107" s="28">
        <f>RATE(U107,V107,-F107,H107)</f>
        <v>4.3292570315847212E-2</v>
      </c>
      <c r="X107" s="27">
        <f>W107*AD107</f>
        <v>8.6585140631694424E-2</v>
      </c>
      <c r="Y107" s="5">
        <f>DURATION(N107,O107,M107,D107,AD107)</f>
        <v>6.863956554077129</v>
      </c>
      <c r="Z107" s="5">
        <f>Y107/(1+C107)</f>
        <v>6.579129143035237</v>
      </c>
      <c r="AA107" s="5">
        <f>-Z107*F107</f>
        <v>-664492.04344655899</v>
      </c>
      <c r="AB107" t="s">
        <v>64</v>
      </c>
      <c r="AC107" t="s">
        <v>62</v>
      </c>
      <c r="AD107">
        <f>_xlfn.SWITCH(PROPER(TRIM(S107)),
   "Annual",1,
   "Semi-Annual",2,
   "Quarterly",4,
   "Monthly",12,
   "")</f>
        <v>2</v>
      </c>
    </row>
    <row r="108" spans="1:30" x14ac:dyDescent="0.35">
      <c r="C108" s="28"/>
      <c r="D108" s="27"/>
      <c r="I108" s="22"/>
      <c r="K108" s="22"/>
      <c r="M108" s="22"/>
      <c r="N108" s="21"/>
      <c r="O108" s="21"/>
      <c r="P108" s="5"/>
      <c r="Q108" s="6"/>
      <c r="R108" s="5"/>
      <c r="W108" s="28"/>
      <c r="Y108" s="33"/>
      <c r="Z108" s="33"/>
      <c r="AA108" s="33"/>
    </row>
    <row r="109" spans="1:30" x14ac:dyDescent="0.35">
      <c r="A109" t="s">
        <v>2084</v>
      </c>
      <c r="B109" t="s">
        <v>1114</v>
      </c>
      <c r="C109" s="36">
        <f>RATE(U109,V109,-F109,H109)</f>
        <v>0.10530442673416712</v>
      </c>
      <c r="D109" s="3">
        <f>C109*AD109</f>
        <v>0.10530442673416712</v>
      </c>
      <c r="F109">
        <v>985</v>
      </c>
      <c r="G109" t="s">
        <v>76</v>
      </c>
      <c r="H109">
        <v>1000</v>
      </c>
      <c r="I109" s="22"/>
      <c r="J109">
        <v>8</v>
      </c>
      <c r="K109" s="22"/>
      <c r="L109">
        <v>13.2810913705583</v>
      </c>
      <c r="M109" s="22">
        <v>9.6600000000000005E-2</v>
      </c>
      <c r="N109" s="21">
        <v>45240</v>
      </c>
      <c r="O109" s="21">
        <v>45971</v>
      </c>
      <c r="P109">
        <f>ROUND(YEARFRAC(N109,O109),0)</f>
        <v>2</v>
      </c>
      <c r="Q109" s="6">
        <f>(M109*H109)/F109</f>
        <v>9.807106598984773E-2</v>
      </c>
      <c r="R109" s="5">
        <f>IF(S109="Quarterly",4,IF(S109="Semi-annual",2,IF(S109="Annual",1,IF(S109="Pays at maturity",0,IF(S109="Monthly",12,0)))))</f>
        <v>1</v>
      </c>
      <c r="S109" t="s">
        <v>93</v>
      </c>
      <c r="U109">
        <f>R109*P109</f>
        <v>2</v>
      </c>
      <c r="V109">
        <f>(H109*M109)/AD109</f>
        <v>96.600000000000009</v>
      </c>
      <c r="W109" s="28">
        <f>RATE(U109,V109,-F109,H109)</f>
        <v>0.10530442673416712</v>
      </c>
      <c r="X109" s="27">
        <f>W109*AD109</f>
        <v>0.10530442673416712</v>
      </c>
      <c r="Y109" s="5">
        <f>DURATION(N109,O109,M109,D109,AD109)</f>
        <v>1.9112723484881387</v>
      </c>
      <c r="Z109" s="5">
        <f>Y109/(1+C109)</f>
        <v>1.729181845525904</v>
      </c>
      <c r="AA109" s="5">
        <f>-Z109*F109</f>
        <v>-1703.2441178430154</v>
      </c>
      <c r="AB109" t="s">
        <v>64</v>
      </c>
      <c r="AC109" t="s">
        <v>62</v>
      </c>
      <c r="AD109">
        <f>_xlfn.SWITCH(PROPER(TRIM(S109)),
   "Annual",1,
   "Semi-Annual",2,
   "Quarterly",4,
   "Monthly",12,
   "")</f>
        <v>1</v>
      </c>
    </row>
    <row r="110" spans="1:30" x14ac:dyDescent="0.35">
      <c r="A110" t="s">
        <v>2083</v>
      </c>
      <c r="B110" t="s">
        <v>460</v>
      </c>
      <c r="C110" s="36">
        <f>RATE(U110,V110,-F110,H110)</f>
        <v>0.1</v>
      </c>
      <c r="D110" s="3">
        <f>C110*AD110</f>
        <v>0.1</v>
      </c>
      <c r="F110">
        <v>100000</v>
      </c>
      <c r="G110" t="s">
        <v>76</v>
      </c>
      <c r="H110">
        <v>100000</v>
      </c>
      <c r="I110" s="22"/>
      <c r="J110">
        <v>1</v>
      </c>
      <c r="K110" s="22"/>
      <c r="L110">
        <v>10</v>
      </c>
      <c r="M110" s="22">
        <v>0.1</v>
      </c>
      <c r="N110" s="21">
        <v>45240</v>
      </c>
      <c r="O110" s="21">
        <v>45971</v>
      </c>
      <c r="P110">
        <f>ROUND(YEARFRAC(N110,O110),0)</f>
        <v>2</v>
      </c>
      <c r="Q110" s="6">
        <f>(M110*H110)/F110</f>
        <v>0.1</v>
      </c>
      <c r="R110" s="5">
        <f>IF(S110="Quarterly",4,IF(S110="Semi-annual",2,IF(S110="Annual",1,IF(S110="Pays at maturity",0,IF(S110="Monthly",12,0)))))</f>
        <v>1</v>
      </c>
      <c r="S110" t="s">
        <v>93</v>
      </c>
      <c r="U110">
        <f>R110*P110</f>
        <v>2</v>
      </c>
      <c r="V110">
        <f>(H110*M110)/AD110</f>
        <v>10000</v>
      </c>
      <c r="W110" s="28">
        <f>RATE(U110,V110,-F110,H110)</f>
        <v>0.1</v>
      </c>
      <c r="X110" s="27">
        <f>W110*AD110</f>
        <v>0.1</v>
      </c>
      <c r="Y110" s="5">
        <f>DURATION(N110,O110,M110,D110,AD110)</f>
        <v>1.9090909090909089</v>
      </c>
      <c r="Z110" s="5">
        <f>Y110/(1+C110)</f>
        <v>1.7355371900826444</v>
      </c>
      <c r="AA110" s="5">
        <f>-Z110*F110</f>
        <v>-173553.71900826445</v>
      </c>
      <c r="AB110" t="s">
        <v>64</v>
      </c>
      <c r="AC110" t="s">
        <v>62</v>
      </c>
      <c r="AD110">
        <f>_xlfn.SWITCH(PROPER(TRIM(S110)),
   "Annual",1,
   "Semi-Annual",2,
   "Quarterly",4,
   "Monthly",12,
   "")</f>
        <v>1</v>
      </c>
    </row>
    <row r="111" spans="1:30" x14ac:dyDescent="0.35">
      <c r="A111" t="s">
        <v>2082</v>
      </c>
      <c r="B111" t="s">
        <v>1587</v>
      </c>
      <c r="C111" s="36">
        <f>RATE(U111,V111,-F111,H111)</f>
        <v>9.7423688942252548E-2</v>
      </c>
      <c r="D111" s="3">
        <f>C111*AD111</f>
        <v>9.7423688942252548E-2</v>
      </c>
      <c r="F111">
        <v>100013.29</v>
      </c>
      <c r="G111" t="s">
        <v>76</v>
      </c>
      <c r="H111">
        <v>100000</v>
      </c>
      <c r="I111" s="22"/>
      <c r="J111">
        <v>7</v>
      </c>
      <c r="K111" s="22"/>
      <c r="L111">
        <v>9.7230419347110093</v>
      </c>
      <c r="M111" s="22">
        <v>9.7500000000000003E-2</v>
      </c>
      <c r="N111" s="21">
        <v>45240</v>
      </c>
      <c r="O111" s="21">
        <v>45971</v>
      </c>
      <c r="P111">
        <f>ROUND(YEARFRAC(N111,O111),0)</f>
        <v>2</v>
      </c>
      <c r="Q111" s="6">
        <f>(M111*H111)/F111</f>
        <v>9.7487043971856147E-2</v>
      </c>
      <c r="R111" s="5">
        <f>IF(S111="Quarterly",4,IF(S111="Semi-annual",2,IF(S111="Annual",1,IF(S111="Pays at maturity",0,IF(S111="Monthly",12,0)))))</f>
        <v>1</v>
      </c>
      <c r="S111" t="s">
        <v>93</v>
      </c>
      <c r="U111">
        <f>R111*P111</f>
        <v>2</v>
      </c>
      <c r="V111">
        <f>(H111*M111)/AD111</f>
        <v>9750</v>
      </c>
      <c r="W111" s="28">
        <f>RATE(U111,V111,-F111,H111)</f>
        <v>9.7423688942252548E-2</v>
      </c>
      <c r="X111" s="27">
        <f>W111*AD111</f>
        <v>9.7423688942252548E-2</v>
      </c>
      <c r="Y111" s="5">
        <f>DURATION(N111,O111,M111,D111,AD111)</f>
        <v>1.9111673595584391</v>
      </c>
      <c r="Z111" s="5">
        <f>Y111/(1+C111)</f>
        <v>1.7415036496984224</v>
      </c>
      <c r="AA111" s="5">
        <f>-Z111*F111</f>
        <v>-174173.50955334672</v>
      </c>
      <c r="AB111" t="s">
        <v>64</v>
      </c>
      <c r="AC111" t="s">
        <v>62</v>
      </c>
      <c r="AD111">
        <f>_xlfn.SWITCH(PROPER(TRIM(S111)),
   "Annual",1,
   "Semi-Annual",2,
   "Quarterly",4,
   "Monthly",12,
   "")</f>
        <v>1</v>
      </c>
    </row>
    <row r="112" spans="1:30" x14ac:dyDescent="0.35">
      <c r="A112" t="s">
        <v>2081</v>
      </c>
      <c r="B112" t="s">
        <v>1114</v>
      </c>
      <c r="C112" s="36">
        <f>RATE(U112,V112,-F112,H112)</f>
        <v>0.2469291556696166</v>
      </c>
      <c r="D112" s="3">
        <f>C112*AD112</f>
        <v>0.98771662267846638</v>
      </c>
      <c r="F112">
        <v>251.25</v>
      </c>
      <c r="G112" t="s">
        <v>76</v>
      </c>
      <c r="H112">
        <v>1000</v>
      </c>
      <c r="I112" s="22"/>
      <c r="J112">
        <v>1</v>
      </c>
      <c r="K112" s="22"/>
      <c r="M112" s="22">
        <v>9.5500000000000002E-2</v>
      </c>
      <c r="N112" s="21">
        <v>45240</v>
      </c>
      <c r="O112" s="21">
        <v>45971</v>
      </c>
      <c r="P112">
        <f>ROUND(YEARFRAC(N112,O112),0)</f>
        <v>2</v>
      </c>
      <c r="Q112" s="6">
        <f>(M112*H112)/F112</f>
        <v>0.38009950248756219</v>
      </c>
      <c r="R112" s="5">
        <f>IF(S112="Quarterly",4,IF(S112="Semi-annual",2,IF(S112="Annual",1,IF(S112="Pays at maturity",0,IF(S112="Monthly",12,0)))))</f>
        <v>4</v>
      </c>
      <c r="S112" t="s">
        <v>105</v>
      </c>
      <c r="U112">
        <f>R112*P112</f>
        <v>8</v>
      </c>
      <c r="V112">
        <f>(H112*M112)/AD112</f>
        <v>23.875</v>
      </c>
      <c r="W112" s="28">
        <f>RATE(U112,V112,-F112,H112)</f>
        <v>0.2469291556696166</v>
      </c>
      <c r="X112" s="27">
        <f>W112*AD112</f>
        <v>0.98771662267846638</v>
      </c>
      <c r="Y112" s="5">
        <f>DURATION(N112,O112,M112,D112,AD112)</f>
        <v>1.6330392813963786</v>
      </c>
      <c r="Z112" s="5">
        <f>Y112/(1+C112)</f>
        <v>1.309648807208631</v>
      </c>
      <c r="AA112" s="5">
        <f>-Z112*F112</f>
        <v>-329.04926281116855</v>
      </c>
      <c r="AB112" t="s">
        <v>64</v>
      </c>
      <c r="AC112" t="s">
        <v>62</v>
      </c>
      <c r="AD112">
        <f>_xlfn.SWITCH(PROPER(TRIM(S112)),
   "Annual",1,
   "Semi-Annual",2,
   "Quarterly",4,
   "Monthly",12,
   "")</f>
        <v>4</v>
      </c>
    </row>
    <row r="113" spans="1:30" x14ac:dyDescent="0.35">
      <c r="A113" t="s">
        <v>2080</v>
      </c>
      <c r="B113" t="s">
        <v>2079</v>
      </c>
      <c r="C113" s="36">
        <f>RATE(U113,V113,-F113,H113)</f>
        <v>6.6697376674813472E-2</v>
      </c>
      <c r="D113" s="3">
        <f>C113*AD113</f>
        <v>6.6697376674813472E-2</v>
      </c>
      <c r="F113">
        <v>1013662</v>
      </c>
      <c r="G113" t="s">
        <v>76</v>
      </c>
      <c r="H113">
        <v>1000000</v>
      </c>
      <c r="I113" s="22"/>
      <c r="J113">
        <v>10</v>
      </c>
      <c r="K113" s="22"/>
      <c r="L113">
        <v>6.6201400918000104</v>
      </c>
      <c r="M113" s="22">
        <v>7.0000000000000007E-2</v>
      </c>
      <c r="N113" s="21">
        <v>44147</v>
      </c>
      <c r="O113" s="21">
        <v>45973</v>
      </c>
      <c r="P113">
        <f>ROUND(YEARFRAC(N113,O113),0)</f>
        <v>5</v>
      </c>
      <c r="Q113" s="6">
        <f>(M113*H113)/F113</f>
        <v>6.9056549421799382E-2</v>
      </c>
      <c r="R113" s="5">
        <f>IF(S113="Quarterly",4,IF(S113="Semi-annual",2,IF(S113="Annual",1,IF(S113="Pays at maturity",0,IF(S113="Monthly",12,0)))))</f>
        <v>1</v>
      </c>
      <c r="S113" t="s">
        <v>93</v>
      </c>
      <c r="U113">
        <f>R113*P113</f>
        <v>5</v>
      </c>
      <c r="V113">
        <f>(H113*M113)/AD113</f>
        <v>70000</v>
      </c>
      <c r="W113" s="28">
        <f>RATE(U113,V113,-F113,H113)</f>
        <v>6.6697376674813472E-2</v>
      </c>
      <c r="X113" s="27">
        <f>W113*AD113</f>
        <v>6.6697376674813472E-2</v>
      </c>
      <c r="Y113" s="5">
        <f>DURATION(N113,O113,M113,D113,AD113)</f>
        <v>4.3918429248202218</v>
      </c>
      <c r="Z113" s="5">
        <f>Y113/(1+C113)</f>
        <v>4.1172342042415</v>
      </c>
      <c r="AA113" s="5">
        <f>-Z113*F113</f>
        <v>-4173483.8579398473</v>
      </c>
      <c r="AB113" t="s">
        <v>64</v>
      </c>
      <c r="AC113" t="s">
        <v>62</v>
      </c>
      <c r="AD113">
        <f>_xlfn.SWITCH(PROPER(TRIM(S113)),
   "Annual",1,
   "Semi-Annual",2,
   "Quarterly",4,
   "Monthly",12,
   "")</f>
        <v>1</v>
      </c>
    </row>
    <row r="114" spans="1:30" x14ac:dyDescent="0.35">
      <c r="C114" s="28"/>
      <c r="D114" s="27"/>
      <c r="I114" s="22"/>
      <c r="K114" s="22"/>
      <c r="M114" s="22"/>
      <c r="N114" s="21"/>
      <c r="O114" s="21"/>
      <c r="P114" s="5"/>
      <c r="Q114" s="6"/>
      <c r="R114" s="5"/>
      <c r="W114" s="28"/>
      <c r="Y114" s="33"/>
      <c r="Z114" s="33"/>
      <c r="AA114" s="33"/>
    </row>
    <row r="115" spans="1:30" x14ac:dyDescent="0.35">
      <c r="A115" t="s">
        <v>2077</v>
      </c>
      <c r="B115" t="s">
        <v>2076</v>
      </c>
      <c r="C115" s="36">
        <f>RATE(U115,V115,-F115,H115)</f>
        <v>5.9842212114261779E-2</v>
      </c>
      <c r="D115" s="3">
        <f>C115*AD115</f>
        <v>5.9842212114261779E-2</v>
      </c>
      <c r="F115">
        <v>105071.88</v>
      </c>
      <c r="G115" t="s">
        <v>76</v>
      </c>
      <c r="H115">
        <v>100000</v>
      </c>
      <c r="I115" s="22"/>
      <c r="J115">
        <v>1</v>
      </c>
      <c r="K115" s="22"/>
      <c r="L115">
        <v>3.9119032377542098</v>
      </c>
      <c r="M115" s="22">
        <v>8.7499999999999994E-2</v>
      </c>
      <c r="N115" s="21">
        <v>45250</v>
      </c>
      <c r="O115" s="21">
        <v>45981</v>
      </c>
      <c r="P115">
        <f>ROUND(YEARFRAC(N115,O115),0)</f>
        <v>2</v>
      </c>
      <c r="Q115" s="6">
        <f>(M115*H115)/F115</f>
        <v>8.3276324740739385E-2</v>
      </c>
      <c r="R115" s="5">
        <f>IF(S115="Quarterly",4,IF(S115="Semi-annual",2,IF(S115="Annual",1,IF(S115="Pays at maturity",0,IF(S115="Monthly",12,0)))))</f>
        <v>1</v>
      </c>
      <c r="S115" t="s">
        <v>93</v>
      </c>
      <c r="U115">
        <f>R115*P115</f>
        <v>2</v>
      </c>
      <c r="V115">
        <f>(H115*M115)/AD115</f>
        <v>8750</v>
      </c>
      <c r="W115" s="28">
        <f>RATE(U115,V115,-F115,H115)</f>
        <v>5.9842212114261779E-2</v>
      </c>
      <c r="X115" s="27">
        <f>W115*AD115</f>
        <v>5.9842212114261779E-2</v>
      </c>
      <c r="Y115" s="5">
        <f>DURATION(N115,O115,M115,D115,AD115)</f>
        <v>1.9214257331998319</v>
      </c>
      <c r="Z115" s="5">
        <f>Y115/(1+C115)</f>
        <v>1.8129356532863614</v>
      </c>
      <c r="AA115" s="5">
        <f>-Z115*F115</f>
        <v>-190488.55740982617</v>
      </c>
      <c r="AB115" t="s">
        <v>64</v>
      </c>
      <c r="AC115" t="s">
        <v>62</v>
      </c>
      <c r="AD115">
        <f>_xlfn.SWITCH(PROPER(TRIM(S115)),
   "Annual",1,
   "Semi-Annual",2,
   "Quarterly",4,
   "Monthly",12,
   "")</f>
        <v>1</v>
      </c>
    </row>
    <row r="116" spans="1:30" x14ac:dyDescent="0.35">
      <c r="A116" t="s">
        <v>2075</v>
      </c>
      <c r="B116" t="s">
        <v>460</v>
      </c>
      <c r="C116" s="36">
        <f>RATE(U116,V116,-F116,H116)</f>
        <v>0.10714906062347972</v>
      </c>
      <c r="D116" s="3">
        <f>C116*AD116</f>
        <v>0.10714906062347972</v>
      </c>
      <c r="F116">
        <v>992</v>
      </c>
      <c r="G116" t="s">
        <v>76</v>
      </c>
      <c r="H116">
        <v>1000</v>
      </c>
      <c r="I116" s="22"/>
      <c r="J116">
        <v>200</v>
      </c>
      <c r="K116" s="22"/>
      <c r="L116">
        <v>12.643102864876999</v>
      </c>
      <c r="M116" s="22">
        <v>0.105</v>
      </c>
      <c r="N116" s="21">
        <v>44159</v>
      </c>
      <c r="O116" s="21">
        <v>45982</v>
      </c>
      <c r="P116">
        <f>ROUND(YEARFRAC(N116,O116),0)</f>
        <v>5</v>
      </c>
      <c r="Q116" s="6">
        <f>(M116*H116)/F116</f>
        <v>0.10584677419354839</v>
      </c>
      <c r="R116" s="5">
        <f>IF(S116="Quarterly",4,IF(S116="Semi-annual",2,IF(S116="Annual",1,IF(S116="Pays at maturity",0,IF(S116="Monthly",12,0)))))</f>
        <v>1</v>
      </c>
      <c r="S116" t="s">
        <v>93</v>
      </c>
      <c r="U116">
        <f>R116*P116</f>
        <v>5</v>
      </c>
      <c r="V116">
        <f>(H116*M116)/AD116</f>
        <v>105</v>
      </c>
      <c r="W116" s="28">
        <f>RATE(U116,V116,-F116,H116)</f>
        <v>0.10714906062347972</v>
      </c>
      <c r="X116" s="27">
        <f>W116*AD116</f>
        <v>0.10714906062347972</v>
      </c>
      <c r="Y116" s="5">
        <f>DURATION(N116,O116,M116,D116,AD116)</f>
        <v>4.1237699806822699</v>
      </c>
      <c r="Z116" s="5">
        <f>Y116/(1+C116)</f>
        <v>3.7246745965353667</v>
      </c>
      <c r="AA116" s="5">
        <f>-Z116*F116</f>
        <v>-3694.8771997630838</v>
      </c>
      <c r="AB116" t="s">
        <v>64</v>
      </c>
      <c r="AC116" t="s">
        <v>62</v>
      </c>
      <c r="AD116">
        <f>_xlfn.SWITCH(PROPER(TRIM(S116)),
   "Annual",1,
   "Semi-Annual",2,
   "Quarterly",4,
   "Monthly",12,
   "")</f>
        <v>1</v>
      </c>
    </row>
    <row r="117" spans="1:30" x14ac:dyDescent="0.35">
      <c r="C117" s="28"/>
      <c r="D117" s="27"/>
      <c r="I117" s="22"/>
      <c r="K117" s="22"/>
      <c r="M117" s="22"/>
      <c r="N117" s="21"/>
      <c r="O117" s="21"/>
      <c r="P117" s="5"/>
      <c r="Q117" s="6"/>
      <c r="R117" s="5"/>
      <c r="W117" s="28"/>
      <c r="Y117" s="33"/>
      <c r="Z117" s="33"/>
      <c r="AA117" s="33"/>
    </row>
    <row r="118" spans="1:30" x14ac:dyDescent="0.35">
      <c r="A118" t="s">
        <v>2073</v>
      </c>
      <c r="B118" t="s">
        <v>875</v>
      </c>
      <c r="C118" s="36">
        <f>RATE(U118,V118,-F118,H118)</f>
        <v>0.10002129879611747</v>
      </c>
      <c r="D118" s="3">
        <f>C118*AD118</f>
        <v>0.10002129879611747</v>
      </c>
      <c r="F118">
        <v>990</v>
      </c>
      <c r="G118" t="s">
        <v>76</v>
      </c>
      <c r="H118">
        <v>1000</v>
      </c>
      <c r="I118" s="22"/>
      <c r="J118">
        <v>20</v>
      </c>
      <c r="K118" s="22"/>
      <c r="L118">
        <v>12.577335858585799</v>
      </c>
      <c r="M118" s="22">
        <v>9.6000000000000002E-2</v>
      </c>
      <c r="N118" s="21">
        <v>44888</v>
      </c>
      <c r="O118" s="21">
        <v>45984</v>
      </c>
      <c r="P118">
        <f>ROUND(YEARFRAC(N118,O118),0)</f>
        <v>3</v>
      </c>
      <c r="Q118" s="6">
        <f>(M118*H118)/F118</f>
        <v>9.696969696969697E-2</v>
      </c>
      <c r="R118" s="5">
        <f>IF(S118="Quarterly",4,IF(S118="Semi-annual",2,IF(S118="Annual",1,IF(S118="Pays at maturity",0,IF(S118="Monthly",12,0)))))</f>
        <v>1</v>
      </c>
      <c r="S118" t="s">
        <v>93</v>
      </c>
      <c r="U118">
        <f>R118*P118</f>
        <v>3</v>
      </c>
      <c r="V118">
        <f>(H118*M118)/AD118</f>
        <v>96</v>
      </c>
      <c r="W118" s="28">
        <f>RATE(U118,V118,-F118,H118)</f>
        <v>0.10002129879611747</v>
      </c>
      <c r="X118" s="27">
        <f>W118*AD118</f>
        <v>0.10002129879611747</v>
      </c>
      <c r="Y118" s="5">
        <f>DURATION(N118,O118,M118,D118,AD118)</f>
        <v>2.7435577317018289</v>
      </c>
      <c r="Z118" s="5">
        <f>Y118/(1+C118)</f>
        <v>2.4940951004352607</v>
      </c>
      <c r="AA118" s="5">
        <f>-Z118*F118</f>
        <v>-2469.1541494309081</v>
      </c>
      <c r="AB118" t="s">
        <v>64</v>
      </c>
      <c r="AC118" t="s">
        <v>62</v>
      </c>
      <c r="AD118">
        <f>_xlfn.SWITCH(PROPER(TRIM(S118)),
   "Annual",1,
   "Semi-Annual",2,
   "Quarterly",4,
   "Monthly",12,
   "")</f>
        <v>1</v>
      </c>
    </row>
    <row r="119" spans="1:30" x14ac:dyDescent="0.35">
      <c r="A119" t="s">
        <v>2072</v>
      </c>
      <c r="B119" t="s">
        <v>1363</v>
      </c>
      <c r="C119" s="36">
        <f>RATE(U119,V119,-F119,H119)</f>
        <v>0.23422799801751559</v>
      </c>
      <c r="D119" s="3">
        <f>C119*AD119</f>
        <v>0.93691199207006237</v>
      </c>
      <c r="F119">
        <v>30000</v>
      </c>
      <c r="G119" t="s">
        <v>76</v>
      </c>
      <c r="H119">
        <v>100000</v>
      </c>
      <c r="I119" s="22"/>
      <c r="J119">
        <v>1</v>
      </c>
      <c r="K119" s="22"/>
      <c r="M119" s="22">
        <v>0.13150000000000001</v>
      </c>
      <c r="N119" s="21">
        <v>45254</v>
      </c>
      <c r="O119" s="21">
        <v>45984</v>
      </c>
      <c r="P119">
        <f>ROUND(YEARFRAC(N119,O119),0)</f>
        <v>2</v>
      </c>
      <c r="Q119" s="6">
        <f>(M119*H119)/F119</f>
        <v>0.43833333333333335</v>
      </c>
      <c r="R119" s="5">
        <f>IF(S119="Quarterly",4,IF(S119="Semi-annual",2,IF(S119="Annual",1,IF(S119="Pays at maturity",0,IF(S119="Monthly",12,0)))))</f>
        <v>4</v>
      </c>
      <c r="S119" t="s">
        <v>105</v>
      </c>
      <c r="U119">
        <f>R119*P119</f>
        <v>8</v>
      </c>
      <c r="V119">
        <f>(H119*M119)/AD119</f>
        <v>3287.5</v>
      </c>
      <c r="W119" s="28">
        <f>RATE(U119,V119,-F119,H119)</f>
        <v>0.23422799801751559</v>
      </c>
      <c r="X119" s="27">
        <f>W119*AD119</f>
        <v>0.93691199207006237</v>
      </c>
      <c r="Y119" s="5">
        <f>DURATION(N119,O119,M119,D119,AD119)</f>
        <v>1.5633824542968073</v>
      </c>
      <c r="Z119" s="5">
        <f>Y119/(1+C119)</f>
        <v>1.2666885347018524</v>
      </c>
      <c r="AA119" s="5">
        <f>-Z119*F119</f>
        <v>-38000.656041055568</v>
      </c>
      <c r="AB119" t="s">
        <v>64</v>
      </c>
      <c r="AC119" t="s">
        <v>62</v>
      </c>
      <c r="AD119">
        <f>_xlfn.SWITCH(PROPER(TRIM(S119)),
   "Annual",1,
   "Semi-Annual",2,
   "Quarterly",4,
   "Monthly",12,
   "")</f>
        <v>4</v>
      </c>
    </row>
    <row r="120" spans="1:30" x14ac:dyDescent="0.35">
      <c r="A120" t="s">
        <v>2071</v>
      </c>
      <c r="B120" t="s">
        <v>338</v>
      </c>
      <c r="C120" s="36">
        <f>RATE(U120,V120,-F120,H120)</f>
        <v>0.11842105263157884</v>
      </c>
      <c r="D120" s="3">
        <f>C120*AD120</f>
        <v>0.11842105263157884</v>
      </c>
      <c r="F120">
        <v>988</v>
      </c>
      <c r="G120" t="s">
        <v>76</v>
      </c>
      <c r="H120">
        <v>1000</v>
      </c>
      <c r="I120" s="22"/>
      <c r="J120">
        <v>41</v>
      </c>
      <c r="K120" s="22"/>
      <c r="L120">
        <v>11.5975956555249</v>
      </c>
      <c r="M120" s="22">
        <v>0.105</v>
      </c>
      <c r="N120" s="21">
        <v>45439</v>
      </c>
      <c r="O120" s="21">
        <v>45987</v>
      </c>
      <c r="P120">
        <f>ROUND(YEARFRAC(N120,O120),0)</f>
        <v>1</v>
      </c>
      <c r="Q120" s="6">
        <f>(M120*H120)/F120</f>
        <v>0.1062753036437247</v>
      </c>
      <c r="R120" s="5">
        <f>IF(S120="Quarterly",4,IF(S120="Semi-annual",2,IF(S120="Annual",1,IF(S120="Pays at maturity",0,IF(S120="Monthly",12,0)))))</f>
        <v>1</v>
      </c>
      <c r="S120" t="s">
        <v>93</v>
      </c>
      <c r="U120">
        <f>R120*P120</f>
        <v>1</v>
      </c>
      <c r="V120">
        <f>(H120*M120)/AD120</f>
        <v>105</v>
      </c>
      <c r="W120" s="28">
        <f>RATE(U120,V120,-F120,H120)</f>
        <v>0.11842105263157884</v>
      </c>
      <c r="X120" s="27">
        <f>W120*AD120</f>
        <v>0.11842105263157884</v>
      </c>
      <c r="Y120" s="5">
        <f>DURATION(N120,O120,M120,D120,AD120)</f>
        <v>1.4011563484802281</v>
      </c>
      <c r="Z120" s="5">
        <f>Y120/(1+C120)</f>
        <v>1.2527986174646748</v>
      </c>
      <c r="AA120" s="5">
        <f>-Z120*F120</f>
        <v>-1237.7650340550988</v>
      </c>
      <c r="AB120" t="s">
        <v>64</v>
      </c>
      <c r="AC120" t="s">
        <v>62</v>
      </c>
      <c r="AD120">
        <f>_xlfn.SWITCH(PROPER(TRIM(S120)),
   "Annual",1,
   "Semi-Annual",2,
   "Quarterly",4,
   "Monthly",12,
   "")</f>
        <v>1</v>
      </c>
    </row>
    <row r="121" spans="1:30" x14ac:dyDescent="0.35">
      <c r="A121" t="s">
        <v>2070</v>
      </c>
      <c r="B121" t="s">
        <v>249</v>
      </c>
      <c r="C121" s="36">
        <f>RATE(U121,V121,-F121,H121)</f>
        <v>3.9450879007577516E-2</v>
      </c>
      <c r="D121" s="3">
        <f>C121*AD121</f>
        <v>0.15780351603031006</v>
      </c>
      <c r="F121">
        <v>855000</v>
      </c>
      <c r="G121" t="s">
        <v>76</v>
      </c>
      <c r="H121">
        <v>1000000</v>
      </c>
      <c r="I121" s="22"/>
      <c r="J121">
        <v>3</v>
      </c>
      <c r="K121" s="22"/>
      <c r="M121" s="22">
        <v>9.6199999999999994E-2</v>
      </c>
      <c r="N121" s="21">
        <v>44916</v>
      </c>
      <c r="O121" s="21">
        <v>45989</v>
      </c>
      <c r="P121">
        <f>ROUND(YEARFRAC(N121,O121),0)</f>
        <v>3</v>
      </c>
      <c r="Q121" s="6">
        <f>(M121*H121)/F121</f>
        <v>0.11251461988304094</v>
      </c>
      <c r="R121" s="5">
        <f>IF(S121="Quarterly",4,IF(S121="Semi-annual",2,IF(S121="Annual",1,IF(S121="Pays at maturity",0,IF(S121="Monthly",12,0)))))</f>
        <v>4</v>
      </c>
      <c r="S121" t="s">
        <v>105</v>
      </c>
      <c r="U121">
        <f>R121*P121</f>
        <v>12</v>
      </c>
      <c r="V121">
        <f>(H121*M121)/AD121</f>
        <v>24050</v>
      </c>
      <c r="W121" s="28">
        <f>RATE(U121,V121,-F121,H121)</f>
        <v>3.9450879007577516E-2</v>
      </c>
      <c r="X121" s="27">
        <f>W121*AD121</f>
        <v>0.15780351603031006</v>
      </c>
      <c r="Y121" s="5">
        <f>DURATION(N121,O121,M121,D121,AD121)</f>
        <v>2.5415484749549275</v>
      </c>
      <c r="Z121" s="5">
        <f>Y121/(1+C121)</f>
        <v>2.4450876191297151</v>
      </c>
      <c r="AA121" s="5">
        <f>-Z121*F121</f>
        <v>-2090549.9143559064</v>
      </c>
      <c r="AB121" t="s">
        <v>64</v>
      </c>
      <c r="AC121" t="s">
        <v>62</v>
      </c>
      <c r="AD121">
        <f>_xlfn.SWITCH(PROPER(TRIM(S121)),
   "Annual",1,
   "Semi-Annual",2,
   "Quarterly",4,
   "Monthly",12,
   "")</f>
        <v>4</v>
      </c>
    </row>
    <row r="122" spans="1:30" x14ac:dyDescent="0.35">
      <c r="C122" s="28"/>
      <c r="D122" s="27"/>
      <c r="I122" s="22"/>
      <c r="K122" s="22"/>
      <c r="M122" s="22"/>
      <c r="N122" s="21"/>
      <c r="O122" s="21"/>
      <c r="P122" s="5"/>
      <c r="Q122" s="6"/>
      <c r="R122" s="5"/>
      <c r="W122" s="28"/>
      <c r="Y122" s="33"/>
      <c r="Z122" s="33"/>
      <c r="AA122" s="33"/>
    </row>
    <row r="123" spans="1:30" x14ac:dyDescent="0.35">
      <c r="A123" t="s">
        <v>2068</v>
      </c>
      <c r="B123" t="s">
        <v>923</v>
      </c>
      <c r="C123" s="36">
        <f>RATE(U123,V123,-F123,H123)</f>
        <v>8.222910226617601E-2</v>
      </c>
      <c r="D123" s="3">
        <f>C123*AD123</f>
        <v>0.98674922719411207</v>
      </c>
      <c r="F123">
        <v>24999.96</v>
      </c>
      <c r="G123" t="s">
        <v>76</v>
      </c>
      <c r="H123">
        <v>100000</v>
      </c>
      <c r="I123" s="22"/>
      <c r="J123">
        <v>7</v>
      </c>
      <c r="K123" s="22"/>
      <c r="M123" s="22">
        <v>0.11599999999999999</v>
      </c>
      <c r="N123" s="21">
        <v>45258</v>
      </c>
      <c r="O123" s="21">
        <v>45989</v>
      </c>
      <c r="P123">
        <f>ROUND(YEARFRAC(N123,O123),0)</f>
        <v>2</v>
      </c>
      <c r="Q123" s="6">
        <f>(M123*H123)/F123</f>
        <v>0.46400074240118788</v>
      </c>
      <c r="R123" s="5">
        <f>IF(S123="Quarterly",4,IF(S123="Semi-annual",2,IF(S123="Annual",1,IF(S123="Pays at maturity",0,IF(S123="Monthly",12,0)))))</f>
        <v>12</v>
      </c>
      <c r="S123" t="s">
        <v>1717</v>
      </c>
      <c r="U123">
        <f>R123*P123</f>
        <v>24</v>
      </c>
      <c r="V123">
        <f>(H123*M123)/AD123</f>
        <v>966.66666666666663</v>
      </c>
      <c r="W123" s="28">
        <f>RATE(U123,V123,-F123,H123)</f>
        <v>8.222910226617601E-2</v>
      </c>
      <c r="X123" s="27">
        <f>W123*AD123</f>
        <v>0.98674922719411207</v>
      </c>
      <c r="Y123" s="5" t="e">
        <f>DURATION(N123,O123,M123,D123,AD123)</f>
        <v>#NUM!</v>
      </c>
      <c r="Z123" s="5" t="e">
        <f>Y123/(1+C123)</f>
        <v>#NUM!</v>
      </c>
      <c r="AA123" s="5" t="e">
        <f>-Z123*F123</f>
        <v>#NUM!</v>
      </c>
      <c r="AB123" t="s">
        <v>64</v>
      </c>
      <c r="AC123" t="s">
        <v>62</v>
      </c>
      <c r="AD123">
        <f>_xlfn.SWITCH(PROPER(TRIM(S123)),
   "Annual",1,
   "Semi-Annual",2,
   "Quarterly",4,
   "Monthly",12,
   "")</f>
        <v>12</v>
      </c>
    </row>
    <row r="124" spans="1:30" x14ac:dyDescent="0.35">
      <c r="C124" s="28"/>
      <c r="D124" s="27"/>
      <c r="I124" s="22"/>
      <c r="K124" s="22"/>
      <c r="M124" s="22"/>
      <c r="N124" s="21"/>
      <c r="O124" s="21"/>
      <c r="P124" s="5"/>
      <c r="Q124" s="6"/>
      <c r="R124" s="5"/>
      <c r="W124" s="28"/>
      <c r="Y124" s="33"/>
      <c r="Z124" s="33"/>
      <c r="AA124" s="33"/>
    </row>
    <row r="125" spans="1:30" x14ac:dyDescent="0.35">
      <c r="C125" s="28"/>
      <c r="D125" s="27"/>
      <c r="I125" s="22"/>
      <c r="K125" s="22"/>
      <c r="M125" s="22"/>
      <c r="N125" s="21"/>
      <c r="O125" s="21"/>
      <c r="P125" s="5"/>
      <c r="Q125" s="6"/>
      <c r="R125" s="5"/>
      <c r="W125" s="28"/>
      <c r="Y125" s="33"/>
      <c r="Z125" s="33"/>
      <c r="AA125" s="33"/>
    </row>
    <row r="126" spans="1:30" x14ac:dyDescent="0.35">
      <c r="C126" s="28"/>
      <c r="D126" s="27"/>
      <c r="I126" s="22"/>
      <c r="K126" s="22"/>
      <c r="M126" s="22"/>
      <c r="N126" s="21"/>
      <c r="O126" s="21"/>
      <c r="P126" s="5"/>
      <c r="Q126" s="6"/>
      <c r="R126" s="5"/>
      <c r="W126" s="28"/>
      <c r="Y126" s="33"/>
      <c r="Z126" s="33"/>
      <c r="AA126" s="33"/>
    </row>
    <row r="127" spans="1:30" x14ac:dyDescent="0.35">
      <c r="A127" t="s">
        <v>2064</v>
      </c>
      <c r="B127" t="s">
        <v>1270</v>
      </c>
      <c r="C127" s="36">
        <f>RATE(U127,V127,-F127,H127)</f>
        <v>3.4165938634660505E-2</v>
      </c>
      <c r="D127" s="3">
        <f>C127*AD127</f>
        <v>3.4165938634660505E-2</v>
      </c>
      <c r="F127">
        <v>106336.9</v>
      </c>
      <c r="G127" t="s">
        <v>76</v>
      </c>
      <c r="H127">
        <v>100000</v>
      </c>
      <c r="I127" s="22"/>
      <c r="J127">
        <v>1</v>
      </c>
      <c r="K127" s="22"/>
      <c r="L127">
        <v>-4.5672961632755298</v>
      </c>
      <c r="M127" s="22">
        <v>9.9700000000000011E-2</v>
      </c>
      <c r="N127" s="21">
        <v>45601</v>
      </c>
      <c r="O127" s="21">
        <v>45996</v>
      </c>
      <c r="P127">
        <f>ROUND(YEARFRAC(N127,O127),0)</f>
        <v>1</v>
      </c>
      <c r="Q127" s="6">
        <f>(M127*H127)/F127</f>
        <v>9.3758610604597295E-2</v>
      </c>
      <c r="R127" s="5">
        <f>IF(S127="Quarterly",4,IF(S127="Semi-annual",2,IF(S127="Annual",1,IF(S127="Pays at maturity",0,IF(S127="Monthly",12,0)))))</f>
        <v>1</v>
      </c>
      <c r="S127" t="s">
        <v>93</v>
      </c>
      <c r="U127">
        <f>R127*P127</f>
        <v>1</v>
      </c>
      <c r="V127">
        <f>(H127*M127)/AD127</f>
        <v>9970.0000000000018</v>
      </c>
      <c r="W127" s="28">
        <f>RATE(U127,V127,-F127,H127)</f>
        <v>3.4165938634660505E-2</v>
      </c>
      <c r="X127" s="27">
        <f>W127*AD127</f>
        <v>3.4165938634660505E-2</v>
      </c>
      <c r="Y127" s="5">
        <f>DURATION(N127,O127,M127,D127,AD127)</f>
        <v>0.9976118499131752</v>
      </c>
      <c r="Z127" s="5">
        <f>Y127/(1+C127)</f>
        <v>0.96465355572458211</v>
      </c>
      <c r="AA127" s="5">
        <f>-Z127*F127</f>
        <v>-102578.26868972932</v>
      </c>
      <c r="AB127" t="s">
        <v>64</v>
      </c>
      <c r="AC127" t="s">
        <v>62</v>
      </c>
      <c r="AD127">
        <f>_xlfn.SWITCH(PROPER(TRIM(S127)),
   "Annual",1,
   "Semi-Annual",2,
   "Quarterly",4,
   "Monthly",12,
   "")</f>
        <v>1</v>
      </c>
    </row>
    <row r="128" spans="1:30" x14ac:dyDescent="0.35">
      <c r="A128" t="s">
        <v>2063</v>
      </c>
      <c r="B128" t="s">
        <v>1452</v>
      </c>
      <c r="C128" s="36">
        <f>RATE(U128,V128,-F128,H128)</f>
        <v>0.11826489133264488</v>
      </c>
      <c r="D128" s="3">
        <f>C128*AD128</f>
        <v>0.11826489133264488</v>
      </c>
      <c r="F128">
        <v>98600</v>
      </c>
      <c r="G128" t="s">
        <v>76</v>
      </c>
      <c r="H128">
        <v>100000</v>
      </c>
      <c r="I128" s="22"/>
      <c r="J128">
        <v>1</v>
      </c>
      <c r="K128" s="22"/>
      <c r="L128">
        <v>13.2543873336015</v>
      </c>
      <c r="M128" s="22">
        <v>0.11</v>
      </c>
      <c r="N128" s="21">
        <v>45434</v>
      </c>
      <c r="O128" s="21">
        <v>45996</v>
      </c>
      <c r="P128">
        <f>ROUND(YEARFRAC(N128,O128),0)</f>
        <v>2</v>
      </c>
      <c r="Q128" s="6">
        <f>(M128*H128)/F128</f>
        <v>0.11156186612576065</v>
      </c>
      <c r="R128" s="5">
        <f>IF(S128="Quarterly",4,IF(S128="Semi-annual",2,IF(S128="Annual",1,IF(S128="Pays at maturity",0,IF(S128="Monthly",12,0)))))</f>
        <v>1</v>
      </c>
      <c r="S128" t="s">
        <v>93</v>
      </c>
      <c r="U128">
        <f>R128*P128</f>
        <v>2</v>
      </c>
      <c r="V128">
        <f>(H128*M128)/AD128</f>
        <v>11000</v>
      </c>
      <c r="W128" s="28">
        <f>RATE(U128,V128,-F128,H128)</f>
        <v>0.11826489133264488</v>
      </c>
      <c r="X128" s="27">
        <f>W128*AD128</f>
        <v>0.11826489133264488</v>
      </c>
      <c r="Y128" s="5">
        <f>DURATION(N128,O128,M128,D128,AD128)</f>
        <v>1.4363477482527709</v>
      </c>
      <c r="Z128" s="5">
        <f>Y128/(1+C128)</f>
        <v>1.2844432114300433</v>
      </c>
      <c r="AA128" s="5">
        <f>-Z128*F128</f>
        <v>-126646.10064700227</v>
      </c>
      <c r="AB128" t="s">
        <v>64</v>
      </c>
      <c r="AC128" t="s">
        <v>62</v>
      </c>
      <c r="AD128">
        <f>_xlfn.SWITCH(PROPER(TRIM(S128)),
   "Annual",1,
   "Semi-Annual",2,
   "Quarterly",4,
   "Monthly",12,
   "")</f>
        <v>1</v>
      </c>
    </row>
    <row r="129" spans="1:30" x14ac:dyDescent="0.35">
      <c r="A129" t="s">
        <v>2062</v>
      </c>
      <c r="B129" t="s">
        <v>644</v>
      </c>
      <c r="C129" s="36">
        <f>RATE(U129,V129,-F129,H129)</f>
        <v>8.9476456696241075E-2</v>
      </c>
      <c r="D129" s="3">
        <f>C129*AD129</f>
        <v>8.9476456696241075E-2</v>
      </c>
      <c r="F129">
        <v>99300</v>
      </c>
      <c r="G129" t="s">
        <v>76</v>
      </c>
      <c r="H129">
        <v>100000</v>
      </c>
      <c r="I129" s="22"/>
      <c r="J129">
        <v>1</v>
      </c>
      <c r="K129" s="22"/>
      <c r="L129">
        <v>9.8967774420946597</v>
      </c>
      <c r="M129" s="22">
        <v>8.5500000000000007E-2</v>
      </c>
      <c r="N129" s="21">
        <v>45449</v>
      </c>
      <c r="O129" s="21">
        <v>45997</v>
      </c>
      <c r="P129">
        <f>ROUND(YEARFRAC(N129,O129),0)</f>
        <v>2</v>
      </c>
      <c r="Q129" s="6">
        <f>(M129*H129)/F129</f>
        <v>8.6102719033232633E-2</v>
      </c>
      <c r="R129" s="5">
        <f>IF(S129="Quarterly",4,IF(S129="Semi-annual",2,IF(S129="Annual",1,IF(S129="Pays at maturity",0,IF(S129="Monthly",12,0)))))</f>
        <v>1</v>
      </c>
      <c r="S129" t="s">
        <v>93</v>
      </c>
      <c r="U129">
        <f>R129*P129</f>
        <v>2</v>
      </c>
      <c r="V129">
        <f>(H129*M129)/AD129</f>
        <v>8550</v>
      </c>
      <c r="W129" s="28">
        <f>RATE(U129,V129,-F129,H129)</f>
        <v>8.9476456696241075E-2</v>
      </c>
      <c r="X129" s="27">
        <f>W129*AD129</f>
        <v>8.9476456696241075E-2</v>
      </c>
      <c r="Y129" s="5">
        <f>DURATION(N129,O129,M129,D129,AD129)</f>
        <v>1.4209687198800669</v>
      </c>
      <c r="Z129" s="5">
        <f>Y129/(1+C129)</f>
        <v>1.3042674865953985</v>
      </c>
      <c r="AA129" s="5">
        <f>-Z129*F129</f>
        <v>-129513.76141892307</v>
      </c>
      <c r="AB129" t="s">
        <v>64</v>
      </c>
      <c r="AC129" t="s">
        <v>62</v>
      </c>
      <c r="AD129">
        <f>_xlfn.SWITCH(PROPER(TRIM(S129)),
   "Annual",1,
   "Semi-Annual",2,
   "Quarterly",4,
   "Monthly",12,
   "")</f>
        <v>1</v>
      </c>
    </row>
    <row r="130" spans="1:30" x14ac:dyDescent="0.35">
      <c r="C130" s="28"/>
      <c r="D130" s="27"/>
      <c r="I130" s="22"/>
      <c r="K130" s="22"/>
      <c r="M130" s="22"/>
      <c r="N130" s="21"/>
      <c r="O130" s="21"/>
      <c r="P130" s="5"/>
      <c r="Q130" s="6"/>
      <c r="R130" s="5"/>
      <c r="W130" s="28"/>
      <c r="Y130" s="33"/>
      <c r="Z130" s="33"/>
      <c r="AA130" s="33"/>
    </row>
    <row r="131" spans="1:30" x14ac:dyDescent="0.35">
      <c r="C131" s="28"/>
      <c r="D131" s="27"/>
      <c r="I131" s="22"/>
      <c r="K131" s="22"/>
      <c r="M131" s="22"/>
      <c r="N131" s="21"/>
      <c r="O131" s="21"/>
      <c r="P131" s="5"/>
      <c r="Q131" s="6"/>
      <c r="R131" s="5"/>
      <c r="W131" s="28"/>
      <c r="Y131" s="33"/>
      <c r="Z131" s="33"/>
      <c r="AA131" s="33"/>
    </row>
    <row r="132" spans="1:30" x14ac:dyDescent="0.35">
      <c r="A132" t="s">
        <v>2059</v>
      </c>
      <c r="B132" t="s">
        <v>749</v>
      </c>
      <c r="C132" s="36">
        <f t="shared" ref="C132:C137" si="78">RATE(U132,V132,-F132,H132)</f>
        <v>6.3580477568072946E-2</v>
      </c>
      <c r="D132" s="3">
        <f t="shared" ref="D132:D137" si="79">C132*AD132</f>
        <v>6.3580477568072946E-2</v>
      </c>
      <c r="F132">
        <v>1037.25</v>
      </c>
      <c r="G132" t="s">
        <v>76</v>
      </c>
      <c r="H132">
        <v>1000</v>
      </c>
      <c r="I132" s="22"/>
      <c r="J132">
        <v>1</v>
      </c>
      <c r="K132" s="22"/>
      <c r="L132">
        <v>-1.0680811114650499</v>
      </c>
      <c r="M132" s="22">
        <v>8.4000000000000005E-2</v>
      </c>
      <c r="N132" s="21">
        <v>45267</v>
      </c>
      <c r="O132" s="21">
        <v>45998</v>
      </c>
      <c r="P132">
        <f t="shared" ref="P132:P137" si="80">ROUND(YEARFRAC(N132,O132),0)</f>
        <v>2</v>
      </c>
      <c r="Q132" s="6">
        <f t="shared" ref="Q132:Q137" si="81">(M132*H132)/F132</f>
        <v>8.0983369486623283E-2</v>
      </c>
      <c r="R132" s="5">
        <f t="shared" ref="R132:R137" si="82">IF(S132="Quarterly",4,IF(S132="Semi-annual",2,IF(S132="Annual",1,IF(S132="Pays at maturity",0,IF(S132="Monthly",12,0)))))</f>
        <v>1</v>
      </c>
      <c r="S132" t="s">
        <v>93</v>
      </c>
      <c r="U132">
        <f t="shared" ref="U132:U137" si="83">R132*P132</f>
        <v>2</v>
      </c>
      <c r="V132">
        <f t="shared" ref="V132:V137" si="84">(H132*M132)/AD132</f>
        <v>84</v>
      </c>
      <c r="W132" s="28">
        <f t="shared" ref="W132:W137" si="85">RATE(U132,V132,-F132,H132)</f>
        <v>6.3580477568072946E-2</v>
      </c>
      <c r="X132" s="27">
        <f t="shared" ref="X132:X137" si="86">W132*AD132</f>
        <v>6.3580477568072946E-2</v>
      </c>
      <c r="Y132" s="5">
        <f t="shared" ref="Y132:Y137" si="87">DURATION(N132,O132,M132,D132,AD132)</f>
        <v>1.9238577886726556</v>
      </c>
      <c r="Z132" s="5">
        <f t="shared" ref="Z132:Z137" si="88">Y132/(1+C132)</f>
        <v>1.8088502273675116</v>
      </c>
      <c r="AA132" s="5">
        <f t="shared" ref="AA132:AA137" si="89">-Z132*F132</f>
        <v>-1876.2298983369515</v>
      </c>
      <c r="AB132" t="s">
        <v>64</v>
      </c>
      <c r="AC132" t="s">
        <v>62</v>
      </c>
      <c r="AD132">
        <f t="shared" ref="AD132:AD137" si="90">_xlfn.SWITCH(PROPER(TRIM(S132)),
   "Annual",1,
   "Semi-Annual",2,
   "Quarterly",4,
   "Monthly",12,
   "")</f>
        <v>1</v>
      </c>
    </row>
    <row r="133" spans="1:30" x14ac:dyDescent="0.35">
      <c r="A133" t="s">
        <v>2058</v>
      </c>
      <c r="B133" t="s">
        <v>1495</v>
      </c>
      <c r="C133" s="36">
        <f t="shared" si="78"/>
        <v>0.10499999999972132</v>
      </c>
      <c r="D133" s="3">
        <f t="shared" si="79"/>
        <v>0.10499999999972132</v>
      </c>
      <c r="F133">
        <v>100000</v>
      </c>
      <c r="G133" t="s">
        <v>76</v>
      </c>
      <c r="H133">
        <v>100000</v>
      </c>
      <c r="I133" s="22"/>
      <c r="J133">
        <v>3</v>
      </c>
      <c r="K133" s="22"/>
      <c r="L133">
        <v>10.5</v>
      </c>
      <c r="M133" s="22">
        <v>0.105</v>
      </c>
      <c r="N133" s="21">
        <v>45453</v>
      </c>
      <c r="O133" s="21">
        <v>46001</v>
      </c>
      <c r="P133">
        <f t="shared" si="80"/>
        <v>2</v>
      </c>
      <c r="Q133" s="6">
        <f t="shared" si="81"/>
        <v>0.105</v>
      </c>
      <c r="R133" s="5">
        <f t="shared" si="82"/>
        <v>1</v>
      </c>
      <c r="S133" t="s">
        <v>93</v>
      </c>
      <c r="U133">
        <f t="shared" si="83"/>
        <v>2</v>
      </c>
      <c r="V133">
        <f t="shared" si="84"/>
        <v>10500</v>
      </c>
      <c r="W133" s="28">
        <f t="shared" si="85"/>
        <v>0.10499999999972132</v>
      </c>
      <c r="X133" s="27">
        <f t="shared" si="86"/>
        <v>0.10499999999972132</v>
      </c>
      <c r="Y133" s="5">
        <f t="shared" si="87"/>
        <v>1.4049773755656325</v>
      </c>
      <c r="Z133" s="5">
        <f t="shared" si="88"/>
        <v>1.2714727380687665</v>
      </c>
      <c r="AA133" s="5">
        <f t="shared" si="89"/>
        <v>-127147.27380687665</v>
      </c>
      <c r="AB133" t="s">
        <v>69</v>
      </c>
      <c r="AC133" t="s">
        <v>62</v>
      </c>
      <c r="AD133">
        <f t="shared" si="90"/>
        <v>1</v>
      </c>
    </row>
    <row r="134" spans="1:30" x14ac:dyDescent="0.35">
      <c r="A134" t="s">
        <v>2057</v>
      </c>
      <c r="B134" t="s">
        <v>390</v>
      </c>
      <c r="C134" s="36">
        <f t="shared" si="78"/>
        <v>7.201948482647097E-2</v>
      </c>
      <c r="D134" s="3">
        <f t="shared" si="79"/>
        <v>7.201948482647097E-2</v>
      </c>
      <c r="F134">
        <v>1082</v>
      </c>
      <c r="G134" t="s">
        <v>76</v>
      </c>
      <c r="H134">
        <v>1000</v>
      </c>
      <c r="I134" s="22"/>
      <c r="J134">
        <v>1</v>
      </c>
      <c r="K134" s="22"/>
      <c r="L134">
        <v>3.9613304999976902</v>
      </c>
      <c r="M134" s="22">
        <v>0.11749999999999999</v>
      </c>
      <c r="N134" s="21">
        <v>45274</v>
      </c>
      <c r="O134" s="21">
        <v>46003</v>
      </c>
      <c r="P134">
        <f t="shared" si="80"/>
        <v>2</v>
      </c>
      <c r="Q134" s="6">
        <f t="shared" si="81"/>
        <v>0.10859519408502773</v>
      </c>
      <c r="R134" s="5">
        <f t="shared" si="82"/>
        <v>1</v>
      </c>
      <c r="S134" t="s">
        <v>93</v>
      </c>
      <c r="U134">
        <f t="shared" si="83"/>
        <v>2</v>
      </c>
      <c r="V134">
        <f t="shared" si="84"/>
        <v>117.5</v>
      </c>
      <c r="W134" s="28">
        <f t="shared" si="85"/>
        <v>7.201948482647097E-2</v>
      </c>
      <c r="X134" s="27">
        <f t="shared" si="86"/>
        <v>7.201948482647097E-2</v>
      </c>
      <c r="Y134" s="5">
        <f t="shared" si="87"/>
        <v>1.8931447986617873</v>
      </c>
      <c r="Z134" s="5">
        <f t="shared" si="88"/>
        <v>1.765961183968809</v>
      </c>
      <c r="AA134" s="5">
        <f t="shared" si="89"/>
        <v>-1910.7700010542512</v>
      </c>
      <c r="AB134" t="s">
        <v>64</v>
      </c>
      <c r="AC134" t="s">
        <v>62</v>
      </c>
      <c r="AD134">
        <f t="shared" si="90"/>
        <v>1</v>
      </c>
    </row>
    <row r="135" spans="1:30" x14ac:dyDescent="0.35">
      <c r="A135" t="s">
        <v>2056</v>
      </c>
      <c r="B135" t="s">
        <v>390</v>
      </c>
      <c r="C135" s="36">
        <f t="shared" si="78"/>
        <v>0.12130647781012528</v>
      </c>
      <c r="D135" s="3">
        <f t="shared" si="79"/>
        <v>0.12130647781012528</v>
      </c>
      <c r="F135">
        <v>989.36</v>
      </c>
      <c r="G135" t="s">
        <v>76</v>
      </c>
      <c r="H135">
        <v>1000</v>
      </c>
      <c r="I135" s="22"/>
      <c r="J135">
        <v>19</v>
      </c>
      <c r="K135" s="22"/>
      <c r="L135">
        <v>13.3529119879571</v>
      </c>
      <c r="M135" s="22">
        <v>0.115</v>
      </c>
      <c r="N135" s="21">
        <v>45274</v>
      </c>
      <c r="O135" s="21">
        <v>46003</v>
      </c>
      <c r="P135">
        <f t="shared" si="80"/>
        <v>2</v>
      </c>
      <c r="Q135" s="6">
        <f t="shared" si="81"/>
        <v>0.11623675911700493</v>
      </c>
      <c r="R135" s="5">
        <f t="shared" si="82"/>
        <v>1</v>
      </c>
      <c r="S135" t="s">
        <v>93</v>
      </c>
      <c r="U135">
        <f t="shared" si="83"/>
        <v>2</v>
      </c>
      <c r="V135">
        <f t="shared" si="84"/>
        <v>115</v>
      </c>
      <c r="W135" s="28">
        <f t="shared" si="85"/>
        <v>0.12130647781012528</v>
      </c>
      <c r="X135" s="27">
        <f t="shared" si="86"/>
        <v>0.12130647781012528</v>
      </c>
      <c r="Y135" s="5">
        <f t="shared" si="87"/>
        <v>1.8907825452070377</v>
      </c>
      <c r="Z135" s="5">
        <f t="shared" si="88"/>
        <v>1.6862317150790689</v>
      </c>
      <c r="AA135" s="5">
        <f t="shared" si="89"/>
        <v>-1668.2902096306277</v>
      </c>
      <c r="AB135" t="s">
        <v>64</v>
      </c>
      <c r="AC135" t="s">
        <v>62</v>
      </c>
      <c r="AD135">
        <f t="shared" si="90"/>
        <v>1</v>
      </c>
    </row>
    <row r="136" spans="1:30" x14ac:dyDescent="0.35">
      <c r="A136" t="s">
        <v>2055</v>
      </c>
      <c r="B136" t="s">
        <v>1531</v>
      </c>
      <c r="C136" s="36">
        <f t="shared" si="78"/>
        <v>6.6645740228863881E-2</v>
      </c>
      <c r="D136" s="3">
        <f t="shared" si="79"/>
        <v>0.79974888274636657</v>
      </c>
      <c r="F136">
        <v>33565</v>
      </c>
      <c r="G136" t="s">
        <v>76</v>
      </c>
      <c r="H136">
        <v>100000</v>
      </c>
      <c r="I136" s="22"/>
      <c r="J136">
        <v>1</v>
      </c>
      <c r="K136" s="22"/>
      <c r="M136" s="22">
        <v>0.125</v>
      </c>
      <c r="N136" s="21">
        <v>45455</v>
      </c>
      <c r="O136" s="21">
        <v>46003</v>
      </c>
      <c r="P136">
        <f t="shared" si="80"/>
        <v>2</v>
      </c>
      <c r="Q136" s="6">
        <f t="shared" si="81"/>
        <v>0.37241173841799491</v>
      </c>
      <c r="R136" s="5">
        <f t="shared" si="82"/>
        <v>12</v>
      </c>
      <c r="S136" t="s">
        <v>1717</v>
      </c>
      <c r="U136">
        <f t="shared" si="83"/>
        <v>24</v>
      </c>
      <c r="V136">
        <f t="shared" si="84"/>
        <v>1041.6666666666667</v>
      </c>
      <c r="W136" s="28">
        <f t="shared" si="85"/>
        <v>6.6645740228863881E-2</v>
      </c>
      <c r="X136" s="27">
        <f t="shared" si="86"/>
        <v>0.79974888274636657</v>
      </c>
      <c r="Y136" s="5" t="e">
        <f t="shared" si="87"/>
        <v>#NUM!</v>
      </c>
      <c r="Z136" s="5" t="e">
        <f t="shared" si="88"/>
        <v>#NUM!</v>
      </c>
      <c r="AA136" s="5" t="e">
        <f t="shared" si="89"/>
        <v>#NUM!</v>
      </c>
      <c r="AB136" t="s">
        <v>64</v>
      </c>
      <c r="AC136" t="s">
        <v>62</v>
      </c>
      <c r="AD136">
        <f t="shared" si="90"/>
        <v>12</v>
      </c>
    </row>
    <row r="137" spans="1:30" x14ac:dyDescent="0.35">
      <c r="A137" t="s">
        <v>2054</v>
      </c>
      <c r="B137" t="s">
        <v>157</v>
      </c>
      <c r="C137" s="36">
        <f t="shared" si="78"/>
        <v>9.1600000000000029E-2</v>
      </c>
      <c r="D137" s="3">
        <f t="shared" si="79"/>
        <v>9.1600000000000029E-2</v>
      </c>
      <c r="F137">
        <v>1000</v>
      </c>
      <c r="G137" t="s">
        <v>76</v>
      </c>
      <c r="H137">
        <v>1000</v>
      </c>
      <c r="I137" s="22"/>
      <c r="J137">
        <v>20</v>
      </c>
      <c r="K137" s="22"/>
      <c r="L137">
        <v>9.16</v>
      </c>
      <c r="M137" s="22">
        <v>9.1600000000000001E-2</v>
      </c>
      <c r="N137" s="21">
        <v>45455</v>
      </c>
      <c r="O137" s="21">
        <v>46003</v>
      </c>
      <c r="P137">
        <f t="shared" si="80"/>
        <v>2</v>
      </c>
      <c r="Q137" s="6">
        <f t="shared" si="81"/>
        <v>9.1600000000000001E-2</v>
      </c>
      <c r="R137" s="5">
        <f t="shared" si="82"/>
        <v>1</v>
      </c>
      <c r="S137" t="s">
        <v>93</v>
      </c>
      <c r="U137">
        <f t="shared" si="83"/>
        <v>2</v>
      </c>
      <c r="V137">
        <f t="shared" si="84"/>
        <v>91.6</v>
      </c>
      <c r="W137" s="28">
        <f t="shared" si="85"/>
        <v>9.1600000000000029E-2</v>
      </c>
      <c r="X137" s="27">
        <f t="shared" si="86"/>
        <v>9.1600000000000029E-2</v>
      </c>
      <c r="Y137" s="5">
        <f t="shared" si="87"/>
        <v>1.4160864785635765</v>
      </c>
      <c r="Z137" s="5">
        <f t="shared" si="88"/>
        <v>1.2972576754888021</v>
      </c>
      <c r="AA137" s="5">
        <f t="shared" si="89"/>
        <v>-1297.2576754888021</v>
      </c>
      <c r="AB137" t="s">
        <v>64</v>
      </c>
      <c r="AC137" t="s">
        <v>62</v>
      </c>
      <c r="AD137">
        <f t="shared" si="90"/>
        <v>1</v>
      </c>
    </row>
    <row r="138" spans="1:30" x14ac:dyDescent="0.35">
      <c r="C138" s="28"/>
      <c r="D138" s="27"/>
      <c r="I138" s="22"/>
      <c r="K138" s="22"/>
      <c r="M138" s="22"/>
      <c r="N138" s="21"/>
      <c r="O138" s="21"/>
      <c r="P138" s="5"/>
      <c r="Q138" s="6"/>
      <c r="R138" s="5"/>
      <c r="W138" s="28"/>
      <c r="Y138" s="33"/>
      <c r="Z138" s="33"/>
      <c r="AA138" s="33"/>
    </row>
    <row r="139" spans="1:30" x14ac:dyDescent="0.35">
      <c r="A139" t="s">
        <v>2052</v>
      </c>
      <c r="B139" t="s">
        <v>157</v>
      </c>
      <c r="C139" s="36">
        <f>RATE(U139,V139,-F139,H139)</f>
        <v>9.431800410377357E-2</v>
      </c>
      <c r="D139" s="3">
        <f>C139*AD139</f>
        <v>9.431800410377357E-2</v>
      </c>
      <c r="F139">
        <v>990</v>
      </c>
      <c r="G139" t="s">
        <v>76</v>
      </c>
      <c r="H139">
        <v>1000</v>
      </c>
      <c r="I139" s="22"/>
      <c r="J139">
        <v>20</v>
      </c>
      <c r="K139" s="22"/>
      <c r="L139">
        <v>11.0324716087427</v>
      </c>
      <c r="M139" s="22">
        <v>8.8599999999999998E-2</v>
      </c>
      <c r="N139" s="21">
        <v>45455</v>
      </c>
      <c r="O139" s="21">
        <v>46003</v>
      </c>
      <c r="P139">
        <f>ROUND(YEARFRAC(N139,O139),0)</f>
        <v>2</v>
      </c>
      <c r="Q139" s="6">
        <f>(M139*H139)/F139</f>
        <v>8.9494949494949488E-2</v>
      </c>
      <c r="R139" s="5">
        <f>IF(S139="Quarterly",4,IF(S139="Semi-annual",2,IF(S139="Annual",1,IF(S139="Pays at maturity",0,IF(S139="Monthly",12,0)))))</f>
        <v>1</v>
      </c>
      <c r="S139" t="s">
        <v>93</v>
      </c>
      <c r="U139">
        <f>R139*P139</f>
        <v>2</v>
      </c>
      <c r="V139">
        <f>(H139*M139)/AD139</f>
        <v>88.6</v>
      </c>
      <c r="W139" s="28">
        <f>RATE(U139,V139,-F139,H139)</f>
        <v>9.431800410377357E-2</v>
      </c>
      <c r="X139" s="27">
        <f>W139*AD139</f>
        <v>9.431800410377357E-2</v>
      </c>
      <c r="Y139" s="5">
        <f>DURATION(N139,O139,M139,D139,AD139)</f>
        <v>1.4182185167753674</v>
      </c>
      <c r="Z139" s="5">
        <f>Y139/(1+C139)</f>
        <v>1.2959839018063697</v>
      </c>
      <c r="AA139" s="5">
        <f>-Z139*F139</f>
        <v>-1283.0240627883061</v>
      </c>
      <c r="AB139" t="s">
        <v>64</v>
      </c>
      <c r="AC139" t="s">
        <v>62</v>
      </c>
      <c r="AD139">
        <f>_xlfn.SWITCH(PROPER(TRIM(S139)),
   "Annual",1,
   "Semi-Annual",2,
   "Quarterly",4,
   "Monthly",12,
   "")</f>
        <v>1</v>
      </c>
    </row>
    <row r="140" spans="1:30" x14ac:dyDescent="0.35">
      <c r="A140" t="s">
        <v>2051</v>
      </c>
      <c r="B140" t="s">
        <v>1650</v>
      </c>
      <c r="C140" s="36">
        <f>RATE(U140,V140,-F140,H140)</f>
        <v>2.5416112052563698E-2</v>
      </c>
      <c r="D140" s="3">
        <f>C140*AD140</f>
        <v>0.10166444821025479</v>
      </c>
      <c r="F140">
        <v>99899</v>
      </c>
      <c r="G140" t="s">
        <v>76</v>
      </c>
      <c r="H140">
        <v>100000</v>
      </c>
      <c r="I140" s="22"/>
      <c r="J140">
        <v>1</v>
      </c>
      <c r="K140" s="22"/>
      <c r="M140" s="22">
        <v>0.1011</v>
      </c>
      <c r="N140" s="21">
        <v>45278</v>
      </c>
      <c r="O140" s="21">
        <v>46009</v>
      </c>
      <c r="P140">
        <f>ROUND(YEARFRAC(N140,O140),0)</f>
        <v>2</v>
      </c>
      <c r="Q140" s="6">
        <f>(M140*H140)/F140</f>
        <v>0.10120221423637875</v>
      </c>
      <c r="R140" s="5">
        <f>IF(S140="Quarterly",4,IF(S140="Semi-annual",2,IF(S140="Annual",1,IF(S140="Pays at maturity",0,IF(S140="Monthly",12,0)))))</f>
        <v>4</v>
      </c>
      <c r="S140" t="s">
        <v>105</v>
      </c>
      <c r="U140">
        <f>R140*P140</f>
        <v>8</v>
      </c>
      <c r="V140">
        <f>(H140*M140)/AD140</f>
        <v>2527.5</v>
      </c>
      <c r="W140" s="28">
        <f>RATE(U140,V140,-F140,H140)</f>
        <v>2.5416112052563698E-2</v>
      </c>
      <c r="X140" s="27">
        <f>W140*AD140</f>
        <v>0.10166444821025479</v>
      </c>
      <c r="Y140" s="5">
        <f>DURATION(N140,O140,M140,D140,AD140)</f>
        <v>1.8355876099083286</v>
      </c>
      <c r="Z140" s="5">
        <f>Y140/(1+C140)</f>
        <v>1.7900904699401043</v>
      </c>
      <c r="AA140" s="5">
        <f>-Z140*F140</f>
        <v>-178828.24785654648</v>
      </c>
      <c r="AB140" t="s">
        <v>64</v>
      </c>
      <c r="AC140" t="s">
        <v>62</v>
      </c>
      <c r="AD140">
        <f>_xlfn.SWITCH(PROPER(TRIM(S140)),
   "Annual",1,
   "Semi-Annual",2,
   "Quarterly",4,
   "Monthly",12,
   "")</f>
        <v>4</v>
      </c>
    </row>
    <row r="141" spans="1:30" x14ac:dyDescent="0.35">
      <c r="A141" t="s">
        <v>2050</v>
      </c>
      <c r="B141" t="s">
        <v>2049</v>
      </c>
      <c r="C141" s="36">
        <f>RATE(U141,V141,-F141,H141)</f>
        <v>5.3455800135770969E-2</v>
      </c>
      <c r="D141" s="3">
        <f>C141*AD141</f>
        <v>0.6414696016292516</v>
      </c>
      <c r="F141">
        <v>40000</v>
      </c>
      <c r="G141" t="s">
        <v>76</v>
      </c>
      <c r="H141">
        <v>100000</v>
      </c>
      <c r="I141" s="22"/>
      <c r="J141">
        <v>1</v>
      </c>
      <c r="K141" s="22"/>
      <c r="M141" s="22">
        <v>0.10199999999999999</v>
      </c>
      <c r="N141" s="21">
        <v>45462</v>
      </c>
      <c r="O141" s="21">
        <v>46010</v>
      </c>
      <c r="P141">
        <f>ROUND(YEARFRAC(N141,O141),0)</f>
        <v>2</v>
      </c>
      <c r="Q141" s="6">
        <f>(M141*H141)/F141</f>
        <v>0.255</v>
      </c>
      <c r="R141" s="5">
        <f>IF(S141="Quarterly",4,IF(S141="Semi-annual",2,IF(S141="Annual",1,IF(S141="Pays at maturity",0,IF(S141="Monthly",12,0)))))</f>
        <v>12</v>
      </c>
      <c r="S141" t="s">
        <v>1717</v>
      </c>
      <c r="U141">
        <f>R141*P141</f>
        <v>24</v>
      </c>
      <c r="V141">
        <f>(H141*M141)/AD141</f>
        <v>850</v>
      </c>
      <c r="W141" s="28">
        <f>RATE(U141,V141,-F141,H141)</f>
        <v>5.3455800135770969E-2</v>
      </c>
      <c r="X141" s="27">
        <f>W141*AD141</f>
        <v>0.6414696016292516</v>
      </c>
      <c r="Y141" s="5" t="e">
        <f>DURATION(N141,O141,M141,D141,AD141)</f>
        <v>#NUM!</v>
      </c>
      <c r="Z141" s="5" t="e">
        <f>Y141/(1+C141)</f>
        <v>#NUM!</v>
      </c>
      <c r="AA141" s="5" t="e">
        <f>-Z141*F141</f>
        <v>#NUM!</v>
      </c>
      <c r="AB141" t="s">
        <v>64</v>
      </c>
      <c r="AC141" t="s">
        <v>62</v>
      </c>
      <c r="AD141">
        <f>_xlfn.SWITCH(PROPER(TRIM(S141)),
   "Annual",1,
   "Semi-Annual",2,
   "Quarterly",4,
   "Monthly",12,
   "")</f>
        <v>12</v>
      </c>
    </row>
    <row r="142" spans="1:30" x14ac:dyDescent="0.35">
      <c r="A142" t="s">
        <v>2048</v>
      </c>
      <c r="B142" t="s">
        <v>2047</v>
      </c>
      <c r="C142" s="36">
        <f>RATE(U142,V142,-F142,H142)</f>
        <v>0.11654350320050648</v>
      </c>
      <c r="D142" s="3">
        <f>C142*AD142</f>
        <v>0.11654350320050648</v>
      </c>
      <c r="F142">
        <v>99413.95</v>
      </c>
      <c r="G142" t="s">
        <v>76</v>
      </c>
      <c r="H142">
        <v>100000</v>
      </c>
      <c r="I142" s="22"/>
      <c r="J142">
        <v>1</v>
      </c>
      <c r="K142" s="22"/>
      <c r="L142">
        <v>12.140691774142301</v>
      </c>
      <c r="M142" s="22">
        <v>0.11</v>
      </c>
      <c r="N142" s="21">
        <v>45524</v>
      </c>
      <c r="O142" s="21">
        <v>46011</v>
      </c>
      <c r="P142">
        <f>ROUND(YEARFRAC(N142,O142),0)</f>
        <v>1</v>
      </c>
      <c r="Q142" s="6">
        <f>(M142*H142)/F142</f>
        <v>0.11064845527212228</v>
      </c>
      <c r="R142" s="5">
        <f>IF(S142="Quarterly",4,IF(S142="Semi-annual",2,IF(S142="Annual",1,IF(S142="Pays at maturity",0,IF(S142="Monthly",12,0)))))</f>
        <v>1</v>
      </c>
      <c r="S142" t="s">
        <v>93</v>
      </c>
      <c r="U142">
        <f>R142*P142</f>
        <v>1</v>
      </c>
      <c r="V142">
        <f>(H142*M142)/AD142</f>
        <v>11000</v>
      </c>
      <c r="W142" s="28">
        <f>RATE(U142,V142,-F142,H142)</f>
        <v>0.11654350320050648</v>
      </c>
      <c r="X142" s="27">
        <f>W142*AD142</f>
        <v>0.11654350320050648</v>
      </c>
      <c r="Y142" s="5">
        <f>DURATION(N142,O142,M142,D142,AD142)</f>
        <v>1.2337082406706763</v>
      </c>
      <c r="Z142" s="5">
        <f>Y142/(1+C142)</f>
        <v>1.1049352193929964</v>
      </c>
      <c r="AA142" s="5">
        <f>-Z142*F142</f>
        <v>-109845.97465397438</v>
      </c>
      <c r="AB142" t="s">
        <v>64</v>
      </c>
      <c r="AC142" t="s">
        <v>62</v>
      </c>
      <c r="AD142">
        <f>_xlfn.SWITCH(PROPER(TRIM(S142)),
   "Annual",1,
   "Semi-Annual",2,
   "Quarterly",4,
   "Monthly",12,
   "")</f>
        <v>1</v>
      </c>
    </row>
    <row r="143" spans="1:30" x14ac:dyDescent="0.35">
      <c r="A143" t="s">
        <v>2046</v>
      </c>
      <c r="B143" t="s">
        <v>2045</v>
      </c>
      <c r="C143" s="36">
        <f>RATE(U143,V143,-F143,H143)</f>
        <v>3.0000000000006206E-2</v>
      </c>
      <c r="D143" s="3">
        <f>C143*AD143</f>
        <v>0.12000000000002482</v>
      </c>
      <c r="F143">
        <v>100000</v>
      </c>
      <c r="G143" t="s">
        <v>76</v>
      </c>
      <c r="H143">
        <v>100000</v>
      </c>
      <c r="I143" s="22"/>
      <c r="J143">
        <v>150</v>
      </c>
      <c r="K143" s="22"/>
      <c r="M143" s="22">
        <v>0.12</v>
      </c>
      <c r="N143" s="21">
        <v>45463</v>
      </c>
      <c r="O143" s="21">
        <v>46011</v>
      </c>
      <c r="P143">
        <f>ROUND(YEARFRAC(N143,O143),0)</f>
        <v>2</v>
      </c>
      <c r="Q143" s="6">
        <f>(M143*H143)/F143</f>
        <v>0.12</v>
      </c>
      <c r="R143" s="5">
        <f>IF(S143="Quarterly",4,IF(S143="Semi-annual",2,IF(S143="Annual",1,IF(S143="Pays at maturity",0,IF(S143="Monthly",12,0)))))</f>
        <v>4</v>
      </c>
      <c r="S143" t="s">
        <v>105</v>
      </c>
      <c r="U143">
        <f>R143*P143</f>
        <v>8</v>
      </c>
      <c r="V143">
        <f>(H143*M143)/AD143</f>
        <v>3000</v>
      </c>
      <c r="W143" s="28">
        <f>RATE(U143,V143,-F143,H143)</f>
        <v>3.0000000000006206E-2</v>
      </c>
      <c r="X143" s="27">
        <f>W143*AD143</f>
        <v>0.12000000000002482</v>
      </c>
      <c r="Y143" s="5">
        <f>DURATION(N143,O143,M143,D143,AD143)</f>
        <v>1.3949267967986314</v>
      </c>
      <c r="Z143" s="5">
        <f>Y143/(1+C143)</f>
        <v>1.3542978609695369</v>
      </c>
      <c r="AA143" s="5">
        <f>-Z143*F143</f>
        <v>-135429.7860969537</v>
      </c>
      <c r="AB143" t="s">
        <v>64</v>
      </c>
      <c r="AC143" t="s">
        <v>62</v>
      </c>
      <c r="AD143">
        <f>_xlfn.SWITCH(PROPER(TRIM(S143)),
   "Annual",1,
   "Semi-Annual",2,
   "Quarterly",4,
   "Monthly",12,
   "")</f>
        <v>4</v>
      </c>
    </row>
    <row r="144" spans="1:30" x14ac:dyDescent="0.35">
      <c r="C144" s="28"/>
      <c r="D144" s="27"/>
      <c r="I144" s="22"/>
      <c r="K144" s="22"/>
      <c r="M144" s="22"/>
      <c r="N144" s="21"/>
      <c r="O144" s="21"/>
      <c r="P144" s="5"/>
      <c r="Q144" s="6"/>
      <c r="R144" s="5"/>
      <c r="W144" s="28"/>
      <c r="Y144" s="33"/>
      <c r="Z144" s="33"/>
      <c r="AA144" s="33"/>
    </row>
    <row r="145" spans="1:30" x14ac:dyDescent="0.35">
      <c r="A145" t="s">
        <v>2043</v>
      </c>
      <c r="B145" t="s">
        <v>72</v>
      </c>
      <c r="C145" s="36">
        <f t="shared" ref="C145:C151" si="91">RATE(U145,V145,-F145,H145)</f>
        <v>6.3777583833545592E-2</v>
      </c>
      <c r="D145" s="3">
        <f t="shared" ref="D145:D151" si="92">C145*AD145</f>
        <v>6.3777583833545592E-2</v>
      </c>
      <c r="F145">
        <v>1050.05</v>
      </c>
      <c r="G145" t="s">
        <v>76</v>
      </c>
      <c r="H145">
        <v>1000</v>
      </c>
      <c r="I145" s="22"/>
      <c r="J145">
        <v>614</v>
      </c>
      <c r="K145" s="22"/>
      <c r="L145">
        <v>-2.0536059129459301</v>
      </c>
      <c r="M145" s="22">
        <v>7.0699999999999999E-2</v>
      </c>
      <c r="N145" s="21">
        <v>42359</v>
      </c>
      <c r="O145" s="21">
        <v>46012</v>
      </c>
      <c r="P145">
        <f t="shared" ref="P145:P151" si="93">ROUND(YEARFRAC(N145,O145),0)</f>
        <v>10</v>
      </c>
      <c r="Q145" s="6">
        <f t="shared" ref="Q145:Q151" si="94">(M145*H145)/F145</f>
        <v>6.7330127136803017E-2</v>
      </c>
      <c r="R145" s="5">
        <f t="shared" ref="R145:R151" si="95">IF(S145="Quarterly",4,IF(S145="Semi-annual",2,IF(S145="Annual",1,IF(S145="Pays at maturity",0,IF(S145="Monthly",12,0)))))</f>
        <v>1</v>
      </c>
      <c r="S145" t="s">
        <v>93</v>
      </c>
      <c r="U145">
        <f t="shared" ref="U145:U151" si="96">R145*P145</f>
        <v>10</v>
      </c>
      <c r="V145">
        <f t="shared" ref="V145:V151" si="97">(H145*M145)/AD145</f>
        <v>70.7</v>
      </c>
      <c r="W145" s="28">
        <f t="shared" ref="W145:W151" si="98">RATE(U145,V145,-F145,H145)</f>
        <v>6.3777583833545592E-2</v>
      </c>
      <c r="X145" s="27">
        <f t="shared" ref="X145:X151" si="99">W145*AD145</f>
        <v>6.3777583833545592E-2</v>
      </c>
      <c r="Y145" s="5">
        <f t="shared" ref="Y145:Y151" si="100">DURATION(N145,O145,M145,D145,AD145)</f>
        <v>7.5626531473951157</v>
      </c>
      <c r="Z145" s="5">
        <f t="shared" ref="Z145:Z151" si="101">Y145/(1+C145)</f>
        <v>7.1092428176024445</v>
      </c>
      <c r="AA145" s="5">
        <f t="shared" ref="AA145:AA151" si="102">-Z145*F145</f>
        <v>-7465.0604206234466</v>
      </c>
      <c r="AB145" t="s">
        <v>64</v>
      </c>
      <c r="AC145" t="s">
        <v>62</v>
      </c>
      <c r="AD145">
        <f t="shared" ref="AD145:AD151" si="103">_xlfn.SWITCH(PROPER(TRIM(S145)),
   "Annual",1,
   "Semi-Annual",2,
   "Quarterly",4,
   "Monthly",12,
   "")</f>
        <v>1</v>
      </c>
    </row>
    <row r="146" spans="1:30" x14ac:dyDescent="0.35">
      <c r="A146" t="s">
        <v>2042</v>
      </c>
      <c r="B146" t="s">
        <v>338</v>
      </c>
      <c r="C146" s="36">
        <f t="shared" si="91"/>
        <v>0.11484149355895855</v>
      </c>
      <c r="D146" s="3">
        <f t="shared" si="92"/>
        <v>0.11484149355895855</v>
      </c>
      <c r="F146">
        <v>979</v>
      </c>
      <c r="G146" t="s">
        <v>76</v>
      </c>
      <c r="H146">
        <v>1000</v>
      </c>
      <c r="I146" s="22"/>
      <c r="J146">
        <v>1898</v>
      </c>
      <c r="K146" s="22"/>
      <c r="L146">
        <v>12.157241731534601</v>
      </c>
      <c r="M146" s="22">
        <v>0.10249999999999999</v>
      </c>
      <c r="N146" s="21">
        <v>45281</v>
      </c>
      <c r="O146" s="21">
        <v>46012</v>
      </c>
      <c r="P146">
        <f t="shared" si="93"/>
        <v>2</v>
      </c>
      <c r="Q146" s="6">
        <f t="shared" si="94"/>
        <v>0.10469867211440245</v>
      </c>
      <c r="R146" s="5">
        <f t="shared" si="95"/>
        <v>1</v>
      </c>
      <c r="S146" t="s">
        <v>93</v>
      </c>
      <c r="U146">
        <f t="shared" si="96"/>
        <v>2</v>
      </c>
      <c r="V146">
        <f t="shared" si="97"/>
        <v>102.5</v>
      </c>
      <c r="W146" s="28">
        <f t="shared" si="98"/>
        <v>0.11484149355895855</v>
      </c>
      <c r="X146" s="27">
        <f t="shared" si="99"/>
        <v>0.11484149355895855</v>
      </c>
      <c r="Y146" s="5">
        <f t="shared" si="100"/>
        <v>1.9060864950584424</v>
      </c>
      <c r="Z146" s="5">
        <f t="shared" si="101"/>
        <v>1.7097376677051703</v>
      </c>
      <c r="AA146" s="5">
        <f t="shared" si="102"/>
        <v>-1673.8331766833617</v>
      </c>
      <c r="AB146" t="s">
        <v>64</v>
      </c>
      <c r="AC146" t="s">
        <v>62</v>
      </c>
      <c r="AD146">
        <f t="shared" si="103"/>
        <v>1</v>
      </c>
    </row>
    <row r="147" spans="1:30" x14ac:dyDescent="0.35">
      <c r="A147" t="s">
        <v>2041</v>
      </c>
      <c r="B147" t="s">
        <v>72</v>
      </c>
      <c r="C147" s="36">
        <f t="shared" si="91"/>
        <v>6.4859216488603211E-2</v>
      </c>
      <c r="D147" s="3">
        <f t="shared" si="92"/>
        <v>6.4859216488603211E-2</v>
      </c>
      <c r="F147">
        <v>1060</v>
      </c>
      <c r="G147" t="s">
        <v>76</v>
      </c>
      <c r="H147">
        <v>1000</v>
      </c>
      <c r="I147" s="22"/>
      <c r="J147">
        <v>1</v>
      </c>
      <c r="K147" s="22"/>
      <c r="L147">
        <v>-4.5723270440251502</v>
      </c>
      <c r="M147" s="22">
        <v>7.3200000000000001E-2</v>
      </c>
      <c r="N147" s="21">
        <v>42359</v>
      </c>
      <c r="O147" s="21">
        <v>46012</v>
      </c>
      <c r="P147">
        <f t="shared" si="93"/>
        <v>10</v>
      </c>
      <c r="Q147" s="6">
        <f t="shared" si="94"/>
        <v>6.9056603773584913E-2</v>
      </c>
      <c r="R147" s="5">
        <f t="shared" si="95"/>
        <v>1</v>
      </c>
      <c r="S147" t="s">
        <v>93</v>
      </c>
      <c r="U147">
        <f t="shared" si="96"/>
        <v>10</v>
      </c>
      <c r="V147">
        <f t="shared" si="97"/>
        <v>73.2</v>
      </c>
      <c r="W147" s="28">
        <f t="shared" si="98"/>
        <v>6.4859216488603211E-2</v>
      </c>
      <c r="X147" s="27">
        <f t="shared" si="99"/>
        <v>6.4859216488603211E-2</v>
      </c>
      <c r="Y147" s="5">
        <f t="shared" si="100"/>
        <v>7.5087130313639427</v>
      </c>
      <c r="Z147" s="5">
        <f t="shared" si="101"/>
        <v>7.051366899113753</v>
      </c>
      <c r="AA147" s="5">
        <f t="shared" si="102"/>
        <v>-7474.448913060578</v>
      </c>
      <c r="AB147" t="s">
        <v>64</v>
      </c>
      <c r="AC147" t="s">
        <v>62</v>
      </c>
      <c r="AD147">
        <f t="shared" si="103"/>
        <v>1</v>
      </c>
    </row>
    <row r="148" spans="1:30" x14ac:dyDescent="0.35">
      <c r="A148" t="s">
        <v>2040</v>
      </c>
      <c r="B148" t="s">
        <v>338</v>
      </c>
      <c r="C148" s="36">
        <f t="shared" si="91"/>
        <v>0.10562763580549721</v>
      </c>
      <c r="D148" s="3">
        <f t="shared" si="92"/>
        <v>0.10562763580549721</v>
      </c>
      <c r="F148">
        <v>986</v>
      </c>
      <c r="G148" t="s">
        <v>76</v>
      </c>
      <c r="H148">
        <v>1000</v>
      </c>
      <c r="I148" s="22"/>
      <c r="J148">
        <v>1</v>
      </c>
      <c r="K148" s="22"/>
      <c r="L148">
        <v>11.9288144255801</v>
      </c>
      <c r="M148" s="22">
        <v>9.7500000000000003E-2</v>
      </c>
      <c r="N148" s="21">
        <v>45281</v>
      </c>
      <c r="O148" s="21">
        <v>46012</v>
      </c>
      <c r="P148">
        <f t="shared" si="93"/>
        <v>2</v>
      </c>
      <c r="Q148" s="6">
        <f t="shared" si="94"/>
        <v>9.8884381338742389E-2</v>
      </c>
      <c r="R148" s="5">
        <f t="shared" si="95"/>
        <v>1</v>
      </c>
      <c r="S148" t="s">
        <v>93</v>
      </c>
      <c r="U148">
        <f t="shared" si="96"/>
        <v>2</v>
      </c>
      <c r="V148">
        <f t="shared" si="97"/>
        <v>97.5</v>
      </c>
      <c r="W148" s="28">
        <f t="shared" si="98"/>
        <v>0.10562763580549721</v>
      </c>
      <c r="X148" s="27">
        <f t="shared" si="99"/>
        <v>0.10562763580549721</v>
      </c>
      <c r="Y148" s="5">
        <f t="shared" si="100"/>
        <v>1.9105626721544269</v>
      </c>
      <c r="Z148" s="5">
        <f t="shared" si="101"/>
        <v>1.7280344758771335</v>
      </c>
      <c r="AA148" s="5">
        <f t="shared" si="102"/>
        <v>-1703.8419932148536</v>
      </c>
      <c r="AB148" t="s">
        <v>64</v>
      </c>
      <c r="AC148" t="s">
        <v>62</v>
      </c>
      <c r="AD148">
        <f t="shared" si="103"/>
        <v>1</v>
      </c>
    </row>
    <row r="149" spans="1:30" x14ac:dyDescent="0.35">
      <c r="A149" t="s">
        <v>2039</v>
      </c>
      <c r="B149" t="s">
        <v>654</v>
      </c>
      <c r="C149" s="36">
        <f t="shared" si="91"/>
        <v>7.3653068703150068E-2</v>
      </c>
      <c r="D149" s="3">
        <f t="shared" si="92"/>
        <v>7.3653068703150068E-2</v>
      </c>
      <c r="F149">
        <v>1040.2</v>
      </c>
      <c r="G149" t="s">
        <v>76</v>
      </c>
      <c r="H149">
        <v>1000</v>
      </c>
      <c r="I149" s="22"/>
      <c r="J149">
        <v>5</v>
      </c>
      <c r="K149" s="22"/>
      <c r="L149">
        <v>-0.112688466685607</v>
      </c>
      <c r="M149" s="22">
        <v>9.6000000000000002E-2</v>
      </c>
      <c r="N149" s="21">
        <v>45281</v>
      </c>
      <c r="O149" s="21">
        <v>46012</v>
      </c>
      <c r="P149">
        <f t="shared" si="93"/>
        <v>2</v>
      </c>
      <c r="Q149" s="6">
        <f t="shared" si="94"/>
        <v>9.228994424149202E-2</v>
      </c>
      <c r="R149" s="5">
        <f t="shared" si="95"/>
        <v>1</v>
      </c>
      <c r="S149" t="s">
        <v>93</v>
      </c>
      <c r="U149">
        <f t="shared" si="96"/>
        <v>2</v>
      </c>
      <c r="V149">
        <f t="shared" si="97"/>
        <v>96</v>
      </c>
      <c r="W149" s="28">
        <f t="shared" si="98"/>
        <v>7.3653068703150068E-2</v>
      </c>
      <c r="X149" s="27">
        <f t="shared" si="99"/>
        <v>7.3653068703150068E-2</v>
      </c>
      <c r="Y149" s="5">
        <f t="shared" si="100"/>
        <v>1.9140411861785411</v>
      </c>
      <c r="Z149" s="5">
        <f t="shared" si="101"/>
        <v>1.782737126146795</v>
      </c>
      <c r="AA149" s="5">
        <f t="shared" si="102"/>
        <v>-1854.4031586178962</v>
      </c>
      <c r="AB149" t="s">
        <v>64</v>
      </c>
      <c r="AC149" t="s">
        <v>62</v>
      </c>
      <c r="AD149">
        <f t="shared" si="103"/>
        <v>1</v>
      </c>
    </row>
    <row r="150" spans="1:30" x14ac:dyDescent="0.35">
      <c r="A150" t="s">
        <v>2038</v>
      </c>
      <c r="B150" t="s">
        <v>654</v>
      </c>
      <c r="C150" s="36">
        <f t="shared" si="91"/>
        <v>0.10223672641273658</v>
      </c>
      <c r="D150" s="3">
        <f t="shared" si="92"/>
        <v>0.10223672641273658</v>
      </c>
      <c r="F150">
        <v>982.46</v>
      </c>
      <c r="G150" t="s">
        <v>76</v>
      </c>
      <c r="H150">
        <v>1000</v>
      </c>
      <c r="I150" s="22"/>
      <c r="J150">
        <v>9</v>
      </c>
      <c r="K150" s="22"/>
      <c r="L150">
        <v>12.1356128873319</v>
      </c>
      <c r="M150" s="22">
        <v>9.2100000000000015E-2</v>
      </c>
      <c r="N150" s="21">
        <v>45281</v>
      </c>
      <c r="O150" s="21">
        <v>46012</v>
      </c>
      <c r="P150">
        <f t="shared" si="93"/>
        <v>2</v>
      </c>
      <c r="Q150" s="6">
        <f t="shared" si="94"/>
        <v>9.3744274576064171E-2</v>
      </c>
      <c r="R150" s="5">
        <f t="shared" si="95"/>
        <v>1</v>
      </c>
      <c r="S150" t="s">
        <v>93</v>
      </c>
      <c r="U150">
        <f t="shared" si="96"/>
        <v>2</v>
      </c>
      <c r="V150">
        <f t="shared" si="97"/>
        <v>92.100000000000009</v>
      </c>
      <c r="W150" s="28">
        <f t="shared" si="98"/>
        <v>0.10223672641273658</v>
      </c>
      <c r="X150" s="27">
        <f t="shared" si="99"/>
        <v>0.10223672641273658</v>
      </c>
      <c r="Y150" s="5">
        <f t="shared" si="100"/>
        <v>1.91495087005388</v>
      </c>
      <c r="Z150" s="5">
        <f t="shared" si="101"/>
        <v>1.7373317583838335</v>
      </c>
      <c r="AA150" s="5">
        <f t="shared" si="102"/>
        <v>-1706.8589593417812</v>
      </c>
      <c r="AB150" t="s">
        <v>64</v>
      </c>
      <c r="AC150" t="s">
        <v>62</v>
      </c>
      <c r="AD150">
        <f t="shared" si="103"/>
        <v>1</v>
      </c>
    </row>
    <row r="151" spans="1:30" x14ac:dyDescent="0.35">
      <c r="A151" t="s">
        <v>2037</v>
      </c>
      <c r="B151" t="s">
        <v>561</v>
      </c>
      <c r="C151" s="36">
        <f t="shared" si="91"/>
        <v>0.10931738121988481</v>
      </c>
      <c r="D151" s="3">
        <f t="shared" si="92"/>
        <v>0.10931738121988481</v>
      </c>
      <c r="F151">
        <v>98420.07</v>
      </c>
      <c r="G151" t="s">
        <v>76</v>
      </c>
      <c r="H151">
        <v>100000</v>
      </c>
      <c r="I151" s="22"/>
      <c r="J151">
        <v>1</v>
      </c>
      <c r="K151" s="22"/>
      <c r="L151">
        <v>14.025504000620099</v>
      </c>
      <c r="M151" s="22">
        <v>0.10009999999999999</v>
      </c>
      <c r="N151" s="21">
        <v>45464</v>
      </c>
      <c r="O151" s="21">
        <v>46012</v>
      </c>
      <c r="P151">
        <f t="shared" si="93"/>
        <v>2</v>
      </c>
      <c r="Q151" s="6">
        <f t="shared" si="94"/>
        <v>0.10170689779025761</v>
      </c>
      <c r="R151" s="5">
        <f t="shared" si="95"/>
        <v>1</v>
      </c>
      <c r="S151" t="s">
        <v>93</v>
      </c>
      <c r="U151">
        <f t="shared" si="96"/>
        <v>2</v>
      </c>
      <c r="V151">
        <f t="shared" si="97"/>
        <v>10010</v>
      </c>
      <c r="W151" s="28">
        <f t="shared" si="98"/>
        <v>0.10931738121988481</v>
      </c>
      <c r="X151" s="27">
        <f t="shared" si="99"/>
        <v>0.10931738121988481</v>
      </c>
      <c r="Y151" s="5">
        <f t="shared" si="100"/>
        <v>1.4083157809369098</v>
      </c>
      <c r="Z151" s="5">
        <f t="shared" si="101"/>
        <v>1.269533683307319</v>
      </c>
      <c r="AA151" s="5">
        <f t="shared" si="102"/>
        <v>-124947.59397846417</v>
      </c>
      <c r="AB151" t="s">
        <v>64</v>
      </c>
      <c r="AC151" t="s">
        <v>62</v>
      </c>
      <c r="AD151">
        <f t="shared" si="103"/>
        <v>1</v>
      </c>
    </row>
    <row r="152" spans="1:30" x14ac:dyDescent="0.35">
      <c r="C152" s="28"/>
      <c r="D152" s="27"/>
      <c r="I152" s="22"/>
      <c r="K152" s="22"/>
      <c r="M152" s="22"/>
      <c r="N152" s="21"/>
      <c r="O152" s="21"/>
      <c r="P152" s="5"/>
      <c r="Q152" s="6"/>
      <c r="R152" s="5"/>
      <c r="W152" s="28"/>
      <c r="Y152" s="33"/>
      <c r="Z152" s="33"/>
      <c r="AA152" s="33"/>
    </row>
    <row r="153" spans="1:30" x14ac:dyDescent="0.35">
      <c r="A153" t="s">
        <v>2035</v>
      </c>
      <c r="B153" t="s">
        <v>272</v>
      </c>
      <c r="C153" s="36">
        <f t="shared" ref="C153:C161" si="104">RATE(U153,V153,-F153,H153)</f>
        <v>7.2734086767457462E-2</v>
      </c>
      <c r="D153" s="3">
        <f t="shared" ref="D153:D161" si="105">C153*AD153</f>
        <v>7.2734086767457462E-2</v>
      </c>
      <c r="F153">
        <v>1002</v>
      </c>
      <c r="G153" t="s">
        <v>76</v>
      </c>
      <c r="H153">
        <v>1000</v>
      </c>
      <c r="I153" s="22"/>
      <c r="J153">
        <v>400</v>
      </c>
      <c r="K153" s="22"/>
      <c r="L153">
        <v>6.9166265170807799</v>
      </c>
      <c r="M153" s="22">
        <v>7.3499999999999996E-2</v>
      </c>
      <c r="N153" s="21">
        <v>44918</v>
      </c>
      <c r="O153" s="21">
        <v>46014</v>
      </c>
      <c r="P153">
        <f t="shared" ref="P153:P161" si="106">ROUND(YEARFRAC(N153,O153),0)</f>
        <v>3</v>
      </c>
      <c r="Q153" s="6">
        <f t="shared" ref="Q153:Q161" si="107">(M153*H153)/F153</f>
        <v>7.3353293413173648E-2</v>
      </c>
      <c r="R153" s="5">
        <f t="shared" ref="R153:R161" si="108">IF(S153="Quarterly",4,IF(S153="Semi-annual",2,IF(S153="Annual",1,IF(S153="Pays at maturity",0,IF(S153="Monthly",12,0)))))</f>
        <v>1</v>
      </c>
      <c r="S153" t="s">
        <v>93</v>
      </c>
      <c r="U153">
        <f t="shared" ref="U153:U161" si="109">R153*P153</f>
        <v>3</v>
      </c>
      <c r="V153">
        <f t="shared" ref="V153:V161" si="110">(H153*M153)/AD153</f>
        <v>73.5</v>
      </c>
      <c r="W153" s="28">
        <f t="shared" ref="W153:W161" si="111">RATE(U153,V153,-F153,H153)</f>
        <v>7.2734086767457462E-2</v>
      </c>
      <c r="X153" s="27">
        <f t="shared" ref="X153:X161" si="112">W153*AD153</f>
        <v>7.2734086767457462E-2</v>
      </c>
      <c r="Y153" s="5">
        <f t="shared" ref="Y153:Y161" si="113">DURATION(N153,O153,M153,D153,AD153)</f>
        <v>2.7994970571909912</v>
      </c>
      <c r="Z153" s="5">
        <f t="shared" ref="Z153:Z161" si="114">Y153/(1+C153)</f>
        <v>2.6096840696345409</v>
      </c>
      <c r="AA153" s="5">
        <f t="shared" ref="AA153:AA161" si="115">-Z153*F153</f>
        <v>-2614.9034377738099</v>
      </c>
      <c r="AB153" t="s">
        <v>64</v>
      </c>
      <c r="AC153" t="s">
        <v>62</v>
      </c>
      <c r="AD153">
        <f t="shared" ref="AD153:AD161" si="116">_xlfn.SWITCH(PROPER(TRIM(S153)),
   "Annual",1,
   "Semi-Annual",2,
   "Quarterly",4,
   "Monthly",12,
   "")</f>
        <v>1</v>
      </c>
    </row>
    <row r="154" spans="1:30" x14ac:dyDescent="0.35">
      <c r="A154" t="s">
        <v>2034</v>
      </c>
      <c r="B154" t="s">
        <v>272</v>
      </c>
      <c r="C154" s="36">
        <f t="shared" si="104"/>
        <v>6.393740634052715E-2</v>
      </c>
      <c r="D154" s="3">
        <f t="shared" si="105"/>
        <v>6.393740634052715E-2</v>
      </c>
      <c r="F154">
        <v>1032.01</v>
      </c>
      <c r="G154" t="s">
        <v>76</v>
      </c>
      <c r="H154">
        <v>1000</v>
      </c>
      <c r="I154" s="22"/>
      <c r="J154">
        <v>25</v>
      </c>
      <c r="K154" s="22"/>
      <c r="L154">
        <v>0.37583974028388401</v>
      </c>
      <c r="M154" s="22">
        <v>7.5999999999999998E-2</v>
      </c>
      <c r="N154" s="21">
        <v>44918</v>
      </c>
      <c r="O154" s="21">
        <v>46014</v>
      </c>
      <c r="P154">
        <f t="shared" si="106"/>
        <v>3</v>
      </c>
      <c r="Q154" s="6">
        <f t="shared" si="107"/>
        <v>7.3642697260685452E-2</v>
      </c>
      <c r="R154" s="5">
        <f t="shared" si="108"/>
        <v>1</v>
      </c>
      <c r="S154" t="s">
        <v>93</v>
      </c>
      <c r="U154">
        <f t="shared" si="109"/>
        <v>3</v>
      </c>
      <c r="V154">
        <f t="shared" si="110"/>
        <v>76</v>
      </c>
      <c r="W154" s="28">
        <f t="shared" si="111"/>
        <v>6.393740634052715E-2</v>
      </c>
      <c r="X154" s="27">
        <f t="shared" si="112"/>
        <v>6.393740634052715E-2</v>
      </c>
      <c r="Y154" s="5">
        <f t="shared" si="113"/>
        <v>2.7965082094898834</v>
      </c>
      <c r="Z154" s="5">
        <f t="shared" si="114"/>
        <v>2.628451817582607</v>
      </c>
      <c r="AA154" s="5">
        <f t="shared" si="115"/>
        <v>-2712.5885602634262</v>
      </c>
      <c r="AB154" t="s">
        <v>64</v>
      </c>
      <c r="AC154" t="s">
        <v>62</v>
      </c>
      <c r="AD154">
        <f t="shared" si="116"/>
        <v>1</v>
      </c>
    </row>
    <row r="155" spans="1:30" x14ac:dyDescent="0.35">
      <c r="A155" t="s">
        <v>2033</v>
      </c>
      <c r="B155" t="s">
        <v>1452</v>
      </c>
      <c r="C155" s="36">
        <f t="shared" si="104"/>
        <v>0.13891628710062323</v>
      </c>
      <c r="D155" s="3">
        <f t="shared" si="105"/>
        <v>0.55566514840249293</v>
      </c>
      <c r="F155">
        <v>49000</v>
      </c>
      <c r="G155" t="s">
        <v>76</v>
      </c>
      <c r="H155">
        <v>100000</v>
      </c>
      <c r="I155" s="22"/>
      <c r="J155">
        <v>1</v>
      </c>
      <c r="K155" s="22"/>
      <c r="M155" s="22">
        <v>0.11749999999999999</v>
      </c>
      <c r="N155" s="21">
        <v>45286</v>
      </c>
      <c r="O155" s="21">
        <v>46017</v>
      </c>
      <c r="P155">
        <f t="shared" si="106"/>
        <v>2</v>
      </c>
      <c r="Q155" s="6">
        <f t="shared" si="107"/>
        <v>0.23979591836734693</v>
      </c>
      <c r="R155" s="5">
        <f t="shared" si="108"/>
        <v>4</v>
      </c>
      <c r="S155" t="s">
        <v>105</v>
      </c>
      <c r="U155">
        <f t="shared" si="109"/>
        <v>8</v>
      </c>
      <c r="V155">
        <f t="shared" si="110"/>
        <v>2937.5</v>
      </c>
      <c r="W155" s="28">
        <f t="shared" si="111"/>
        <v>0.13891628710062323</v>
      </c>
      <c r="X155" s="27">
        <f t="shared" si="112"/>
        <v>0.55566514840249293</v>
      </c>
      <c r="Y155" s="5">
        <f t="shared" si="113"/>
        <v>1.7089797008487502</v>
      </c>
      <c r="Z155" s="5">
        <f t="shared" si="114"/>
        <v>1.5005314439741275</v>
      </c>
      <c r="AA155" s="5">
        <f t="shared" si="115"/>
        <v>-73526.040754732254</v>
      </c>
      <c r="AB155" t="s">
        <v>64</v>
      </c>
      <c r="AC155" t="s">
        <v>62</v>
      </c>
      <c r="AD155">
        <f t="shared" si="116"/>
        <v>4</v>
      </c>
    </row>
    <row r="156" spans="1:30" x14ac:dyDescent="0.35">
      <c r="A156" t="s">
        <v>2032</v>
      </c>
      <c r="B156" t="s">
        <v>1598</v>
      </c>
      <c r="C156" s="36">
        <f t="shared" si="104"/>
        <v>4.7102682628663975E-2</v>
      </c>
      <c r="D156" s="3">
        <f t="shared" si="105"/>
        <v>0.56523219154396775</v>
      </c>
      <c r="F156">
        <v>42892.54</v>
      </c>
      <c r="G156" t="s">
        <v>76</v>
      </c>
      <c r="H156">
        <v>100000</v>
      </c>
      <c r="I156" s="22"/>
      <c r="J156">
        <v>1</v>
      </c>
      <c r="K156" s="22"/>
      <c r="M156" s="22">
        <v>8.2500000000000004E-2</v>
      </c>
      <c r="N156" s="21">
        <v>45470</v>
      </c>
      <c r="O156" s="21">
        <v>46018</v>
      </c>
      <c r="P156">
        <f t="shared" si="106"/>
        <v>2</v>
      </c>
      <c r="Q156" s="6">
        <f t="shared" si="107"/>
        <v>0.19234113904189398</v>
      </c>
      <c r="R156" s="5">
        <f t="shared" si="108"/>
        <v>12</v>
      </c>
      <c r="S156" t="s">
        <v>1717</v>
      </c>
      <c r="U156">
        <f t="shared" si="109"/>
        <v>24</v>
      </c>
      <c r="V156">
        <f t="shared" si="110"/>
        <v>687.5</v>
      </c>
      <c r="W156" s="28">
        <f t="shared" si="111"/>
        <v>4.7102682628663975E-2</v>
      </c>
      <c r="X156" s="27">
        <f t="shared" si="112"/>
        <v>0.56523219154396775</v>
      </c>
      <c r="Y156" s="5" t="e">
        <f t="shared" si="113"/>
        <v>#NUM!</v>
      </c>
      <c r="Z156" s="5" t="e">
        <f t="shared" si="114"/>
        <v>#NUM!</v>
      </c>
      <c r="AA156" s="5" t="e">
        <f t="shared" si="115"/>
        <v>#NUM!</v>
      </c>
      <c r="AB156" t="s">
        <v>64</v>
      </c>
      <c r="AC156" t="s">
        <v>62</v>
      </c>
      <c r="AD156">
        <f t="shared" si="116"/>
        <v>12</v>
      </c>
    </row>
    <row r="157" spans="1:30" x14ac:dyDescent="0.35">
      <c r="A157" t="s">
        <v>2031</v>
      </c>
      <c r="B157" t="s">
        <v>785</v>
      </c>
      <c r="C157" s="36">
        <f t="shared" si="104"/>
        <v>5.3619847881498296E-2</v>
      </c>
      <c r="D157" s="3">
        <f t="shared" si="105"/>
        <v>5.3619847881498296E-2</v>
      </c>
      <c r="F157">
        <v>1072.8499999999999</v>
      </c>
      <c r="G157" t="s">
        <v>76</v>
      </c>
      <c r="H157">
        <v>1000</v>
      </c>
      <c r="I157" s="22"/>
      <c r="J157">
        <v>3</v>
      </c>
      <c r="K157" s="22"/>
      <c r="L157">
        <v>-3.7861161144305502</v>
      </c>
      <c r="M157" s="22">
        <v>9.3000000000000013E-2</v>
      </c>
      <c r="N157" s="21">
        <v>45287</v>
      </c>
      <c r="O157" s="21">
        <v>46018</v>
      </c>
      <c r="P157">
        <f t="shared" si="106"/>
        <v>2</v>
      </c>
      <c r="Q157" s="6">
        <f t="shared" si="107"/>
        <v>8.6684997902782335E-2</v>
      </c>
      <c r="R157" s="5">
        <f t="shared" si="108"/>
        <v>1</v>
      </c>
      <c r="S157" t="s">
        <v>93</v>
      </c>
      <c r="U157">
        <f t="shared" si="109"/>
        <v>2</v>
      </c>
      <c r="V157">
        <f t="shared" si="110"/>
        <v>93.000000000000014</v>
      </c>
      <c r="W157" s="28">
        <f t="shared" si="111"/>
        <v>5.3619847881498296E-2</v>
      </c>
      <c r="X157" s="27">
        <f t="shared" si="112"/>
        <v>5.3619847881498296E-2</v>
      </c>
      <c r="Y157" s="5">
        <f t="shared" si="113"/>
        <v>1.9177264949240453</v>
      </c>
      <c r="Z157" s="5">
        <f t="shared" si="114"/>
        <v>1.8201313298909438</v>
      </c>
      <c r="AA157" s="5">
        <f t="shared" si="115"/>
        <v>-1952.7278972734989</v>
      </c>
      <c r="AB157" t="s">
        <v>64</v>
      </c>
      <c r="AC157" t="s">
        <v>62</v>
      </c>
      <c r="AD157">
        <f t="shared" si="116"/>
        <v>1</v>
      </c>
    </row>
    <row r="158" spans="1:30" x14ac:dyDescent="0.35">
      <c r="A158" t="s">
        <v>2030</v>
      </c>
      <c r="B158" t="s">
        <v>785</v>
      </c>
      <c r="C158" s="36">
        <f t="shared" si="104"/>
        <v>2.2500000000038333E-2</v>
      </c>
      <c r="D158" s="3">
        <f t="shared" si="105"/>
        <v>9.0000000000153332E-2</v>
      </c>
      <c r="F158">
        <v>1000</v>
      </c>
      <c r="G158" t="s">
        <v>76</v>
      </c>
      <c r="H158">
        <v>1000</v>
      </c>
      <c r="I158" s="22"/>
      <c r="J158">
        <v>34</v>
      </c>
      <c r="K158" s="22"/>
      <c r="M158" s="22">
        <v>0.09</v>
      </c>
      <c r="N158" s="21">
        <v>45287</v>
      </c>
      <c r="O158" s="21">
        <v>46018</v>
      </c>
      <c r="P158">
        <f t="shared" si="106"/>
        <v>2</v>
      </c>
      <c r="Q158" s="6">
        <f t="shared" si="107"/>
        <v>0.09</v>
      </c>
      <c r="R158" s="5">
        <f t="shared" si="108"/>
        <v>4</v>
      </c>
      <c r="S158" t="s">
        <v>105</v>
      </c>
      <c r="U158">
        <f t="shared" si="109"/>
        <v>8</v>
      </c>
      <c r="V158">
        <f t="shared" si="110"/>
        <v>22.5</v>
      </c>
      <c r="W158" s="28">
        <f t="shared" si="111"/>
        <v>2.2500000000038333E-2</v>
      </c>
      <c r="X158" s="27">
        <f t="shared" si="112"/>
        <v>9.0000000000153332E-2</v>
      </c>
      <c r="Y158" s="5">
        <f t="shared" si="113"/>
        <v>1.8525615650606393</v>
      </c>
      <c r="Z158" s="5">
        <f t="shared" si="114"/>
        <v>1.8117961516484791</v>
      </c>
      <c r="AA158" s="5">
        <f t="shared" si="115"/>
        <v>-1811.7961516484791</v>
      </c>
      <c r="AB158" t="s">
        <v>64</v>
      </c>
      <c r="AC158" t="s">
        <v>62</v>
      </c>
      <c r="AD158">
        <f t="shared" si="116"/>
        <v>4</v>
      </c>
    </row>
    <row r="159" spans="1:30" x14ac:dyDescent="0.35">
      <c r="A159" t="s">
        <v>2029</v>
      </c>
      <c r="B159" t="s">
        <v>128</v>
      </c>
      <c r="C159" s="36">
        <f t="shared" si="104"/>
        <v>7.7499196676627302E-2</v>
      </c>
      <c r="D159" s="3">
        <f t="shared" si="105"/>
        <v>7.7499196676627302E-2</v>
      </c>
      <c r="F159">
        <v>1034</v>
      </c>
      <c r="G159" t="s">
        <v>76</v>
      </c>
      <c r="H159">
        <v>1000</v>
      </c>
      <c r="I159" s="22"/>
      <c r="J159">
        <v>10</v>
      </c>
      <c r="K159" s="22"/>
      <c r="L159">
        <v>1.9240872077751501</v>
      </c>
      <c r="M159" s="22">
        <v>9.6500000000000002E-2</v>
      </c>
      <c r="N159" s="21">
        <v>45287</v>
      </c>
      <c r="O159" s="21">
        <v>46018</v>
      </c>
      <c r="P159">
        <f t="shared" si="106"/>
        <v>2</v>
      </c>
      <c r="Q159" s="6">
        <f t="shared" si="107"/>
        <v>9.332688588007737E-2</v>
      </c>
      <c r="R159" s="5">
        <f t="shared" si="108"/>
        <v>1</v>
      </c>
      <c r="S159" t="s">
        <v>93</v>
      </c>
      <c r="U159">
        <f t="shared" si="109"/>
        <v>2</v>
      </c>
      <c r="V159">
        <f t="shared" si="110"/>
        <v>96.5</v>
      </c>
      <c r="W159" s="28">
        <f t="shared" si="111"/>
        <v>7.7499196676627302E-2</v>
      </c>
      <c r="X159" s="27">
        <f t="shared" si="112"/>
        <v>7.7499196676627302E-2</v>
      </c>
      <c r="Y159" s="5">
        <f t="shared" si="113"/>
        <v>1.9133856561861675</v>
      </c>
      <c r="Z159" s="5">
        <f t="shared" si="114"/>
        <v>1.7757652739674397</v>
      </c>
      <c r="AA159" s="5">
        <f t="shared" si="115"/>
        <v>-1836.1412932823325</v>
      </c>
      <c r="AB159" t="s">
        <v>64</v>
      </c>
      <c r="AC159" t="s">
        <v>62</v>
      </c>
      <c r="AD159">
        <f t="shared" si="116"/>
        <v>1</v>
      </c>
    </row>
    <row r="160" spans="1:30" x14ac:dyDescent="0.35">
      <c r="A160" t="s">
        <v>2028</v>
      </c>
      <c r="B160" t="s">
        <v>1254</v>
      </c>
      <c r="C160" s="36">
        <f t="shared" si="104"/>
        <v>7.3323527724041229E-2</v>
      </c>
      <c r="D160" s="3">
        <f t="shared" si="105"/>
        <v>0.87988233268849481</v>
      </c>
      <c r="F160">
        <v>30000</v>
      </c>
      <c r="G160" t="s">
        <v>76</v>
      </c>
      <c r="H160">
        <v>100000</v>
      </c>
      <c r="I160" s="22"/>
      <c r="J160">
        <v>1</v>
      </c>
      <c r="K160" s="22"/>
      <c r="M160" s="22">
        <v>0.126</v>
      </c>
      <c r="N160" s="21">
        <v>45287</v>
      </c>
      <c r="O160" s="21">
        <v>46018</v>
      </c>
      <c r="P160">
        <f t="shared" si="106"/>
        <v>2</v>
      </c>
      <c r="Q160" s="6">
        <f t="shared" si="107"/>
        <v>0.42</v>
      </c>
      <c r="R160" s="5">
        <f t="shared" si="108"/>
        <v>12</v>
      </c>
      <c r="S160" t="s">
        <v>1717</v>
      </c>
      <c r="U160">
        <f t="shared" si="109"/>
        <v>24</v>
      </c>
      <c r="V160">
        <f t="shared" si="110"/>
        <v>1050</v>
      </c>
      <c r="W160" s="28">
        <f t="shared" si="111"/>
        <v>7.3323527724041229E-2</v>
      </c>
      <c r="X160" s="27">
        <f t="shared" si="112"/>
        <v>0.87988233268849481</v>
      </c>
      <c r="Y160" s="5" t="e">
        <f t="shared" si="113"/>
        <v>#NUM!</v>
      </c>
      <c r="Z160" s="5" t="e">
        <f t="shared" si="114"/>
        <v>#NUM!</v>
      </c>
      <c r="AA160" s="5" t="e">
        <f t="shared" si="115"/>
        <v>#NUM!</v>
      </c>
      <c r="AB160" t="s">
        <v>64</v>
      </c>
      <c r="AC160" t="s">
        <v>62</v>
      </c>
      <c r="AD160">
        <f t="shared" si="116"/>
        <v>12</v>
      </c>
    </row>
    <row r="161" spans="1:30" x14ac:dyDescent="0.35">
      <c r="A161" t="s">
        <v>2027</v>
      </c>
      <c r="B161" t="s">
        <v>128</v>
      </c>
      <c r="C161" s="36">
        <f t="shared" si="104"/>
        <v>9.8248363678975631E-2</v>
      </c>
      <c r="D161" s="3">
        <f t="shared" si="105"/>
        <v>9.8248363678975631E-2</v>
      </c>
      <c r="F161">
        <v>990</v>
      </c>
      <c r="G161" t="s">
        <v>76</v>
      </c>
      <c r="H161">
        <v>1000</v>
      </c>
      <c r="I161" s="22"/>
      <c r="J161">
        <v>9</v>
      </c>
      <c r="K161" s="22"/>
      <c r="L161">
        <v>11.619279211871801</v>
      </c>
      <c r="M161" s="22">
        <v>9.2499999999999999E-2</v>
      </c>
      <c r="N161" s="21">
        <v>45287</v>
      </c>
      <c r="O161" s="21">
        <v>46018</v>
      </c>
      <c r="P161">
        <f t="shared" si="106"/>
        <v>2</v>
      </c>
      <c r="Q161" s="6">
        <f t="shared" si="107"/>
        <v>9.3434343434343439E-2</v>
      </c>
      <c r="R161" s="5">
        <f t="shared" si="108"/>
        <v>1</v>
      </c>
      <c r="S161" t="s">
        <v>93</v>
      </c>
      <c r="U161">
        <f t="shared" si="109"/>
        <v>2</v>
      </c>
      <c r="V161">
        <f t="shared" si="110"/>
        <v>92.5</v>
      </c>
      <c r="W161" s="28">
        <f t="shared" si="111"/>
        <v>9.8248363678975631E-2</v>
      </c>
      <c r="X161" s="27">
        <f t="shared" si="112"/>
        <v>9.8248363678975631E-2</v>
      </c>
      <c r="Y161" s="5">
        <f t="shared" si="113"/>
        <v>1.9149242133888984</v>
      </c>
      <c r="Z161" s="5">
        <f t="shared" si="114"/>
        <v>1.7436167234287288</v>
      </c>
      <c r="AA161" s="5">
        <f t="shared" si="115"/>
        <v>-1726.1805561944416</v>
      </c>
      <c r="AB161" t="s">
        <v>64</v>
      </c>
      <c r="AC161" t="s">
        <v>62</v>
      </c>
      <c r="AD161">
        <f t="shared" si="116"/>
        <v>1</v>
      </c>
    </row>
    <row r="162" spans="1:30" x14ac:dyDescent="0.35">
      <c r="C162" s="28"/>
      <c r="D162" s="27"/>
      <c r="I162" s="22"/>
      <c r="K162" s="22"/>
      <c r="M162" s="22"/>
      <c r="N162" s="21"/>
      <c r="O162" s="21"/>
      <c r="P162" s="5"/>
      <c r="Q162" s="6"/>
      <c r="R162" s="5"/>
      <c r="W162" s="28"/>
      <c r="Y162" s="33"/>
      <c r="Z162" s="33"/>
      <c r="AA162" s="33"/>
    </row>
    <row r="163" spans="1:30" x14ac:dyDescent="0.35">
      <c r="A163" t="s">
        <v>2025</v>
      </c>
      <c r="B163" t="s">
        <v>128</v>
      </c>
      <c r="C163" s="36">
        <f>RATE(U163,V163,-F163,H163)</f>
        <v>3.4573777512167704E-2</v>
      </c>
      <c r="D163" s="3">
        <f>C163*AD163</f>
        <v>0.41488533014601248</v>
      </c>
      <c r="F163">
        <v>450</v>
      </c>
      <c r="G163" t="s">
        <v>76</v>
      </c>
      <c r="H163">
        <v>1000</v>
      </c>
      <c r="I163" s="22"/>
      <c r="J163">
        <v>25</v>
      </c>
      <c r="K163" s="22"/>
      <c r="M163" s="22">
        <v>9.1600000000000001E-2</v>
      </c>
      <c r="N163" s="21">
        <v>44923</v>
      </c>
      <c r="O163" s="21">
        <v>46019</v>
      </c>
      <c r="P163">
        <f>ROUND(YEARFRAC(N163,O163),0)</f>
        <v>3</v>
      </c>
      <c r="Q163" s="6">
        <f>(M163*H163)/F163</f>
        <v>0.20355555555555555</v>
      </c>
      <c r="R163" s="5">
        <f>IF(S163="Quarterly",4,IF(S163="Semi-annual",2,IF(S163="Annual",1,IF(S163="Pays at maturity",0,IF(S163="Monthly",12,0)))))</f>
        <v>12</v>
      </c>
      <c r="S163" t="s">
        <v>1717</v>
      </c>
      <c r="U163">
        <f>R163*P163</f>
        <v>36</v>
      </c>
      <c r="V163">
        <f>(H163*M163)/AD163</f>
        <v>7.6333333333333329</v>
      </c>
      <c r="W163" s="28">
        <f>RATE(U163,V163,-F163,H163)</f>
        <v>3.4573777512167704E-2</v>
      </c>
      <c r="X163" s="27">
        <f>W163*AD163</f>
        <v>0.41488533014601248</v>
      </c>
      <c r="Y163" s="5" t="e">
        <f>DURATION(N163,O163,M163,D163,AD163)</f>
        <v>#NUM!</v>
      </c>
      <c r="Z163" s="5" t="e">
        <f>Y163/(1+C163)</f>
        <v>#NUM!</v>
      </c>
      <c r="AA163" s="5" t="e">
        <f>-Z163*F163</f>
        <v>#NUM!</v>
      </c>
      <c r="AB163" t="s">
        <v>64</v>
      </c>
      <c r="AC163" t="s">
        <v>62</v>
      </c>
      <c r="AD163">
        <f>_xlfn.SWITCH(PROPER(TRIM(S163)),
   "Annual",1,
   "Semi-Annual",2,
   "Quarterly",4,
   "Monthly",12,
   "")</f>
        <v>12</v>
      </c>
    </row>
    <row r="164" spans="1:30" x14ac:dyDescent="0.35">
      <c r="A164" t="s">
        <v>2024</v>
      </c>
      <c r="B164" t="s">
        <v>128</v>
      </c>
      <c r="C164" s="36">
        <f>RATE(U164,V164,-F164,H164)</f>
        <v>0.57424212010326325</v>
      </c>
      <c r="D164" s="3">
        <f>C164*AD164</f>
        <v>0.57424212010326325</v>
      </c>
      <c r="F164">
        <v>380</v>
      </c>
      <c r="G164" t="s">
        <v>76</v>
      </c>
      <c r="H164">
        <v>1000</v>
      </c>
      <c r="I164" s="22"/>
      <c r="J164">
        <v>25</v>
      </c>
      <c r="K164" s="22"/>
      <c r="M164" s="22">
        <v>9.5500000000000002E-2</v>
      </c>
      <c r="N164" s="21">
        <v>44923</v>
      </c>
      <c r="O164" s="21">
        <v>46019</v>
      </c>
      <c r="P164">
        <f>ROUND(YEARFRAC(N164,O164),0)</f>
        <v>3</v>
      </c>
      <c r="Q164" s="6">
        <f>(M164*H164)/F164</f>
        <v>0.25131578947368421</v>
      </c>
      <c r="R164" s="5">
        <f>IF(S164="Quarterly",4,IF(S164="Semi-annual",2,IF(S164="Annual",1,IF(S164="Pays at maturity",0,IF(S164="Monthly",12,0)))))</f>
        <v>1</v>
      </c>
      <c r="S164" t="s">
        <v>93</v>
      </c>
      <c r="U164">
        <f>R164*P164</f>
        <v>3</v>
      </c>
      <c r="V164">
        <f>(H164*M164)/AD164</f>
        <v>95.5</v>
      </c>
      <c r="W164" s="28">
        <f>RATE(U164,V164,-F164,H164)</f>
        <v>0.57424212010326325</v>
      </c>
      <c r="X164" s="27">
        <f>W164*AD164</f>
        <v>0.57424212010326325</v>
      </c>
      <c r="Y164" s="5">
        <f>DURATION(N164,O164,M164,D164,AD164)</f>
        <v>2.5793061499199843</v>
      </c>
      <c r="Z164" s="5">
        <f>Y164/(1+C164)</f>
        <v>1.6384431066745904</v>
      </c>
      <c r="AA164" s="5">
        <f>-Z164*F164</f>
        <v>-622.60838053634438</v>
      </c>
      <c r="AB164" t="s">
        <v>64</v>
      </c>
      <c r="AC164" t="s">
        <v>62</v>
      </c>
      <c r="AD164">
        <f>_xlfn.SWITCH(PROPER(TRIM(S164)),
   "Annual",1,
   "Semi-Annual",2,
   "Quarterly",4,
   "Monthly",12,
   "")</f>
        <v>1</v>
      </c>
    </row>
    <row r="165" spans="1:30" x14ac:dyDescent="0.35">
      <c r="C165" s="28"/>
      <c r="D165" s="27"/>
      <c r="I165" s="22"/>
      <c r="K165" s="22"/>
      <c r="M165" s="22"/>
      <c r="N165" s="21"/>
      <c r="O165" s="21"/>
      <c r="P165" s="5"/>
      <c r="Q165" s="6"/>
      <c r="R165" s="5"/>
      <c r="W165" s="28"/>
      <c r="Y165" s="33"/>
      <c r="Z165" s="33"/>
      <c r="AA165" s="33"/>
    </row>
    <row r="166" spans="1:30" x14ac:dyDescent="0.35">
      <c r="A166" t="s">
        <v>2022</v>
      </c>
      <c r="B166" t="s">
        <v>1650</v>
      </c>
      <c r="C166" s="36">
        <f>RATE(U166,V166,-F166,H166)</f>
        <v>4.2880105622431455E-2</v>
      </c>
      <c r="D166" s="3">
        <f>C166*AD166</f>
        <v>0.51456126746917752</v>
      </c>
      <c r="F166">
        <v>392500</v>
      </c>
      <c r="G166" t="s">
        <v>76</v>
      </c>
      <c r="H166">
        <v>1000000</v>
      </c>
      <c r="I166" s="22"/>
      <c r="J166">
        <v>1</v>
      </c>
      <c r="K166" s="22"/>
      <c r="M166" s="22">
        <v>0.11349999999999999</v>
      </c>
      <c r="N166" s="21">
        <v>44925</v>
      </c>
      <c r="O166" s="21">
        <v>46021</v>
      </c>
      <c r="P166">
        <f>ROUND(YEARFRAC(N166,O166),0)</f>
        <v>3</v>
      </c>
      <c r="Q166" s="6">
        <f>(M166*H166)/F166</f>
        <v>0.28917197452229293</v>
      </c>
      <c r="R166" s="5">
        <f>IF(S166="Quarterly",4,IF(S166="Semi-annual",2,IF(S166="Annual",1,IF(S166="Pays at maturity",0,IF(S166="Monthly",12,0)))))</f>
        <v>12</v>
      </c>
      <c r="S166" t="s">
        <v>1717</v>
      </c>
      <c r="U166">
        <f>R166*P166</f>
        <v>36</v>
      </c>
      <c r="V166">
        <f>(H166*M166)/AD166</f>
        <v>9458.3333333333321</v>
      </c>
      <c r="W166" s="28">
        <f>RATE(U166,V166,-F166,H166)</f>
        <v>4.2880105622431455E-2</v>
      </c>
      <c r="X166" s="27">
        <f>W166*AD166</f>
        <v>0.51456126746917752</v>
      </c>
      <c r="Y166" s="5" t="e">
        <f>DURATION(N166,O166,M166,D166,AD166)</f>
        <v>#NUM!</v>
      </c>
      <c r="Z166" s="5" t="e">
        <f>Y166/(1+C166)</f>
        <v>#NUM!</v>
      </c>
      <c r="AA166" s="5" t="e">
        <f>-Z166*F166</f>
        <v>#NUM!</v>
      </c>
      <c r="AB166" t="s">
        <v>79</v>
      </c>
      <c r="AC166" t="s">
        <v>62</v>
      </c>
      <c r="AD166">
        <f>_xlfn.SWITCH(PROPER(TRIM(S166)),
   "Annual",1,
   "Semi-Annual",2,
   "Quarterly",4,
   "Monthly",12,
   "")</f>
        <v>12</v>
      </c>
    </row>
    <row r="167" spans="1:30" x14ac:dyDescent="0.35">
      <c r="A167" t="s">
        <v>2021</v>
      </c>
      <c r="B167" t="s">
        <v>460</v>
      </c>
      <c r="C167" s="36">
        <f>RATE(U167,V167,-F167,H167)</f>
        <v>0.1</v>
      </c>
      <c r="D167" s="3">
        <f>C167*AD167</f>
        <v>0.1</v>
      </c>
      <c r="F167">
        <v>100000</v>
      </c>
      <c r="G167" t="s">
        <v>76</v>
      </c>
      <c r="H167">
        <v>100000</v>
      </c>
      <c r="I167" s="22"/>
      <c r="J167">
        <v>1</v>
      </c>
      <c r="K167" s="22"/>
      <c r="L167">
        <v>10</v>
      </c>
      <c r="M167" s="22">
        <v>0.1</v>
      </c>
      <c r="N167" s="21">
        <v>45303</v>
      </c>
      <c r="O167" s="21">
        <v>46022</v>
      </c>
      <c r="P167">
        <f>ROUND(YEARFRAC(N167,O167),0)</f>
        <v>2</v>
      </c>
      <c r="Q167" s="6">
        <f>(M167*H167)/F167</f>
        <v>0.1</v>
      </c>
      <c r="R167" s="5">
        <f>IF(S167="Quarterly",4,IF(S167="Semi-annual",2,IF(S167="Annual",1,IF(S167="Pays at maturity",0,IF(S167="Monthly",12,0)))))</f>
        <v>1</v>
      </c>
      <c r="S167" t="s">
        <v>93</v>
      </c>
      <c r="U167">
        <f>R167*P167</f>
        <v>2</v>
      </c>
      <c r="V167">
        <f>(H167*M167)/AD167</f>
        <v>10000</v>
      </c>
      <c r="W167" s="28">
        <f>RATE(U167,V167,-F167,H167)</f>
        <v>0.1</v>
      </c>
      <c r="X167" s="27">
        <f>W167*AD167</f>
        <v>0.1</v>
      </c>
      <c r="Y167" s="5">
        <f>DURATION(N167,O167,M167,D167,AD167)</f>
        <v>1.875757575757576</v>
      </c>
      <c r="Z167" s="5">
        <f>Y167/(1+C167)</f>
        <v>1.7052341597796143</v>
      </c>
      <c r="AA167" s="5">
        <f>-Z167*F167</f>
        <v>-170523.41597796144</v>
      </c>
      <c r="AB167" t="s">
        <v>64</v>
      </c>
      <c r="AC167" t="s">
        <v>62</v>
      </c>
      <c r="AD167">
        <f>_xlfn.SWITCH(PROPER(TRIM(S167)),
   "Annual",1,
   "Semi-Annual",2,
   "Quarterly",4,
   "Monthly",12,
   "")</f>
        <v>1</v>
      </c>
    </row>
    <row r="168" spans="1:30" x14ac:dyDescent="0.35">
      <c r="C168" s="28"/>
      <c r="D168" s="27"/>
      <c r="I168" s="22"/>
      <c r="K168" s="22"/>
      <c r="M168" s="22"/>
      <c r="N168" s="21"/>
      <c r="O168" s="21"/>
      <c r="P168" s="5"/>
      <c r="Q168" s="6"/>
      <c r="R168" s="5"/>
      <c r="W168" s="28"/>
      <c r="Y168" s="33"/>
      <c r="Z168" s="33"/>
      <c r="AA168" s="33"/>
    </row>
    <row r="169" spans="1:30" x14ac:dyDescent="0.35">
      <c r="A169" t="s">
        <v>2019</v>
      </c>
      <c r="B169" t="s">
        <v>390</v>
      </c>
      <c r="C169" s="36">
        <f>RATE(U169,V169,-F169,H169)</f>
        <v>0.11122234457903704</v>
      </c>
      <c r="D169" s="3">
        <f>C169*AD169</f>
        <v>0.11122234457903704</v>
      </c>
      <c r="F169">
        <v>998.9</v>
      </c>
      <c r="G169" t="s">
        <v>76</v>
      </c>
      <c r="H169">
        <v>1000</v>
      </c>
      <c r="I169" s="22"/>
      <c r="J169">
        <v>77</v>
      </c>
      <c r="K169" s="22"/>
      <c r="L169">
        <v>11.2471672055635</v>
      </c>
      <c r="M169" s="22">
        <v>0.11</v>
      </c>
      <c r="N169" s="21">
        <v>45628</v>
      </c>
      <c r="O169" s="21">
        <v>46024</v>
      </c>
      <c r="P169">
        <f>ROUND(YEARFRAC(N169,O169),0)</f>
        <v>1</v>
      </c>
      <c r="Q169" s="6">
        <f>(M169*H169)/F169</f>
        <v>0.11012113324657123</v>
      </c>
      <c r="R169" s="5">
        <f>IF(S169="Quarterly",4,IF(S169="Semi-annual",2,IF(S169="Annual",1,IF(S169="Pays at maturity",0,IF(S169="Monthly",12,0)))))</f>
        <v>1</v>
      </c>
      <c r="S169" t="s">
        <v>93</v>
      </c>
      <c r="U169">
        <f>R169*P169</f>
        <v>1</v>
      </c>
      <c r="V169">
        <f>(H169*M169)/AD169</f>
        <v>110</v>
      </c>
      <c r="W169" s="28">
        <f>RATE(U169,V169,-F169,H169)</f>
        <v>0.11122234457903704</v>
      </c>
      <c r="X169" s="27">
        <f>W169*AD169</f>
        <v>0.11122234457903704</v>
      </c>
      <c r="Y169" s="5">
        <f>DURATION(N169,O169,M169,D169,AD169)</f>
        <v>0.98413593050169845</v>
      </c>
      <c r="Z169" s="5">
        <f>Y169/(1+C169)</f>
        <v>0.88563367655688874</v>
      </c>
      <c r="AA169" s="5">
        <f>-Z169*F169</f>
        <v>-884.65947951267617</v>
      </c>
      <c r="AB169" t="s">
        <v>64</v>
      </c>
      <c r="AC169" t="s">
        <v>62</v>
      </c>
      <c r="AD169">
        <f>_xlfn.SWITCH(PROPER(TRIM(S169)),
   "Annual",1,
   "Semi-Annual",2,
   "Quarterly",4,
   "Monthly",12,
   "")</f>
        <v>1</v>
      </c>
    </row>
    <row r="170" spans="1:30" x14ac:dyDescent="0.35">
      <c r="A170" t="s">
        <v>2018</v>
      </c>
      <c r="B170" t="s">
        <v>460</v>
      </c>
      <c r="C170" s="36">
        <f>RATE(U170,V170,-F170,H170)</f>
        <v>9.718644845290654E-2</v>
      </c>
      <c r="D170" s="3">
        <f>C170*AD170</f>
        <v>9.718644845290654E-2</v>
      </c>
      <c r="F170">
        <v>1001</v>
      </c>
      <c r="G170" t="s">
        <v>76</v>
      </c>
      <c r="H170">
        <v>1000</v>
      </c>
      <c r="I170" s="22"/>
      <c r="J170">
        <v>1</v>
      </c>
      <c r="K170" s="22"/>
      <c r="L170">
        <v>9.5192686101777007</v>
      </c>
      <c r="M170" s="22">
        <v>9.7500000000000003E-2</v>
      </c>
      <c r="N170" s="21">
        <v>44564</v>
      </c>
      <c r="O170" s="21">
        <v>46024</v>
      </c>
      <c r="P170">
        <f>ROUND(YEARFRAC(N170,O170),0)</f>
        <v>4</v>
      </c>
      <c r="Q170" s="6">
        <f>(M170*H170)/F170</f>
        <v>9.7402597402597407E-2</v>
      </c>
      <c r="R170" s="5">
        <f>IF(S170="Quarterly",4,IF(S170="Semi-annual",2,IF(S170="Annual",1,IF(S170="Pays at maturity",0,IF(S170="Monthly",12,0)))))</f>
        <v>1</v>
      </c>
      <c r="S170" t="s">
        <v>93</v>
      </c>
      <c r="U170">
        <f>R170*P170</f>
        <v>4</v>
      </c>
      <c r="V170">
        <f>(H170*M170)/AD170</f>
        <v>97.5</v>
      </c>
      <c r="W170" s="28">
        <f>RATE(U170,V170,-F170,H170)</f>
        <v>9.718644845290654E-2</v>
      </c>
      <c r="X170" s="27">
        <f>W170*AD170</f>
        <v>9.718644845290654E-2</v>
      </c>
      <c r="Y170" s="5">
        <f>DURATION(N170,O170,M170,D170,AD170)</f>
        <v>3.4953303623725609</v>
      </c>
      <c r="Z170" s="5">
        <f>Y170/(1+C170)</f>
        <v>3.1857214125285358</v>
      </c>
      <c r="AA170" s="5">
        <f>-Z170*F170</f>
        <v>-3188.9071339410643</v>
      </c>
      <c r="AB170" t="s">
        <v>64</v>
      </c>
      <c r="AC170" t="s">
        <v>62</v>
      </c>
      <c r="AD170">
        <f>_xlfn.SWITCH(PROPER(TRIM(S170)),
   "Annual",1,
   "Semi-Annual",2,
   "Quarterly",4,
   "Monthly",12,
   "")</f>
        <v>1</v>
      </c>
    </row>
    <row r="171" spans="1:30" x14ac:dyDescent="0.35">
      <c r="C171" s="28"/>
      <c r="D171" s="27"/>
      <c r="I171" s="22"/>
      <c r="K171" s="22"/>
      <c r="M171" s="22"/>
      <c r="N171" s="21"/>
      <c r="O171" s="21"/>
      <c r="P171" s="5"/>
      <c r="Q171" s="6"/>
      <c r="R171" s="5"/>
      <c r="W171" s="28"/>
      <c r="Y171" s="33"/>
      <c r="Z171" s="33"/>
      <c r="AA171" s="33"/>
    </row>
    <row r="172" spans="1:30" x14ac:dyDescent="0.35">
      <c r="A172" t="s">
        <v>2016</v>
      </c>
      <c r="B172" t="s">
        <v>598</v>
      </c>
      <c r="C172" s="36">
        <f>RATE(U172,V172,-F172,H172)</f>
        <v>9.4143331128541174E-2</v>
      </c>
      <c r="D172" s="3">
        <f>C172*AD172</f>
        <v>9.4143331128541174E-2</v>
      </c>
      <c r="F172">
        <v>99800</v>
      </c>
      <c r="G172" t="s">
        <v>76</v>
      </c>
      <c r="H172">
        <v>100000</v>
      </c>
      <c r="I172" s="22"/>
      <c r="J172">
        <v>10</v>
      </c>
      <c r="K172" s="22"/>
      <c r="L172">
        <v>9.6208946819258294</v>
      </c>
      <c r="M172" s="22">
        <v>9.3000000000000013E-2</v>
      </c>
      <c r="N172" s="21">
        <v>45476</v>
      </c>
      <c r="O172" s="21">
        <v>46027</v>
      </c>
      <c r="P172">
        <f>ROUND(YEARFRAC(N172,O172),0)</f>
        <v>2</v>
      </c>
      <c r="Q172" s="6">
        <f>(M172*H172)/F172</f>
        <v>9.3186372745491006E-2</v>
      </c>
      <c r="R172" s="5">
        <f>IF(S172="Quarterly",4,IF(S172="Semi-annual",2,IF(S172="Annual",1,IF(S172="Pays at maturity",0,IF(S172="Monthly",12,0)))))</f>
        <v>1</v>
      </c>
      <c r="S172" t="s">
        <v>93</v>
      </c>
      <c r="U172">
        <f>R172*P172</f>
        <v>2</v>
      </c>
      <c r="V172">
        <f>(H172*M172)/AD172</f>
        <v>9300.0000000000018</v>
      </c>
      <c r="W172" s="28">
        <f>RATE(U172,V172,-F172,H172)</f>
        <v>9.4143331128541174E-2</v>
      </c>
      <c r="X172" s="27">
        <f>W172*AD172</f>
        <v>9.4143331128541174E-2</v>
      </c>
      <c r="Y172" s="5">
        <f>DURATION(N172,O172,M172,D172,AD172)</f>
        <v>1.4203872141743812</v>
      </c>
      <c r="Z172" s="5">
        <f>Y172/(1+C172)</f>
        <v>1.2981728935909518</v>
      </c>
      <c r="AA172" s="5">
        <f>-Z172*F172</f>
        <v>-129557.65478037699</v>
      </c>
      <c r="AB172" t="s">
        <v>64</v>
      </c>
      <c r="AC172" t="s">
        <v>62</v>
      </c>
      <c r="AD172">
        <f>_xlfn.SWITCH(PROPER(TRIM(S172)),
   "Annual",1,
   "Semi-Annual",2,
   "Quarterly",4,
   "Monthly",12,
   "")</f>
        <v>1</v>
      </c>
    </row>
    <row r="173" spans="1:30" x14ac:dyDescent="0.35">
      <c r="A173" t="s">
        <v>2015</v>
      </c>
      <c r="B173" t="s">
        <v>122</v>
      </c>
      <c r="C173" s="36">
        <f>RATE(U173,V173,-F173,H173)</f>
        <v>9.7567622301828694E-2</v>
      </c>
      <c r="D173" s="3">
        <f>C173*AD173</f>
        <v>9.7567622301828694E-2</v>
      </c>
      <c r="F173">
        <v>986.01</v>
      </c>
      <c r="G173" t="s">
        <v>76</v>
      </c>
      <c r="H173">
        <v>1000</v>
      </c>
      <c r="I173" s="22"/>
      <c r="J173">
        <v>112</v>
      </c>
      <c r="K173" s="22"/>
      <c r="L173">
        <v>12.5876095331078</v>
      </c>
      <c r="M173" s="22">
        <v>9.3900000000000011E-2</v>
      </c>
      <c r="N173" s="21">
        <v>44204</v>
      </c>
      <c r="O173" s="21">
        <v>46030</v>
      </c>
      <c r="P173">
        <f>ROUND(YEARFRAC(N173,O173),0)</f>
        <v>5</v>
      </c>
      <c r="Q173" s="6">
        <f>(M173*H173)/F173</f>
        <v>9.5232299875254819E-2</v>
      </c>
      <c r="R173" s="5">
        <f>IF(S173="Quarterly",4,IF(S173="Semi-annual",2,IF(S173="Annual",1,IF(S173="Pays at maturity",0,IF(S173="Monthly",12,0)))))</f>
        <v>1</v>
      </c>
      <c r="S173" t="s">
        <v>93</v>
      </c>
      <c r="U173">
        <f>R173*P173</f>
        <v>5</v>
      </c>
      <c r="V173">
        <f>(H173*M173)/AD173</f>
        <v>93.9</v>
      </c>
      <c r="W173" s="28">
        <f>RATE(U173,V173,-F173,H173)</f>
        <v>9.7567622301828694E-2</v>
      </c>
      <c r="X173" s="27">
        <f>W173*AD173</f>
        <v>9.7567622301828694E-2</v>
      </c>
      <c r="Y173" s="5">
        <f>DURATION(N173,O173,M173,D173,AD173)</f>
        <v>4.2060966204019232</v>
      </c>
      <c r="Z173" s="5">
        <f>Y173/(1+C173)</f>
        <v>3.8321981579420679</v>
      </c>
      <c r="AA173" s="5">
        <f>-Z173*F173</f>
        <v>-3778.5857057124581</v>
      </c>
      <c r="AB173" t="s">
        <v>64</v>
      </c>
      <c r="AC173" t="s">
        <v>62</v>
      </c>
      <c r="AD173">
        <f>_xlfn.SWITCH(PROPER(TRIM(S173)),
   "Annual",1,
   "Semi-Annual",2,
   "Quarterly",4,
   "Monthly",12,
   "")</f>
        <v>1</v>
      </c>
    </row>
    <row r="174" spans="1:30" x14ac:dyDescent="0.35">
      <c r="A174" t="s">
        <v>2014</v>
      </c>
      <c r="B174" t="s">
        <v>326</v>
      </c>
      <c r="C174" s="36">
        <f>RATE(U174,V174,-F174,H174)</f>
        <v>0.11734693877551017</v>
      </c>
      <c r="D174" s="3">
        <f>C174*AD174</f>
        <v>0.11734693877551017</v>
      </c>
      <c r="F174">
        <v>980</v>
      </c>
      <c r="G174" t="s">
        <v>76</v>
      </c>
      <c r="H174">
        <v>1000</v>
      </c>
      <c r="I174" s="22"/>
      <c r="J174">
        <v>101</v>
      </c>
      <c r="K174" s="22"/>
      <c r="L174">
        <v>13.9749003049495</v>
      </c>
      <c r="M174" s="22">
        <v>9.5000000000000001E-2</v>
      </c>
      <c r="N174" s="21">
        <v>45630</v>
      </c>
      <c r="O174" s="21">
        <v>46030</v>
      </c>
      <c r="P174">
        <f>ROUND(YEARFRAC(N174,O174),0)</f>
        <v>1</v>
      </c>
      <c r="Q174" s="6">
        <f>(M174*H174)/F174</f>
        <v>9.6938775510204078E-2</v>
      </c>
      <c r="R174" s="5">
        <f>IF(S174="Quarterly",4,IF(S174="Semi-annual",2,IF(S174="Annual",1,IF(S174="Pays at maturity",0,IF(S174="Monthly",12,0)))))</f>
        <v>1</v>
      </c>
      <c r="S174" t="s">
        <v>93</v>
      </c>
      <c r="U174">
        <f>R174*P174</f>
        <v>1</v>
      </c>
      <c r="V174">
        <f>(H174*M174)/AD174</f>
        <v>95</v>
      </c>
      <c r="W174" s="28">
        <f>RATE(U174,V174,-F174,H174)</f>
        <v>0.11734693877551017</v>
      </c>
      <c r="X174" s="27">
        <f>W174*AD174</f>
        <v>0.11734693877551017</v>
      </c>
      <c r="Y174" s="5">
        <f>DURATION(N174,O174,M174,D174,AD174)</f>
        <v>1.0060723514211887</v>
      </c>
      <c r="Z174" s="5">
        <f>Y174/(1+C174)</f>
        <v>0.90041178483357531</v>
      </c>
      <c r="AA174" s="5">
        <f>-Z174*F174</f>
        <v>-882.40354913690385</v>
      </c>
      <c r="AB174" t="s">
        <v>64</v>
      </c>
      <c r="AC174" t="s">
        <v>62</v>
      </c>
      <c r="AD174">
        <f>_xlfn.SWITCH(PROPER(TRIM(S174)),
   "Annual",1,
   "Semi-Annual",2,
   "Quarterly",4,
   "Monthly",12,
   "")</f>
        <v>1</v>
      </c>
    </row>
    <row r="175" spans="1:30" x14ac:dyDescent="0.35">
      <c r="A175" t="s">
        <v>2013</v>
      </c>
      <c r="B175" t="s">
        <v>122</v>
      </c>
      <c r="C175" s="36">
        <f>RATE(U175,V175,-F175,H175)</f>
        <v>8.7775587039789646E-2</v>
      </c>
      <c r="D175" s="3">
        <f>C175*AD175</f>
        <v>8.7775587039789646E-2</v>
      </c>
      <c r="F175">
        <v>1040</v>
      </c>
      <c r="G175" t="s">
        <v>76</v>
      </c>
      <c r="H175">
        <v>1000</v>
      </c>
      <c r="I175" s="22"/>
      <c r="J175">
        <v>60</v>
      </c>
      <c r="K175" s="22"/>
      <c r="L175">
        <v>1.1162949476558901</v>
      </c>
      <c r="M175" s="22">
        <v>9.8000000000000004E-2</v>
      </c>
      <c r="N175" s="21">
        <v>44204</v>
      </c>
      <c r="O175" s="21">
        <v>46030</v>
      </c>
      <c r="P175">
        <f>ROUND(YEARFRAC(N175,O175),0)</f>
        <v>5</v>
      </c>
      <c r="Q175" s="6">
        <f>(M175*H175)/F175</f>
        <v>9.4230769230769229E-2</v>
      </c>
      <c r="R175" s="5">
        <f>IF(S175="Quarterly",4,IF(S175="Semi-annual",2,IF(S175="Annual",1,IF(S175="Pays at maturity",0,IF(S175="Monthly",12,0)))))</f>
        <v>1</v>
      </c>
      <c r="S175" t="s">
        <v>93</v>
      </c>
      <c r="U175">
        <f>R175*P175</f>
        <v>5</v>
      </c>
      <c r="V175">
        <f>(H175*M175)/AD175</f>
        <v>98</v>
      </c>
      <c r="W175" s="28">
        <f>RATE(U175,V175,-F175,H175)</f>
        <v>8.7775587039789646E-2</v>
      </c>
      <c r="X175" s="27">
        <f>W175*AD175</f>
        <v>8.7775587039789646E-2</v>
      </c>
      <c r="Y175" s="5">
        <f>DURATION(N175,O175,M175,D175,AD175)</f>
        <v>4.2008566474589255</v>
      </c>
      <c r="Z175" s="5">
        <f>Y175/(1+C175)</f>
        <v>3.8618780357912765</v>
      </c>
      <c r="AA175" s="5">
        <f>-Z175*F175</f>
        <v>-4016.3531572229276</v>
      </c>
      <c r="AB175" t="s">
        <v>64</v>
      </c>
      <c r="AC175" t="s">
        <v>62</v>
      </c>
      <c r="AD175">
        <f>_xlfn.SWITCH(PROPER(TRIM(S175)),
   "Annual",1,
   "Semi-Annual",2,
   "Quarterly",4,
   "Monthly",12,
   "")</f>
        <v>1</v>
      </c>
    </row>
    <row r="176" spans="1:30" x14ac:dyDescent="0.35">
      <c r="C176" s="28"/>
      <c r="D176" s="27"/>
      <c r="I176" s="22"/>
      <c r="K176" s="22"/>
      <c r="M176" s="22"/>
      <c r="N176" s="21"/>
      <c r="O176" s="21"/>
      <c r="P176" s="5"/>
      <c r="Q176" s="6"/>
      <c r="R176" s="5"/>
      <c r="W176" s="28"/>
      <c r="Y176" s="33"/>
      <c r="Z176" s="33"/>
      <c r="AA176" s="33"/>
    </row>
    <row r="177" spans="1:30" x14ac:dyDescent="0.35">
      <c r="C177" s="28"/>
      <c r="D177" s="27"/>
      <c r="I177" s="22"/>
      <c r="K177" s="22"/>
      <c r="M177" s="22"/>
      <c r="N177" s="21"/>
      <c r="O177" s="21"/>
      <c r="P177" s="5"/>
      <c r="Q177" s="6"/>
      <c r="R177" s="5"/>
      <c r="W177" s="28"/>
      <c r="Y177" s="33"/>
      <c r="Z177" s="33"/>
      <c r="AA177" s="33"/>
    </row>
    <row r="178" spans="1:30" x14ac:dyDescent="0.35">
      <c r="A178" t="s">
        <v>2010</v>
      </c>
      <c r="B178" t="s">
        <v>353</v>
      </c>
      <c r="C178" s="36">
        <f>RATE(U178,V178,-F178,H178)</f>
        <v>0.17374513996425867</v>
      </c>
      <c r="D178" s="3">
        <f>C178*AD178</f>
        <v>0.17374513996425867</v>
      </c>
      <c r="F178">
        <v>860</v>
      </c>
      <c r="G178" t="s">
        <v>76</v>
      </c>
      <c r="H178">
        <v>1000</v>
      </c>
      <c r="I178" s="22"/>
      <c r="J178">
        <v>60</v>
      </c>
      <c r="K178" s="22"/>
      <c r="L178">
        <v>39.3168604651162</v>
      </c>
      <c r="M178" s="22">
        <v>0.11</v>
      </c>
      <c r="N178" s="21">
        <v>44938</v>
      </c>
      <c r="O178" s="21">
        <v>46031</v>
      </c>
      <c r="P178">
        <f>ROUND(YEARFRAC(N178,O178),0)</f>
        <v>3</v>
      </c>
      <c r="Q178" s="6">
        <f>(M178*H178)/F178</f>
        <v>0.12790697674418605</v>
      </c>
      <c r="R178" s="5">
        <f>IF(S178="Quarterly",4,IF(S178="Semi-annual",2,IF(S178="Annual",1,IF(S178="Pays at maturity",0,IF(S178="Monthly",12,0)))))</f>
        <v>1</v>
      </c>
      <c r="S178" t="s">
        <v>93</v>
      </c>
      <c r="U178">
        <f>R178*P178</f>
        <v>3</v>
      </c>
      <c r="V178">
        <f>(H178*M178)/AD178</f>
        <v>110</v>
      </c>
      <c r="W178" s="28">
        <f>RATE(U178,V178,-F178,H178)</f>
        <v>0.17374513996425867</v>
      </c>
      <c r="X178" s="27">
        <f>W178*AD178</f>
        <v>0.17374513996425867</v>
      </c>
      <c r="Y178" s="5">
        <f>DURATION(N178,O178,M178,D178,AD178)</f>
        <v>2.6808774481070432</v>
      </c>
      <c r="Z178" s="5">
        <f>Y178/(1+C178)</f>
        <v>2.2840371021162889</v>
      </c>
      <c r="AA178" s="5">
        <f>-Z178*F178</f>
        <v>-1964.2719078200084</v>
      </c>
      <c r="AB178" t="s">
        <v>64</v>
      </c>
      <c r="AC178" t="s">
        <v>62</v>
      </c>
      <c r="AD178">
        <f>_xlfn.SWITCH(PROPER(TRIM(S178)),
   "Annual",1,
   "Semi-Annual",2,
   "Quarterly",4,
   "Monthly",12,
   "")</f>
        <v>1</v>
      </c>
    </row>
    <row r="179" spans="1:30" x14ac:dyDescent="0.35">
      <c r="A179" t="s">
        <v>2009</v>
      </c>
      <c r="B179" t="s">
        <v>272</v>
      </c>
      <c r="C179" s="36">
        <f>RATE(U179,V179,-F179,H179)</f>
        <v>7.5391740168721494E-2</v>
      </c>
      <c r="D179" s="3">
        <f>C179*AD179</f>
        <v>7.5391740168721494E-2</v>
      </c>
      <c r="F179">
        <v>982.25</v>
      </c>
      <c r="G179" t="s">
        <v>76</v>
      </c>
      <c r="H179">
        <v>1000</v>
      </c>
      <c r="I179" s="22"/>
      <c r="J179">
        <v>1</v>
      </c>
      <c r="K179" s="22"/>
      <c r="L179">
        <v>11.019006912934399</v>
      </c>
      <c r="M179" s="22">
        <v>7.0999999999999994E-2</v>
      </c>
      <c r="N179" s="21">
        <v>44207</v>
      </c>
      <c r="O179" s="21">
        <v>46033</v>
      </c>
      <c r="P179">
        <f>ROUND(YEARFRAC(N179,O179),0)</f>
        <v>5</v>
      </c>
      <c r="Q179" s="6">
        <f>(M179*H179)/F179</f>
        <v>7.228302367014508E-2</v>
      </c>
      <c r="R179" s="5">
        <f>IF(S179="Quarterly",4,IF(S179="Semi-annual",2,IF(S179="Annual",1,IF(S179="Pays at maturity",0,IF(S179="Monthly",12,0)))))</f>
        <v>1</v>
      </c>
      <c r="S179" t="s">
        <v>93</v>
      </c>
      <c r="U179">
        <f>R179*P179</f>
        <v>5</v>
      </c>
      <c r="V179">
        <f>(H179*M179)/AD179</f>
        <v>71</v>
      </c>
      <c r="W179" s="28">
        <f>RATE(U179,V179,-F179,H179)</f>
        <v>7.5391740168721494E-2</v>
      </c>
      <c r="X179" s="27">
        <f>W179*AD179</f>
        <v>7.5391740168721494E-2</v>
      </c>
      <c r="Y179" s="5">
        <f>DURATION(N179,O179,M179,D179,AD179)</f>
        <v>4.37333841612128</v>
      </c>
      <c r="Z179" s="5">
        <f>Y179/(1+C179)</f>
        <v>4.0667398239781294</v>
      </c>
      <c r="AA179" s="5">
        <f>-Z179*F179</f>
        <v>-3994.5551921025176</v>
      </c>
      <c r="AB179" t="s">
        <v>64</v>
      </c>
      <c r="AC179" t="s">
        <v>62</v>
      </c>
      <c r="AD179">
        <f>_xlfn.SWITCH(PROPER(TRIM(S179)),
   "Annual",1,
   "Semi-Annual",2,
   "Quarterly",4,
   "Monthly",12,
   "")</f>
        <v>1</v>
      </c>
    </row>
    <row r="180" spans="1:30" x14ac:dyDescent="0.35">
      <c r="C180" s="28"/>
      <c r="D180" s="27"/>
      <c r="I180" s="22"/>
      <c r="K180" s="22"/>
      <c r="M180" s="22"/>
      <c r="N180" s="21"/>
      <c r="O180" s="21"/>
      <c r="P180" s="5"/>
      <c r="Q180" s="6"/>
      <c r="R180" s="5"/>
      <c r="W180" s="28"/>
      <c r="Y180" s="33"/>
      <c r="Z180" s="33"/>
      <c r="AA180" s="33"/>
    </row>
    <row r="181" spans="1:30" x14ac:dyDescent="0.35">
      <c r="A181" t="s">
        <v>2007</v>
      </c>
      <c r="B181" t="s">
        <v>272</v>
      </c>
      <c r="C181" s="36">
        <f t="shared" ref="C181:C195" si="117">RATE(U181,V181,-F181,H181)</f>
        <v>6.7206204060168084E-2</v>
      </c>
      <c r="D181" s="3">
        <f t="shared" ref="D181:D195" si="118">C181*AD181</f>
        <v>6.7206204060168084E-2</v>
      </c>
      <c r="F181">
        <v>1026</v>
      </c>
      <c r="G181" t="s">
        <v>76</v>
      </c>
      <c r="H181">
        <v>1000</v>
      </c>
      <c r="I181" s="22"/>
      <c r="J181">
        <v>25</v>
      </c>
      <c r="K181" s="22"/>
      <c r="L181">
        <v>2.0535146952710099</v>
      </c>
      <c r="M181" s="22">
        <v>7.3499999999999996E-2</v>
      </c>
      <c r="N181" s="21">
        <v>44207</v>
      </c>
      <c r="O181" s="21">
        <v>46033</v>
      </c>
      <c r="P181">
        <f t="shared" ref="P181:P195" si="119">ROUND(YEARFRAC(N181,O181),0)</f>
        <v>5</v>
      </c>
      <c r="Q181" s="6">
        <f t="shared" ref="Q181:Q195" si="120">(M181*H181)/F181</f>
        <v>7.1637426900584791E-2</v>
      </c>
      <c r="R181" s="5">
        <f t="shared" ref="R181:R195" si="121">IF(S181="Quarterly",4,IF(S181="Semi-annual",2,IF(S181="Annual",1,IF(S181="Pays at maturity",0,IF(S181="Monthly",12,0)))))</f>
        <v>1</v>
      </c>
      <c r="S181" t="s">
        <v>93</v>
      </c>
      <c r="U181">
        <f t="shared" ref="U181:U195" si="122">R181*P181</f>
        <v>5</v>
      </c>
      <c r="V181">
        <f t="shared" ref="V181:V195" si="123">(H181*M181)/AD181</f>
        <v>73.5</v>
      </c>
      <c r="W181" s="28">
        <f t="shared" ref="W181:W195" si="124">RATE(U181,V181,-F181,H181)</f>
        <v>6.7206204060168084E-2</v>
      </c>
      <c r="X181" s="27">
        <f t="shared" ref="X181:X195" si="125">W181*AD181</f>
        <v>6.7206204060168084E-2</v>
      </c>
      <c r="Y181" s="5">
        <f t="shared" ref="Y181:Y195" si="126">DURATION(N181,O181,M181,D181,AD181)</f>
        <v>4.3696963913174978</v>
      </c>
      <c r="Z181" s="5">
        <f t="shared" ref="Z181:Z195" si="127">Y181/(1+C181)</f>
        <v>4.0945192922352414</v>
      </c>
      <c r="AA181" s="5">
        <f t="shared" ref="AA181:AA195" si="128">-Z181*F181</f>
        <v>-4200.976793833358</v>
      </c>
      <c r="AB181" t="s">
        <v>64</v>
      </c>
      <c r="AC181" t="s">
        <v>62</v>
      </c>
      <c r="AD181">
        <f t="shared" ref="AD181:AD195" si="129">_xlfn.SWITCH(PROPER(TRIM(S181)),
   "Annual",1,
   "Semi-Annual",2,
   "Quarterly",4,
   "Monthly",12,
   "")</f>
        <v>1</v>
      </c>
    </row>
    <row r="182" spans="1:30" x14ac:dyDescent="0.35">
      <c r="A182" t="s">
        <v>2006</v>
      </c>
      <c r="B182" t="s">
        <v>634</v>
      </c>
      <c r="C182" s="36">
        <f t="shared" si="117"/>
        <v>0.11029208006671287</v>
      </c>
      <c r="D182" s="3">
        <f t="shared" si="118"/>
        <v>0.11029208006671287</v>
      </c>
      <c r="F182">
        <v>99950</v>
      </c>
      <c r="G182" t="s">
        <v>76</v>
      </c>
      <c r="H182">
        <v>100000</v>
      </c>
      <c r="I182" s="22"/>
      <c r="J182">
        <v>5</v>
      </c>
      <c r="K182" s="22"/>
      <c r="L182">
        <v>11.109840634603</v>
      </c>
      <c r="M182" s="22">
        <v>0.11</v>
      </c>
      <c r="N182" s="21">
        <v>45212</v>
      </c>
      <c r="O182" s="21">
        <v>46035</v>
      </c>
      <c r="P182">
        <f t="shared" si="119"/>
        <v>2</v>
      </c>
      <c r="Q182" s="6">
        <f t="shared" si="120"/>
        <v>0.11005502751375688</v>
      </c>
      <c r="R182" s="5">
        <f t="shared" si="121"/>
        <v>1</v>
      </c>
      <c r="S182" t="s">
        <v>93</v>
      </c>
      <c r="U182">
        <f t="shared" si="122"/>
        <v>2</v>
      </c>
      <c r="V182">
        <f t="shared" si="123"/>
        <v>11000</v>
      </c>
      <c r="W182" s="28">
        <f t="shared" si="124"/>
        <v>0.11029208006671287</v>
      </c>
      <c r="X182" s="27">
        <f t="shared" si="125"/>
        <v>0.11029208006671287</v>
      </c>
      <c r="Y182" s="5">
        <f t="shared" si="126"/>
        <v>1.9624172785055076</v>
      </c>
      <c r="Z182" s="5">
        <f t="shared" si="127"/>
        <v>1.7674784083730419</v>
      </c>
      <c r="AA182" s="5">
        <f t="shared" si="128"/>
        <v>-176659.46691688555</v>
      </c>
      <c r="AB182" t="s">
        <v>64</v>
      </c>
      <c r="AC182" t="s">
        <v>62</v>
      </c>
      <c r="AD182">
        <f t="shared" si="129"/>
        <v>1</v>
      </c>
    </row>
    <row r="183" spans="1:30" x14ac:dyDescent="0.35">
      <c r="A183" t="s">
        <v>2005</v>
      </c>
      <c r="B183" t="s">
        <v>465</v>
      </c>
      <c r="C183" s="36">
        <f t="shared" si="117"/>
        <v>0.11904547547634634</v>
      </c>
      <c r="D183" s="3">
        <f t="shared" si="118"/>
        <v>0.11904547547634634</v>
      </c>
      <c r="F183">
        <v>98744.87</v>
      </c>
      <c r="G183" t="s">
        <v>76</v>
      </c>
      <c r="H183">
        <v>100000</v>
      </c>
      <c r="I183" s="22"/>
      <c r="J183">
        <v>1</v>
      </c>
      <c r="K183" s="22"/>
      <c r="L183">
        <v>13.088202259902999</v>
      </c>
      <c r="M183" s="22">
        <v>0.105</v>
      </c>
      <c r="N183" s="21">
        <v>45579</v>
      </c>
      <c r="O183" s="21">
        <v>46036</v>
      </c>
      <c r="P183">
        <f t="shared" si="119"/>
        <v>1</v>
      </c>
      <c r="Q183" s="6">
        <f t="shared" si="120"/>
        <v>0.10633463794119127</v>
      </c>
      <c r="R183" s="5">
        <f t="shared" si="121"/>
        <v>1</v>
      </c>
      <c r="S183" t="s">
        <v>93</v>
      </c>
      <c r="U183">
        <f t="shared" si="122"/>
        <v>1</v>
      </c>
      <c r="V183">
        <f t="shared" si="123"/>
        <v>10500</v>
      </c>
      <c r="W183" s="28">
        <f t="shared" si="124"/>
        <v>0.11904547547634634</v>
      </c>
      <c r="X183" s="27">
        <f t="shared" si="125"/>
        <v>0.11904547547634634</v>
      </c>
      <c r="Y183" s="5">
        <f t="shared" si="126"/>
        <v>1.1538856469873597</v>
      </c>
      <c r="Z183" s="5">
        <f t="shared" si="127"/>
        <v>1.031133829924278</v>
      </c>
      <c r="AA183" s="5">
        <f t="shared" si="128"/>
        <v>-101819.17598847493</v>
      </c>
      <c r="AB183" t="s">
        <v>64</v>
      </c>
      <c r="AC183" t="s">
        <v>62</v>
      </c>
      <c r="AD183">
        <f t="shared" si="129"/>
        <v>1</v>
      </c>
    </row>
    <row r="184" spans="1:30" x14ac:dyDescent="0.35">
      <c r="A184" t="s">
        <v>2004</v>
      </c>
      <c r="B184" t="s">
        <v>67</v>
      </c>
      <c r="C184" s="36">
        <f t="shared" si="117"/>
        <v>1.317550998721523E-2</v>
      </c>
      <c r="D184" s="3">
        <f t="shared" si="118"/>
        <v>2.635101997443046E-2</v>
      </c>
      <c r="F184">
        <v>989.24</v>
      </c>
      <c r="G184" t="s">
        <v>66</v>
      </c>
      <c r="H184">
        <v>1000</v>
      </c>
      <c r="I184" s="22"/>
      <c r="J184">
        <v>26800</v>
      </c>
      <c r="K184" s="22"/>
      <c r="M184" s="22">
        <v>2.512E-2</v>
      </c>
      <c r="N184" s="21">
        <v>42242</v>
      </c>
      <c r="O184" s="21">
        <v>46037</v>
      </c>
      <c r="P184">
        <f t="shared" si="119"/>
        <v>10</v>
      </c>
      <c r="Q184" s="6">
        <f t="shared" si="120"/>
        <v>2.5393231167360805E-2</v>
      </c>
      <c r="R184" s="5">
        <f t="shared" si="121"/>
        <v>2</v>
      </c>
      <c r="S184" t="s">
        <v>65</v>
      </c>
      <c r="U184">
        <f t="shared" si="122"/>
        <v>20</v>
      </c>
      <c r="V184">
        <f t="shared" si="123"/>
        <v>12.56</v>
      </c>
      <c r="W184" s="28">
        <f t="shared" si="124"/>
        <v>1.317550998721523E-2</v>
      </c>
      <c r="X184" s="27">
        <f t="shared" si="125"/>
        <v>2.635101997443046E-2</v>
      </c>
      <c r="Y184" s="5">
        <f t="shared" si="126"/>
        <v>9.1720279881242028</v>
      </c>
      <c r="Z184" s="5">
        <f t="shared" si="127"/>
        <v>9.0527533460021541</v>
      </c>
      <c r="AA184" s="5">
        <f t="shared" si="128"/>
        <v>-8955.3457199991717</v>
      </c>
      <c r="AB184" t="s">
        <v>69</v>
      </c>
      <c r="AC184" t="s">
        <v>62</v>
      </c>
      <c r="AD184">
        <f t="shared" si="129"/>
        <v>2</v>
      </c>
    </row>
    <row r="185" spans="1:30" x14ac:dyDescent="0.35">
      <c r="A185" t="s">
        <v>1999</v>
      </c>
      <c r="B185" t="s">
        <v>636</v>
      </c>
      <c r="C185" s="36">
        <f t="shared" si="117"/>
        <v>2.2583270067424114E-2</v>
      </c>
      <c r="D185" s="3">
        <f t="shared" si="118"/>
        <v>4.5166540134848228E-2</v>
      </c>
      <c r="F185">
        <v>999.01</v>
      </c>
      <c r="G185" t="s">
        <v>694</v>
      </c>
      <c r="H185">
        <v>1000</v>
      </c>
      <c r="I185" s="22"/>
      <c r="J185">
        <v>0</v>
      </c>
      <c r="K185" s="22"/>
      <c r="M185" s="22">
        <v>4.4999999999999998E-2</v>
      </c>
      <c r="N185" s="21">
        <v>43357</v>
      </c>
      <c r="O185" s="21">
        <v>46037</v>
      </c>
      <c r="P185">
        <f t="shared" si="119"/>
        <v>7</v>
      </c>
      <c r="Q185" s="6">
        <f t="shared" si="120"/>
        <v>4.5044594148206725E-2</v>
      </c>
      <c r="R185" s="5">
        <f t="shared" si="121"/>
        <v>2</v>
      </c>
      <c r="S185" t="s">
        <v>65</v>
      </c>
      <c r="U185">
        <f t="shared" si="122"/>
        <v>14</v>
      </c>
      <c r="V185">
        <f t="shared" si="123"/>
        <v>22.5</v>
      </c>
      <c r="W185" s="28">
        <f t="shared" si="124"/>
        <v>2.2583270067424114E-2</v>
      </c>
      <c r="X185" s="27">
        <f t="shared" si="125"/>
        <v>4.5166540134848228E-2</v>
      </c>
      <c r="Y185" s="5">
        <f t="shared" si="126"/>
        <v>6.2834110931709315</v>
      </c>
      <c r="Z185" s="5">
        <f t="shared" si="127"/>
        <v>6.1446449175299271</v>
      </c>
      <c r="AA185" s="5">
        <f t="shared" si="128"/>
        <v>-6138.5617190615721</v>
      </c>
      <c r="AB185" t="s">
        <v>69</v>
      </c>
      <c r="AC185" t="s">
        <v>62</v>
      </c>
      <c r="AD185">
        <f t="shared" si="129"/>
        <v>2</v>
      </c>
    </row>
    <row r="186" spans="1:30" x14ac:dyDescent="0.35">
      <c r="A186" t="s">
        <v>1999</v>
      </c>
      <c r="B186" t="s">
        <v>636</v>
      </c>
      <c r="C186" s="36">
        <f t="shared" si="117"/>
        <v>2.2583270067424114E-2</v>
      </c>
      <c r="D186" s="3">
        <f t="shared" si="118"/>
        <v>4.5166540134848228E-2</v>
      </c>
      <c r="F186">
        <v>999.01</v>
      </c>
      <c r="G186" t="s">
        <v>694</v>
      </c>
      <c r="H186">
        <v>1000</v>
      </c>
      <c r="I186" s="22"/>
      <c r="J186">
        <v>0</v>
      </c>
      <c r="K186" s="22"/>
      <c r="M186" s="22">
        <v>4.4999999999999998E-2</v>
      </c>
      <c r="N186" s="21">
        <v>43357</v>
      </c>
      <c r="O186" s="21">
        <v>46037</v>
      </c>
      <c r="P186">
        <f t="shared" si="119"/>
        <v>7</v>
      </c>
      <c r="Q186" s="6">
        <f t="shared" si="120"/>
        <v>4.5044594148206725E-2</v>
      </c>
      <c r="R186" s="5">
        <f t="shared" si="121"/>
        <v>2</v>
      </c>
      <c r="S186" t="s">
        <v>65</v>
      </c>
      <c r="U186">
        <f t="shared" si="122"/>
        <v>14</v>
      </c>
      <c r="V186">
        <f t="shared" si="123"/>
        <v>22.5</v>
      </c>
      <c r="W186" s="28">
        <f t="shared" si="124"/>
        <v>2.2583270067424114E-2</v>
      </c>
      <c r="X186" s="27">
        <f t="shared" si="125"/>
        <v>4.5166540134848228E-2</v>
      </c>
      <c r="Y186" s="5">
        <f t="shared" si="126"/>
        <v>6.2834110931709315</v>
      </c>
      <c r="Z186" s="5">
        <f t="shared" si="127"/>
        <v>6.1446449175299271</v>
      </c>
      <c r="AA186" s="5">
        <f t="shared" si="128"/>
        <v>-6138.5617190615721</v>
      </c>
      <c r="AB186" t="s">
        <v>69</v>
      </c>
      <c r="AC186" t="s">
        <v>62</v>
      </c>
      <c r="AD186">
        <f t="shared" si="129"/>
        <v>2</v>
      </c>
    </row>
    <row r="187" spans="1:30" x14ac:dyDescent="0.35">
      <c r="A187" t="s">
        <v>2003</v>
      </c>
      <c r="B187" t="s">
        <v>316</v>
      </c>
      <c r="C187" s="36">
        <f t="shared" si="117"/>
        <v>9.6393021167719264E-2</v>
      </c>
      <c r="D187" s="3">
        <f t="shared" si="118"/>
        <v>9.6393021167719264E-2</v>
      </c>
      <c r="F187">
        <v>984</v>
      </c>
      <c r="G187" t="s">
        <v>76</v>
      </c>
      <c r="H187">
        <v>1000</v>
      </c>
      <c r="I187" s="22"/>
      <c r="J187">
        <v>20</v>
      </c>
      <c r="K187" s="22"/>
      <c r="L187">
        <v>12.2536500234112</v>
      </c>
      <c r="M187" s="22">
        <v>0.09</v>
      </c>
      <c r="N187" s="21">
        <v>44942</v>
      </c>
      <c r="O187" s="21">
        <v>46037</v>
      </c>
      <c r="P187">
        <f t="shared" si="119"/>
        <v>3</v>
      </c>
      <c r="Q187" s="6">
        <f t="shared" si="120"/>
        <v>9.1463414634146339E-2</v>
      </c>
      <c r="R187" s="5">
        <f t="shared" si="121"/>
        <v>1</v>
      </c>
      <c r="S187" t="s">
        <v>93</v>
      </c>
      <c r="U187">
        <f t="shared" si="122"/>
        <v>3</v>
      </c>
      <c r="V187">
        <f t="shared" si="123"/>
        <v>90</v>
      </c>
      <c r="W187" s="28">
        <f t="shared" si="124"/>
        <v>9.6393021167719264E-2</v>
      </c>
      <c r="X187" s="27">
        <f t="shared" si="125"/>
        <v>9.6393021167719264E-2</v>
      </c>
      <c r="Y187" s="5">
        <f t="shared" si="126"/>
        <v>2.7542902352900609</v>
      </c>
      <c r="Z187" s="5">
        <f t="shared" si="127"/>
        <v>2.5121376934309461</v>
      </c>
      <c r="AA187" s="5">
        <f t="shared" si="128"/>
        <v>-2471.9434903360511</v>
      </c>
      <c r="AB187" t="s">
        <v>64</v>
      </c>
      <c r="AC187" t="s">
        <v>62</v>
      </c>
      <c r="AD187">
        <f t="shared" si="129"/>
        <v>1</v>
      </c>
    </row>
    <row r="188" spans="1:30" x14ac:dyDescent="0.35">
      <c r="A188" t="s">
        <v>2002</v>
      </c>
      <c r="B188" t="s">
        <v>67</v>
      </c>
      <c r="C188" s="36">
        <f t="shared" si="117"/>
        <v>9.953465501866458E-3</v>
      </c>
      <c r="D188" s="3">
        <f t="shared" si="118"/>
        <v>1.9906931003732916E-2</v>
      </c>
      <c r="F188">
        <v>990.1</v>
      </c>
      <c r="G188" t="s">
        <v>66</v>
      </c>
      <c r="H188">
        <v>1000</v>
      </c>
      <c r="I188" s="22"/>
      <c r="J188">
        <v>1156840</v>
      </c>
      <c r="K188" s="22"/>
      <c r="M188" s="22">
        <v>1.8700000000000001E-2</v>
      </c>
      <c r="N188" s="21">
        <v>42677</v>
      </c>
      <c r="O188" s="21">
        <v>46037</v>
      </c>
      <c r="P188">
        <f t="shared" si="119"/>
        <v>9</v>
      </c>
      <c r="Q188" s="6">
        <f t="shared" si="120"/>
        <v>1.888698111301889E-2</v>
      </c>
      <c r="R188" s="5">
        <f t="shared" si="121"/>
        <v>2</v>
      </c>
      <c r="S188" t="s">
        <v>65</v>
      </c>
      <c r="U188">
        <f t="shared" si="122"/>
        <v>18</v>
      </c>
      <c r="V188">
        <f t="shared" si="123"/>
        <v>9.3500000000000014</v>
      </c>
      <c r="W188" s="28">
        <f t="shared" si="124"/>
        <v>9.953465501866458E-3</v>
      </c>
      <c r="X188" s="27">
        <f t="shared" si="125"/>
        <v>1.9906931003732916E-2</v>
      </c>
      <c r="Y188" s="5">
        <f t="shared" si="126"/>
        <v>8.4430951361958257</v>
      </c>
      <c r="Z188" s="5">
        <f t="shared" si="127"/>
        <v>8.3598853062009937</v>
      </c>
      <c r="AA188" s="5">
        <f t="shared" si="128"/>
        <v>-8277.1224416696041</v>
      </c>
      <c r="AB188" t="s">
        <v>69</v>
      </c>
      <c r="AC188" t="s">
        <v>62</v>
      </c>
      <c r="AD188">
        <f t="shared" si="129"/>
        <v>2</v>
      </c>
    </row>
    <row r="189" spans="1:30" x14ac:dyDescent="0.35">
      <c r="A189" t="s">
        <v>2001</v>
      </c>
      <c r="B189" t="s">
        <v>67</v>
      </c>
      <c r="C189" s="36">
        <f t="shared" si="117"/>
        <v>1.3034935050258791E-2</v>
      </c>
      <c r="D189" s="3">
        <f t="shared" si="118"/>
        <v>2.6069870100517582E-2</v>
      </c>
      <c r="F189">
        <v>987</v>
      </c>
      <c r="G189" t="s">
        <v>66</v>
      </c>
      <c r="H189">
        <v>1000</v>
      </c>
      <c r="I189" s="22"/>
      <c r="J189">
        <v>105262</v>
      </c>
      <c r="K189" s="22"/>
      <c r="M189" s="22">
        <v>2.444E-2</v>
      </c>
      <c r="N189" s="21">
        <v>42719</v>
      </c>
      <c r="O189" s="21">
        <v>46037</v>
      </c>
      <c r="P189">
        <f t="shared" si="119"/>
        <v>9</v>
      </c>
      <c r="Q189" s="6">
        <f t="shared" si="120"/>
        <v>2.4761904761904763E-2</v>
      </c>
      <c r="R189" s="5">
        <f t="shared" si="121"/>
        <v>2</v>
      </c>
      <c r="S189" t="s">
        <v>65</v>
      </c>
      <c r="U189">
        <f t="shared" si="122"/>
        <v>18</v>
      </c>
      <c r="V189">
        <f t="shared" si="123"/>
        <v>12.22</v>
      </c>
      <c r="W189" s="28">
        <f t="shared" si="124"/>
        <v>1.3034935050258791E-2</v>
      </c>
      <c r="X189" s="27">
        <f t="shared" si="125"/>
        <v>2.6069870100517582E-2</v>
      </c>
      <c r="Y189" s="5">
        <f t="shared" si="126"/>
        <v>8.1101716976974103</v>
      </c>
      <c r="Z189" s="5">
        <f t="shared" si="127"/>
        <v>8.0058164008875448</v>
      </c>
      <c r="AA189" s="5">
        <f t="shared" si="128"/>
        <v>-7901.7407876760071</v>
      </c>
      <c r="AB189" t="s">
        <v>69</v>
      </c>
      <c r="AC189" t="s">
        <v>62</v>
      </c>
      <c r="AD189">
        <f t="shared" si="129"/>
        <v>2</v>
      </c>
    </row>
    <row r="190" spans="1:30" x14ac:dyDescent="0.35">
      <c r="A190" t="s">
        <v>2000</v>
      </c>
      <c r="B190" t="s">
        <v>67</v>
      </c>
      <c r="C190" s="36">
        <f t="shared" si="117"/>
        <v>1.0763490775232202E-2</v>
      </c>
      <c r="D190" s="3">
        <f t="shared" si="118"/>
        <v>2.1526981550464404E-2</v>
      </c>
      <c r="F190">
        <v>991.7</v>
      </c>
      <c r="G190" t="s">
        <v>66</v>
      </c>
      <c r="H190">
        <v>1000</v>
      </c>
      <c r="I190" s="22"/>
      <c r="J190">
        <v>10000</v>
      </c>
      <c r="K190" s="22"/>
      <c r="M190" s="22">
        <v>2.06E-2</v>
      </c>
      <c r="N190" s="21">
        <v>42460</v>
      </c>
      <c r="O190" s="21">
        <v>46037</v>
      </c>
      <c r="P190">
        <f t="shared" si="119"/>
        <v>10</v>
      </c>
      <c r="Q190" s="6">
        <f t="shared" si="120"/>
        <v>2.0772411011394574E-2</v>
      </c>
      <c r="R190" s="5">
        <f t="shared" si="121"/>
        <v>2</v>
      </c>
      <c r="S190" t="s">
        <v>65</v>
      </c>
      <c r="U190">
        <f t="shared" si="122"/>
        <v>20</v>
      </c>
      <c r="V190">
        <f t="shared" si="123"/>
        <v>10.3</v>
      </c>
      <c r="W190" s="28">
        <f t="shared" si="124"/>
        <v>1.0763490775232202E-2</v>
      </c>
      <c r="X190" s="27">
        <f t="shared" si="125"/>
        <v>2.1526981550464404E-2</v>
      </c>
      <c r="Y190" s="5">
        <f t="shared" si="126"/>
        <v>8.87234883734547</v>
      </c>
      <c r="Z190" s="5">
        <f t="shared" si="127"/>
        <v>8.7778683325221643</v>
      </c>
      <c r="AA190" s="5">
        <f t="shared" si="128"/>
        <v>-8705.0120253622299</v>
      </c>
      <c r="AB190" t="s">
        <v>69</v>
      </c>
      <c r="AC190" t="s">
        <v>62</v>
      </c>
      <c r="AD190">
        <f t="shared" si="129"/>
        <v>2</v>
      </c>
    </row>
    <row r="191" spans="1:30" x14ac:dyDescent="0.35">
      <c r="A191" t="s">
        <v>1999</v>
      </c>
      <c r="B191" t="s">
        <v>636</v>
      </c>
      <c r="C191" s="36">
        <f t="shared" si="117"/>
        <v>2.2151152010928793E-2</v>
      </c>
      <c r="D191" s="3">
        <f t="shared" si="118"/>
        <v>4.4302304021857586E-2</v>
      </c>
      <c r="F191">
        <v>1004.16</v>
      </c>
      <c r="G191" t="s">
        <v>694</v>
      </c>
      <c r="H191">
        <v>1000</v>
      </c>
      <c r="I191" s="22"/>
      <c r="J191">
        <v>0</v>
      </c>
      <c r="K191" s="22"/>
      <c r="M191" s="22">
        <v>4.4999999999999998E-2</v>
      </c>
      <c r="N191" s="21">
        <v>43357</v>
      </c>
      <c r="O191" s="21">
        <v>46037</v>
      </c>
      <c r="P191">
        <f t="shared" si="119"/>
        <v>7</v>
      </c>
      <c r="Q191" s="6">
        <f t="shared" si="120"/>
        <v>4.4813575525812624E-2</v>
      </c>
      <c r="R191" s="5">
        <f t="shared" si="121"/>
        <v>2</v>
      </c>
      <c r="S191" t="s">
        <v>65</v>
      </c>
      <c r="U191">
        <f t="shared" si="122"/>
        <v>14</v>
      </c>
      <c r="V191">
        <f t="shared" si="123"/>
        <v>22.5</v>
      </c>
      <c r="W191" s="28">
        <f t="shared" si="124"/>
        <v>2.2151152010928793E-2</v>
      </c>
      <c r="X191" s="27">
        <f t="shared" si="125"/>
        <v>4.4302304021857586E-2</v>
      </c>
      <c r="Y191" s="5">
        <f t="shared" si="126"/>
        <v>6.2868824428161059</v>
      </c>
      <c r="Z191" s="5">
        <f t="shared" si="127"/>
        <v>6.1506387097912176</v>
      </c>
      <c r="AA191" s="5">
        <f t="shared" si="128"/>
        <v>-6176.2253668239491</v>
      </c>
      <c r="AB191" t="s">
        <v>69</v>
      </c>
      <c r="AC191" t="s">
        <v>62</v>
      </c>
      <c r="AD191">
        <f t="shared" si="129"/>
        <v>2</v>
      </c>
    </row>
    <row r="192" spans="1:30" x14ac:dyDescent="0.35">
      <c r="A192" t="s">
        <v>1998</v>
      </c>
      <c r="B192" t="s">
        <v>316</v>
      </c>
      <c r="C192" s="36">
        <f t="shared" si="117"/>
        <v>0.14693324988677506</v>
      </c>
      <c r="D192" s="3">
        <f t="shared" si="118"/>
        <v>0.14693324988677506</v>
      </c>
      <c r="F192">
        <v>903</v>
      </c>
      <c r="G192" t="s">
        <v>76</v>
      </c>
      <c r="H192">
        <v>1000</v>
      </c>
      <c r="I192" s="22"/>
      <c r="J192">
        <v>50</v>
      </c>
      <c r="K192" s="22"/>
      <c r="L192">
        <v>28.272005374397001</v>
      </c>
      <c r="M192" s="22">
        <v>8.7499999999999994E-2</v>
      </c>
      <c r="N192" s="21">
        <v>45309</v>
      </c>
      <c r="O192" s="21">
        <v>46039</v>
      </c>
      <c r="P192">
        <f t="shared" si="119"/>
        <v>2</v>
      </c>
      <c r="Q192" s="6">
        <f t="shared" si="120"/>
        <v>9.6899224806201556E-2</v>
      </c>
      <c r="R192" s="5">
        <f t="shared" si="121"/>
        <v>1</v>
      </c>
      <c r="S192" t="s">
        <v>93</v>
      </c>
      <c r="U192">
        <f t="shared" si="122"/>
        <v>2</v>
      </c>
      <c r="V192">
        <f t="shared" si="123"/>
        <v>87.5</v>
      </c>
      <c r="W192" s="28">
        <f t="shared" si="124"/>
        <v>0.14693324988677506</v>
      </c>
      <c r="X192" s="27">
        <f t="shared" si="125"/>
        <v>0.14693324988677506</v>
      </c>
      <c r="Y192" s="5">
        <f t="shared" si="126"/>
        <v>1.9127367259513732</v>
      </c>
      <c r="Z192" s="5">
        <f t="shared" si="127"/>
        <v>1.667696638963251</v>
      </c>
      <c r="AA192" s="5">
        <f t="shared" si="128"/>
        <v>-1505.9300649838158</v>
      </c>
      <c r="AB192" t="s">
        <v>64</v>
      </c>
      <c r="AC192" t="s">
        <v>62</v>
      </c>
      <c r="AD192">
        <f t="shared" si="129"/>
        <v>1</v>
      </c>
    </row>
    <row r="193" spans="1:30" x14ac:dyDescent="0.35">
      <c r="A193" t="s">
        <v>1997</v>
      </c>
      <c r="B193" t="s">
        <v>157</v>
      </c>
      <c r="C193" s="36">
        <f t="shared" si="117"/>
        <v>9.0300000000000047E-2</v>
      </c>
      <c r="D193" s="3">
        <f t="shared" si="118"/>
        <v>9.0300000000000047E-2</v>
      </c>
      <c r="F193">
        <v>1000</v>
      </c>
      <c r="G193" t="s">
        <v>76</v>
      </c>
      <c r="H193">
        <v>1000</v>
      </c>
      <c r="I193" s="22"/>
      <c r="J193">
        <v>25</v>
      </c>
      <c r="K193" s="22"/>
      <c r="L193">
        <v>9.0299999999999994</v>
      </c>
      <c r="M193" s="22">
        <v>9.0299999999999991E-2</v>
      </c>
      <c r="N193" s="21">
        <v>45309</v>
      </c>
      <c r="O193" s="21">
        <v>46040</v>
      </c>
      <c r="P193">
        <f t="shared" si="119"/>
        <v>2</v>
      </c>
      <c r="Q193" s="6">
        <f t="shared" si="120"/>
        <v>9.0299999999999991E-2</v>
      </c>
      <c r="R193" s="5">
        <f t="shared" si="121"/>
        <v>1</v>
      </c>
      <c r="S193" t="s">
        <v>93</v>
      </c>
      <c r="U193">
        <f t="shared" si="122"/>
        <v>2</v>
      </c>
      <c r="V193">
        <f t="shared" si="123"/>
        <v>90.3</v>
      </c>
      <c r="W193" s="28">
        <f t="shared" si="124"/>
        <v>9.0300000000000047E-2</v>
      </c>
      <c r="X193" s="27">
        <f t="shared" si="125"/>
        <v>9.0300000000000047E-2</v>
      </c>
      <c r="Y193" s="5">
        <f t="shared" si="126"/>
        <v>1.9171787581399615</v>
      </c>
      <c r="Z193" s="5">
        <f t="shared" si="127"/>
        <v>1.7583956325231234</v>
      </c>
      <c r="AA193" s="5">
        <f t="shared" si="128"/>
        <v>-1758.3956325231234</v>
      </c>
      <c r="AB193" t="s">
        <v>64</v>
      </c>
      <c r="AC193" t="s">
        <v>62</v>
      </c>
      <c r="AD193">
        <f t="shared" si="129"/>
        <v>1</v>
      </c>
    </row>
    <row r="194" spans="1:30" x14ac:dyDescent="0.35">
      <c r="A194" t="s">
        <v>1996</v>
      </c>
      <c r="B194" t="s">
        <v>157</v>
      </c>
      <c r="C194" s="36">
        <f t="shared" si="117"/>
        <v>8.0079245984752176E-2</v>
      </c>
      <c r="D194" s="3">
        <f t="shared" si="118"/>
        <v>8.0079245984752176E-2</v>
      </c>
      <c r="F194">
        <v>1025</v>
      </c>
      <c r="G194" t="s">
        <v>76</v>
      </c>
      <c r="H194">
        <v>1000</v>
      </c>
      <c r="I194" s="22"/>
      <c r="J194">
        <v>117</v>
      </c>
      <c r="K194" s="22"/>
      <c r="L194">
        <v>5.4865297034712999</v>
      </c>
      <c r="M194" s="22">
        <v>9.4100000000000003E-2</v>
      </c>
      <c r="N194" s="21">
        <v>45309</v>
      </c>
      <c r="O194" s="21">
        <v>46040</v>
      </c>
      <c r="P194">
        <f t="shared" si="119"/>
        <v>2</v>
      </c>
      <c r="Q194" s="6">
        <f t="shared" si="120"/>
        <v>9.18048780487805E-2</v>
      </c>
      <c r="R194" s="5">
        <f t="shared" si="121"/>
        <v>1</v>
      </c>
      <c r="S194" t="s">
        <v>93</v>
      </c>
      <c r="U194">
        <f t="shared" si="122"/>
        <v>2</v>
      </c>
      <c r="V194">
        <f t="shared" si="123"/>
        <v>94.100000000000009</v>
      </c>
      <c r="W194" s="28">
        <f t="shared" si="124"/>
        <v>8.0079245984752176E-2</v>
      </c>
      <c r="X194" s="27">
        <f t="shared" si="125"/>
        <v>8.0079245984752176E-2</v>
      </c>
      <c r="Y194" s="5">
        <f t="shared" si="126"/>
        <v>1.9150017201144551</v>
      </c>
      <c r="Z194" s="5">
        <f t="shared" si="127"/>
        <v>1.7730196439136929</v>
      </c>
      <c r="AA194" s="5">
        <f t="shared" si="128"/>
        <v>-1817.3451350115351</v>
      </c>
      <c r="AB194" t="s">
        <v>64</v>
      </c>
      <c r="AC194" t="s">
        <v>62</v>
      </c>
      <c r="AD194">
        <f t="shared" si="129"/>
        <v>1</v>
      </c>
    </row>
    <row r="195" spans="1:30" x14ac:dyDescent="0.35">
      <c r="A195" t="s">
        <v>1995</v>
      </c>
      <c r="B195" t="s">
        <v>353</v>
      </c>
      <c r="C195" s="36">
        <f t="shared" si="117"/>
        <v>0.12307692307692306</v>
      </c>
      <c r="D195" s="3">
        <f t="shared" si="118"/>
        <v>0.12307692307692306</v>
      </c>
      <c r="F195">
        <v>975</v>
      </c>
      <c r="G195" t="s">
        <v>76</v>
      </c>
      <c r="H195">
        <v>1000</v>
      </c>
      <c r="I195" s="22"/>
      <c r="J195">
        <v>20</v>
      </c>
      <c r="K195" s="22"/>
      <c r="L195">
        <v>13.9217032967032</v>
      </c>
      <c r="M195" s="22">
        <v>9.5000000000000001E-2</v>
      </c>
      <c r="N195" s="21">
        <v>45674</v>
      </c>
      <c r="O195" s="21">
        <v>46041</v>
      </c>
      <c r="P195">
        <f t="shared" si="119"/>
        <v>1</v>
      </c>
      <c r="Q195" s="6">
        <f t="shared" si="120"/>
        <v>9.7435897435897437E-2</v>
      </c>
      <c r="R195" s="5">
        <f t="shared" si="121"/>
        <v>1</v>
      </c>
      <c r="S195" t="s">
        <v>93</v>
      </c>
      <c r="U195">
        <f t="shared" si="122"/>
        <v>1</v>
      </c>
      <c r="V195">
        <f t="shared" si="123"/>
        <v>95</v>
      </c>
      <c r="W195" s="28">
        <f t="shared" si="124"/>
        <v>0.12307692307692306</v>
      </c>
      <c r="X195" s="27">
        <f t="shared" si="125"/>
        <v>0.12307692307692306</v>
      </c>
      <c r="Y195" s="5">
        <f t="shared" si="126"/>
        <v>0.91677050882658373</v>
      </c>
      <c r="Z195" s="5">
        <f t="shared" si="127"/>
        <v>0.81630250785928693</v>
      </c>
      <c r="AA195" s="5">
        <f t="shared" si="128"/>
        <v>-795.89494516280479</v>
      </c>
      <c r="AB195" t="s">
        <v>64</v>
      </c>
      <c r="AC195" t="s">
        <v>62</v>
      </c>
      <c r="AD195">
        <f t="shared" si="129"/>
        <v>1</v>
      </c>
    </row>
    <row r="196" spans="1:30" x14ac:dyDescent="0.35">
      <c r="C196" s="28"/>
      <c r="D196" s="27"/>
      <c r="I196" s="22"/>
      <c r="K196" s="22"/>
      <c r="M196" s="22"/>
      <c r="N196" s="21"/>
      <c r="O196" s="21"/>
      <c r="P196" s="5"/>
      <c r="Q196" s="6"/>
      <c r="R196" s="5"/>
      <c r="W196" s="28"/>
      <c r="Y196" s="33"/>
      <c r="Z196" s="33"/>
      <c r="AA196" s="33"/>
    </row>
    <row r="197" spans="1:30" x14ac:dyDescent="0.35">
      <c r="C197" s="28"/>
      <c r="D197" s="27"/>
      <c r="I197" s="22"/>
      <c r="K197" s="22"/>
      <c r="M197" s="22"/>
      <c r="N197" s="21"/>
      <c r="O197" s="21"/>
      <c r="P197" s="5"/>
      <c r="Q197" s="6"/>
      <c r="R197" s="5"/>
      <c r="W197" s="28"/>
      <c r="Y197" s="33"/>
      <c r="Z197" s="33"/>
      <c r="AA197" s="33"/>
    </row>
    <row r="198" spans="1:30" x14ac:dyDescent="0.35">
      <c r="A198" t="s">
        <v>1992</v>
      </c>
      <c r="B198" t="s">
        <v>1761</v>
      </c>
      <c r="C198" s="36">
        <f t="shared" ref="C198:C203" si="130">RATE(U198,V198,-F198,H198)</f>
        <v>9.6999926986885379E-2</v>
      </c>
      <c r="D198" s="3">
        <f t="shared" ref="D198:D203" si="131">C198*AD198</f>
        <v>9.6999926986885379E-2</v>
      </c>
      <c r="F198">
        <v>99000</v>
      </c>
      <c r="G198" t="s">
        <v>76</v>
      </c>
      <c r="H198">
        <v>100000</v>
      </c>
      <c r="I198" s="22"/>
      <c r="J198">
        <v>6</v>
      </c>
      <c r="K198" s="22"/>
      <c r="L198">
        <v>11.3446635668857</v>
      </c>
      <c r="M198" s="22">
        <v>9.3000000000000013E-2</v>
      </c>
      <c r="N198" s="21">
        <v>45127</v>
      </c>
      <c r="O198" s="21">
        <v>46042</v>
      </c>
      <c r="P198">
        <f t="shared" ref="P198:P203" si="132">ROUND(YEARFRAC(N198,O198),0)</f>
        <v>3</v>
      </c>
      <c r="Q198" s="6">
        <f t="shared" ref="Q198:Q203" si="133">(M198*H198)/F198</f>
        <v>9.3939393939393961E-2</v>
      </c>
      <c r="R198" s="5">
        <f t="shared" ref="R198:R203" si="134">IF(S198="Quarterly",4,IF(S198="Semi-annual",2,IF(S198="Annual",1,IF(S198="Pays at maturity",0,IF(S198="Monthly",12,0)))))</f>
        <v>1</v>
      </c>
      <c r="S198" t="s">
        <v>93</v>
      </c>
      <c r="U198">
        <f t="shared" ref="U198:U203" si="135">R198*P198</f>
        <v>3</v>
      </c>
      <c r="V198">
        <f t="shared" ref="V198:V203" si="136">(H198*M198)/AD198</f>
        <v>9300.0000000000018</v>
      </c>
      <c r="W198" s="28">
        <f t="shared" ref="W198:W203" si="137">RATE(U198,V198,-F198,H198)</f>
        <v>9.6999926986885379E-2</v>
      </c>
      <c r="X198" s="27">
        <f t="shared" ref="X198:X203" si="138">W198*AD198</f>
        <v>9.6999926986885379E-2</v>
      </c>
      <c r="Y198" s="5">
        <f t="shared" ref="Y198:Y203" si="139">DURATION(N198,O198,M198,D198,AD198)</f>
        <v>2.2506729212888512</v>
      </c>
      <c r="Z198" s="5">
        <f t="shared" ref="Z198:Z203" si="140">Y198/(1+C198)</f>
        <v>2.0516618697238602</v>
      </c>
      <c r="AA198" s="5">
        <f t="shared" ref="AA198:AA203" si="141">-Z198*F198</f>
        <v>-203114.52510266216</v>
      </c>
      <c r="AB198" t="s">
        <v>64</v>
      </c>
      <c r="AC198" t="s">
        <v>62</v>
      </c>
      <c r="AD198">
        <f t="shared" ref="AD198:AD203" si="142">_xlfn.SWITCH(PROPER(TRIM(S198)),
   "Annual",1,
   "Semi-Annual",2,
   "Quarterly",4,
   "Monthly",12,
   "")</f>
        <v>1</v>
      </c>
    </row>
    <row r="199" spans="1:30" x14ac:dyDescent="0.35">
      <c r="A199" t="s">
        <v>1991</v>
      </c>
      <c r="B199" t="s">
        <v>122</v>
      </c>
      <c r="C199" s="36">
        <f t="shared" si="130"/>
        <v>8.3408872107855178E-2</v>
      </c>
      <c r="D199" s="3">
        <f t="shared" si="131"/>
        <v>8.3408872107855178E-2</v>
      </c>
      <c r="F199">
        <v>1032.25</v>
      </c>
      <c r="G199" t="s">
        <v>76</v>
      </c>
      <c r="H199">
        <v>1000</v>
      </c>
      <c r="I199" s="22"/>
      <c r="J199">
        <v>427</v>
      </c>
      <c r="K199" s="22"/>
      <c r="L199">
        <v>3.0686587075027099</v>
      </c>
      <c r="M199" s="22">
        <v>9.6000000000000002E-2</v>
      </c>
      <c r="N199" s="21">
        <v>44946</v>
      </c>
      <c r="O199" s="21">
        <v>46042</v>
      </c>
      <c r="P199">
        <f t="shared" si="132"/>
        <v>3</v>
      </c>
      <c r="Q199" s="6">
        <f t="shared" si="133"/>
        <v>9.3000726568176317E-2</v>
      </c>
      <c r="R199" s="5">
        <f t="shared" si="134"/>
        <v>1</v>
      </c>
      <c r="S199" t="s">
        <v>93</v>
      </c>
      <c r="U199">
        <f t="shared" si="135"/>
        <v>3</v>
      </c>
      <c r="V199">
        <f t="shared" si="136"/>
        <v>96</v>
      </c>
      <c r="W199" s="28">
        <f t="shared" si="137"/>
        <v>8.3408872107855178E-2</v>
      </c>
      <c r="X199" s="27">
        <f t="shared" si="138"/>
        <v>8.3408872107855178E-2</v>
      </c>
      <c r="Y199" s="5">
        <f t="shared" si="139"/>
        <v>2.749086149153118</v>
      </c>
      <c r="Z199" s="5">
        <f t="shared" si="140"/>
        <v>2.5374410528912872</v>
      </c>
      <c r="AA199" s="5">
        <f t="shared" si="141"/>
        <v>-2619.273526847031</v>
      </c>
      <c r="AB199" t="s">
        <v>64</v>
      </c>
      <c r="AC199" t="s">
        <v>62</v>
      </c>
      <c r="AD199">
        <f t="shared" si="142"/>
        <v>1</v>
      </c>
    </row>
    <row r="200" spans="1:30" x14ac:dyDescent="0.35">
      <c r="A200" t="s">
        <v>1990</v>
      </c>
      <c r="B200" t="s">
        <v>122</v>
      </c>
      <c r="C200" s="36">
        <f t="shared" si="130"/>
        <v>9.6073246664683032E-2</v>
      </c>
      <c r="D200" s="3">
        <f t="shared" si="131"/>
        <v>9.6073246664683032E-2</v>
      </c>
      <c r="F200">
        <v>989.8</v>
      </c>
      <c r="G200" t="s">
        <v>76</v>
      </c>
      <c r="H200">
        <v>1000</v>
      </c>
      <c r="I200" s="22"/>
      <c r="J200">
        <v>144</v>
      </c>
      <c r="K200" s="22"/>
      <c r="L200">
        <v>11.372909756868101</v>
      </c>
      <c r="M200" s="22">
        <v>9.1999999999999998E-2</v>
      </c>
      <c r="N200" s="21">
        <v>44946</v>
      </c>
      <c r="O200" s="21">
        <v>46042</v>
      </c>
      <c r="P200">
        <f t="shared" si="132"/>
        <v>3</v>
      </c>
      <c r="Q200" s="6">
        <f t="shared" si="133"/>
        <v>9.2948070317235815E-2</v>
      </c>
      <c r="R200" s="5">
        <f t="shared" si="134"/>
        <v>1</v>
      </c>
      <c r="S200" t="s">
        <v>93</v>
      </c>
      <c r="U200">
        <f t="shared" si="135"/>
        <v>3</v>
      </c>
      <c r="V200">
        <f t="shared" si="136"/>
        <v>92</v>
      </c>
      <c r="W200" s="28">
        <f t="shared" si="137"/>
        <v>9.6073246664683032E-2</v>
      </c>
      <c r="X200" s="27">
        <f t="shared" si="138"/>
        <v>9.6073246664683032E-2</v>
      </c>
      <c r="Y200" s="5">
        <f t="shared" si="139"/>
        <v>2.7530300938959686</v>
      </c>
      <c r="Z200" s="5">
        <f t="shared" si="140"/>
        <v>2.5117209112377794</v>
      </c>
      <c r="AA200" s="5">
        <f t="shared" si="141"/>
        <v>-2486.1013579431537</v>
      </c>
      <c r="AB200" t="s">
        <v>64</v>
      </c>
      <c r="AC200" t="s">
        <v>62</v>
      </c>
      <c r="AD200">
        <f t="shared" si="142"/>
        <v>1</v>
      </c>
    </row>
    <row r="201" spans="1:30" x14ac:dyDescent="0.35">
      <c r="A201" t="s">
        <v>1989</v>
      </c>
      <c r="B201" t="s">
        <v>283</v>
      </c>
      <c r="C201" s="36">
        <f t="shared" si="130"/>
        <v>6.1451613454332227E-2</v>
      </c>
      <c r="D201" s="3">
        <f t="shared" si="131"/>
        <v>0.24580645381732891</v>
      </c>
      <c r="F201">
        <v>500000.01</v>
      </c>
      <c r="G201" t="s">
        <v>76</v>
      </c>
      <c r="H201">
        <v>1000000</v>
      </c>
      <c r="I201" s="22"/>
      <c r="J201">
        <v>1</v>
      </c>
      <c r="K201" s="22"/>
      <c r="M201" s="22">
        <v>0.10150000000000001</v>
      </c>
      <c r="N201" s="21">
        <v>43186</v>
      </c>
      <c r="O201" s="21">
        <v>46042</v>
      </c>
      <c r="P201">
        <f t="shared" si="132"/>
        <v>8</v>
      </c>
      <c r="Q201" s="6">
        <f t="shared" si="133"/>
        <v>0.20299999594000007</v>
      </c>
      <c r="R201" s="5">
        <f t="shared" si="134"/>
        <v>4</v>
      </c>
      <c r="S201" t="s">
        <v>105</v>
      </c>
      <c r="U201">
        <f t="shared" si="135"/>
        <v>32</v>
      </c>
      <c r="V201">
        <f t="shared" si="136"/>
        <v>25375</v>
      </c>
      <c r="W201" s="28">
        <f t="shared" si="137"/>
        <v>6.1451613454332227E-2</v>
      </c>
      <c r="X201" s="27">
        <f t="shared" si="138"/>
        <v>0.24580645381732891</v>
      </c>
      <c r="Y201" s="5">
        <f t="shared" si="139"/>
        <v>4.244361439145564</v>
      </c>
      <c r="Z201" s="5">
        <f t="shared" si="140"/>
        <v>3.9986386429174456</v>
      </c>
      <c r="AA201" s="5">
        <f t="shared" si="141"/>
        <v>-1999319.3614451094</v>
      </c>
      <c r="AB201" t="s">
        <v>64</v>
      </c>
      <c r="AC201" t="s">
        <v>62</v>
      </c>
      <c r="AD201">
        <f t="shared" si="142"/>
        <v>4</v>
      </c>
    </row>
    <row r="202" spans="1:30" x14ac:dyDescent="0.35">
      <c r="A202" t="s">
        <v>1988</v>
      </c>
      <c r="B202" t="s">
        <v>882</v>
      </c>
      <c r="C202" s="36">
        <f t="shared" si="130"/>
        <v>9.8246915397612988E-2</v>
      </c>
      <c r="D202" s="3">
        <f t="shared" si="131"/>
        <v>9.8246915397612988E-2</v>
      </c>
      <c r="F202">
        <v>99000.25</v>
      </c>
      <c r="G202" t="s">
        <v>76</v>
      </c>
      <c r="H202">
        <v>100000</v>
      </c>
      <c r="I202" s="22"/>
      <c r="J202">
        <v>1</v>
      </c>
      <c r="K202" s="22"/>
      <c r="L202">
        <v>11.273221043085</v>
      </c>
      <c r="M202" s="22">
        <v>9.2499999999999999E-2</v>
      </c>
      <c r="N202" s="21">
        <v>45495</v>
      </c>
      <c r="O202" s="21">
        <v>46044</v>
      </c>
      <c r="P202">
        <f t="shared" si="132"/>
        <v>2</v>
      </c>
      <c r="Q202" s="6">
        <f t="shared" si="133"/>
        <v>9.3434107489627549E-2</v>
      </c>
      <c r="R202" s="5">
        <f t="shared" si="134"/>
        <v>1</v>
      </c>
      <c r="S202" t="s">
        <v>93</v>
      </c>
      <c r="U202">
        <f t="shared" si="135"/>
        <v>2</v>
      </c>
      <c r="V202">
        <f t="shared" si="136"/>
        <v>9250</v>
      </c>
      <c r="W202" s="28">
        <f t="shared" si="137"/>
        <v>9.8246915397612988E-2</v>
      </c>
      <c r="X202" s="27">
        <f t="shared" si="138"/>
        <v>9.8246915397612988E-2</v>
      </c>
      <c r="Y202" s="5">
        <f t="shared" si="139"/>
        <v>1.4149243160352509</v>
      </c>
      <c r="Z202" s="5">
        <f t="shared" si="140"/>
        <v>1.2883480902133808</v>
      </c>
      <c r="AA202" s="5">
        <f t="shared" si="141"/>
        <v>-127546.78301814725</v>
      </c>
      <c r="AB202" t="s">
        <v>64</v>
      </c>
      <c r="AC202" t="s">
        <v>62</v>
      </c>
      <c r="AD202">
        <f t="shared" si="142"/>
        <v>1</v>
      </c>
    </row>
    <row r="203" spans="1:30" x14ac:dyDescent="0.35">
      <c r="A203" t="s">
        <v>1987</v>
      </c>
      <c r="B203" t="s">
        <v>94</v>
      </c>
      <c r="C203" s="36">
        <f t="shared" si="130"/>
        <v>5.9184349413795335E-2</v>
      </c>
      <c r="D203" s="3">
        <f t="shared" si="131"/>
        <v>5.9184349413795335E-2</v>
      </c>
      <c r="F203">
        <v>995</v>
      </c>
      <c r="G203" t="s">
        <v>76</v>
      </c>
      <c r="H203">
        <v>1000</v>
      </c>
      <c r="I203" s="22"/>
      <c r="J203">
        <v>1</v>
      </c>
      <c r="K203" s="22"/>
      <c r="L203">
        <v>6.6782989019169898</v>
      </c>
      <c r="M203" s="22">
        <v>5.7999999999999996E-2</v>
      </c>
      <c r="N203" s="21">
        <v>44218</v>
      </c>
      <c r="O203" s="21">
        <v>46044</v>
      </c>
      <c r="P203">
        <f t="shared" si="132"/>
        <v>5</v>
      </c>
      <c r="Q203" s="6">
        <f t="shared" si="133"/>
        <v>5.8291457286432154E-2</v>
      </c>
      <c r="R203" s="5">
        <f t="shared" si="134"/>
        <v>1</v>
      </c>
      <c r="S203" t="s">
        <v>93</v>
      </c>
      <c r="U203">
        <f t="shared" si="135"/>
        <v>5</v>
      </c>
      <c r="V203">
        <f t="shared" si="136"/>
        <v>57.999999999999993</v>
      </c>
      <c r="W203" s="28">
        <f t="shared" si="137"/>
        <v>5.9184349413795335E-2</v>
      </c>
      <c r="X203" s="27">
        <f t="shared" si="138"/>
        <v>5.9184349413795335E-2</v>
      </c>
      <c r="Y203" s="5">
        <f t="shared" si="139"/>
        <v>4.4795592227027585</v>
      </c>
      <c r="Z203" s="5">
        <f t="shared" si="140"/>
        <v>4.2292535998874667</v>
      </c>
      <c r="AA203" s="5">
        <f t="shared" si="141"/>
        <v>-4208.107331888029</v>
      </c>
      <c r="AB203" t="s">
        <v>64</v>
      </c>
      <c r="AC203" t="s">
        <v>62</v>
      </c>
      <c r="AD203">
        <f t="shared" si="142"/>
        <v>1</v>
      </c>
    </row>
    <row r="204" spans="1:30" x14ac:dyDescent="0.35">
      <c r="C204" s="28"/>
      <c r="D204" s="27"/>
      <c r="I204" s="22"/>
      <c r="K204" s="22"/>
      <c r="M204" s="22"/>
      <c r="N204" s="21"/>
      <c r="O204" s="21"/>
      <c r="P204" s="5"/>
      <c r="Q204" s="6"/>
      <c r="R204" s="5"/>
      <c r="W204" s="28"/>
      <c r="Y204" s="33"/>
      <c r="Z204" s="33"/>
      <c r="AA204" s="33"/>
    </row>
    <row r="205" spans="1:30" x14ac:dyDescent="0.35">
      <c r="A205" t="s">
        <v>1985</v>
      </c>
      <c r="B205" t="s">
        <v>1086</v>
      </c>
      <c r="C205" s="36">
        <f t="shared" ref="C205:C210" si="143">RATE(U205,V205,-F205,H205)</f>
        <v>7.2550702154076996E-2</v>
      </c>
      <c r="D205" s="3">
        <f t="shared" ref="D205:D210" si="144">C205*AD205</f>
        <v>0.87060842584892395</v>
      </c>
      <c r="F205">
        <v>29462.799999999999</v>
      </c>
      <c r="G205" t="s">
        <v>76</v>
      </c>
      <c r="H205">
        <v>100000</v>
      </c>
      <c r="I205" s="22"/>
      <c r="J205">
        <v>2</v>
      </c>
      <c r="K205" s="22"/>
      <c r="M205" s="22">
        <v>0.11599999999999999</v>
      </c>
      <c r="N205" s="21">
        <v>45315</v>
      </c>
      <c r="O205" s="21">
        <v>46046</v>
      </c>
      <c r="P205">
        <f t="shared" ref="P205:P210" si="145">ROUND(YEARFRAC(N205,O205),0)</f>
        <v>2</v>
      </c>
      <c r="Q205" s="6">
        <f t="shared" ref="Q205:Q210" si="146">(M205*H205)/F205</f>
        <v>0.39371682256947743</v>
      </c>
      <c r="R205" s="5">
        <f t="shared" ref="R205:R210" si="147">IF(S205="Quarterly",4,IF(S205="Semi-annual",2,IF(S205="Annual",1,IF(S205="Pays at maturity",0,IF(S205="Monthly",12,0)))))</f>
        <v>12</v>
      </c>
      <c r="S205" t="s">
        <v>1717</v>
      </c>
      <c r="U205">
        <f t="shared" ref="U205:U210" si="148">R205*P205</f>
        <v>24</v>
      </c>
      <c r="V205">
        <f t="shared" ref="V205:V210" si="149">(H205*M205)/AD205</f>
        <v>966.66666666666663</v>
      </c>
      <c r="W205" s="28">
        <f t="shared" ref="W205:W210" si="150">RATE(U205,V205,-F205,H205)</f>
        <v>7.2550702154076996E-2</v>
      </c>
      <c r="X205" s="27">
        <f t="shared" ref="X205:X210" si="151">W205*AD205</f>
        <v>0.87060842584892395</v>
      </c>
      <c r="Y205" s="5" t="e">
        <f t="shared" ref="Y205:Y210" si="152">DURATION(N205,O205,M205,D205,AD205)</f>
        <v>#NUM!</v>
      </c>
      <c r="Z205" s="5" t="e">
        <f t="shared" ref="Z205:Z210" si="153">Y205/(1+C205)</f>
        <v>#NUM!</v>
      </c>
      <c r="AA205" s="5" t="e">
        <f t="shared" ref="AA205:AA210" si="154">-Z205*F205</f>
        <v>#NUM!</v>
      </c>
      <c r="AB205" t="s">
        <v>64</v>
      </c>
      <c r="AC205" t="s">
        <v>62</v>
      </c>
      <c r="AD205">
        <f t="shared" ref="AD205:AD210" si="155">_xlfn.SWITCH(PROPER(TRIM(S205)),
   "Annual",1,
   "Semi-Annual",2,
   "Quarterly",4,
   "Monthly",12,
   "")</f>
        <v>12</v>
      </c>
    </row>
    <row r="206" spans="1:30" x14ac:dyDescent="0.35">
      <c r="A206" t="s">
        <v>1984</v>
      </c>
      <c r="B206" t="s">
        <v>483</v>
      </c>
      <c r="C206" s="36">
        <f t="shared" si="143"/>
        <v>7.6196991241931869E-2</v>
      </c>
      <c r="D206" s="3">
        <f t="shared" si="144"/>
        <v>7.6196991241931869E-2</v>
      </c>
      <c r="F206">
        <v>1029.33</v>
      </c>
      <c r="G206" t="s">
        <v>76</v>
      </c>
      <c r="H206">
        <v>1000</v>
      </c>
      <c r="I206" s="22"/>
      <c r="J206">
        <v>1000</v>
      </c>
      <c r="K206" s="22"/>
      <c r="L206">
        <v>2.9090590193913699</v>
      </c>
      <c r="M206" s="22">
        <v>8.7499999999999994E-2</v>
      </c>
      <c r="N206" s="21">
        <v>44950</v>
      </c>
      <c r="O206" s="21">
        <v>46046</v>
      </c>
      <c r="P206">
        <f t="shared" si="145"/>
        <v>3</v>
      </c>
      <c r="Q206" s="6">
        <f t="shared" si="146"/>
        <v>8.5006751964870356E-2</v>
      </c>
      <c r="R206" s="5">
        <f t="shared" si="147"/>
        <v>1</v>
      </c>
      <c r="S206" t="s">
        <v>93</v>
      </c>
      <c r="U206">
        <f t="shared" si="148"/>
        <v>3</v>
      </c>
      <c r="V206">
        <f t="shared" si="149"/>
        <v>87.5</v>
      </c>
      <c r="W206" s="28">
        <f t="shared" si="150"/>
        <v>7.6196991241931869E-2</v>
      </c>
      <c r="X206" s="27">
        <f t="shared" si="151"/>
        <v>7.6196991241931869E-2</v>
      </c>
      <c r="Y206" s="5">
        <f t="shared" si="152"/>
        <v>2.7686282319947497</v>
      </c>
      <c r="Z206" s="5">
        <f t="shared" si="153"/>
        <v>2.5726035795730589</v>
      </c>
      <c r="AA206" s="5">
        <f t="shared" si="154"/>
        <v>-2648.0580425619364</v>
      </c>
      <c r="AB206" t="s">
        <v>64</v>
      </c>
      <c r="AC206" t="s">
        <v>62</v>
      </c>
      <c r="AD206">
        <f t="shared" si="155"/>
        <v>1</v>
      </c>
    </row>
    <row r="207" spans="1:30" x14ac:dyDescent="0.35">
      <c r="A207" t="s">
        <v>1983</v>
      </c>
      <c r="B207" t="s">
        <v>1086</v>
      </c>
      <c r="C207" s="36">
        <f t="shared" si="143"/>
        <v>0.1089154641985758</v>
      </c>
      <c r="D207" s="3">
        <f t="shared" si="144"/>
        <v>0.1089154641985758</v>
      </c>
      <c r="F207">
        <v>99500</v>
      </c>
      <c r="G207" t="s">
        <v>76</v>
      </c>
      <c r="H207">
        <v>100000</v>
      </c>
      <c r="I207" s="22"/>
      <c r="J207">
        <v>6</v>
      </c>
      <c r="K207" s="22"/>
      <c r="L207">
        <v>11.565789144728599</v>
      </c>
      <c r="M207" s="22">
        <v>0.106</v>
      </c>
      <c r="N207" s="21">
        <v>45498</v>
      </c>
      <c r="O207" s="21">
        <v>46047</v>
      </c>
      <c r="P207">
        <f t="shared" si="145"/>
        <v>2</v>
      </c>
      <c r="Q207" s="6">
        <f t="shared" si="146"/>
        <v>0.10653266331658291</v>
      </c>
      <c r="R207" s="5">
        <f t="shared" si="147"/>
        <v>1</v>
      </c>
      <c r="S207" t="s">
        <v>93</v>
      </c>
      <c r="U207">
        <f t="shared" si="148"/>
        <v>2</v>
      </c>
      <c r="V207">
        <f t="shared" si="149"/>
        <v>10600</v>
      </c>
      <c r="W207" s="28">
        <f t="shared" si="150"/>
        <v>0.1089154641985758</v>
      </c>
      <c r="X207" s="27">
        <f t="shared" si="151"/>
        <v>0.1089154641985758</v>
      </c>
      <c r="Y207" s="5">
        <f t="shared" si="152"/>
        <v>1.4039307623024493</v>
      </c>
      <c r="Z207" s="5">
        <f t="shared" si="153"/>
        <v>1.2660394841883496</v>
      </c>
      <c r="AA207" s="5">
        <f t="shared" si="154"/>
        <v>-125970.92867674078</v>
      </c>
      <c r="AB207" t="s">
        <v>64</v>
      </c>
      <c r="AC207" t="s">
        <v>62</v>
      </c>
      <c r="AD207">
        <f t="shared" si="155"/>
        <v>1</v>
      </c>
    </row>
    <row r="208" spans="1:30" x14ac:dyDescent="0.35">
      <c r="A208" t="s">
        <v>1982</v>
      </c>
      <c r="B208" t="s">
        <v>272</v>
      </c>
      <c r="C208" s="36">
        <f t="shared" si="143"/>
        <v>6.858933379371368E-2</v>
      </c>
      <c r="D208" s="3">
        <f t="shared" si="144"/>
        <v>6.858933379371368E-2</v>
      </c>
      <c r="F208">
        <v>1025.2</v>
      </c>
      <c r="G208" t="s">
        <v>76</v>
      </c>
      <c r="H208">
        <v>1000</v>
      </c>
      <c r="I208" s="22"/>
      <c r="J208">
        <v>20</v>
      </c>
      <c r="K208" s="22"/>
      <c r="L208">
        <v>3.2236038916088599</v>
      </c>
      <c r="M208" s="22">
        <v>8.2500000000000004E-2</v>
      </c>
      <c r="N208" s="21">
        <v>45316</v>
      </c>
      <c r="O208" s="21">
        <v>46047</v>
      </c>
      <c r="P208">
        <f t="shared" si="145"/>
        <v>2</v>
      </c>
      <c r="Q208" s="6">
        <f t="shared" si="146"/>
        <v>8.0472103004291848E-2</v>
      </c>
      <c r="R208" s="5">
        <f t="shared" si="147"/>
        <v>1</v>
      </c>
      <c r="S208" t="s">
        <v>93</v>
      </c>
      <c r="U208">
        <f t="shared" si="148"/>
        <v>2</v>
      </c>
      <c r="V208">
        <f t="shared" si="149"/>
        <v>82.5</v>
      </c>
      <c r="W208" s="28">
        <f t="shared" si="150"/>
        <v>6.858933379371368E-2</v>
      </c>
      <c r="X208" s="27">
        <f t="shared" si="151"/>
        <v>6.858933379371368E-2</v>
      </c>
      <c r="Y208" s="5">
        <f t="shared" si="152"/>
        <v>1.9246931440737853</v>
      </c>
      <c r="Z208" s="5">
        <f t="shared" si="153"/>
        <v>1.8011532430711483</v>
      </c>
      <c r="AA208" s="5">
        <f t="shared" si="154"/>
        <v>-1846.5423047965414</v>
      </c>
      <c r="AB208" t="s">
        <v>64</v>
      </c>
      <c r="AC208" t="s">
        <v>62</v>
      </c>
      <c r="AD208">
        <f t="shared" si="155"/>
        <v>1</v>
      </c>
    </row>
    <row r="209" spans="1:30" x14ac:dyDescent="0.35">
      <c r="A209" t="s">
        <v>1981</v>
      </c>
      <c r="B209" t="s">
        <v>1980</v>
      </c>
      <c r="C209" s="36">
        <f t="shared" si="143"/>
        <v>2.4993120799652269E-2</v>
      </c>
      <c r="D209" s="3">
        <f t="shared" si="144"/>
        <v>9.9972483198609075E-2</v>
      </c>
      <c r="F209">
        <v>100363.45</v>
      </c>
      <c r="G209" t="s">
        <v>76</v>
      </c>
      <c r="H209">
        <v>100000</v>
      </c>
      <c r="I209" s="22"/>
      <c r="J209">
        <v>5</v>
      </c>
      <c r="K209" s="22"/>
      <c r="M209" s="22">
        <v>0.10199999999999999</v>
      </c>
      <c r="N209" s="21">
        <v>45407</v>
      </c>
      <c r="O209" s="21">
        <v>46047</v>
      </c>
      <c r="P209">
        <f t="shared" si="145"/>
        <v>2</v>
      </c>
      <c r="Q209" s="6">
        <f t="shared" si="146"/>
        <v>0.10163062349889328</v>
      </c>
      <c r="R209" s="5">
        <f t="shared" si="147"/>
        <v>4</v>
      </c>
      <c r="S209" t="s">
        <v>105</v>
      </c>
      <c r="U209">
        <f t="shared" si="148"/>
        <v>8</v>
      </c>
      <c r="V209">
        <f t="shared" si="149"/>
        <v>2550</v>
      </c>
      <c r="W209" s="28">
        <f t="shared" si="150"/>
        <v>2.4993120799652269E-2</v>
      </c>
      <c r="X209" s="27">
        <f t="shared" si="151"/>
        <v>9.9972483198609075E-2</v>
      </c>
      <c r="Y209" s="5">
        <f t="shared" si="152"/>
        <v>1.6249721649347382</v>
      </c>
      <c r="Z209" s="5">
        <f t="shared" si="153"/>
        <v>1.5853493374345868</v>
      </c>
      <c r="AA209" s="5">
        <f t="shared" si="154"/>
        <v>-159111.12896014928</v>
      </c>
      <c r="AB209" t="s">
        <v>64</v>
      </c>
      <c r="AC209" t="s">
        <v>62</v>
      </c>
      <c r="AD209">
        <f t="shared" si="155"/>
        <v>4</v>
      </c>
    </row>
    <row r="210" spans="1:30" x14ac:dyDescent="0.35">
      <c r="A210" t="s">
        <v>1979</v>
      </c>
      <c r="B210" t="s">
        <v>1704</v>
      </c>
      <c r="C210" s="36">
        <f t="shared" si="143"/>
        <v>7.9697995341143191E-2</v>
      </c>
      <c r="D210" s="3">
        <f t="shared" si="144"/>
        <v>0.95637594409371829</v>
      </c>
      <c r="F210">
        <v>17100</v>
      </c>
      <c r="G210" t="s">
        <v>76</v>
      </c>
      <c r="H210">
        <v>100000</v>
      </c>
      <c r="I210" s="22"/>
      <c r="J210">
        <v>1</v>
      </c>
      <c r="K210" s="22"/>
      <c r="M210" s="22">
        <v>0.11</v>
      </c>
      <c r="N210" s="21">
        <v>44953</v>
      </c>
      <c r="O210" s="21">
        <v>46049</v>
      </c>
      <c r="P210">
        <f t="shared" si="145"/>
        <v>3</v>
      </c>
      <c r="Q210" s="6">
        <f t="shared" si="146"/>
        <v>0.64327485380116955</v>
      </c>
      <c r="R210" s="5">
        <f t="shared" si="147"/>
        <v>12</v>
      </c>
      <c r="S210" t="s">
        <v>1717</v>
      </c>
      <c r="U210">
        <f t="shared" si="148"/>
        <v>36</v>
      </c>
      <c r="V210">
        <f t="shared" si="149"/>
        <v>916.66666666666663</v>
      </c>
      <c r="W210" s="28">
        <f t="shared" si="150"/>
        <v>7.9697995341143191E-2</v>
      </c>
      <c r="X210" s="27">
        <f t="shared" si="151"/>
        <v>0.95637594409371829</v>
      </c>
      <c r="Y210" s="5" t="e">
        <f t="shared" si="152"/>
        <v>#NUM!</v>
      </c>
      <c r="Z210" s="5" t="e">
        <f t="shared" si="153"/>
        <v>#NUM!</v>
      </c>
      <c r="AA210" s="5" t="e">
        <f t="shared" si="154"/>
        <v>#NUM!</v>
      </c>
      <c r="AB210" t="s">
        <v>79</v>
      </c>
      <c r="AC210" t="s">
        <v>62</v>
      </c>
      <c r="AD210">
        <f t="shared" si="155"/>
        <v>12</v>
      </c>
    </row>
    <row r="211" spans="1:30" x14ac:dyDescent="0.35">
      <c r="C211" s="28"/>
      <c r="D211" s="27"/>
      <c r="I211" s="22"/>
      <c r="K211" s="22"/>
      <c r="M211" s="22"/>
      <c r="N211" s="21"/>
      <c r="O211" s="21"/>
      <c r="P211" s="5"/>
      <c r="Q211" s="6"/>
      <c r="R211" s="5"/>
      <c r="W211" s="28"/>
      <c r="Y211" s="33"/>
      <c r="Z211" s="33"/>
      <c r="AA211" s="33"/>
    </row>
    <row r="212" spans="1:30" x14ac:dyDescent="0.35">
      <c r="A212" t="s">
        <v>1977</v>
      </c>
      <c r="B212" t="s">
        <v>241</v>
      </c>
      <c r="C212" s="36">
        <f>RATE(U212,V212,-F212,H212)</f>
        <v>9.2101222474852876E-2</v>
      </c>
      <c r="D212" s="3">
        <f>C212*AD212</f>
        <v>9.2101222474852876E-2</v>
      </c>
      <c r="F212">
        <v>982.2</v>
      </c>
      <c r="G212" t="s">
        <v>76</v>
      </c>
      <c r="H212">
        <v>1000</v>
      </c>
      <c r="I212" s="22"/>
      <c r="J212">
        <v>405</v>
      </c>
      <c r="K212" s="22"/>
      <c r="L212">
        <v>12.167066392626101</v>
      </c>
      <c r="M212" s="22">
        <v>8.7499999999999994E-2</v>
      </c>
      <c r="N212" s="21">
        <v>44225</v>
      </c>
      <c r="O212" s="21">
        <v>46051</v>
      </c>
      <c r="P212">
        <f>ROUND(YEARFRAC(N212,O212),0)</f>
        <v>5</v>
      </c>
      <c r="Q212" s="6">
        <f>(M212*H212)/F212</f>
        <v>8.9085725921400932E-2</v>
      </c>
      <c r="R212" s="5">
        <f>IF(S212="Quarterly",4,IF(S212="Semi-annual",2,IF(S212="Annual",1,IF(S212="Pays at maturity",0,IF(S212="Monthly",12,0)))))</f>
        <v>1</v>
      </c>
      <c r="S212" t="s">
        <v>93</v>
      </c>
      <c r="U212">
        <f>R212*P212</f>
        <v>5</v>
      </c>
      <c r="V212">
        <f>(H212*M212)/AD212</f>
        <v>87.5</v>
      </c>
      <c r="W212" s="28">
        <f>RATE(U212,V212,-F212,H212)</f>
        <v>9.2101222474852876E-2</v>
      </c>
      <c r="X212" s="27">
        <f>W212*AD212</f>
        <v>9.2101222474852876E-2</v>
      </c>
      <c r="Y212" s="5">
        <f>DURATION(N212,O212,M212,D212,AD212)</f>
        <v>4.2502139253243287</v>
      </c>
      <c r="Z212" s="5">
        <f>Y212/(1+C212)</f>
        <v>3.8917765476836972</v>
      </c>
      <c r="AA212" s="5">
        <f>-Z212*F212</f>
        <v>-3822.5029251349274</v>
      </c>
      <c r="AB212" t="s">
        <v>64</v>
      </c>
      <c r="AC212" t="s">
        <v>62</v>
      </c>
      <c r="AD212">
        <f>_xlfn.SWITCH(PROPER(TRIM(S212)),
   "Annual",1,
   "Semi-Annual",2,
   "Quarterly",4,
   "Monthly",12,
   "")</f>
        <v>1</v>
      </c>
    </row>
    <row r="213" spans="1:30" x14ac:dyDescent="0.35">
      <c r="C213" s="28"/>
      <c r="D213" s="27"/>
      <c r="I213" s="22"/>
      <c r="K213" s="22"/>
      <c r="M213" s="22"/>
      <c r="N213" s="21"/>
      <c r="O213" s="21"/>
      <c r="P213" s="5"/>
      <c r="Q213" s="6"/>
      <c r="R213" s="5"/>
      <c r="W213" s="28"/>
      <c r="Y213" s="33"/>
      <c r="Z213" s="33"/>
      <c r="AA213" s="33"/>
    </row>
    <row r="214" spans="1:30" x14ac:dyDescent="0.35">
      <c r="C214" s="28"/>
      <c r="D214" s="27"/>
      <c r="I214" s="22"/>
      <c r="K214" s="22"/>
      <c r="M214" s="22"/>
      <c r="N214" s="21"/>
      <c r="O214" s="21"/>
      <c r="P214" s="5"/>
      <c r="Q214" s="6"/>
      <c r="R214" s="5"/>
      <c r="W214" s="28"/>
      <c r="Y214" s="33"/>
      <c r="Z214" s="33"/>
      <c r="AA214" s="33"/>
    </row>
    <row r="215" spans="1:30" x14ac:dyDescent="0.35">
      <c r="A215" t="s">
        <v>1974</v>
      </c>
      <c r="B215" t="s">
        <v>122</v>
      </c>
      <c r="C215" s="36">
        <f>RATE(U215,V215,-F215,H215)</f>
        <v>7.9663046464312881E-2</v>
      </c>
      <c r="D215" s="3">
        <f>C215*AD215</f>
        <v>7.9663046464312881E-2</v>
      </c>
      <c r="F215">
        <v>1017.55</v>
      </c>
      <c r="G215" t="s">
        <v>76</v>
      </c>
      <c r="H215">
        <v>1000</v>
      </c>
      <c r="I215" s="22"/>
      <c r="J215">
        <v>31</v>
      </c>
      <c r="K215" s="22"/>
      <c r="L215">
        <v>5.5168511375362401</v>
      </c>
      <c r="M215" s="22">
        <v>8.9499999999999996E-2</v>
      </c>
      <c r="N215" s="21">
        <v>45320</v>
      </c>
      <c r="O215" s="21">
        <v>46051</v>
      </c>
      <c r="P215">
        <f>ROUND(YEARFRAC(N215,O215),0)</f>
        <v>2</v>
      </c>
      <c r="Q215" s="6">
        <f>(M215*H215)/F215</f>
        <v>8.7956365780551327E-2</v>
      </c>
      <c r="R215" s="5">
        <f>IF(S215="Quarterly",4,IF(S215="Semi-annual",2,IF(S215="Annual",1,IF(S215="Pays at maturity",0,IF(S215="Monthly",12,0)))))</f>
        <v>1</v>
      </c>
      <c r="S215" t="s">
        <v>93</v>
      </c>
      <c r="U215">
        <f>R215*P215</f>
        <v>2</v>
      </c>
      <c r="V215">
        <f>(H215*M215)/AD215</f>
        <v>89.5</v>
      </c>
      <c r="W215" s="28">
        <f>RATE(U215,V215,-F215,H215)</f>
        <v>7.9663046464312881E-2</v>
      </c>
      <c r="X215" s="27">
        <f>W215*AD215</f>
        <v>7.9663046464312881E-2</v>
      </c>
      <c r="Y215" s="5">
        <f>DURATION(N215,O215,M215,D215,AD215)</f>
        <v>1.9185335035142759</v>
      </c>
      <c r="Z215" s="5">
        <f>Y215/(1+C215)</f>
        <v>1.7769743160119271</v>
      </c>
      <c r="AA215" s="5">
        <f>-Z215*F215</f>
        <v>-1808.1602152579364</v>
      </c>
      <c r="AB215" t="s">
        <v>64</v>
      </c>
      <c r="AC215" t="s">
        <v>62</v>
      </c>
      <c r="AD215">
        <f>_xlfn.SWITCH(PROPER(TRIM(S215)),
   "Annual",1,
   "Semi-Annual",2,
   "Quarterly",4,
   "Monthly",12,
   "")</f>
        <v>1</v>
      </c>
    </row>
    <row r="216" spans="1:30" x14ac:dyDescent="0.35">
      <c r="C216" s="28"/>
      <c r="D216" s="27"/>
      <c r="I216" s="22"/>
      <c r="K216" s="22"/>
      <c r="M216" s="22"/>
      <c r="N216" s="21"/>
      <c r="O216" s="21"/>
      <c r="P216" s="5"/>
      <c r="Q216" s="6"/>
      <c r="R216" s="5"/>
      <c r="W216" s="28"/>
      <c r="Y216" s="33"/>
      <c r="Z216" s="33"/>
      <c r="AA216" s="33"/>
    </row>
    <row r="217" spans="1:30" x14ac:dyDescent="0.35">
      <c r="A217" t="s">
        <v>1972</v>
      </c>
      <c r="B217" t="s">
        <v>1546</v>
      </c>
      <c r="C217" s="36">
        <f>RATE(U217,V217,-F217,H217)</f>
        <v>0.1207349160702965</v>
      </c>
      <c r="D217" s="3">
        <f>C217*AD217</f>
        <v>0.1207349160702965</v>
      </c>
      <c r="F217">
        <v>98609.600000000006</v>
      </c>
      <c r="G217" t="s">
        <v>76</v>
      </c>
      <c r="H217">
        <v>100000</v>
      </c>
      <c r="I217" s="22"/>
      <c r="J217">
        <v>3</v>
      </c>
      <c r="K217" s="22"/>
      <c r="L217">
        <v>14.1031371392023</v>
      </c>
      <c r="M217" s="22">
        <v>0.1125</v>
      </c>
      <c r="N217" s="21">
        <v>45321</v>
      </c>
      <c r="O217" s="21">
        <v>46052</v>
      </c>
      <c r="P217">
        <f>ROUND(YEARFRAC(N217,O217),0)</f>
        <v>2</v>
      </c>
      <c r="Q217" s="6">
        <f>(M217*H217)/F217</f>
        <v>0.11408625529360224</v>
      </c>
      <c r="R217" s="5">
        <f>IF(S217="Quarterly",4,IF(S217="Semi-annual",2,IF(S217="Annual",1,IF(S217="Pays at maturity",0,IF(S217="Monthly",12,0)))))</f>
        <v>1</v>
      </c>
      <c r="S217" t="s">
        <v>93</v>
      </c>
      <c r="U217">
        <f>R217*P217</f>
        <v>2</v>
      </c>
      <c r="V217">
        <f>(H217*M217)/AD217</f>
        <v>11250</v>
      </c>
      <c r="W217" s="28">
        <f>RATE(U217,V217,-F217,H217)</f>
        <v>0.1207349160702965</v>
      </c>
      <c r="X217" s="27">
        <f>W217*AD217</f>
        <v>0.1207349160702965</v>
      </c>
      <c r="Y217" s="5">
        <f>DURATION(N217,O217,M217,D217,AD217)</f>
        <v>1.8982040680113457</v>
      </c>
      <c r="Z217" s="5">
        <f>Y217/(1+C217)</f>
        <v>1.6937136880388615</v>
      </c>
      <c r="AA217" s="5">
        <f>-Z217*F217</f>
        <v>-167016.42929203692</v>
      </c>
      <c r="AB217" t="s">
        <v>64</v>
      </c>
      <c r="AC217" t="s">
        <v>62</v>
      </c>
      <c r="AD217">
        <f>_xlfn.SWITCH(PROPER(TRIM(S217)),
   "Annual",1,
   "Semi-Annual",2,
   "Quarterly",4,
   "Monthly",12,
   "")</f>
        <v>1</v>
      </c>
    </row>
    <row r="218" spans="1:30" x14ac:dyDescent="0.35">
      <c r="A218" t="s">
        <v>1971</v>
      </c>
      <c r="B218" t="s">
        <v>316</v>
      </c>
      <c r="C218" s="36">
        <f>RATE(U218,V218,-F218,H218)</f>
        <v>0.1039566205561199</v>
      </c>
      <c r="D218" s="3">
        <f>C218*AD218</f>
        <v>0.1039566205561199</v>
      </c>
      <c r="F218">
        <v>993</v>
      </c>
      <c r="G218" t="s">
        <v>76</v>
      </c>
      <c r="H218">
        <v>1000</v>
      </c>
      <c r="I218" s="22"/>
      <c r="J218">
        <v>10</v>
      </c>
      <c r="K218" s="22"/>
      <c r="L218">
        <v>10.934877475662899</v>
      </c>
      <c r="M218" s="22">
        <v>0.10249999999999999</v>
      </c>
      <c r="N218" s="21">
        <v>43496</v>
      </c>
      <c r="O218" s="21">
        <v>46052</v>
      </c>
      <c r="P218">
        <f>ROUND(YEARFRAC(N218,O218),0)</f>
        <v>7</v>
      </c>
      <c r="Q218" s="6">
        <f>(M218*H218)/F218</f>
        <v>0.10322255790533737</v>
      </c>
      <c r="R218" s="5">
        <f>IF(S218="Quarterly",4,IF(S218="Semi-annual",2,IF(S218="Annual",1,IF(S218="Pays at maturity",0,IF(S218="Monthly",12,0)))))</f>
        <v>1</v>
      </c>
      <c r="S218" t="s">
        <v>93</v>
      </c>
      <c r="U218">
        <f>R218*P218</f>
        <v>7</v>
      </c>
      <c r="V218">
        <f>(H218*M218)/AD218</f>
        <v>102.5</v>
      </c>
      <c r="W218" s="28">
        <f>RATE(U218,V218,-F218,H218)</f>
        <v>0.1039566205561199</v>
      </c>
      <c r="X218" s="27">
        <f>W218*AD218</f>
        <v>0.1039566205561199</v>
      </c>
      <c r="Y218" s="5">
        <f>DURATION(N218,O218,M218,D218,AD218)</f>
        <v>5.3171898640694275</v>
      </c>
      <c r="Z218" s="5">
        <f>Y218/(1+C218)</f>
        <v>4.8164844207292168</v>
      </c>
      <c r="AA218" s="5">
        <f>-Z218*F218</f>
        <v>-4782.7690297841127</v>
      </c>
      <c r="AB218" t="s">
        <v>64</v>
      </c>
      <c r="AC218" t="s">
        <v>62</v>
      </c>
      <c r="AD218">
        <f>_xlfn.SWITCH(PROPER(TRIM(S218)),
   "Annual",1,
   "Semi-Annual",2,
   "Quarterly",4,
   "Monthly",12,
   "")</f>
        <v>1</v>
      </c>
    </row>
    <row r="219" spans="1:30" x14ac:dyDescent="0.35">
      <c r="C219" s="28"/>
      <c r="D219" s="27"/>
      <c r="I219" s="22"/>
      <c r="K219" s="22"/>
      <c r="M219" s="22"/>
      <c r="N219" s="21"/>
      <c r="O219" s="21"/>
      <c r="P219" s="5"/>
      <c r="Q219" s="6"/>
      <c r="R219" s="5"/>
      <c r="W219" s="28"/>
      <c r="Y219" s="33"/>
      <c r="Z219" s="33"/>
      <c r="AA219" s="33"/>
    </row>
    <row r="220" spans="1:30" x14ac:dyDescent="0.35">
      <c r="C220" s="28"/>
      <c r="D220" s="27"/>
      <c r="I220" s="22"/>
      <c r="K220" s="22"/>
      <c r="M220" s="22"/>
      <c r="N220" s="21"/>
      <c r="O220" s="21"/>
      <c r="P220" s="5"/>
      <c r="Q220" s="6"/>
      <c r="R220" s="5"/>
      <c r="W220" s="28"/>
      <c r="Y220" s="33"/>
      <c r="Z220" s="33"/>
      <c r="AA220" s="33"/>
    </row>
    <row r="221" spans="1:30" x14ac:dyDescent="0.35">
      <c r="A221" t="s">
        <v>1968</v>
      </c>
      <c r="B221" t="s">
        <v>241</v>
      </c>
      <c r="C221" s="36">
        <f>RATE(U221,V221,-F221,H221)</f>
        <v>7.588334179619316E-2</v>
      </c>
      <c r="D221" s="3">
        <f>C221*AD221</f>
        <v>7.588334179619316E-2</v>
      </c>
      <c r="F221">
        <v>1029.8</v>
      </c>
      <c r="G221" t="s">
        <v>76</v>
      </c>
      <c r="H221">
        <v>1000</v>
      </c>
      <c r="I221" s="22"/>
      <c r="J221">
        <v>10</v>
      </c>
      <c r="K221" s="22"/>
      <c r="L221">
        <v>4.2245586040497702</v>
      </c>
      <c r="M221" s="22">
        <v>9.2499999999999999E-2</v>
      </c>
      <c r="N221" s="21">
        <v>45322</v>
      </c>
      <c r="O221" s="21">
        <v>46053</v>
      </c>
      <c r="P221">
        <f>ROUND(YEARFRAC(N221,O221),0)</f>
        <v>2</v>
      </c>
      <c r="Q221" s="6">
        <f>(M221*H221)/F221</f>
        <v>8.9823266653719175E-2</v>
      </c>
      <c r="R221" s="5">
        <f>IF(S221="Quarterly",4,IF(S221="Semi-annual",2,IF(S221="Annual",1,IF(S221="Pays at maturity",0,IF(S221="Monthly",12,0)))))</f>
        <v>1</v>
      </c>
      <c r="S221" t="s">
        <v>93</v>
      </c>
      <c r="U221">
        <f>R221*P221</f>
        <v>2</v>
      </c>
      <c r="V221">
        <f>(H221*M221)/AD221</f>
        <v>92.5</v>
      </c>
      <c r="W221" s="28">
        <f>RATE(U221,V221,-F221,H221)</f>
        <v>7.588334179619316E-2</v>
      </c>
      <c r="X221" s="27">
        <f>W221*AD221</f>
        <v>7.588334179619316E-2</v>
      </c>
      <c r="Y221" s="5">
        <f>DURATION(N221,O221,M221,D221,AD221)</f>
        <v>1.9165120760176853</v>
      </c>
      <c r="Z221" s="5">
        <f>Y221/(1+C221)</f>
        <v>1.7813381819055378</v>
      </c>
      <c r="AA221" s="5">
        <f>-Z221*F221</f>
        <v>-1834.4220597263227</v>
      </c>
      <c r="AB221" t="s">
        <v>64</v>
      </c>
      <c r="AC221" t="s">
        <v>62</v>
      </c>
      <c r="AD221">
        <f>_xlfn.SWITCH(PROPER(TRIM(S221)),
   "Annual",1,
   "Semi-Annual",2,
   "Quarterly",4,
   "Monthly",12,
   "")</f>
        <v>1</v>
      </c>
    </row>
    <row r="222" spans="1:30" x14ac:dyDescent="0.35">
      <c r="A222" t="s">
        <v>1967</v>
      </c>
      <c r="B222" t="s">
        <v>749</v>
      </c>
      <c r="C222" s="36">
        <f>RATE(U222,V222,-F222,H222)</f>
        <v>6.8628826220332825E-2</v>
      </c>
      <c r="D222" s="3">
        <f>C222*AD222</f>
        <v>6.8628826220332825E-2</v>
      </c>
      <c r="F222">
        <v>1028.75</v>
      </c>
      <c r="G222" t="s">
        <v>76</v>
      </c>
      <c r="H222">
        <v>1000</v>
      </c>
      <c r="I222" s="22"/>
      <c r="J222">
        <v>400</v>
      </c>
      <c r="K222" s="22"/>
      <c r="L222">
        <v>3.4023017492377101</v>
      </c>
      <c r="M222" s="22">
        <v>8.4499999999999992E-2</v>
      </c>
      <c r="N222" s="21">
        <v>45322</v>
      </c>
      <c r="O222" s="21">
        <v>46053</v>
      </c>
      <c r="P222">
        <f>ROUND(YEARFRAC(N222,O222),0)</f>
        <v>2</v>
      </c>
      <c r="Q222" s="6">
        <f>(M222*H222)/F222</f>
        <v>8.2138517618469006E-2</v>
      </c>
      <c r="R222" s="5">
        <f>IF(S222="Quarterly",4,IF(S222="Semi-annual",2,IF(S222="Annual",1,IF(S222="Pays at maturity",0,IF(S222="Monthly",12,0)))))</f>
        <v>1</v>
      </c>
      <c r="S222" t="s">
        <v>93</v>
      </c>
      <c r="U222">
        <f>R222*P222</f>
        <v>2</v>
      </c>
      <c r="V222">
        <f>(H222*M222)/AD222</f>
        <v>84.499999999999986</v>
      </c>
      <c r="W222" s="28">
        <f>RATE(U222,V222,-F222,H222)</f>
        <v>6.8628826220332825E-2</v>
      </c>
      <c r="X222" s="27">
        <f>W222*AD222</f>
        <v>6.8628826220332825E-2</v>
      </c>
      <c r="Y222" s="5">
        <f>DURATION(N222,O222,M222,D222,AD222)</f>
        <v>1.923136531971547</v>
      </c>
      <c r="Z222" s="5">
        <f>Y222/(1+C222)</f>
        <v>1.7996300350361591</v>
      </c>
      <c r="AA222" s="5">
        <f>-Z222*F222</f>
        <v>-1851.3693985434488</v>
      </c>
      <c r="AB222" t="s">
        <v>64</v>
      </c>
      <c r="AC222" t="s">
        <v>62</v>
      </c>
      <c r="AD222">
        <f>_xlfn.SWITCH(PROPER(TRIM(S222)),
   "Annual",1,
   "Semi-Annual",2,
   "Quarterly",4,
   "Monthly",12,
   "")</f>
        <v>1</v>
      </c>
    </row>
    <row r="223" spans="1:30" x14ac:dyDescent="0.35">
      <c r="A223" t="s">
        <v>1966</v>
      </c>
      <c r="B223" t="s">
        <v>241</v>
      </c>
      <c r="C223" s="36">
        <f>RATE(U223,V223,-F223,H223)</f>
        <v>9.3684754948308635E-2</v>
      </c>
      <c r="D223" s="3">
        <f>C223*AD223</f>
        <v>9.3684754948308635E-2</v>
      </c>
      <c r="F223">
        <v>991.8</v>
      </c>
      <c r="G223" t="s">
        <v>76</v>
      </c>
      <c r="H223">
        <v>1000</v>
      </c>
      <c r="I223" s="22"/>
      <c r="J223">
        <v>117</v>
      </c>
      <c r="K223" s="22"/>
      <c r="L223">
        <v>10.3452858897505</v>
      </c>
      <c r="M223" s="22">
        <v>8.900000000000001E-2</v>
      </c>
      <c r="N223" s="21">
        <v>45322</v>
      </c>
      <c r="O223" s="21">
        <v>46053</v>
      </c>
      <c r="P223">
        <f>ROUND(YEARFRAC(N223,O223),0)</f>
        <v>2</v>
      </c>
      <c r="Q223" s="6">
        <f>(M223*H223)/F223</f>
        <v>8.9735833837467249E-2</v>
      </c>
      <c r="R223" s="5">
        <f>IF(S223="Quarterly",4,IF(S223="Semi-annual",2,IF(S223="Annual",1,IF(S223="Pays at maturity",0,IF(S223="Monthly",12,0)))))</f>
        <v>1</v>
      </c>
      <c r="S223" t="s">
        <v>93</v>
      </c>
      <c r="U223">
        <f>R223*P223</f>
        <v>2</v>
      </c>
      <c r="V223">
        <f>(H223*M223)/AD223</f>
        <v>89.000000000000014</v>
      </c>
      <c r="W223" s="28">
        <f>RATE(U223,V223,-F223,H223)</f>
        <v>9.3684754948308635E-2</v>
      </c>
      <c r="X223" s="27">
        <f>W223*AD223</f>
        <v>9.3684754948308635E-2</v>
      </c>
      <c r="Y223" s="5">
        <f>DURATION(N223,O223,M223,D223,AD223)</f>
        <v>1.9179509146199689</v>
      </c>
      <c r="Z223" s="5">
        <f>Y223/(1+C223)</f>
        <v>1.753659732333581</v>
      </c>
      <c r="AA223" s="5">
        <f>-Z223*F223</f>
        <v>-1739.2797225284455</v>
      </c>
      <c r="AB223" t="s">
        <v>64</v>
      </c>
      <c r="AC223" t="s">
        <v>62</v>
      </c>
      <c r="AD223">
        <f>_xlfn.SWITCH(PROPER(TRIM(S223)),
   "Annual",1,
   "Semi-Annual",2,
   "Quarterly",4,
   "Monthly",12,
   "")</f>
        <v>1</v>
      </c>
    </row>
    <row r="224" spans="1:30" x14ac:dyDescent="0.35">
      <c r="A224" t="s">
        <v>1965</v>
      </c>
      <c r="B224" t="s">
        <v>1964</v>
      </c>
      <c r="C224" s="36">
        <f>RATE(U224,V224,-F224,H224)</f>
        <v>7.1171256676923922E-2</v>
      </c>
      <c r="D224" s="3">
        <f>C224*AD224</f>
        <v>7.1171256676923922E-2</v>
      </c>
      <c r="F224">
        <v>105585.38</v>
      </c>
      <c r="G224" t="s">
        <v>76</v>
      </c>
      <c r="H224">
        <v>100000</v>
      </c>
      <c r="I224" s="22"/>
      <c r="J224">
        <v>5</v>
      </c>
      <c r="K224" s="22"/>
      <c r="L224">
        <v>4.9969007888780004</v>
      </c>
      <c r="M224" s="22">
        <v>9.2499999999999999E-2</v>
      </c>
      <c r="N224" s="21">
        <v>44958</v>
      </c>
      <c r="O224" s="21">
        <v>46054</v>
      </c>
      <c r="P224">
        <f>ROUND(YEARFRAC(N224,O224),0)</f>
        <v>3</v>
      </c>
      <c r="Q224" s="6">
        <f>(M224*H224)/F224</f>
        <v>8.7606825869263341E-2</v>
      </c>
      <c r="R224" s="5">
        <f>IF(S224="Quarterly",4,IF(S224="Semi-annual",2,IF(S224="Annual",1,IF(S224="Pays at maturity",0,IF(S224="Monthly",12,0)))))</f>
        <v>1</v>
      </c>
      <c r="S224" t="s">
        <v>93</v>
      </c>
      <c r="U224">
        <f>R224*P224</f>
        <v>3</v>
      </c>
      <c r="V224">
        <f>(H224*M224)/AD224</f>
        <v>9250</v>
      </c>
      <c r="W224" s="28">
        <f>RATE(U224,V224,-F224,H224)</f>
        <v>7.1171256676923922E-2</v>
      </c>
      <c r="X224" s="27">
        <f>W224*AD224</f>
        <v>7.1171256676923922E-2</v>
      </c>
      <c r="Y224" s="5">
        <f>DURATION(N224,O224,M224,D224,AD224)</f>
        <v>2.7600760263942563</v>
      </c>
      <c r="Z224" s="5">
        <f>Y224/(1+C224)</f>
        <v>2.5766897769053219</v>
      </c>
      <c r="AA224" s="5">
        <f>-Z224*F224</f>
        <v>-272060.76923666365</v>
      </c>
      <c r="AB224" t="s">
        <v>64</v>
      </c>
      <c r="AC224" t="s">
        <v>62</v>
      </c>
      <c r="AD224">
        <f>_xlfn.SWITCH(PROPER(TRIM(S224)),
   "Annual",1,
   "Semi-Annual",2,
   "Quarterly",4,
   "Monthly",12,
   "")</f>
        <v>1</v>
      </c>
    </row>
    <row r="225" spans="1:30" x14ac:dyDescent="0.35">
      <c r="C225" s="28"/>
      <c r="D225" s="27"/>
      <c r="I225" s="22"/>
      <c r="K225" s="22"/>
      <c r="M225" s="22"/>
      <c r="N225" s="21"/>
      <c r="O225" s="21"/>
      <c r="P225" s="5"/>
      <c r="Q225" s="6"/>
      <c r="R225" s="5"/>
      <c r="W225" s="28"/>
      <c r="Y225" s="33"/>
      <c r="Z225" s="33"/>
      <c r="AA225" s="33"/>
    </row>
    <row r="226" spans="1:30" x14ac:dyDescent="0.35">
      <c r="A226" t="s">
        <v>1962</v>
      </c>
      <c r="B226" t="s">
        <v>860</v>
      </c>
      <c r="C226" s="36">
        <f>RATE(U226,V226,-F226,H226)</f>
        <v>0.5520952767503059</v>
      </c>
      <c r="D226" s="3">
        <f>C226*AD226</f>
        <v>0.5520952767503059</v>
      </c>
      <c r="F226">
        <v>400.8</v>
      </c>
      <c r="G226" t="s">
        <v>76</v>
      </c>
      <c r="H226">
        <v>1000</v>
      </c>
      <c r="I226" s="22"/>
      <c r="J226">
        <v>10</v>
      </c>
      <c r="K226" s="22"/>
      <c r="M226" s="22">
        <v>0.10050000000000001</v>
      </c>
      <c r="N226" s="21">
        <v>44959</v>
      </c>
      <c r="O226" s="21">
        <v>46055</v>
      </c>
      <c r="P226">
        <f>ROUND(YEARFRAC(N226,O226),0)</f>
        <v>3</v>
      </c>
      <c r="Q226" s="6">
        <f>(M226*H226)/F226</f>
        <v>0.25074850299401197</v>
      </c>
      <c r="R226" s="5">
        <f>IF(S226="Quarterly",4,IF(S226="Semi-annual",2,IF(S226="Annual",1,IF(S226="Pays at maturity",0,IF(S226="Monthly",12,0)))))</f>
        <v>1</v>
      </c>
      <c r="S226" t="s">
        <v>93</v>
      </c>
      <c r="U226">
        <f>R226*P226</f>
        <v>3</v>
      </c>
      <c r="V226">
        <f>(H226*M226)/AD226</f>
        <v>100.5</v>
      </c>
      <c r="W226" s="28">
        <f>RATE(U226,V226,-F226,H226)</f>
        <v>0.5520952767503059</v>
      </c>
      <c r="X226" s="27">
        <f>W226*AD226</f>
        <v>0.5520952767503059</v>
      </c>
      <c r="Y226" s="5">
        <f>DURATION(N226,O226,M226,D226,AD226)</f>
        <v>2.5728020984229345</v>
      </c>
      <c r="Z226" s="5">
        <f>Y226/(1+C226)</f>
        <v>1.6576315494044478</v>
      </c>
      <c r="AA226" s="5">
        <f>-Z226*F226</f>
        <v>-664.37872500130266</v>
      </c>
      <c r="AB226" t="s">
        <v>64</v>
      </c>
      <c r="AC226" t="s">
        <v>62</v>
      </c>
      <c r="AD226">
        <f>_xlfn.SWITCH(PROPER(TRIM(S226)),
   "Annual",1,
   "Semi-Annual",2,
   "Quarterly",4,
   "Monthly",12,
   "")</f>
        <v>1</v>
      </c>
    </row>
    <row r="227" spans="1:30" x14ac:dyDescent="0.35">
      <c r="A227" t="s">
        <v>1961</v>
      </c>
      <c r="B227" t="s">
        <v>1129</v>
      </c>
      <c r="C227" s="36">
        <f>RATE(U227,V227,-F227,H227)</f>
        <v>2.4091168499673493E-2</v>
      </c>
      <c r="D227" s="3">
        <f>C227*AD227</f>
        <v>4.8182336999346986E-2</v>
      </c>
      <c r="F227">
        <v>997</v>
      </c>
      <c r="G227" t="s">
        <v>66</v>
      </c>
      <c r="H227">
        <v>1000</v>
      </c>
      <c r="I227" s="22"/>
      <c r="J227">
        <v>200000</v>
      </c>
      <c r="K227" s="22"/>
      <c r="M227" s="22">
        <v>4.7500000000000001E-2</v>
      </c>
      <c r="N227" s="21">
        <v>44229</v>
      </c>
      <c r="O227" s="21">
        <v>46055</v>
      </c>
      <c r="P227">
        <f>ROUND(YEARFRAC(N227,O227),0)</f>
        <v>5</v>
      </c>
      <c r="Q227" s="6">
        <f>(M227*H227)/F227</f>
        <v>4.7642928786359076E-2</v>
      </c>
      <c r="R227" s="5">
        <f>IF(S227="Quarterly",4,IF(S227="Semi-annual",2,IF(S227="Annual",1,IF(S227="Pays at maturity",0,IF(S227="Monthly",12,0)))))</f>
        <v>2</v>
      </c>
      <c r="S227" t="s">
        <v>65</v>
      </c>
      <c r="U227">
        <f>R227*P227</f>
        <v>10</v>
      </c>
      <c r="V227">
        <f>(H227*M227)/AD227</f>
        <v>23.75</v>
      </c>
      <c r="W227" s="28">
        <f>RATE(U227,V227,-F227,H227)</f>
        <v>2.4091168499673493E-2</v>
      </c>
      <c r="X227" s="27">
        <f>W227*AD227</f>
        <v>4.8182336999346986E-2</v>
      </c>
      <c r="Y227" s="5">
        <f>DURATION(N227,O227,M227,D227,AD227)</f>
        <v>4.5081437626733862</v>
      </c>
      <c r="Z227" s="5">
        <f>Y227/(1+C227)</f>
        <v>4.4020922173149506</v>
      </c>
      <c r="AA227" s="5">
        <f>-Z227*F227</f>
        <v>-4388.8859406630054</v>
      </c>
      <c r="AB227" t="s">
        <v>64</v>
      </c>
      <c r="AC227" t="s">
        <v>62</v>
      </c>
      <c r="AD227">
        <f>_xlfn.SWITCH(PROPER(TRIM(S227)),
   "Annual",1,
   "Semi-Annual",2,
   "Quarterly",4,
   "Monthly",12,
   "")</f>
        <v>2</v>
      </c>
    </row>
    <row r="228" spans="1:30" x14ac:dyDescent="0.35">
      <c r="C228" s="28"/>
      <c r="D228" s="27"/>
      <c r="I228" s="22"/>
      <c r="K228" s="22"/>
      <c r="M228" s="22"/>
      <c r="N228" s="21"/>
      <c r="O228" s="21"/>
      <c r="P228" s="5"/>
      <c r="Q228" s="6"/>
      <c r="R228" s="5"/>
      <c r="W228" s="28"/>
      <c r="Y228" s="33"/>
      <c r="Z228" s="33"/>
      <c r="AA228" s="33"/>
    </row>
    <row r="229" spans="1:30" x14ac:dyDescent="0.35">
      <c r="A229" t="s">
        <v>1959</v>
      </c>
      <c r="B229" t="s">
        <v>316</v>
      </c>
      <c r="C229" s="36">
        <f>RATE(U229,V229,-F229,H229)</f>
        <v>9.8014195130291998E-2</v>
      </c>
      <c r="D229" s="3">
        <f>C229*AD229</f>
        <v>9.8014195130291998E-2</v>
      </c>
      <c r="F229">
        <v>980</v>
      </c>
      <c r="G229" t="s">
        <v>76</v>
      </c>
      <c r="H229">
        <v>1000</v>
      </c>
      <c r="I229" s="22"/>
      <c r="J229">
        <v>35</v>
      </c>
      <c r="K229" s="22"/>
      <c r="L229">
        <v>12.1752315383984</v>
      </c>
      <c r="M229" s="22">
        <v>0.09</v>
      </c>
      <c r="N229" s="21">
        <v>44784</v>
      </c>
      <c r="O229" s="21">
        <v>46063</v>
      </c>
      <c r="P229">
        <f>ROUND(YEARFRAC(N229,O229),0)</f>
        <v>3</v>
      </c>
      <c r="Q229" s="6">
        <f>(M229*H229)/F229</f>
        <v>9.1836734693877556E-2</v>
      </c>
      <c r="R229" s="5">
        <f>IF(S229="Quarterly",4,IF(S229="Semi-annual",2,IF(S229="Annual",1,IF(S229="Pays at maturity",0,IF(S229="Monthly",12,0)))))</f>
        <v>1</v>
      </c>
      <c r="S229" t="s">
        <v>93</v>
      </c>
      <c r="U229">
        <f>R229*P229</f>
        <v>3</v>
      </c>
      <c r="V229">
        <f>(H229*M229)/AD229</f>
        <v>90</v>
      </c>
      <c r="W229" s="28">
        <f>RATE(U229,V229,-F229,H229)</f>
        <v>9.8014195130291998E-2</v>
      </c>
      <c r="X229" s="27">
        <f>W229*AD229</f>
        <v>9.8014195130291998E-2</v>
      </c>
      <c r="Y229" s="5">
        <f>DURATION(N229,O229,M229,D229,AD229)</f>
        <v>3.0219121710302193</v>
      </c>
      <c r="Z229" s="5">
        <f>Y229/(1+C229)</f>
        <v>2.7521612966685143</v>
      </c>
      <c r="AA229" s="5">
        <f>-Z229*F229</f>
        <v>-2697.1180707351441</v>
      </c>
      <c r="AB229" t="s">
        <v>64</v>
      </c>
      <c r="AC229" t="s">
        <v>62</v>
      </c>
      <c r="AD229">
        <f>_xlfn.SWITCH(PROPER(TRIM(S229)),
   "Annual",1,
   "Semi-Annual",2,
   "Quarterly",4,
   "Monthly",12,
   "")</f>
        <v>1</v>
      </c>
    </row>
    <row r="230" spans="1:30" x14ac:dyDescent="0.35">
      <c r="A230" t="s">
        <v>1958</v>
      </c>
      <c r="B230" t="s">
        <v>1957</v>
      </c>
      <c r="C230" s="36">
        <f>RATE(U230,V230,-F230,H230)</f>
        <v>3.0625000000000048E-2</v>
      </c>
      <c r="D230" s="3">
        <f>C230*AD230</f>
        <v>0.12250000000000019</v>
      </c>
      <c r="F230">
        <v>500000</v>
      </c>
      <c r="G230" t="s">
        <v>76</v>
      </c>
      <c r="H230">
        <v>500000</v>
      </c>
      <c r="I230" s="22"/>
      <c r="J230">
        <v>2</v>
      </c>
      <c r="K230" s="22"/>
      <c r="M230" s="22">
        <v>0.1225</v>
      </c>
      <c r="N230" s="21">
        <v>44298</v>
      </c>
      <c r="O230" s="21">
        <v>46063</v>
      </c>
      <c r="P230">
        <f>ROUND(YEARFRAC(N230,O230),0)</f>
        <v>5</v>
      </c>
      <c r="Q230" s="6">
        <f>(M230*H230)/F230</f>
        <v>0.1225</v>
      </c>
      <c r="R230" s="5">
        <f>IF(S230="Quarterly",4,IF(S230="Semi-annual",2,IF(S230="Annual",1,IF(S230="Pays at maturity",0,IF(S230="Monthly",12,0)))))</f>
        <v>4</v>
      </c>
      <c r="S230" t="s">
        <v>105</v>
      </c>
      <c r="U230">
        <f>R230*P230</f>
        <v>20</v>
      </c>
      <c r="V230">
        <f>(H230*M230)/AD230</f>
        <v>15312.5</v>
      </c>
      <c r="W230" s="28">
        <f>RATE(U230,V230,-F230,H230)</f>
        <v>3.0625000000000048E-2</v>
      </c>
      <c r="X230" s="27">
        <f>W230*AD230</f>
        <v>0.12250000000000019</v>
      </c>
      <c r="Y230" s="5">
        <f>DURATION(N230,O230,M230,D230,AD230)</f>
        <v>3.6389952915075439</v>
      </c>
      <c r="Z230" s="5">
        <f>Y230/(1+C230)</f>
        <v>3.5308626236580167</v>
      </c>
      <c r="AA230" s="5">
        <f>-Z230*F230</f>
        <v>-1765431.3118290084</v>
      </c>
      <c r="AB230" t="s">
        <v>64</v>
      </c>
      <c r="AC230" t="s">
        <v>62</v>
      </c>
      <c r="AD230">
        <f>_xlfn.SWITCH(PROPER(TRIM(S230)),
   "Annual",1,
   "Semi-Annual",2,
   "Quarterly",4,
   "Monthly",12,
   "")</f>
        <v>4</v>
      </c>
    </row>
    <row r="231" spans="1:30" x14ac:dyDescent="0.35">
      <c r="A231" t="s">
        <v>1956</v>
      </c>
      <c r="B231" t="s">
        <v>460</v>
      </c>
      <c r="C231" s="36">
        <f>RATE(U231,V231,-F231,H231)</f>
        <v>0.101522842639594</v>
      </c>
      <c r="D231" s="3">
        <f>C231*AD231</f>
        <v>0.101522842639594</v>
      </c>
      <c r="F231">
        <v>985</v>
      </c>
      <c r="G231" t="s">
        <v>76</v>
      </c>
      <c r="H231">
        <v>1000</v>
      </c>
      <c r="I231" s="22"/>
      <c r="J231">
        <v>210</v>
      </c>
      <c r="K231" s="22"/>
      <c r="L231">
        <v>11.3408443729107</v>
      </c>
      <c r="M231" s="22">
        <v>8.5000000000000006E-2</v>
      </c>
      <c r="N231" s="21">
        <v>45615</v>
      </c>
      <c r="O231" s="21">
        <v>46065</v>
      </c>
      <c r="P231">
        <f>ROUND(YEARFRAC(N231,O231),0)</f>
        <v>1</v>
      </c>
      <c r="Q231" s="6">
        <f>(M231*H231)/F231</f>
        <v>8.6294416243654817E-2</v>
      </c>
      <c r="R231" s="5">
        <f>IF(S231="Quarterly",4,IF(S231="Semi-annual",2,IF(S231="Annual",1,IF(S231="Pays at maturity",0,IF(S231="Monthly",12,0)))))</f>
        <v>1</v>
      </c>
      <c r="S231" t="s">
        <v>93</v>
      </c>
      <c r="U231">
        <f>R231*P231</f>
        <v>1</v>
      </c>
      <c r="V231">
        <f>(H231*M231)/AD231</f>
        <v>85</v>
      </c>
      <c r="W231" s="28">
        <f>RATE(U231,V231,-F231,H231)</f>
        <v>0.101522842639594</v>
      </c>
      <c r="X231" s="27">
        <f>W231*AD231</f>
        <v>0.101522842639594</v>
      </c>
      <c r="Y231" s="5">
        <f>DURATION(N231,O231,M231,D231,AD231)</f>
        <v>1.151116303219107</v>
      </c>
      <c r="Z231" s="5">
        <f>Y231/(1+C231)</f>
        <v>1.0450226347196501</v>
      </c>
      <c r="AA231" s="5">
        <f>-Z231*F231</f>
        <v>-1029.3472951988554</v>
      </c>
      <c r="AB231" t="s">
        <v>64</v>
      </c>
      <c r="AC231" t="s">
        <v>62</v>
      </c>
      <c r="AD231">
        <f>_xlfn.SWITCH(PROPER(TRIM(S231)),
   "Annual",1,
   "Semi-Annual",2,
   "Quarterly",4,
   "Monthly",12,
   "")</f>
        <v>1</v>
      </c>
    </row>
    <row r="232" spans="1:30" x14ac:dyDescent="0.35">
      <c r="A232" t="s">
        <v>1955</v>
      </c>
      <c r="B232" t="s">
        <v>915</v>
      </c>
      <c r="C232" s="36">
        <f>RATE(U232,V232,-F232,H232)</f>
        <v>0.12000000000000002</v>
      </c>
      <c r="D232" s="3">
        <f>C232*AD232</f>
        <v>0.12000000000000002</v>
      </c>
      <c r="F232">
        <v>10000</v>
      </c>
      <c r="G232" t="s">
        <v>76</v>
      </c>
      <c r="H232">
        <v>10000</v>
      </c>
      <c r="I232" s="22"/>
      <c r="J232">
        <v>21</v>
      </c>
      <c r="K232" s="22"/>
      <c r="L232">
        <v>12</v>
      </c>
      <c r="M232" s="22">
        <v>0.12</v>
      </c>
      <c r="N232" s="21">
        <v>45517</v>
      </c>
      <c r="O232" s="21">
        <v>46065</v>
      </c>
      <c r="P232">
        <f>ROUND(YEARFRAC(N232,O232),0)</f>
        <v>1</v>
      </c>
      <c r="Q232" s="6">
        <f>(M232*H232)/F232</f>
        <v>0.12</v>
      </c>
      <c r="R232" s="5">
        <f>IF(S232="Quarterly",4,IF(S232="Semi-annual",2,IF(S232="Annual",1,IF(S232="Pays at maturity",0,IF(S232="Monthly",12,0)))))</f>
        <v>1</v>
      </c>
      <c r="S232" t="s">
        <v>93</v>
      </c>
      <c r="U232">
        <f>R232*P232</f>
        <v>1</v>
      </c>
      <c r="V232">
        <f>(H232*M232)/AD232</f>
        <v>1200</v>
      </c>
      <c r="W232" s="28">
        <f>RATE(U232,V232,-F232,H232)</f>
        <v>0.12000000000000002</v>
      </c>
      <c r="X232" s="27">
        <f>W232*AD232</f>
        <v>0.12000000000000002</v>
      </c>
      <c r="Y232" s="5">
        <f>DURATION(N232,O232,M232,D232,AD232)</f>
        <v>1.3900793650793652</v>
      </c>
      <c r="Z232" s="5">
        <f>Y232/(1+C232)</f>
        <v>1.2411422902494331</v>
      </c>
      <c r="AA232" s="5">
        <f>-Z232*F232</f>
        <v>-12411.422902494331</v>
      </c>
      <c r="AB232" t="s">
        <v>64</v>
      </c>
      <c r="AC232" t="s">
        <v>62</v>
      </c>
      <c r="AD232">
        <f>_xlfn.SWITCH(PROPER(TRIM(S232)),
   "Annual",1,
   "Semi-Annual",2,
   "Quarterly",4,
   "Monthly",12,
   "")</f>
        <v>1</v>
      </c>
    </row>
    <row r="233" spans="1:30" x14ac:dyDescent="0.35">
      <c r="C233" s="28"/>
      <c r="D233" s="27"/>
      <c r="I233" s="22"/>
      <c r="K233" s="22"/>
      <c r="M233" s="22"/>
      <c r="N233" s="21"/>
      <c r="O233" s="21"/>
      <c r="P233" s="5"/>
      <c r="Q233" s="6"/>
      <c r="R233" s="5"/>
      <c r="W233" s="28"/>
      <c r="Y233" s="33"/>
      <c r="Z233" s="33"/>
      <c r="AA233" s="33"/>
    </row>
    <row r="234" spans="1:30" x14ac:dyDescent="0.35">
      <c r="A234" t="s">
        <v>1953</v>
      </c>
      <c r="B234" t="s">
        <v>283</v>
      </c>
      <c r="C234" s="36">
        <f>RATE(U234,V234,-F234,H234)</f>
        <v>1.9764284275945142E-2</v>
      </c>
      <c r="D234" s="3">
        <f>C234*AD234</f>
        <v>7.9057137103780567E-2</v>
      </c>
      <c r="F234">
        <v>1068076</v>
      </c>
      <c r="G234" t="s">
        <v>76</v>
      </c>
      <c r="H234">
        <v>1000000</v>
      </c>
      <c r="I234" s="22"/>
      <c r="J234">
        <v>1</v>
      </c>
      <c r="K234" s="22"/>
      <c r="M234" s="22">
        <v>8.9700000000000002E-2</v>
      </c>
      <c r="N234" s="21">
        <v>42783</v>
      </c>
      <c r="O234" s="21">
        <v>46066</v>
      </c>
      <c r="P234">
        <f>ROUND(YEARFRAC(N234,O234),0)</f>
        <v>9</v>
      </c>
      <c r="Q234" s="6">
        <f>(M234*H234)/F234</f>
        <v>8.3982787741696277E-2</v>
      </c>
      <c r="R234" s="5">
        <f>IF(S234="Quarterly",4,IF(S234="Semi-annual",2,IF(S234="Annual",1,IF(S234="Pays at maturity",0,IF(S234="Monthly",12,0)))))</f>
        <v>4</v>
      </c>
      <c r="S234" t="s">
        <v>105</v>
      </c>
      <c r="U234">
        <f>R234*P234</f>
        <v>36</v>
      </c>
      <c r="V234">
        <f>(H234*M234)/AD234</f>
        <v>22425</v>
      </c>
      <c r="W234" s="28">
        <f>RATE(U234,V234,-F234,H234)</f>
        <v>1.9764284275945142E-2</v>
      </c>
      <c r="X234" s="27">
        <f>W234*AD234</f>
        <v>7.9057137103780567E-2</v>
      </c>
      <c r="Y234" s="5">
        <f>DURATION(N234,O234,M234,D234,AD234)</f>
        <v>6.357367770387663</v>
      </c>
      <c r="Z234" s="5">
        <f>Y234/(1+C234)</f>
        <v>6.2341541750518674</v>
      </c>
      <c r="AA234" s="5">
        <f>-Z234*F234</f>
        <v>-6658550.4546726979</v>
      </c>
      <c r="AB234" t="s">
        <v>64</v>
      </c>
      <c r="AC234" t="s">
        <v>62</v>
      </c>
      <c r="AD234">
        <f>_xlfn.SWITCH(PROPER(TRIM(S234)),
   "Annual",1,
   "Semi-Annual",2,
   "Quarterly",4,
   "Monthly",12,
   "")</f>
        <v>4</v>
      </c>
    </row>
    <row r="235" spans="1:30" x14ac:dyDescent="0.35">
      <c r="A235" t="s">
        <v>1952</v>
      </c>
      <c r="B235" t="s">
        <v>353</v>
      </c>
      <c r="C235" s="36">
        <f>RATE(U235,V235,-F235,H235)</f>
        <v>0.10749999999999985</v>
      </c>
      <c r="D235" s="3">
        <f>C235*AD235</f>
        <v>0.10749999999999985</v>
      </c>
      <c r="F235">
        <v>1000</v>
      </c>
      <c r="G235" t="s">
        <v>76</v>
      </c>
      <c r="H235">
        <v>1000</v>
      </c>
      <c r="I235" s="22"/>
      <c r="J235">
        <v>22</v>
      </c>
      <c r="K235" s="22"/>
      <c r="L235">
        <v>10.75</v>
      </c>
      <c r="M235" s="22">
        <v>0.1075</v>
      </c>
      <c r="N235" s="21">
        <v>45518</v>
      </c>
      <c r="O235" s="21">
        <v>46066</v>
      </c>
      <c r="P235">
        <f>ROUND(YEARFRAC(N235,O235),0)</f>
        <v>1</v>
      </c>
      <c r="Q235" s="6">
        <f>(M235*H235)/F235</f>
        <v>0.1075</v>
      </c>
      <c r="R235" s="5">
        <f>IF(S235="Quarterly",4,IF(S235="Semi-annual",2,IF(S235="Annual",1,IF(S235="Pays at maturity",0,IF(S235="Monthly",12,0)))))</f>
        <v>1</v>
      </c>
      <c r="S235" t="s">
        <v>93</v>
      </c>
      <c r="U235">
        <f>R235*P235</f>
        <v>1</v>
      </c>
      <c r="V235">
        <f>(H235*M235)/AD235</f>
        <v>107.5</v>
      </c>
      <c r="W235" s="28">
        <f>RATE(U235,V235,-F235,H235)</f>
        <v>0.10749999999999985</v>
      </c>
      <c r="X235" s="27">
        <f>W235*AD235</f>
        <v>0.10749999999999985</v>
      </c>
      <c r="Y235" s="5">
        <f>DURATION(N235,O235,M235,D235,AD235)</f>
        <v>1.4001567594682718</v>
      </c>
      <c r="Z235" s="5">
        <f>Y235/(1+C235)</f>
        <v>1.2642498956824124</v>
      </c>
      <c r="AA235" s="5">
        <f>-Z235*F235</f>
        <v>-1264.2498956824124</v>
      </c>
      <c r="AB235" t="s">
        <v>64</v>
      </c>
      <c r="AC235" t="s">
        <v>62</v>
      </c>
      <c r="AD235">
        <f>_xlfn.SWITCH(PROPER(TRIM(S235)),
   "Annual",1,
   "Semi-Annual",2,
   "Quarterly",4,
   "Monthly",12,
   "")</f>
        <v>1</v>
      </c>
    </row>
    <row r="236" spans="1:30" x14ac:dyDescent="0.35">
      <c r="A236" t="s">
        <v>1951</v>
      </c>
      <c r="B236" t="s">
        <v>882</v>
      </c>
      <c r="C236" s="36">
        <f>RATE(U236,V236,-F236,H236)</f>
        <v>6.1234769697278806E-2</v>
      </c>
      <c r="D236" s="3">
        <f>C236*AD236</f>
        <v>6.1234769697278806E-2</v>
      </c>
      <c r="F236">
        <v>107827</v>
      </c>
      <c r="G236" t="s">
        <v>76</v>
      </c>
      <c r="H236">
        <v>100000</v>
      </c>
      <c r="I236" s="22"/>
      <c r="J236">
        <v>2</v>
      </c>
      <c r="K236" s="22"/>
      <c r="L236">
        <v>-2.0266392621334299</v>
      </c>
      <c r="M236" s="22">
        <v>0.10400000000000001</v>
      </c>
      <c r="N236" s="21">
        <v>45517</v>
      </c>
      <c r="O236" s="21">
        <v>46066</v>
      </c>
      <c r="P236">
        <f>ROUND(YEARFRAC(N236,O236),0)</f>
        <v>2</v>
      </c>
      <c r="Q236" s="6">
        <f>(M236*H236)/F236</f>
        <v>9.6450796182774273E-2</v>
      </c>
      <c r="R236" s="5">
        <f>IF(S236="Quarterly",4,IF(S236="Semi-annual",2,IF(S236="Annual",1,IF(S236="Pays at maturity",0,IF(S236="Monthly",12,0)))))</f>
        <v>1</v>
      </c>
      <c r="S236" t="s">
        <v>93</v>
      </c>
      <c r="U236">
        <f>R236*P236</f>
        <v>2</v>
      </c>
      <c r="V236">
        <f>(H236*M236)/AD236</f>
        <v>10400.000000000002</v>
      </c>
      <c r="W236" s="28">
        <f>RATE(U236,V236,-F236,H236)</f>
        <v>6.1234769697278806E-2</v>
      </c>
      <c r="X236" s="27">
        <f>W236*AD236</f>
        <v>6.1234769697278806E-2</v>
      </c>
      <c r="Y236" s="5">
        <f>DURATION(N236,O236,M236,D236,AD236)</f>
        <v>1.4091145532196487</v>
      </c>
      <c r="Z236" s="5">
        <f>Y236/(1+C236)</f>
        <v>1.3278066206044152</v>
      </c>
      <c r="AA236" s="5">
        <f>-Z236*F236</f>
        <v>-143173.40447991228</v>
      </c>
      <c r="AB236" t="s">
        <v>64</v>
      </c>
      <c r="AC236" t="s">
        <v>62</v>
      </c>
      <c r="AD236">
        <f>_xlfn.SWITCH(PROPER(TRIM(S236)),
   "Annual",1,
   "Semi-Annual",2,
   "Quarterly",4,
   "Monthly",12,
   "")</f>
        <v>1</v>
      </c>
    </row>
    <row r="237" spans="1:30" x14ac:dyDescent="0.35">
      <c r="A237" t="s">
        <v>1950</v>
      </c>
      <c r="B237" t="s">
        <v>465</v>
      </c>
      <c r="C237" s="36">
        <f>RATE(U237,V237,-F237,H237)</f>
        <v>0.10328733549195812</v>
      </c>
      <c r="D237" s="3">
        <f>C237*AD237</f>
        <v>0.10328733549195812</v>
      </c>
      <c r="F237">
        <v>990</v>
      </c>
      <c r="G237" t="s">
        <v>76</v>
      </c>
      <c r="H237">
        <v>1000</v>
      </c>
      <c r="I237" s="22"/>
      <c r="J237">
        <v>160</v>
      </c>
      <c r="K237" s="22"/>
      <c r="L237">
        <v>11.5713206834702</v>
      </c>
      <c r="M237" s="22">
        <v>9.7500000000000003E-2</v>
      </c>
      <c r="N237" s="21">
        <v>45338</v>
      </c>
      <c r="O237" s="21">
        <v>46066</v>
      </c>
      <c r="P237">
        <f>ROUND(YEARFRAC(N237,O237),0)</f>
        <v>2</v>
      </c>
      <c r="Q237" s="6">
        <f>(M237*H237)/F237</f>
        <v>9.8484848484848481E-2</v>
      </c>
      <c r="R237" s="5">
        <f>IF(S237="Quarterly",4,IF(S237="Semi-annual",2,IF(S237="Annual",1,IF(S237="Pays at maturity",0,IF(S237="Monthly",12,0)))))</f>
        <v>1</v>
      </c>
      <c r="S237" t="s">
        <v>93</v>
      </c>
      <c r="U237">
        <f>R237*P237</f>
        <v>2</v>
      </c>
      <c r="V237">
        <f>(H237*M237)/AD237</f>
        <v>97.5</v>
      </c>
      <c r="W237" s="28">
        <f>RATE(U237,V237,-F237,H237)</f>
        <v>0.10328733549195812</v>
      </c>
      <c r="X237" s="27">
        <f>W237*AD237</f>
        <v>0.10328733549195812</v>
      </c>
      <c r="Y237" s="5">
        <f>DURATION(N237,O237,M237,D237,AD237)</f>
        <v>1.9024017532423441</v>
      </c>
      <c r="Z237" s="5">
        <f>Y237/(1+C237)</f>
        <v>1.7243030822918484</v>
      </c>
      <c r="AA237" s="5">
        <f>-Z237*F237</f>
        <v>-1707.0600514689299</v>
      </c>
      <c r="AB237" t="s">
        <v>64</v>
      </c>
      <c r="AC237" t="s">
        <v>62</v>
      </c>
      <c r="AD237">
        <f>_xlfn.SWITCH(PROPER(TRIM(S237)),
   "Annual",1,
   "Semi-Annual",2,
   "Quarterly",4,
   "Monthly",12,
   "")</f>
        <v>1</v>
      </c>
    </row>
    <row r="238" spans="1:30" x14ac:dyDescent="0.35">
      <c r="A238" t="s">
        <v>1949</v>
      </c>
      <c r="B238" t="s">
        <v>1948</v>
      </c>
      <c r="C238" s="36" t="e">
        <f>RATE(U238,V238,-F238,H238)</f>
        <v>#VALUE!</v>
      </c>
      <c r="D238" s="3" t="e">
        <f>C238*AD238</f>
        <v>#VALUE!</v>
      </c>
      <c r="F238">
        <v>1250175</v>
      </c>
      <c r="G238" t="s">
        <v>76</v>
      </c>
      <c r="H238">
        <v>1000000</v>
      </c>
      <c r="I238" s="22"/>
      <c r="J238">
        <v>1</v>
      </c>
      <c r="K238" s="22"/>
      <c r="L238">
        <v>-16.289691665389</v>
      </c>
      <c r="M238" s="22">
        <v>0.05</v>
      </c>
      <c r="N238" s="21">
        <v>44790</v>
      </c>
      <c r="O238" s="21">
        <v>46069</v>
      </c>
      <c r="P238">
        <f>ROUND(YEARFRAC(N238,O238),0)</f>
        <v>3</v>
      </c>
      <c r="Q238" s="6">
        <f>(M238*H238)/F238</f>
        <v>3.9994400783890258E-2</v>
      </c>
      <c r="R238" s="5">
        <f>IF(S238="Quarterly",4,IF(S238="Semi-annual",2,IF(S238="Annual",1,IF(S238="Pays at maturity",0,IF(S238="Monthly",12,0)))))</f>
        <v>0</v>
      </c>
      <c r="S238" t="s">
        <v>782</v>
      </c>
      <c r="U238">
        <f>R238*P238</f>
        <v>0</v>
      </c>
      <c r="V238" t="e">
        <f>(H238*M238)/AD238</f>
        <v>#VALUE!</v>
      </c>
      <c r="W238" s="28" t="e">
        <f>RATE(U238,V238,-F238,H238)</f>
        <v>#VALUE!</v>
      </c>
      <c r="X238" s="27" t="e">
        <f>W238*AD238</f>
        <v>#VALUE!</v>
      </c>
      <c r="Y238" s="5" t="e">
        <f>DURATION(N238,O238,M238,D238,AD238)</f>
        <v>#VALUE!</v>
      </c>
      <c r="Z238" s="5" t="e">
        <f>Y238/(1+C238)</f>
        <v>#VALUE!</v>
      </c>
      <c r="AA238" s="5" t="e">
        <f>-Z238*F238</f>
        <v>#VALUE!</v>
      </c>
      <c r="AB238" t="s">
        <v>64</v>
      </c>
      <c r="AC238" t="s">
        <v>62</v>
      </c>
      <c r="AD238" t="str">
        <f>_xlfn.SWITCH(PROPER(TRIM(S238)),
   "Annual",1,
   "Semi-Annual",2,
   "Quarterly",4,
   "Monthly",12,
   "")</f>
        <v/>
      </c>
    </row>
    <row r="239" spans="1:30" x14ac:dyDescent="0.35">
      <c r="C239" s="28"/>
      <c r="D239" s="27"/>
      <c r="I239" s="22"/>
      <c r="K239" s="22"/>
      <c r="M239" s="22"/>
      <c r="N239" s="21"/>
      <c r="O239" s="21"/>
      <c r="P239" s="5"/>
      <c r="Q239" s="6"/>
      <c r="R239" s="5"/>
      <c r="W239" s="28"/>
      <c r="Y239" s="33"/>
      <c r="Z239" s="33"/>
      <c r="AA239" s="33"/>
    </row>
    <row r="240" spans="1:30" x14ac:dyDescent="0.35">
      <c r="A240" t="s">
        <v>1946</v>
      </c>
      <c r="B240" t="s">
        <v>561</v>
      </c>
      <c r="C240" s="36">
        <f t="shared" ref="C240:C247" si="156">RATE(U240,V240,-F240,H240)</f>
        <v>0.12798958347897074</v>
      </c>
      <c r="D240" s="3">
        <f t="shared" ref="D240:D247" si="157">C240*AD240</f>
        <v>0.12798958347897074</v>
      </c>
      <c r="F240">
        <v>9950</v>
      </c>
      <c r="G240" t="s">
        <v>76</v>
      </c>
      <c r="H240">
        <v>10000</v>
      </c>
      <c r="I240" s="22"/>
      <c r="J240">
        <v>4</v>
      </c>
      <c r="K240" s="22"/>
      <c r="L240">
        <v>13.427989001611801</v>
      </c>
      <c r="M240" s="22">
        <v>0.125</v>
      </c>
      <c r="N240" s="21">
        <v>45523</v>
      </c>
      <c r="O240" s="21">
        <v>46072</v>
      </c>
      <c r="P240">
        <f t="shared" ref="P240:P247" si="158">ROUND(YEARFRAC(N240,O240),0)</f>
        <v>2</v>
      </c>
      <c r="Q240" s="6">
        <f t="shared" ref="Q240:Q247" si="159">(M240*H240)/F240</f>
        <v>0.12562814070351758</v>
      </c>
      <c r="R240" s="5">
        <f t="shared" ref="R240:R247" si="160">IF(S240="Quarterly",4,IF(S240="Semi-annual",2,IF(S240="Annual",1,IF(S240="Pays at maturity",0,IF(S240="Monthly",12,0)))))</f>
        <v>1</v>
      </c>
      <c r="S240" t="s">
        <v>93</v>
      </c>
      <c r="U240">
        <f t="shared" ref="U240:U247" si="161">R240*P240</f>
        <v>2</v>
      </c>
      <c r="V240">
        <f t="shared" ref="V240:V247" si="162">(H240*M240)/AD240</f>
        <v>1250</v>
      </c>
      <c r="W240" s="28">
        <f t="shared" ref="W240:W247" si="163">RATE(U240,V240,-F240,H240)</f>
        <v>0.12798958347897074</v>
      </c>
      <c r="X240" s="27">
        <f t="shared" ref="X240:X247" si="164">W240*AD240</f>
        <v>0.12798958347897074</v>
      </c>
      <c r="Y240" s="5">
        <f t="shared" ref="Y240:Y247" si="165">DURATION(N240,O240,M240,D240,AD240)</f>
        <v>1.388626506358283</v>
      </c>
      <c r="Z240" s="5">
        <f t="shared" ref="Z240:Z247" si="166">Y240/(1+C240)</f>
        <v>1.2310632355978413</v>
      </c>
      <c r="AA240" s="5">
        <f t="shared" ref="AA240:AA247" si="167">-Z240*F240</f>
        <v>-12249.079194198521</v>
      </c>
      <c r="AB240" t="s">
        <v>64</v>
      </c>
      <c r="AC240" t="s">
        <v>62</v>
      </c>
      <c r="AD240">
        <f t="shared" ref="AD240:AD247" si="168">_xlfn.SWITCH(PROPER(TRIM(S240)),
   "Annual",1,
   "Semi-Annual",2,
   "Quarterly",4,
   "Monthly",12,
   "")</f>
        <v>1</v>
      </c>
    </row>
    <row r="241" spans="1:30" x14ac:dyDescent="0.35">
      <c r="A241" t="s">
        <v>1945</v>
      </c>
      <c r="B241" t="s">
        <v>923</v>
      </c>
      <c r="C241" s="36">
        <f t="shared" si="156"/>
        <v>5.8785742608945639E-2</v>
      </c>
      <c r="D241" s="3">
        <f t="shared" si="157"/>
        <v>0.70542891130734764</v>
      </c>
      <c r="F241">
        <v>37550.25</v>
      </c>
      <c r="G241" t="s">
        <v>76</v>
      </c>
      <c r="H241">
        <v>100000</v>
      </c>
      <c r="I241" s="22"/>
      <c r="J241">
        <v>37</v>
      </c>
      <c r="K241" s="22"/>
      <c r="M241" s="22">
        <v>0.115</v>
      </c>
      <c r="N241" s="21">
        <v>45342</v>
      </c>
      <c r="O241" s="21">
        <v>46073</v>
      </c>
      <c r="P241">
        <f t="shared" si="158"/>
        <v>2</v>
      </c>
      <c r="Q241" s="6">
        <f t="shared" si="159"/>
        <v>0.30625628324711551</v>
      </c>
      <c r="R241" s="5">
        <f t="shared" si="160"/>
        <v>12</v>
      </c>
      <c r="S241" t="s">
        <v>1717</v>
      </c>
      <c r="U241">
        <f t="shared" si="161"/>
        <v>24</v>
      </c>
      <c r="V241">
        <f t="shared" si="162"/>
        <v>958.33333333333337</v>
      </c>
      <c r="W241" s="28">
        <f t="shared" si="163"/>
        <v>5.8785742608945639E-2</v>
      </c>
      <c r="X241" s="27">
        <f t="shared" si="164"/>
        <v>0.70542891130734764</v>
      </c>
      <c r="Y241" s="5" t="e">
        <f t="shared" si="165"/>
        <v>#NUM!</v>
      </c>
      <c r="Z241" s="5" t="e">
        <f t="shared" si="166"/>
        <v>#NUM!</v>
      </c>
      <c r="AA241" s="5" t="e">
        <f t="shared" si="167"/>
        <v>#NUM!</v>
      </c>
      <c r="AB241" t="s">
        <v>64</v>
      </c>
      <c r="AC241" t="s">
        <v>62</v>
      </c>
      <c r="AD241">
        <f t="shared" si="168"/>
        <v>12</v>
      </c>
    </row>
    <row r="242" spans="1:30" x14ac:dyDescent="0.35">
      <c r="A242" t="s">
        <v>1944</v>
      </c>
      <c r="B242" t="s">
        <v>561</v>
      </c>
      <c r="C242" s="36">
        <f t="shared" si="156"/>
        <v>0.11206077931544638</v>
      </c>
      <c r="D242" s="3">
        <f t="shared" si="157"/>
        <v>0.11206077931544638</v>
      </c>
      <c r="F242">
        <v>97957.28</v>
      </c>
      <c r="G242" t="s">
        <v>76</v>
      </c>
      <c r="H242">
        <v>100000</v>
      </c>
      <c r="I242" s="22"/>
      <c r="J242">
        <v>1</v>
      </c>
      <c r="K242" s="22"/>
      <c r="L242">
        <v>13.7589299012509</v>
      </c>
      <c r="M242" s="22">
        <v>0.10009999999999999</v>
      </c>
      <c r="N242" s="21">
        <v>45526</v>
      </c>
      <c r="O242" s="21">
        <v>46075</v>
      </c>
      <c r="P242">
        <f t="shared" si="158"/>
        <v>2</v>
      </c>
      <c r="Q242" s="6">
        <f t="shared" si="159"/>
        <v>0.10218740250852208</v>
      </c>
      <c r="R242" s="5">
        <f t="shared" si="160"/>
        <v>1</v>
      </c>
      <c r="S242" t="s">
        <v>93</v>
      </c>
      <c r="U242">
        <f t="shared" si="161"/>
        <v>2</v>
      </c>
      <c r="V242">
        <f t="shared" si="162"/>
        <v>10010</v>
      </c>
      <c r="W242" s="28">
        <f t="shared" si="163"/>
        <v>0.11206077931544638</v>
      </c>
      <c r="X242" s="27">
        <f t="shared" si="164"/>
        <v>0.11206077931544638</v>
      </c>
      <c r="Y242" s="5">
        <f t="shared" si="165"/>
        <v>1.4081098763581736</v>
      </c>
      <c r="Z242" s="5">
        <f t="shared" si="166"/>
        <v>1.2662166515979161</v>
      </c>
      <c r="AA242" s="5">
        <f t="shared" si="167"/>
        <v>-124035.13908123951</v>
      </c>
      <c r="AB242" t="s">
        <v>64</v>
      </c>
      <c r="AC242" t="s">
        <v>62</v>
      </c>
      <c r="AD242">
        <f t="shared" si="168"/>
        <v>1</v>
      </c>
    </row>
    <row r="243" spans="1:30" x14ac:dyDescent="0.35">
      <c r="A243" t="s">
        <v>1943</v>
      </c>
      <c r="B243" t="s">
        <v>1546</v>
      </c>
      <c r="C243" s="36">
        <f t="shared" si="156"/>
        <v>0.11750687861584812</v>
      </c>
      <c r="D243" s="3">
        <f t="shared" si="157"/>
        <v>0.11750687861584812</v>
      </c>
      <c r="F243">
        <v>99286.68</v>
      </c>
      <c r="G243" t="s">
        <v>76</v>
      </c>
      <c r="H243">
        <v>100000</v>
      </c>
      <c r="I243" s="22"/>
      <c r="J243">
        <v>1</v>
      </c>
      <c r="K243" s="22"/>
      <c r="L243">
        <v>12.6033650508534</v>
      </c>
      <c r="M243" s="22">
        <v>0.1133</v>
      </c>
      <c r="N243" s="21">
        <v>45345</v>
      </c>
      <c r="O243" s="21">
        <v>46076</v>
      </c>
      <c r="P243">
        <f t="shared" si="158"/>
        <v>2</v>
      </c>
      <c r="Q243" s="6">
        <f t="shared" si="159"/>
        <v>0.11411399797032191</v>
      </c>
      <c r="R243" s="5">
        <f t="shared" si="160"/>
        <v>1</v>
      </c>
      <c r="S243" t="s">
        <v>93</v>
      </c>
      <c r="U243">
        <f t="shared" si="161"/>
        <v>2</v>
      </c>
      <c r="V243">
        <f t="shared" si="162"/>
        <v>11330</v>
      </c>
      <c r="W243" s="28">
        <f t="shared" si="163"/>
        <v>0.11750687861584812</v>
      </c>
      <c r="X243" s="27">
        <f t="shared" si="164"/>
        <v>0.11750687861584812</v>
      </c>
      <c r="Y243" s="5">
        <f t="shared" si="165"/>
        <v>1.8978851941281432</v>
      </c>
      <c r="Z243" s="5">
        <f t="shared" si="166"/>
        <v>1.6983208161357155</v>
      </c>
      <c r="AA243" s="5">
        <f t="shared" si="167"/>
        <v>-168620.6354090056</v>
      </c>
      <c r="AB243" t="s">
        <v>64</v>
      </c>
      <c r="AC243" t="s">
        <v>62</v>
      </c>
      <c r="AD243">
        <f t="shared" si="168"/>
        <v>1</v>
      </c>
    </row>
    <row r="244" spans="1:30" x14ac:dyDescent="0.35">
      <c r="A244" t="s">
        <v>1942</v>
      </c>
      <c r="B244" t="s">
        <v>638</v>
      </c>
      <c r="C244" s="36">
        <f t="shared" si="156"/>
        <v>0.12355742706570462</v>
      </c>
      <c r="D244" s="3">
        <f t="shared" si="157"/>
        <v>0.12355742706570462</v>
      </c>
      <c r="F244">
        <v>98259.33</v>
      </c>
      <c r="G244" t="s">
        <v>76</v>
      </c>
      <c r="H244">
        <v>100000</v>
      </c>
      <c r="I244" s="22"/>
      <c r="J244">
        <v>1</v>
      </c>
      <c r="K244" s="22"/>
      <c r="L244">
        <v>13.5233262558652</v>
      </c>
      <c r="M244" s="22">
        <v>0.10400000000000001</v>
      </c>
      <c r="N244" s="21">
        <v>45622</v>
      </c>
      <c r="O244" s="21">
        <v>46076</v>
      </c>
      <c r="P244">
        <f t="shared" si="158"/>
        <v>1</v>
      </c>
      <c r="Q244" s="6">
        <f t="shared" si="159"/>
        <v>0.10584236631778378</v>
      </c>
      <c r="R244" s="5">
        <f t="shared" si="160"/>
        <v>1</v>
      </c>
      <c r="S244" t="s">
        <v>93</v>
      </c>
      <c r="U244">
        <f t="shared" si="161"/>
        <v>1</v>
      </c>
      <c r="V244">
        <f t="shared" si="162"/>
        <v>10400.000000000002</v>
      </c>
      <c r="W244" s="28">
        <f t="shared" si="163"/>
        <v>0.12355742706570462</v>
      </c>
      <c r="X244" s="27">
        <f t="shared" si="164"/>
        <v>0.12355742706570462</v>
      </c>
      <c r="Y244" s="5">
        <f t="shared" si="165"/>
        <v>1.1459546831674126</v>
      </c>
      <c r="Z244" s="5">
        <f t="shared" si="166"/>
        <v>1.0199342334999295</v>
      </c>
      <c r="AA244" s="5">
        <f t="shared" si="167"/>
        <v>-100218.05442776663</v>
      </c>
      <c r="AB244" t="s">
        <v>64</v>
      </c>
      <c r="AC244" t="s">
        <v>62</v>
      </c>
      <c r="AD244">
        <f t="shared" si="168"/>
        <v>1</v>
      </c>
    </row>
    <row r="245" spans="1:30" x14ac:dyDescent="0.35">
      <c r="A245" t="s">
        <v>1941</v>
      </c>
      <c r="B245" t="s">
        <v>361</v>
      </c>
      <c r="C245" s="36">
        <f t="shared" si="156"/>
        <v>6.8788652271605036E-2</v>
      </c>
      <c r="D245" s="3">
        <f t="shared" si="157"/>
        <v>6.8788652271605036E-2</v>
      </c>
      <c r="F245">
        <v>1013500</v>
      </c>
      <c r="G245" t="s">
        <v>76</v>
      </c>
      <c r="H245">
        <v>1000000</v>
      </c>
      <c r="I245" s="22"/>
      <c r="J245">
        <v>10</v>
      </c>
      <c r="K245" s="22"/>
      <c r="L245">
        <v>5.3869816303432998</v>
      </c>
      <c r="M245" s="22">
        <v>7.0699999999999999E-2</v>
      </c>
      <c r="N245" s="21">
        <v>42425</v>
      </c>
      <c r="O245" s="21">
        <v>46078</v>
      </c>
      <c r="P245">
        <f t="shared" si="158"/>
        <v>10</v>
      </c>
      <c r="Q245" s="6">
        <f t="shared" si="159"/>
        <v>6.9758263443512575E-2</v>
      </c>
      <c r="R245" s="5">
        <f t="shared" si="160"/>
        <v>1</v>
      </c>
      <c r="S245" t="s">
        <v>93</v>
      </c>
      <c r="U245">
        <f t="shared" si="161"/>
        <v>10</v>
      </c>
      <c r="V245">
        <f t="shared" si="162"/>
        <v>70700</v>
      </c>
      <c r="W245" s="28">
        <f t="shared" si="163"/>
        <v>6.8788652271605036E-2</v>
      </c>
      <c r="X245" s="27">
        <f t="shared" si="164"/>
        <v>6.8788652271605036E-2</v>
      </c>
      <c r="Y245" s="5">
        <f t="shared" si="165"/>
        <v>7.5143897235411643</v>
      </c>
      <c r="Z245" s="5">
        <f t="shared" si="166"/>
        <v>7.030753655149752</v>
      </c>
      <c r="AA245" s="5">
        <f t="shared" si="167"/>
        <v>-7125668.8294942733</v>
      </c>
      <c r="AB245" t="s">
        <v>64</v>
      </c>
      <c r="AC245" t="s">
        <v>62</v>
      </c>
      <c r="AD245">
        <f t="shared" si="168"/>
        <v>1</v>
      </c>
    </row>
    <row r="246" spans="1:30" x14ac:dyDescent="0.35">
      <c r="A246" t="s">
        <v>1940</v>
      </c>
      <c r="B246" t="s">
        <v>114</v>
      </c>
      <c r="C246" s="36">
        <f t="shared" si="156"/>
        <v>2.1481388626379983E-2</v>
      </c>
      <c r="D246" s="3">
        <f t="shared" si="157"/>
        <v>4.2962777252759966E-2</v>
      </c>
      <c r="F246">
        <v>996.27</v>
      </c>
      <c r="G246" t="s">
        <v>66</v>
      </c>
      <c r="H246">
        <v>1000</v>
      </c>
      <c r="I246" s="22"/>
      <c r="J246">
        <v>200000</v>
      </c>
      <c r="K246" s="22"/>
      <c r="M246" s="22">
        <v>4.2500000000000003E-2</v>
      </c>
      <c r="N246" s="21">
        <v>42426</v>
      </c>
      <c r="O246" s="21">
        <v>46079</v>
      </c>
      <c r="P246">
        <f t="shared" si="158"/>
        <v>10</v>
      </c>
      <c r="Q246" s="6">
        <f t="shared" si="159"/>
        <v>4.2659118512049947E-2</v>
      </c>
      <c r="R246" s="5">
        <f t="shared" si="160"/>
        <v>2</v>
      </c>
      <c r="S246" t="s">
        <v>65</v>
      </c>
      <c r="U246">
        <f t="shared" si="161"/>
        <v>20</v>
      </c>
      <c r="V246">
        <f t="shared" si="162"/>
        <v>21.25</v>
      </c>
      <c r="W246" s="28">
        <f t="shared" si="163"/>
        <v>2.1481388626379983E-2</v>
      </c>
      <c r="X246" s="27">
        <f t="shared" si="164"/>
        <v>4.2962777252759966E-2</v>
      </c>
      <c r="Y246" s="5">
        <f t="shared" si="165"/>
        <v>8.2456616962333698</v>
      </c>
      <c r="Z246" s="5">
        <f t="shared" si="166"/>
        <v>8.0722583769456477</v>
      </c>
      <c r="AA246" s="5">
        <f t="shared" si="167"/>
        <v>-8042.1488531996401</v>
      </c>
      <c r="AB246" t="s">
        <v>64</v>
      </c>
      <c r="AC246" t="s">
        <v>62</v>
      </c>
      <c r="AD246">
        <f t="shared" si="168"/>
        <v>2</v>
      </c>
    </row>
    <row r="247" spans="1:30" x14ac:dyDescent="0.35">
      <c r="A247" t="s">
        <v>1939</v>
      </c>
      <c r="B247" t="s">
        <v>114</v>
      </c>
      <c r="C247" s="36">
        <f t="shared" si="156"/>
        <v>2.140497258867349E-2</v>
      </c>
      <c r="D247" s="3">
        <f t="shared" si="157"/>
        <v>4.2809945177346979E-2</v>
      </c>
      <c r="F247">
        <v>997.5</v>
      </c>
      <c r="G247" t="s">
        <v>66</v>
      </c>
      <c r="H247">
        <v>1000</v>
      </c>
      <c r="I247" s="22"/>
      <c r="J247">
        <v>0</v>
      </c>
      <c r="K247" s="22"/>
      <c r="M247" s="22">
        <v>4.2500000000000003E-2</v>
      </c>
      <c r="N247" s="21">
        <v>42426</v>
      </c>
      <c r="O247" s="21">
        <v>46079</v>
      </c>
      <c r="P247">
        <f t="shared" si="158"/>
        <v>10</v>
      </c>
      <c r="Q247" s="6">
        <f t="shared" si="159"/>
        <v>4.2606516290726815E-2</v>
      </c>
      <c r="R247" s="5">
        <f t="shared" si="160"/>
        <v>2</v>
      </c>
      <c r="S247" t="s">
        <v>65</v>
      </c>
      <c r="U247">
        <f t="shared" si="161"/>
        <v>20</v>
      </c>
      <c r="V247">
        <f t="shared" si="162"/>
        <v>21.25</v>
      </c>
      <c r="W247" s="28">
        <f t="shared" si="163"/>
        <v>2.140497258867349E-2</v>
      </c>
      <c r="X247" s="27">
        <f t="shared" si="164"/>
        <v>4.2809945177346979E-2</v>
      </c>
      <c r="Y247" s="5">
        <f t="shared" si="165"/>
        <v>8.2469638872433819</v>
      </c>
      <c r="Z247" s="5">
        <f t="shared" si="166"/>
        <v>8.0741372017624666</v>
      </c>
      <c r="AA247" s="5">
        <f t="shared" si="167"/>
        <v>-8053.9518587580606</v>
      </c>
      <c r="AB247" t="s">
        <v>64</v>
      </c>
      <c r="AC247" t="s">
        <v>62</v>
      </c>
      <c r="AD247">
        <f t="shared" si="168"/>
        <v>2</v>
      </c>
    </row>
    <row r="248" spans="1:30" x14ac:dyDescent="0.35">
      <c r="C248" s="28"/>
      <c r="D248" s="27"/>
      <c r="I248" s="22"/>
      <c r="K248" s="22"/>
      <c r="M248" s="22"/>
      <c r="N248" s="21"/>
      <c r="O248" s="21"/>
      <c r="P248" s="5"/>
      <c r="Q248" s="6"/>
      <c r="R248" s="5"/>
      <c r="W248" s="28"/>
      <c r="Y248" s="33"/>
      <c r="Z248" s="33"/>
      <c r="AA248" s="33"/>
    </row>
    <row r="249" spans="1:30" x14ac:dyDescent="0.35">
      <c r="C249" s="28"/>
      <c r="D249" s="27"/>
      <c r="I249" s="22"/>
      <c r="K249" s="22"/>
      <c r="M249" s="22"/>
      <c r="N249" s="21"/>
      <c r="O249" s="21"/>
      <c r="P249" s="5"/>
      <c r="Q249" s="6"/>
      <c r="R249" s="5"/>
      <c r="W249" s="28"/>
      <c r="Y249" s="33"/>
      <c r="Z249" s="33"/>
      <c r="AA249" s="33"/>
    </row>
    <row r="250" spans="1:30" x14ac:dyDescent="0.35">
      <c r="A250" t="s">
        <v>1936</v>
      </c>
      <c r="B250" t="s">
        <v>460</v>
      </c>
      <c r="C250" s="36">
        <f t="shared" ref="C250:C255" si="169">RATE(U250,V250,-F250,H250)</f>
        <v>0.10580684204983358</v>
      </c>
      <c r="D250" s="3">
        <f t="shared" ref="D250:D255" si="170">C250*AD250</f>
        <v>0.10580684204983358</v>
      </c>
      <c r="F250">
        <v>99000</v>
      </c>
      <c r="G250" t="s">
        <v>76</v>
      </c>
      <c r="H250">
        <v>100000</v>
      </c>
      <c r="I250" s="22"/>
      <c r="J250">
        <v>1</v>
      </c>
      <c r="K250" s="22"/>
      <c r="L250">
        <v>11.769276475158801</v>
      </c>
      <c r="M250" s="22">
        <v>0.1</v>
      </c>
      <c r="N250" s="21">
        <v>45350</v>
      </c>
      <c r="O250" s="21">
        <v>46080</v>
      </c>
      <c r="P250">
        <f t="shared" ref="P250:P255" si="171">ROUND(YEARFRAC(N250,O250),0)</f>
        <v>2</v>
      </c>
      <c r="Q250" s="6">
        <f t="shared" ref="Q250:Q255" si="172">(M250*H250)/F250</f>
        <v>0.10101010101010101</v>
      </c>
      <c r="R250" s="5">
        <f t="shared" ref="R250:R255" si="173">IF(S250="Quarterly",4,IF(S250="Semi-annual",2,IF(S250="Annual",1,IF(S250="Pays at maturity",0,IF(S250="Monthly",12,0)))))</f>
        <v>1</v>
      </c>
      <c r="S250" t="s">
        <v>93</v>
      </c>
      <c r="U250">
        <f t="shared" ref="U250:U255" si="174">R250*P250</f>
        <v>2</v>
      </c>
      <c r="V250">
        <f t="shared" ref="V250:V255" si="175">(H250*M250)/AD250</f>
        <v>10000</v>
      </c>
      <c r="W250" s="28">
        <f t="shared" ref="W250:W255" si="176">RATE(U250,V250,-F250,H250)</f>
        <v>0.10580684204983358</v>
      </c>
      <c r="X250" s="27">
        <f t="shared" ref="X250:X255" si="177">W250*AD250</f>
        <v>0.10580684204983358</v>
      </c>
      <c r="Y250" s="5">
        <f t="shared" ref="Y250:Y255" si="178">DURATION(N250,O250,M250,D250,AD250)</f>
        <v>1.9058770639458831</v>
      </c>
      <c r="Z250" s="5">
        <f t="shared" ref="Z250:Z255" si="179">Y250/(1+C250)</f>
        <v>1.7235171564076777</v>
      </c>
      <c r="AA250" s="5">
        <f t="shared" ref="AA250:AA255" si="180">-Z250*F250</f>
        <v>-170628.19848436009</v>
      </c>
      <c r="AB250" t="s">
        <v>64</v>
      </c>
      <c r="AC250" t="s">
        <v>62</v>
      </c>
      <c r="AD250">
        <f t="shared" ref="AD250:AD255" si="181">_xlfn.SWITCH(PROPER(TRIM(S250)),
   "Annual",1,
   "Semi-Annual",2,
   "Quarterly",4,
   "Monthly",12,
   "")</f>
        <v>1</v>
      </c>
    </row>
    <row r="251" spans="1:30" x14ac:dyDescent="0.35">
      <c r="A251" t="s">
        <v>1935</v>
      </c>
      <c r="B251" t="s">
        <v>390</v>
      </c>
      <c r="C251" s="36">
        <f t="shared" si="169"/>
        <v>0.11895161290322594</v>
      </c>
      <c r="D251" s="3">
        <f t="shared" si="170"/>
        <v>0.11895161290322594</v>
      </c>
      <c r="F251">
        <v>992</v>
      </c>
      <c r="G251" t="s">
        <v>76</v>
      </c>
      <c r="H251">
        <v>1000</v>
      </c>
      <c r="I251" s="22"/>
      <c r="J251">
        <v>14</v>
      </c>
      <c r="K251" s="22"/>
      <c r="L251">
        <v>12.426686217008699</v>
      </c>
      <c r="M251" s="22">
        <v>0.11</v>
      </c>
      <c r="N251" s="21">
        <v>45684</v>
      </c>
      <c r="O251" s="21">
        <v>46080</v>
      </c>
      <c r="P251">
        <f t="shared" si="171"/>
        <v>1</v>
      </c>
      <c r="Q251" s="6">
        <f t="shared" si="172"/>
        <v>0.11088709677419355</v>
      </c>
      <c r="R251" s="5">
        <f t="shared" si="173"/>
        <v>1</v>
      </c>
      <c r="S251" t="s">
        <v>93</v>
      </c>
      <c r="U251">
        <f t="shared" si="174"/>
        <v>1</v>
      </c>
      <c r="V251">
        <f t="shared" si="175"/>
        <v>110</v>
      </c>
      <c r="W251" s="28">
        <f t="shared" si="176"/>
        <v>0.11895161290322594</v>
      </c>
      <c r="X251" s="27">
        <f t="shared" si="177"/>
        <v>0.11895161290322594</v>
      </c>
      <c r="Y251" s="5">
        <f t="shared" si="178"/>
        <v>0.98351482153660019</v>
      </c>
      <c r="Z251" s="5">
        <f t="shared" si="179"/>
        <v>0.87896099366153801</v>
      </c>
      <c r="AA251" s="5">
        <f t="shared" si="180"/>
        <v>-871.92930571224576</v>
      </c>
      <c r="AB251" t="s">
        <v>64</v>
      </c>
      <c r="AC251" t="s">
        <v>62</v>
      </c>
      <c r="AD251">
        <f t="shared" si="181"/>
        <v>1</v>
      </c>
    </row>
    <row r="252" spans="1:30" x14ac:dyDescent="0.35">
      <c r="A252" t="s">
        <v>1934</v>
      </c>
      <c r="B252" t="s">
        <v>357</v>
      </c>
      <c r="C252" s="36">
        <f t="shared" si="169"/>
        <v>0.10656626433440805</v>
      </c>
      <c r="D252" s="3">
        <f t="shared" si="170"/>
        <v>0.10656626433440805</v>
      </c>
      <c r="F252">
        <v>971.5</v>
      </c>
      <c r="G252" t="s">
        <v>76</v>
      </c>
      <c r="H252">
        <v>1000</v>
      </c>
      <c r="I252" s="22"/>
      <c r="J252">
        <v>4</v>
      </c>
      <c r="K252" s="22"/>
      <c r="L252">
        <v>11.3759908882439</v>
      </c>
      <c r="M252" s="22">
        <v>0.09</v>
      </c>
      <c r="N252" s="21">
        <v>45349</v>
      </c>
      <c r="O252" s="21">
        <v>46080</v>
      </c>
      <c r="P252">
        <f t="shared" si="171"/>
        <v>2</v>
      </c>
      <c r="Q252" s="6">
        <f t="shared" si="172"/>
        <v>9.2640247040658777E-2</v>
      </c>
      <c r="R252" s="5">
        <f t="shared" si="173"/>
        <v>1</v>
      </c>
      <c r="S252" t="s">
        <v>93</v>
      </c>
      <c r="U252">
        <f t="shared" si="174"/>
        <v>2</v>
      </c>
      <c r="V252">
        <f t="shared" si="175"/>
        <v>90</v>
      </c>
      <c r="W252" s="28">
        <f t="shared" si="176"/>
        <v>0.10656626433440805</v>
      </c>
      <c r="X252" s="27">
        <f t="shared" si="177"/>
        <v>0.10656626433440805</v>
      </c>
      <c r="Y252" s="5">
        <f t="shared" si="178"/>
        <v>1.9162813380216044</v>
      </c>
      <c r="Z252" s="5">
        <f t="shared" si="179"/>
        <v>1.7317366341131268</v>
      </c>
      <c r="AA252" s="5">
        <f t="shared" si="180"/>
        <v>-1682.3821400409026</v>
      </c>
      <c r="AB252" t="s">
        <v>64</v>
      </c>
      <c r="AC252" t="s">
        <v>62</v>
      </c>
      <c r="AD252">
        <f t="shared" si="181"/>
        <v>1</v>
      </c>
    </row>
    <row r="253" spans="1:30" x14ac:dyDescent="0.35">
      <c r="A253" t="s">
        <v>1933</v>
      </c>
      <c r="B253" t="s">
        <v>598</v>
      </c>
      <c r="C253" s="36">
        <f t="shared" si="169"/>
        <v>8.6509694001362561E-2</v>
      </c>
      <c r="D253" s="3">
        <f t="shared" si="170"/>
        <v>0.34603877600545024</v>
      </c>
      <c r="F253">
        <v>660</v>
      </c>
      <c r="G253" t="s">
        <v>76</v>
      </c>
      <c r="H253">
        <v>1000</v>
      </c>
      <c r="I253" s="22"/>
      <c r="J253">
        <v>2</v>
      </c>
      <c r="K253" s="22"/>
      <c r="M253" s="22">
        <v>0.10349999999999999</v>
      </c>
      <c r="N253" s="21">
        <v>45349</v>
      </c>
      <c r="O253" s="21">
        <v>46080</v>
      </c>
      <c r="P253">
        <f t="shared" si="171"/>
        <v>2</v>
      </c>
      <c r="Q253" s="6">
        <f t="shared" si="172"/>
        <v>0.15681818181818183</v>
      </c>
      <c r="R253" s="5">
        <f t="shared" si="173"/>
        <v>4</v>
      </c>
      <c r="S253" t="s">
        <v>105</v>
      </c>
      <c r="U253">
        <f t="shared" si="174"/>
        <v>8</v>
      </c>
      <c r="V253">
        <f t="shared" si="175"/>
        <v>25.875</v>
      </c>
      <c r="W253" s="28">
        <f t="shared" si="176"/>
        <v>8.6509694001362561E-2</v>
      </c>
      <c r="X253" s="27">
        <f t="shared" si="177"/>
        <v>0.34603877600545024</v>
      </c>
      <c r="Y253" s="5">
        <f t="shared" si="178"/>
        <v>1.7838826496927001</v>
      </c>
      <c r="Z253" s="5">
        <f t="shared" si="179"/>
        <v>1.6418469706635337</v>
      </c>
      <c r="AA253" s="5">
        <f t="shared" si="180"/>
        <v>-1083.6190006379322</v>
      </c>
      <c r="AB253" t="s">
        <v>64</v>
      </c>
      <c r="AC253" t="s">
        <v>62</v>
      </c>
      <c r="AD253">
        <f t="shared" si="181"/>
        <v>4</v>
      </c>
    </row>
    <row r="254" spans="1:30" x14ac:dyDescent="0.35">
      <c r="A254" t="s">
        <v>1932</v>
      </c>
      <c r="B254" t="s">
        <v>591</v>
      </c>
      <c r="C254" s="36">
        <f t="shared" si="169"/>
        <v>2.6277279302242999E-2</v>
      </c>
      <c r="D254" s="3">
        <f t="shared" si="170"/>
        <v>0.10510911720897199</v>
      </c>
      <c r="F254">
        <v>99000</v>
      </c>
      <c r="G254" t="s">
        <v>76</v>
      </c>
      <c r="H254">
        <v>100000</v>
      </c>
      <c r="I254" s="22"/>
      <c r="J254">
        <v>1</v>
      </c>
      <c r="K254" s="22"/>
      <c r="M254" s="22">
        <v>9.9499999999999991E-2</v>
      </c>
      <c r="N254" s="21">
        <v>45350</v>
      </c>
      <c r="O254" s="21">
        <v>46081</v>
      </c>
      <c r="P254">
        <f t="shared" si="171"/>
        <v>2</v>
      </c>
      <c r="Q254" s="6">
        <f t="shared" si="172"/>
        <v>0.1005050505050505</v>
      </c>
      <c r="R254" s="5">
        <f t="shared" si="173"/>
        <v>4</v>
      </c>
      <c r="S254" t="s">
        <v>105</v>
      </c>
      <c r="U254">
        <f t="shared" si="174"/>
        <v>8</v>
      </c>
      <c r="V254">
        <f t="shared" si="175"/>
        <v>2487.5</v>
      </c>
      <c r="W254" s="28">
        <f t="shared" si="176"/>
        <v>2.6277279302242999E-2</v>
      </c>
      <c r="X254" s="27">
        <f t="shared" si="177"/>
        <v>0.10510911720897199</v>
      </c>
      <c r="Y254" s="5">
        <f t="shared" si="178"/>
        <v>1.7976475549659077</v>
      </c>
      <c r="Z254" s="5">
        <f t="shared" si="179"/>
        <v>1.7516197534725826</v>
      </c>
      <c r="AA254" s="5">
        <f t="shared" si="180"/>
        <v>-173410.35559378567</v>
      </c>
      <c r="AB254" t="s">
        <v>64</v>
      </c>
      <c r="AC254" t="s">
        <v>62</v>
      </c>
      <c r="AD254">
        <f t="shared" si="181"/>
        <v>4</v>
      </c>
    </row>
    <row r="255" spans="1:30" x14ac:dyDescent="0.35">
      <c r="A255" t="s">
        <v>1931</v>
      </c>
      <c r="B255" t="s">
        <v>644</v>
      </c>
      <c r="C255" s="36">
        <f t="shared" si="169"/>
        <v>8.9178354291872111E-2</v>
      </c>
      <c r="D255" s="3">
        <f t="shared" si="170"/>
        <v>8.9178354291872111E-2</v>
      </c>
      <c r="F255">
        <v>99000</v>
      </c>
      <c r="G255" t="s">
        <v>76</v>
      </c>
      <c r="H255">
        <v>100000</v>
      </c>
      <c r="I255" s="22"/>
      <c r="J255">
        <v>2</v>
      </c>
      <c r="K255" s="22"/>
      <c r="L255">
        <v>9.6715476916819192</v>
      </c>
      <c r="M255" s="22">
        <v>8.3499999999999991E-2</v>
      </c>
      <c r="N255" s="21">
        <v>45532</v>
      </c>
      <c r="O255" s="21">
        <v>46081</v>
      </c>
      <c r="P255">
        <f t="shared" si="171"/>
        <v>2</v>
      </c>
      <c r="Q255" s="6">
        <f t="shared" si="172"/>
        <v>8.4343434343434331E-2</v>
      </c>
      <c r="R255" s="5">
        <f t="shared" si="173"/>
        <v>1</v>
      </c>
      <c r="S255" t="s">
        <v>93</v>
      </c>
      <c r="U255">
        <f t="shared" si="174"/>
        <v>2</v>
      </c>
      <c r="V255">
        <f t="shared" si="175"/>
        <v>8349.9999999999982</v>
      </c>
      <c r="W255" s="28">
        <f t="shared" si="176"/>
        <v>8.9178354291872111E-2</v>
      </c>
      <c r="X255" s="27">
        <f t="shared" si="177"/>
        <v>8.9178354291872111E-2</v>
      </c>
      <c r="Y255" s="5">
        <f t="shared" si="178"/>
        <v>1.4281178852134284</v>
      </c>
      <c r="Z255" s="5">
        <f t="shared" si="179"/>
        <v>1.3111882728719095</v>
      </c>
      <c r="AA255" s="5">
        <f t="shared" si="180"/>
        <v>-129807.63901431904</v>
      </c>
      <c r="AB255" t="s">
        <v>64</v>
      </c>
      <c r="AC255" t="s">
        <v>62</v>
      </c>
      <c r="AD255">
        <f t="shared" si="181"/>
        <v>1</v>
      </c>
    </row>
    <row r="256" spans="1:30" x14ac:dyDescent="0.35">
      <c r="C256" s="28"/>
      <c r="D256" s="27"/>
      <c r="I256" s="22"/>
      <c r="K256" s="22"/>
      <c r="M256" s="22"/>
      <c r="N256" s="21"/>
      <c r="O256" s="21"/>
      <c r="P256" s="5"/>
      <c r="Q256" s="6"/>
      <c r="R256" s="5"/>
      <c r="W256" s="28"/>
      <c r="Y256" s="33"/>
      <c r="Z256" s="33"/>
      <c r="AA256" s="33"/>
    </row>
    <row r="257" spans="1:30" x14ac:dyDescent="0.35">
      <c r="A257" t="s">
        <v>1929</v>
      </c>
      <c r="B257" t="s">
        <v>119</v>
      </c>
      <c r="C257" s="36">
        <f>RATE(U257,V257,-F257,H257)</f>
        <v>7.862834136221801E-2</v>
      </c>
      <c r="D257" s="3">
        <f>C257*AD257</f>
        <v>7.862834136221801E-2</v>
      </c>
      <c r="F257">
        <v>1029.25</v>
      </c>
      <c r="G257" t="s">
        <v>76</v>
      </c>
      <c r="H257">
        <v>1000</v>
      </c>
      <c r="I257" s="22"/>
      <c r="J257">
        <v>33</v>
      </c>
      <c r="K257" s="22"/>
      <c r="L257">
        <v>4.5575694713416297</v>
      </c>
      <c r="M257" s="22">
        <v>9.5000000000000001E-2</v>
      </c>
      <c r="N257" s="21">
        <v>45352</v>
      </c>
      <c r="O257" s="21">
        <v>46082</v>
      </c>
      <c r="P257">
        <f>ROUND(YEARFRAC(N257,O257),0)</f>
        <v>2</v>
      </c>
      <c r="Q257" s="6">
        <f>(M257*H257)/F257</f>
        <v>9.2300218605780915E-2</v>
      </c>
      <c r="R257" s="5">
        <f>IF(S257="Quarterly",4,IF(S257="Semi-annual",2,IF(S257="Annual",1,IF(S257="Pays at maturity",0,IF(S257="Monthly",12,0)))))</f>
        <v>1</v>
      </c>
      <c r="S257" t="s">
        <v>93</v>
      </c>
      <c r="U257">
        <f>R257*P257</f>
        <v>2</v>
      </c>
      <c r="V257">
        <f>(H257*M257)/AD257</f>
        <v>95</v>
      </c>
      <c r="W257" s="28">
        <f>RATE(U257,V257,-F257,H257)</f>
        <v>7.862834136221801E-2</v>
      </c>
      <c r="X257" s="27">
        <f>W257*AD257</f>
        <v>7.862834136221801E-2</v>
      </c>
      <c r="Y257" s="5">
        <f>DURATION(N257,O257,M257,D257,AD257)</f>
        <v>1.9144281537334598</v>
      </c>
      <c r="Z257" s="5">
        <f>Y257/(1+C257)</f>
        <v>1.7748728457437861</v>
      </c>
      <c r="AA257" s="5">
        <f>-Z257*F257</f>
        <v>-1826.787876481792</v>
      </c>
      <c r="AB257" t="s">
        <v>64</v>
      </c>
      <c r="AC257" t="s">
        <v>62</v>
      </c>
      <c r="AD257">
        <f>_xlfn.SWITCH(PROPER(TRIM(S257)),
   "Annual",1,
   "Semi-Annual",2,
   "Quarterly",4,
   "Monthly",12,
   "")</f>
        <v>1</v>
      </c>
    </row>
    <row r="258" spans="1:30" x14ac:dyDescent="0.35">
      <c r="C258" s="28"/>
      <c r="D258" s="27"/>
      <c r="I258" s="22"/>
      <c r="K258" s="22"/>
      <c r="M258" s="22"/>
      <c r="N258" s="21"/>
      <c r="O258" s="21"/>
      <c r="P258" s="5"/>
      <c r="Q258" s="6"/>
      <c r="R258" s="5"/>
      <c r="W258" s="28"/>
      <c r="Y258" s="33"/>
      <c r="Z258" s="33"/>
      <c r="AA258" s="33"/>
    </row>
    <row r="259" spans="1:30" x14ac:dyDescent="0.35">
      <c r="A259" t="s">
        <v>1927</v>
      </c>
      <c r="B259" t="s">
        <v>232</v>
      </c>
      <c r="C259" s="36">
        <f>RATE(U259,V259,-F259,H259)</f>
        <v>2.7239243368775541E-2</v>
      </c>
      <c r="D259" s="3">
        <f>C259*AD259</f>
        <v>5.4478486737551082E-2</v>
      </c>
      <c r="F259">
        <v>1006.51</v>
      </c>
      <c r="G259" t="s">
        <v>66</v>
      </c>
      <c r="H259">
        <v>1000</v>
      </c>
      <c r="I259" s="22"/>
      <c r="J259">
        <v>5000000</v>
      </c>
      <c r="K259" s="22"/>
      <c r="M259" s="22">
        <v>5.6860000000000001E-2</v>
      </c>
      <c r="N259" s="21">
        <v>44987</v>
      </c>
      <c r="O259" s="21">
        <v>46083</v>
      </c>
      <c r="P259">
        <f>ROUND(YEARFRAC(N259,O259),0)</f>
        <v>3</v>
      </c>
      <c r="Q259" s="6">
        <f>(M259*H259)/F259</f>
        <v>5.649223554659169E-2</v>
      </c>
      <c r="R259" s="5">
        <f>IF(S259="Quarterly",4,IF(S259="Semi-annual",2,IF(S259="Annual",1,IF(S259="Pays at maturity",0,IF(S259="Monthly",12,0)))))</f>
        <v>2</v>
      </c>
      <c r="S259" t="s">
        <v>65</v>
      </c>
      <c r="U259">
        <f>R259*P259</f>
        <v>6</v>
      </c>
      <c r="V259">
        <f>(H259*M259)/AD259</f>
        <v>28.43</v>
      </c>
      <c r="W259" s="28">
        <f>RATE(U259,V259,-F259,H259)</f>
        <v>2.7239243368775541E-2</v>
      </c>
      <c r="X259" s="27">
        <f>W259*AD259</f>
        <v>5.4478486737551082E-2</v>
      </c>
      <c r="Y259" s="5">
        <f>DURATION(N259,O259,M259,D259,AD259)</f>
        <v>2.8009195384307044</v>
      </c>
      <c r="Z259" s="5">
        <f>Y259/(1+C259)</f>
        <v>2.7266477176682233</v>
      </c>
      <c r="AA259" s="5">
        <f>-Z259*F259</f>
        <v>-2744.3981943102435</v>
      </c>
      <c r="AB259" t="s">
        <v>64</v>
      </c>
      <c r="AC259" t="s">
        <v>62</v>
      </c>
      <c r="AD259">
        <f>_xlfn.SWITCH(PROPER(TRIM(S259)),
   "Annual",1,
   "Semi-Annual",2,
   "Quarterly",4,
   "Monthly",12,
   "")</f>
        <v>2</v>
      </c>
    </row>
    <row r="260" spans="1:30" x14ac:dyDescent="0.35">
      <c r="A260" t="s">
        <v>1926</v>
      </c>
      <c r="B260" t="s">
        <v>1270</v>
      </c>
      <c r="C260" s="36">
        <f>RATE(U260,V260,-F260,H260)</f>
        <v>0.13344487524408249</v>
      </c>
      <c r="D260" s="3">
        <f>C260*AD260</f>
        <v>0.13344487524408249</v>
      </c>
      <c r="F260">
        <v>93200.45</v>
      </c>
      <c r="G260" t="s">
        <v>76</v>
      </c>
      <c r="H260">
        <v>100000</v>
      </c>
      <c r="I260" s="22"/>
      <c r="J260">
        <v>1</v>
      </c>
      <c r="K260" s="22"/>
      <c r="L260">
        <v>19.203245610983402</v>
      </c>
      <c r="M260" s="22">
        <v>9.2499999999999999E-2</v>
      </c>
      <c r="N260" s="21">
        <v>45537</v>
      </c>
      <c r="O260" s="21">
        <v>46083</v>
      </c>
      <c r="P260">
        <f>ROUND(YEARFRAC(N260,O260),0)</f>
        <v>2</v>
      </c>
      <c r="Q260" s="6">
        <f>(M260*H260)/F260</f>
        <v>9.924844783474758E-2</v>
      </c>
      <c r="R260" s="5">
        <f>IF(S260="Quarterly",4,IF(S260="Semi-annual",2,IF(S260="Annual",1,IF(S260="Pays at maturity",0,IF(S260="Monthly",12,0)))))</f>
        <v>1</v>
      </c>
      <c r="S260" t="s">
        <v>93</v>
      </c>
      <c r="U260">
        <f>R260*P260</f>
        <v>2</v>
      </c>
      <c r="V260">
        <f>(H260*M260)/AD260</f>
        <v>9250</v>
      </c>
      <c r="W260" s="28">
        <f>RATE(U260,V260,-F260,H260)</f>
        <v>0.13344487524408249</v>
      </c>
      <c r="X260" s="27">
        <f>W260*AD260</f>
        <v>0.13344487524408249</v>
      </c>
      <c r="Y260" s="5">
        <f>DURATION(N260,O260,M260,D260,AD260)</f>
        <v>1.4124364580912008</v>
      </c>
      <c r="Z260" s="5">
        <f>Y260/(1+C260)</f>
        <v>1.2461448182797938</v>
      </c>
      <c r="AA260" s="5">
        <f>-Z260*F260</f>
        <v>-116141.257828845</v>
      </c>
      <c r="AB260" t="s">
        <v>64</v>
      </c>
      <c r="AC260" t="s">
        <v>62</v>
      </c>
      <c r="AD260">
        <f>_xlfn.SWITCH(PROPER(TRIM(S260)),
   "Annual",1,
   "Semi-Annual",2,
   "Quarterly",4,
   "Monthly",12,
   "")</f>
        <v>1</v>
      </c>
    </row>
    <row r="261" spans="1:30" x14ac:dyDescent="0.35">
      <c r="A261" t="s">
        <v>1925</v>
      </c>
      <c r="B261" t="s">
        <v>72</v>
      </c>
      <c r="C261" s="36">
        <f>RATE(U261,V261,-F261,H261)</f>
        <v>5.6895339116763317E-2</v>
      </c>
      <c r="D261" s="3">
        <f>C261*AD261</f>
        <v>5.6895339116763317E-2</v>
      </c>
      <c r="F261">
        <v>1100874</v>
      </c>
      <c r="G261" t="s">
        <v>76</v>
      </c>
      <c r="H261">
        <v>1000000</v>
      </c>
      <c r="I261" s="22"/>
      <c r="J261">
        <v>3</v>
      </c>
      <c r="K261" s="22"/>
      <c r="L261">
        <v>2.8217081023533002</v>
      </c>
      <c r="M261" s="22">
        <v>7.0400000000000004E-2</v>
      </c>
      <c r="N261" s="21">
        <v>42432</v>
      </c>
      <c r="O261" s="21">
        <v>46084</v>
      </c>
      <c r="P261">
        <f>ROUND(YEARFRAC(N261,O261),0)</f>
        <v>10</v>
      </c>
      <c r="Q261" s="6">
        <f>(M261*H261)/F261</f>
        <v>6.3949189462190956E-2</v>
      </c>
      <c r="R261" s="5">
        <f>IF(S261="Quarterly",4,IF(S261="Semi-annual",2,IF(S261="Annual",1,IF(S261="Pays at maturity",0,IF(S261="Monthly",12,0)))))</f>
        <v>1</v>
      </c>
      <c r="S261" t="s">
        <v>93</v>
      </c>
      <c r="U261">
        <f>R261*P261</f>
        <v>10</v>
      </c>
      <c r="V261">
        <f>(H261*M261)/AD261</f>
        <v>70400</v>
      </c>
      <c r="W261" s="28">
        <f>RATE(U261,V261,-F261,H261)</f>
        <v>5.6895339116763317E-2</v>
      </c>
      <c r="X261" s="27">
        <f>W261*AD261</f>
        <v>5.6895339116763317E-2</v>
      </c>
      <c r="Y261" s="5">
        <f>DURATION(N261,O261,M261,D261,AD261)</f>
        <v>7.6335208774273839</v>
      </c>
      <c r="Z261" s="5">
        <f>Y261/(1+C261)</f>
        <v>7.2225892147529382</v>
      </c>
      <c r="AA261" s="5">
        <f>-Z261*F261</f>
        <v>-7951160.6792019261</v>
      </c>
      <c r="AB261" t="s">
        <v>64</v>
      </c>
      <c r="AC261" t="s">
        <v>62</v>
      </c>
      <c r="AD261">
        <f>_xlfn.SWITCH(PROPER(TRIM(S261)),
   "Annual",1,
   "Semi-Annual",2,
   "Quarterly",4,
   "Monthly",12,
   "")</f>
        <v>1</v>
      </c>
    </row>
    <row r="262" spans="1:30" x14ac:dyDescent="0.35">
      <c r="A262" t="s">
        <v>1924</v>
      </c>
      <c r="B262" t="s">
        <v>128</v>
      </c>
      <c r="C262" s="36">
        <f>RATE(U262,V262,-F262,H262)</f>
        <v>2.7120572817866423E-2</v>
      </c>
      <c r="D262" s="3">
        <f>C262*AD262</f>
        <v>5.4241145635732846E-2</v>
      </c>
      <c r="F262">
        <v>960</v>
      </c>
      <c r="G262" t="s">
        <v>66</v>
      </c>
      <c r="H262">
        <v>1000</v>
      </c>
      <c r="I262" s="22"/>
      <c r="J262">
        <v>1420000</v>
      </c>
      <c r="K262" s="22"/>
      <c r="M262" s="22">
        <v>4.4999999999999998E-2</v>
      </c>
      <c r="N262" s="21">
        <v>44259</v>
      </c>
      <c r="O262" s="21">
        <v>46085</v>
      </c>
      <c r="P262">
        <f>ROUND(YEARFRAC(N262,O262),0)</f>
        <v>5</v>
      </c>
      <c r="Q262" s="6">
        <f>(M262*H262)/F262</f>
        <v>4.6875E-2</v>
      </c>
      <c r="R262" s="5">
        <f>IF(S262="Quarterly",4,IF(S262="Semi-annual",2,IF(S262="Annual",1,IF(S262="Pays at maturity",0,IF(S262="Monthly",12,0)))))</f>
        <v>2</v>
      </c>
      <c r="S262" t="s">
        <v>65</v>
      </c>
      <c r="U262">
        <f>R262*P262</f>
        <v>10</v>
      </c>
      <c r="V262">
        <f>(H262*M262)/AD262</f>
        <v>22.5</v>
      </c>
      <c r="W262" s="28">
        <f>RATE(U262,V262,-F262,H262)</f>
        <v>2.7120572817866423E-2</v>
      </c>
      <c r="X262" s="27">
        <f>W262*AD262</f>
        <v>5.4241145635732846E-2</v>
      </c>
      <c r="Y262" s="5">
        <f>DURATION(N262,O262,M262,D262,AD262)</f>
        <v>4.5211126630442129</v>
      </c>
      <c r="Z262" s="5">
        <f>Y262/(1+C262)</f>
        <v>4.4017350861162399</v>
      </c>
      <c r="AA262" s="5">
        <f>-Z262*F262</f>
        <v>-4225.6656826715898</v>
      </c>
      <c r="AB262" t="s">
        <v>79</v>
      </c>
      <c r="AC262" t="s">
        <v>62</v>
      </c>
      <c r="AD262">
        <f>_xlfn.SWITCH(PROPER(TRIM(S262)),
   "Annual",1,
   "Semi-Annual",2,
   "Quarterly",4,
   "Monthly",12,
   "")</f>
        <v>2</v>
      </c>
    </row>
    <row r="263" spans="1:30" x14ac:dyDescent="0.35">
      <c r="A263" t="s">
        <v>1923</v>
      </c>
      <c r="B263" t="s">
        <v>338</v>
      </c>
      <c r="C263" s="36">
        <f>RATE(U263,V263,-F263,H263)</f>
        <v>0.10110110110110111</v>
      </c>
      <c r="D263" s="3">
        <f>C263*AD263</f>
        <v>0.10110110110110111</v>
      </c>
      <c r="F263">
        <v>999</v>
      </c>
      <c r="G263" t="s">
        <v>76</v>
      </c>
      <c r="H263">
        <v>1000</v>
      </c>
      <c r="I263" s="22"/>
      <c r="J263">
        <v>20</v>
      </c>
      <c r="K263" s="22"/>
      <c r="L263">
        <v>10.1364340118665</v>
      </c>
      <c r="M263" s="22">
        <v>0.1</v>
      </c>
      <c r="N263" s="21">
        <v>45686</v>
      </c>
      <c r="O263" s="21">
        <v>46086</v>
      </c>
      <c r="P263">
        <f>ROUND(YEARFRAC(N263,O263),0)</f>
        <v>1</v>
      </c>
      <c r="Q263" s="6">
        <f>(M263*H263)/F263</f>
        <v>0.10010010010010011</v>
      </c>
      <c r="R263" s="5">
        <f>IF(S263="Quarterly",4,IF(S263="Semi-annual",2,IF(S263="Annual",1,IF(S263="Pays at maturity",0,IF(S263="Monthly",12,0)))))</f>
        <v>1</v>
      </c>
      <c r="S263" t="s">
        <v>93</v>
      </c>
      <c r="U263">
        <f>R263*P263</f>
        <v>1</v>
      </c>
      <c r="V263">
        <f>(H263*M263)/AD263</f>
        <v>100</v>
      </c>
      <c r="W263" s="28">
        <f>RATE(U263,V263,-F263,H263)</f>
        <v>0.10110110110110111</v>
      </c>
      <c r="X263" s="27">
        <f>W263*AD263</f>
        <v>0.10110110110110111</v>
      </c>
      <c r="Y263" s="5">
        <f>DURATION(N263,O263,M263,D263,AD263)</f>
        <v>1.0090081892629663</v>
      </c>
      <c r="Z263" s="5">
        <f>Y263/(1+C263)</f>
        <v>0.91636289188518483</v>
      </c>
      <c r="AA263" s="5">
        <f>-Z263*F263</f>
        <v>-915.44652899329969</v>
      </c>
      <c r="AB263" t="s">
        <v>64</v>
      </c>
      <c r="AC263" t="s">
        <v>62</v>
      </c>
      <c r="AD263">
        <f>_xlfn.SWITCH(PROPER(TRIM(S263)),
   "Annual",1,
   "Semi-Annual",2,
   "Quarterly",4,
   "Monthly",12,
   "")</f>
        <v>1</v>
      </c>
    </row>
    <row r="264" spans="1:30" x14ac:dyDescent="0.35">
      <c r="C264" s="28"/>
      <c r="D264" s="27"/>
      <c r="I264" s="22"/>
      <c r="K264" s="22"/>
      <c r="M264" s="22"/>
      <c r="N264" s="21"/>
      <c r="O264" s="21"/>
      <c r="P264" s="5"/>
      <c r="Q264" s="6"/>
      <c r="R264" s="5"/>
      <c r="W264" s="28"/>
      <c r="Y264" s="33"/>
      <c r="Z264" s="33"/>
      <c r="AA264" s="33"/>
    </row>
    <row r="265" spans="1:30" x14ac:dyDescent="0.35">
      <c r="A265" t="s">
        <v>1921</v>
      </c>
      <c r="B265" t="s">
        <v>1086</v>
      </c>
      <c r="C265" s="36">
        <f>RATE(U265,V265,-F265,H265)</f>
        <v>0.12934070438094381</v>
      </c>
      <c r="D265" s="3">
        <f>C265*AD265</f>
        <v>0.51736281752377522</v>
      </c>
      <c r="F265">
        <v>50717.88</v>
      </c>
      <c r="G265" t="s">
        <v>76</v>
      </c>
      <c r="H265">
        <v>100000</v>
      </c>
      <c r="I265" s="22"/>
      <c r="J265">
        <v>1</v>
      </c>
      <c r="K265" s="22"/>
      <c r="M265" s="22">
        <v>0.1075</v>
      </c>
      <c r="N265" s="21">
        <v>45357</v>
      </c>
      <c r="O265" s="21">
        <v>46087</v>
      </c>
      <c r="P265">
        <f>ROUND(YEARFRAC(N265,O265),0)</f>
        <v>2</v>
      </c>
      <c r="Q265" s="6">
        <f>(M265*H265)/F265</f>
        <v>0.21195680892024668</v>
      </c>
      <c r="R265" s="5">
        <f>IF(S265="Quarterly",4,IF(S265="Semi-annual",2,IF(S265="Annual",1,IF(S265="Pays at maturity",0,IF(S265="Monthly",12,0)))))</f>
        <v>4</v>
      </c>
      <c r="S265" t="s">
        <v>105</v>
      </c>
      <c r="U265">
        <f>R265*P265</f>
        <v>8</v>
      </c>
      <c r="V265">
        <f>(H265*M265)/AD265</f>
        <v>2687.5</v>
      </c>
      <c r="W265" s="28">
        <f>RATE(U265,V265,-F265,H265)</f>
        <v>0.12934070438094381</v>
      </c>
      <c r="X265" s="27">
        <f>W265*AD265</f>
        <v>0.51736281752377522</v>
      </c>
      <c r="Y265" s="5">
        <f>DURATION(N265,O265,M265,D265,AD265)</f>
        <v>1.7369503086223552</v>
      </c>
      <c r="Z265" s="5">
        <f>Y265/(1+C265)</f>
        <v>1.5380215216580517</v>
      </c>
      <c r="AA265" s="5">
        <f>-Z265*F265</f>
        <v>-78005.190972870463</v>
      </c>
      <c r="AB265" t="s">
        <v>64</v>
      </c>
      <c r="AC265" t="s">
        <v>62</v>
      </c>
      <c r="AD265">
        <f>_xlfn.SWITCH(PROPER(TRIM(S265)),
   "Annual",1,
   "Semi-Annual",2,
   "Quarterly",4,
   "Monthly",12,
   "")</f>
        <v>4</v>
      </c>
    </row>
    <row r="266" spans="1:30" x14ac:dyDescent="0.35">
      <c r="A266" t="s">
        <v>1920</v>
      </c>
      <c r="B266" t="s">
        <v>598</v>
      </c>
      <c r="C266" s="36">
        <f>RATE(U266,V266,-F266,H266)</f>
        <v>0.10499999999999997</v>
      </c>
      <c r="D266" s="3">
        <f>C266*AD266</f>
        <v>0.10499999999999997</v>
      </c>
      <c r="F266">
        <v>100000</v>
      </c>
      <c r="G266" t="s">
        <v>76</v>
      </c>
      <c r="H266">
        <v>100000</v>
      </c>
      <c r="I266" s="22"/>
      <c r="J266">
        <v>4</v>
      </c>
      <c r="K266" s="22"/>
      <c r="L266">
        <v>10.5</v>
      </c>
      <c r="M266" s="22">
        <v>0.105</v>
      </c>
      <c r="N266" s="21">
        <v>44993</v>
      </c>
      <c r="O266" s="21">
        <v>46089</v>
      </c>
      <c r="P266">
        <f>ROUND(YEARFRAC(N266,O266),0)</f>
        <v>3</v>
      </c>
      <c r="Q266" s="6">
        <f>(M266*H266)/F266</f>
        <v>0.105</v>
      </c>
      <c r="R266" s="5">
        <f>IF(S266="Quarterly",4,IF(S266="Semi-annual",2,IF(S266="Annual",1,IF(S266="Pays at maturity",0,IF(S266="Monthly",12,0)))))</f>
        <v>1</v>
      </c>
      <c r="S266" t="s">
        <v>93</v>
      </c>
      <c r="U266">
        <f>R266*P266</f>
        <v>3</v>
      </c>
      <c r="V266">
        <f>(H266*M266)/AD266</f>
        <v>10500</v>
      </c>
      <c r="W266" s="28">
        <f>RATE(U266,V266,-F266,H266)</f>
        <v>0.10499999999999997</v>
      </c>
      <c r="X266" s="27">
        <f>W266*AD266</f>
        <v>0.10499999999999997</v>
      </c>
      <c r="Y266" s="5">
        <f>DURATION(N266,O266,M266,D266,AD266)</f>
        <v>2.7239614258512308</v>
      </c>
      <c r="Z266" s="5">
        <f>Y266/(1+C266)</f>
        <v>2.4651234623088061</v>
      </c>
      <c r="AA266" s="5">
        <f>-Z266*F266</f>
        <v>-246512.34623088062</v>
      </c>
      <c r="AB266" t="s">
        <v>64</v>
      </c>
      <c r="AC266" t="s">
        <v>62</v>
      </c>
      <c r="AD266">
        <f>_xlfn.SWITCH(PROPER(TRIM(S266)),
   "Annual",1,
   "Semi-Annual",2,
   "Quarterly",4,
   "Monthly",12,
   "")</f>
        <v>1</v>
      </c>
    </row>
    <row r="267" spans="1:30" x14ac:dyDescent="0.35">
      <c r="A267" t="s">
        <v>1919</v>
      </c>
      <c r="B267" t="s">
        <v>326</v>
      </c>
      <c r="C267" s="36">
        <f>RATE(U267,V267,-F267,H267)</f>
        <v>9.9014170961521847E-2</v>
      </c>
      <c r="D267" s="3">
        <f>C267*AD267</f>
        <v>9.9014170961521847E-2</v>
      </c>
      <c r="F267">
        <v>990</v>
      </c>
      <c r="G267" t="s">
        <v>76</v>
      </c>
      <c r="H267">
        <v>1000</v>
      </c>
      <c r="I267" s="22"/>
      <c r="J267">
        <v>27</v>
      </c>
      <c r="K267" s="22"/>
      <c r="L267">
        <v>10.9317815839554</v>
      </c>
      <c r="M267" s="22">
        <v>9.5000000000000001E-2</v>
      </c>
      <c r="N267" s="21">
        <v>44995</v>
      </c>
      <c r="O267" s="21">
        <v>46090</v>
      </c>
      <c r="P267">
        <f>ROUND(YEARFRAC(N267,O267),0)</f>
        <v>3</v>
      </c>
      <c r="Q267" s="6">
        <f>(M267*H267)/F267</f>
        <v>9.5959595959595953E-2</v>
      </c>
      <c r="R267" s="5">
        <f>IF(S267="Quarterly",4,IF(S267="Semi-annual",2,IF(S267="Annual",1,IF(S267="Pays at maturity",0,IF(S267="Monthly",12,0)))))</f>
        <v>1</v>
      </c>
      <c r="S267" t="s">
        <v>93</v>
      </c>
      <c r="U267">
        <f>R267*P267</f>
        <v>3</v>
      </c>
      <c r="V267">
        <f>(H267*M267)/AD267</f>
        <v>95</v>
      </c>
      <c r="W267" s="28">
        <f>RATE(U267,V267,-F267,H267)</f>
        <v>9.9014170961521847E-2</v>
      </c>
      <c r="X267" s="27">
        <f>W267*AD267</f>
        <v>9.9014170961521847E-2</v>
      </c>
      <c r="Y267" s="5">
        <f>DURATION(N267,O267,M267,D267,AD267)</f>
        <v>2.7431459351545411</v>
      </c>
      <c r="Z267" s="5">
        <f>Y267/(1+C267)</f>
        <v>2.496005973020873</v>
      </c>
      <c r="AA267" s="5">
        <f>-Z267*F267</f>
        <v>-2471.0459132906644</v>
      </c>
      <c r="AB267" t="s">
        <v>64</v>
      </c>
      <c r="AC267" t="s">
        <v>62</v>
      </c>
      <c r="AD267">
        <f>_xlfn.SWITCH(PROPER(TRIM(S267)),
   "Annual",1,
   "Semi-Annual",2,
   "Quarterly",4,
   "Monthly",12,
   "")</f>
        <v>1</v>
      </c>
    </row>
    <row r="268" spans="1:30" x14ac:dyDescent="0.35">
      <c r="A268" t="s">
        <v>1918</v>
      </c>
      <c r="B268" t="s">
        <v>353</v>
      </c>
      <c r="C268" s="36">
        <f>RATE(U268,V268,-F268,H268)</f>
        <v>0.10750000000000001</v>
      </c>
      <c r="D268" s="3">
        <f>C268*AD268</f>
        <v>0.10750000000000001</v>
      </c>
      <c r="F268">
        <v>1000</v>
      </c>
      <c r="G268" t="s">
        <v>76</v>
      </c>
      <c r="H268">
        <v>1000</v>
      </c>
      <c r="I268" s="22"/>
      <c r="J268">
        <v>20</v>
      </c>
      <c r="K268" s="22"/>
      <c r="L268">
        <v>10.75</v>
      </c>
      <c r="M268" s="22">
        <v>0.1075</v>
      </c>
      <c r="N268" s="21">
        <v>45362</v>
      </c>
      <c r="O268" s="21">
        <v>46091</v>
      </c>
      <c r="P268">
        <f>ROUND(YEARFRAC(N268,O268),0)</f>
        <v>2</v>
      </c>
      <c r="Q268" s="6">
        <f>(M268*H268)/F268</f>
        <v>0.1075</v>
      </c>
      <c r="R268" s="5">
        <f>IF(S268="Quarterly",4,IF(S268="Semi-annual",2,IF(S268="Annual",1,IF(S268="Pays at maturity",0,IF(S268="Monthly",12,0)))))</f>
        <v>1</v>
      </c>
      <c r="S268" t="s">
        <v>93</v>
      </c>
      <c r="U268">
        <f>R268*P268</f>
        <v>2</v>
      </c>
      <c r="V268">
        <f>(H268*M268)/AD268</f>
        <v>107.5</v>
      </c>
      <c r="W268" s="28">
        <f>RATE(U268,V268,-F268,H268)</f>
        <v>0.10750000000000001</v>
      </c>
      <c r="X268" s="27">
        <f>W268*AD268</f>
        <v>0.10750000000000001</v>
      </c>
      <c r="Y268" s="5">
        <f>DURATION(N268,O268,M268,D268,AD268)</f>
        <v>1.9001567594682716</v>
      </c>
      <c r="Z268" s="5">
        <f>Y268/(1+C268)</f>
        <v>1.7157171643054372</v>
      </c>
      <c r="AA268" s="5">
        <f>-Z268*F268</f>
        <v>-1715.7171643054371</v>
      </c>
      <c r="AB268" t="s">
        <v>64</v>
      </c>
      <c r="AC268" t="s">
        <v>62</v>
      </c>
      <c r="AD268">
        <f>_xlfn.SWITCH(PROPER(TRIM(S268)),
   "Annual",1,
   "Semi-Annual",2,
   "Quarterly",4,
   "Monthly",12,
   "")</f>
        <v>1</v>
      </c>
    </row>
    <row r="269" spans="1:30" x14ac:dyDescent="0.35">
      <c r="A269" t="s">
        <v>1917</v>
      </c>
      <c r="B269" t="s">
        <v>1916</v>
      </c>
      <c r="C269" s="36">
        <f>RATE(U269,V269,-F269,H269)</f>
        <v>9.1674735272555662E-3</v>
      </c>
      <c r="D269" s="3">
        <f>C269*AD269</f>
        <v>1.8334947054511132E-2</v>
      </c>
      <c r="F269">
        <v>978.19</v>
      </c>
      <c r="G269" t="s">
        <v>66</v>
      </c>
      <c r="H269">
        <v>1000</v>
      </c>
      <c r="I269" s="22"/>
      <c r="J269">
        <v>200000</v>
      </c>
      <c r="K269" s="22"/>
      <c r="M269" s="22">
        <v>1.375E-2</v>
      </c>
      <c r="N269" s="21">
        <v>44265</v>
      </c>
      <c r="O269" s="21">
        <v>46091</v>
      </c>
      <c r="P269">
        <f>ROUND(YEARFRAC(N269,O269),0)</f>
        <v>5</v>
      </c>
      <c r="Q269" s="6">
        <f>(M269*H269)/F269</f>
        <v>1.4056573876240812E-2</v>
      </c>
      <c r="R269" s="5">
        <f>IF(S269="Quarterly",4,IF(S269="Semi-annual",2,IF(S269="Annual",1,IF(S269="Pays at maturity",0,IF(S269="Monthly",12,0)))))</f>
        <v>2</v>
      </c>
      <c r="S269" t="s">
        <v>65</v>
      </c>
      <c r="U269">
        <f>R269*P269</f>
        <v>10</v>
      </c>
      <c r="V269">
        <f>(H269*M269)/AD269</f>
        <v>6.875</v>
      </c>
      <c r="W269" s="28">
        <f>RATE(U269,V269,-F269,H269)</f>
        <v>9.1674735272555662E-3</v>
      </c>
      <c r="X269" s="27">
        <f>W269*AD269</f>
        <v>1.8334947054511132E-2</v>
      </c>
      <c r="Y269" s="5">
        <f>DURATION(N269,O269,M269,D269,AD269)</f>
        <v>4.8470363730498898</v>
      </c>
      <c r="Z269" s="5">
        <f>Y269/(1+C269)</f>
        <v>4.8030049522984166</v>
      </c>
      <c r="AA269" s="5">
        <f>-Z269*F269</f>
        <v>-4698.2514142887885</v>
      </c>
      <c r="AB269" t="s">
        <v>69</v>
      </c>
      <c r="AC269" t="s">
        <v>62</v>
      </c>
      <c r="AD269">
        <f>_xlfn.SWITCH(PROPER(TRIM(S269)),
   "Annual",1,
   "Semi-Annual",2,
   "Quarterly",4,
   "Monthly",12,
   "")</f>
        <v>2</v>
      </c>
    </row>
    <row r="270" spans="1:30" x14ac:dyDescent="0.35">
      <c r="C270" s="28"/>
      <c r="D270" s="27"/>
      <c r="I270" s="22"/>
      <c r="K270" s="22"/>
      <c r="M270" s="22"/>
      <c r="N270" s="21"/>
      <c r="O270" s="21"/>
      <c r="P270" s="5"/>
      <c r="Q270" s="6"/>
      <c r="R270" s="5"/>
      <c r="W270" s="28"/>
      <c r="Y270" s="33"/>
      <c r="Z270" s="33"/>
      <c r="AA270" s="33"/>
    </row>
    <row r="271" spans="1:30" x14ac:dyDescent="0.35">
      <c r="A271" t="s">
        <v>1914</v>
      </c>
      <c r="B271" t="s">
        <v>1446</v>
      </c>
      <c r="C271" s="36">
        <f>RATE(U271,V271,-F271,H271)</f>
        <v>2.4188444381578082E-2</v>
      </c>
      <c r="D271" s="3">
        <f>C271*AD271</f>
        <v>9.6753777526312326E-2</v>
      </c>
      <c r="F271">
        <v>100404.04</v>
      </c>
      <c r="G271" t="s">
        <v>76</v>
      </c>
      <c r="H271">
        <v>100000</v>
      </c>
      <c r="I271" s="22"/>
      <c r="J271">
        <v>1</v>
      </c>
      <c r="K271" s="22"/>
      <c r="M271" s="22">
        <v>9.9000000000000005E-2</v>
      </c>
      <c r="N271" s="21">
        <v>45362</v>
      </c>
      <c r="O271" s="21">
        <v>46092</v>
      </c>
      <c r="P271">
        <f>ROUND(YEARFRAC(N271,O271),0)</f>
        <v>2</v>
      </c>
      <c r="Q271" s="6">
        <f>(M271*H271)/F271</f>
        <v>9.8601610054734862E-2</v>
      </c>
      <c r="R271" s="5">
        <f>IF(S271="Quarterly",4,IF(S271="Semi-annual",2,IF(S271="Annual",1,IF(S271="Pays at maturity",0,IF(S271="Monthly",12,0)))))</f>
        <v>4</v>
      </c>
      <c r="S271" t="s">
        <v>105</v>
      </c>
      <c r="U271">
        <f>R271*P271</f>
        <v>8</v>
      </c>
      <c r="V271">
        <f>(H271*M271)/AD271</f>
        <v>2475</v>
      </c>
      <c r="W271" s="28">
        <f>RATE(U271,V271,-F271,H271)</f>
        <v>2.4188444381578082E-2</v>
      </c>
      <c r="X271" s="27">
        <f>W271*AD271</f>
        <v>9.6753777526312326E-2</v>
      </c>
      <c r="Y271" s="5">
        <f>DURATION(N271,O271,M271,D271,AD271)</f>
        <v>1.839249782759155</v>
      </c>
      <c r="Z271" s="5">
        <f>Y271/(1+C271)</f>
        <v>1.79581188681515</v>
      </c>
      <c r="AA271" s="5">
        <f>-Z271*F271</f>
        <v>-180306.76851626378</v>
      </c>
      <c r="AB271" t="s">
        <v>64</v>
      </c>
      <c r="AC271" t="s">
        <v>62</v>
      </c>
      <c r="AD271">
        <f>_xlfn.SWITCH(PROPER(TRIM(S271)),
   "Annual",1,
   "Semi-Annual",2,
   "Quarterly",4,
   "Monthly",12,
   "")</f>
        <v>4</v>
      </c>
    </row>
    <row r="272" spans="1:30" x14ac:dyDescent="0.35">
      <c r="A272" t="s">
        <v>1913</v>
      </c>
      <c r="B272" t="s">
        <v>460</v>
      </c>
      <c r="C272" s="36">
        <f>RATE(U272,V272,-F272,H272)</f>
        <v>0.10250000000000002</v>
      </c>
      <c r="D272" s="3">
        <f>C272*AD272</f>
        <v>0.10250000000000002</v>
      </c>
      <c r="F272">
        <v>1000</v>
      </c>
      <c r="G272" t="s">
        <v>76</v>
      </c>
      <c r="H272">
        <v>1000</v>
      </c>
      <c r="I272" s="22"/>
      <c r="J272">
        <v>1</v>
      </c>
      <c r="K272" s="22"/>
      <c r="L272">
        <v>10.25</v>
      </c>
      <c r="M272" s="22">
        <v>0.10249999999999999</v>
      </c>
      <c r="N272" s="21">
        <v>44242</v>
      </c>
      <c r="O272" s="21">
        <v>46094</v>
      </c>
      <c r="P272">
        <f>ROUND(YEARFRAC(N272,O272),0)</f>
        <v>5</v>
      </c>
      <c r="Q272" s="6">
        <f>(M272*H272)/F272</f>
        <v>0.10249999999999999</v>
      </c>
      <c r="R272" s="5">
        <f>IF(S272="Quarterly",4,IF(S272="Semi-annual",2,IF(S272="Annual",1,IF(S272="Pays at maturity",0,IF(S272="Monthly",12,0)))))</f>
        <v>1</v>
      </c>
      <c r="S272" t="s">
        <v>93</v>
      </c>
      <c r="U272">
        <f>R272*P272</f>
        <v>5</v>
      </c>
      <c r="V272">
        <f>(H272*M272)/AD272</f>
        <v>102.5</v>
      </c>
      <c r="W272" s="28">
        <f>RATE(U272,V272,-F272,H272)</f>
        <v>0.10250000000000002</v>
      </c>
      <c r="X272" s="27">
        <f>W272*AD272</f>
        <v>0.10250000000000002</v>
      </c>
      <c r="Y272" s="5">
        <f>DURATION(N272,O272,M272,D272,AD272)</f>
        <v>3.8444777432337838</v>
      </c>
      <c r="Z272" s="5">
        <f>Y272/(1+C272)</f>
        <v>3.4870546423889195</v>
      </c>
      <c r="AA272" s="5">
        <f>-Z272*F272</f>
        <v>-3487.0546423889195</v>
      </c>
      <c r="AB272" t="s">
        <v>64</v>
      </c>
      <c r="AC272" t="s">
        <v>62</v>
      </c>
      <c r="AD272">
        <f>_xlfn.SWITCH(PROPER(TRIM(S272)),
   "Annual",1,
   "Semi-Annual",2,
   "Quarterly",4,
   "Monthly",12,
   "")</f>
        <v>1</v>
      </c>
    </row>
    <row r="273" spans="1:30" x14ac:dyDescent="0.35">
      <c r="A273" t="s">
        <v>1912</v>
      </c>
      <c r="B273" t="s">
        <v>241</v>
      </c>
      <c r="C273" s="36">
        <f>RATE(U273,V273,-F273,H273)</f>
        <v>8.9887692988320736E-2</v>
      </c>
      <c r="D273" s="3">
        <f>C273*AD273</f>
        <v>8.9887692988320736E-2</v>
      </c>
      <c r="F273">
        <v>990.71</v>
      </c>
      <c r="G273" t="s">
        <v>76</v>
      </c>
      <c r="H273">
        <v>1000</v>
      </c>
      <c r="I273" s="22"/>
      <c r="J273">
        <v>269</v>
      </c>
      <c r="K273" s="22"/>
      <c r="L273">
        <v>10.246366430085899</v>
      </c>
      <c r="M273" s="22">
        <v>8.7499999999999994E-2</v>
      </c>
      <c r="N273" s="21">
        <v>44270</v>
      </c>
      <c r="O273" s="21">
        <v>46096</v>
      </c>
      <c r="P273">
        <f>ROUND(YEARFRAC(N273,O273),0)</f>
        <v>5</v>
      </c>
      <c r="Q273" s="6">
        <f>(M273*H273)/F273</f>
        <v>8.8320497421041477E-2</v>
      </c>
      <c r="R273" s="5">
        <f>IF(S273="Quarterly",4,IF(S273="Semi-annual",2,IF(S273="Annual",1,IF(S273="Pays at maturity",0,IF(S273="Monthly",12,0)))))</f>
        <v>1</v>
      </c>
      <c r="S273" t="s">
        <v>93</v>
      </c>
      <c r="U273">
        <f>R273*P273</f>
        <v>5</v>
      </c>
      <c r="V273">
        <f>(H273*M273)/AD273</f>
        <v>87.5</v>
      </c>
      <c r="W273" s="28">
        <f>RATE(U273,V273,-F273,H273)</f>
        <v>8.9887692988320736E-2</v>
      </c>
      <c r="X273" s="27">
        <f>W273*AD273</f>
        <v>8.9887692988320736E-2</v>
      </c>
      <c r="Y273" s="5">
        <f>DURATION(N273,O273,M273,D273,AD273)</f>
        <v>4.2537602465271673</v>
      </c>
      <c r="Z273" s="5">
        <f>Y273/(1+C273)</f>
        <v>3.9029344710407243</v>
      </c>
      <c r="AA273" s="5">
        <f>-Z273*F273</f>
        <v>-3866.6762098047561</v>
      </c>
      <c r="AB273" t="s">
        <v>64</v>
      </c>
      <c r="AC273" t="s">
        <v>62</v>
      </c>
      <c r="AD273">
        <f>_xlfn.SWITCH(PROPER(TRIM(S273)),
   "Annual",1,
   "Semi-Annual",2,
   "Quarterly",4,
   "Monthly",12,
   "")</f>
        <v>1</v>
      </c>
    </row>
    <row r="274" spans="1:30" x14ac:dyDescent="0.35">
      <c r="C274" s="28"/>
      <c r="D274" s="27"/>
      <c r="I274" s="22"/>
      <c r="K274" s="22"/>
      <c r="M274" s="22"/>
      <c r="N274" s="21"/>
      <c r="O274" s="21"/>
      <c r="P274" s="5"/>
      <c r="Q274" s="6"/>
      <c r="R274" s="5"/>
      <c r="W274" s="28"/>
      <c r="Y274" s="33"/>
      <c r="Z274" s="33"/>
      <c r="AA274" s="33"/>
    </row>
    <row r="275" spans="1:30" x14ac:dyDescent="0.35">
      <c r="A275" t="s">
        <v>1910</v>
      </c>
      <c r="B275" t="s">
        <v>1247</v>
      </c>
      <c r="C275" s="36">
        <f t="shared" ref="C275:C281" si="182">RATE(U275,V275,-F275,H275)</f>
        <v>9.7032060592767713E-2</v>
      </c>
      <c r="D275" s="3">
        <f t="shared" ref="D275:D281" si="183">C275*AD275</f>
        <v>9.7032060592767713E-2</v>
      </c>
      <c r="F275">
        <v>9921.0300000000007</v>
      </c>
      <c r="G275" t="s">
        <v>76</v>
      </c>
      <c r="H275">
        <v>10000</v>
      </c>
      <c r="I275" s="22"/>
      <c r="J275">
        <v>51</v>
      </c>
      <c r="K275" s="22"/>
      <c r="L275">
        <v>10.4629810634185</v>
      </c>
      <c r="M275" s="22">
        <v>9.2499999999999999E-2</v>
      </c>
      <c r="N275" s="21">
        <v>45551</v>
      </c>
      <c r="O275" s="21">
        <v>46097</v>
      </c>
      <c r="P275">
        <f t="shared" ref="P275:P281" si="184">ROUND(YEARFRAC(N275,O275),0)</f>
        <v>2</v>
      </c>
      <c r="Q275" s="6">
        <f t="shared" ref="Q275:Q281" si="185">(M275*H275)/F275</f>
        <v>9.3236286958108178E-2</v>
      </c>
      <c r="R275" s="5">
        <f t="shared" ref="R275:R281" si="186">IF(S275="Quarterly",4,IF(S275="Semi-annual",2,IF(S275="Annual",1,IF(S275="Pays at maturity",0,IF(S275="Monthly",12,0)))))</f>
        <v>1</v>
      </c>
      <c r="S275" t="s">
        <v>93</v>
      </c>
      <c r="U275">
        <f t="shared" ref="U275:U281" si="187">R275*P275</f>
        <v>2</v>
      </c>
      <c r="V275">
        <f t="shared" ref="V275:V281" si="188">(H275*M275)/AD275</f>
        <v>925</v>
      </c>
      <c r="W275" s="28">
        <f t="shared" ref="W275:W281" si="189">RATE(U275,V275,-F275,H275)</f>
        <v>9.7032060592767713E-2</v>
      </c>
      <c r="X275" s="27">
        <f t="shared" ref="X275:X281" si="190">W275*AD275</f>
        <v>9.7032060592767713E-2</v>
      </c>
      <c r="Y275" s="5">
        <f t="shared" ref="Y275:Y281" si="191">DURATION(N275,O275,M275,D275,AD275)</f>
        <v>1.4150104264885988</v>
      </c>
      <c r="Z275" s="5">
        <f t="shared" ref="Z275:Z281" si="192">Y275/(1+C275)</f>
        <v>1.2898533026683061</v>
      </c>
      <c r="AA275" s="5">
        <f t="shared" ref="AA275:AA281" si="193">-Z275*F275</f>
        <v>-12796.673311371345</v>
      </c>
      <c r="AB275" t="s">
        <v>64</v>
      </c>
      <c r="AC275" t="s">
        <v>62</v>
      </c>
      <c r="AD275">
        <f t="shared" ref="AD275:AD281" si="194">_xlfn.SWITCH(PROPER(TRIM(S275)),
   "Annual",1,
   "Semi-Annual",2,
   "Quarterly",4,
   "Monthly",12,
   "")</f>
        <v>1</v>
      </c>
    </row>
    <row r="276" spans="1:30" x14ac:dyDescent="0.35">
      <c r="A276" t="s">
        <v>1909</v>
      </c>
      <c r="B276" t="s">
        <v>401</v>
      </c>
      <c r="C276" s="36">
        <f t="shared" si="182"/>
        <v>8.4649555690206338E-2</v>
      </c>
      <c r="D276" s="3">
        <f t="shared" si="183"/>
        <v>8.4649555690206338E-2</v>
      </c>
      <c r="F276">
        <v>104492</v>
      </c>
      <c r="G276" t="s">
        <v>76</v>
      </c>
      <c r="H276">
        <v>100000</v>
      </c>
      <c r="I276" s="22"/>
      <c r="J276">
        <v>1</v>
      </c>
      <c r="K276" s="22"/>
      <c r="L276">
        <v>4.0699356904318904</v>
      </c>
      <c r="M276" s="22">
        <v>0.11</v>
      </c>
      <c r="N276" s="21">
        <v>45369</v>
      </c>
      <c r="O276" s="21">
        <v>46099</v>
      </c>
      <c r="P276">
        <f t="shared" si="184"/>
        <v>2</v>
      </c>
      <c r="Q276" s="6">
        <f t="shared" si="185"/>
        <v>0.10527121693526777</v>
      </c>
      <c r="R276" s="5">
        <f t="shared" si="186"/>
        <v>1</v>
      </c>
      <c r="S276" t="s">
        <v>93</v>
      </c>
      <c r="U276">
        <f t="shared" si="187"/>
        <v>2</v>
      </c>
      <c r="V276">
        <f t="shared" si="188"/>
        <v>11000</v>
      </c>
      <c r="W276" s="28">
        <f t="shared" si="189"/>
        <v>8.4649555690206338E-2</v>
      </c>
      <c r="X276" s="27">
        <f t="shared" si="190"/>
        <v>8.4649555690206338E-2</v>
      </c>
      <c r="Y276" s="5">
        <f t="shared" si="191"/>
        <v>1.9029444889522134</v>
      </c>
      <c r="Z276" s="5">
        <f t="shared" si="192"/>
        <v>1.7544325528638538</v>
      </c>
      <c r="AA276" s="5">
        <f t="shared" si="193"/>
        <v>-183324.1663138498</v>
      </c>
      <c r="AB276" t="s">
        <v>64</v>
      </c>
      <c r="AC276" t="s">
        <v>62</v>
      </c>
      <c r="AD276">
        <f t="shared" si="194"/>
        <v>1</v>
      </c>
    </row>
    <row r="277" spans="1:30" x14ac:dyDescent="0.35">
      <c r="A277" t="s">
        <v>1908</v>
      </c>
      <c r="B277" t="s">
        <v>1907</v>
      </c>
      <c r="C277" s="36">
        <f t="shared" si="182"/>
        <v>2.0256882319815421E-2</v>
      </c>
      <c r="D277" s="3">
        <f t="shared" si="183"/>
        <v>4.0513764639630842E-2</v>
      </c>
      <c r="F277">
        <v>995.81</v>
      </c>
      <c r="G277" t="s">
        <v>66</v>
      </c>
      <c r="H277">
        <v>1000</v>
      </c>
      <c r="I277" s="22"/>
      <c r="J277">
        <v>300000</v>
      </c>
      <c r="K277" s="22"/>
      <c r="M277" s="22">
        <v>0.04</v>
      </c>
      <c r="N277" s="21">
        <v>42447</v>
      </c>
      <c r="O277" s="21">
        <v>46099</v>
      </c>
      <c r="P277">
        <f t="shared" si="184"/>
        <v>10</v>
      </c>
      <c r="Q277" s="6">
        <f t="shared" si="185"/>
        <v>4.0168305198782901E-2</v>
      </c>
      <c r="R277" s="5">
        <f t="shared" si="186"/>
        <v>2</v>
      </c>
      <c r="S277" t="s">
        <v>65</v>
      </c>
      <c r="U277">
        <f t="shared" si="187"/>
        <v>20</v>
      </c>
      <c r="V277">
        <f t="shared" si="188"/>
        <v>20</v>
      </c>
      <c r="W277" s="28">
        <f t="shared" si="189"/>
        <v>2.0256882319815421E-2</v>
      </c>
      <c r="X277" s="27">
        <f t="shared" si="190"/>
        <v>4.0513764639630842E-2</v>
      </c>
      <c r="Y277" s="5">
        <f t="shared" si="191"/>
        <v>8.3350094897678879</v>
      </c>
      <c r="Z277" s="5">
        <f t="shared" si="192"/>
        <v>8.1695204748985457</v>
      </c>
      <c r="AA277" s="5">
        <f t="shared" si="193"/>
        <v>-8135.2901841087205</v>
      </c>
      <c r="AB277" t="s">
        <v>64</v>
      </c>
      <c r="AC277" t="s">
        <v>62</v>
      </c>
      <c r="AD277">
        <f t="shared" si="194"/>
        <v>2</v>
      </c>
    </row>
    <row r="278" spans="1:30" x14ac:dyDescent="0.35">
      <c r="A278" t="s">
        <v>1906</v>
      </c>
      <c r="B278" t="s">
        <v>401</v>
      </c>
      <c r="C278" s="36">
        <f t="shared" si="182"/>
        <v>0.10062007355406642</v>
      </c>
      <c r="D278" s="3">
        <f t="shared" si="183"/>
        <v>0.10062007355406642</v>
      </c>
      <c r="F278">
        <v>100467</v>
      </c>
      <c r="G278" t="s">
        <v>76</v>
      </c>
      <c r="H278">
        <v>100000</v>
      </c>
      <c r="I278" s="22"/>
      <c r="J278">
        <v>7</v>
      </c>
      <c r="K278" s="22"/>
      <c r="L278">
        <v>9.8451704225477492</v>
      </c>
      <c r="M278" s="22">
        <v>0.10249999999999999</v>
      </c>
      <c r="N278" s="21">
        <v>45187</v>
      </c>
      <c r="O278" s="21">
        <v>46099</v>
      </c>
      <c r="P278">
        <f t="shared" si="184"/>
        <v>3</v>
      </c>
      <c r="Q278" s="6">
        <f t="shared" si="185"/>
        <v>0.10202355002140007</v>
      </c>
      <c r="R278" s="5">
        <f t="shared" si="186"/>
        <v>1</v>
      </c>
      <c r="S278" t="s">
        <v>93</v>
      </c>
      <c r="U278">
        <f t="shared" si="187"/>
        <v>3</v>
      </c>
      <c r="V278">
        <f t="shared" si="188"/>
        <v>10250</v>
      </c>
      <c r="W278" s="28">
        <f t="shared" si="189"/>
        <v>0.10062007355406642</v>
      </c>
      <c r="X278" s="27">
        <f t="shared" si="190"/>
        <v>0.10062007355406642</v>
      </c>
      <c r="Y278" s="5">
        <f t="shared" si="191"/>
        <v>2.2303851385829021</v>
      </c>
      <c r="Z278" s="5">
        <f t="shared" si="192"/>
        <v>2.0264805196407658</v>
      </c>
      <c r="AA278" s="5">
        <f t="shared" si="193"/>
        <v>-203594.41836674881</v>
      </c>
      <c r="AB278" t="s">
        <v>64</v>
      </c>
      <c r="AC278" t="s">
        <v>62</v>
      </c>
      <c r="AD278">
        <f t="shared" si="194"/>
        <v>1</v>
      </c>
    </row>
    <row r="279" spans="1:30" x14ac:dyDescent="0.35">
      <c r="A279" t="s">
        <v>1905</v>
      </c>
      <c r="B279" t="s">
        <v>1086</v>
      </c>
      <c r="C279" s="36">
        <f t="shared" si="182"/>
        <v>2.6361122456413859E-2</v>
      </c>
      <c r="D279" s="3">
        <f t="shared" si="183"/>
        <v>0.10544448982565544</v>
      </c>
      <c r="F279">
        <v>99475.24</v>
      </c>
      <c r="G279" t="s">
        <v>76</v>
      </c>
      <c r="H279">
        <v>100000</v>
      </c>
      <c r="I279" s="22"/>
      <c r="J279">
        <v>2</v>
      </c>
      <c r="K279" s="22"/>
      <c r="M279" s="22">
        <v>0.10249999999999999</v>
      </c>
      <c r="N279" s="21">
        <v>45463</v>
      </c>
      <c r="O279" s="21">
        <v>46101</v>
      </c>
      <c r="P279">
        <f t="shared" si="184"/>
        <v>2</v>
      </c>
      <c r="Q279" s="6">
        <f t="shared" si="185"/>
        <v>0.10304071646371499</v>
      </c>
      <c r="R279" s="5">
        <f t="shared" si="186"/>
        <v>4</v>
      </c>
      <c r="S279" t="s">
        <v>105</v>
      </c>
      <c r="U279">
        <f t="shared" si="187"/>
        <v>8</v>
      </c>
      <c r="V279">
        <f t="shared" si="188"/>
        <v>2562.5</v>
      </c>
      <c r="W279" s="28">
        <f t="shared" si="189"/>
        <v>2.6361122456413859E-2</v>
      </c>
      <c r="X279" s="27">
        <f t="shared" si="190"/>
        <v>0.10544448982565544</v>
      </c>
      <c r="Y279" s="5">
        <f t="shared" si="191"/>
        <v>1.623806310052019</v>
      </c>
      <c r="Z279" s="5">
        <f t="shared" si="192"/>
        <v>1.5821003684996622</v>
      </c>
      <c r="AA279" s="5">
        <f t="shared" si="193"/>
        <v>-157379.81386059235</v>
      </c>
      <c r="AB279" t="s">
        <v>64</v>
      </c>
      <c r="AC279" t="s">
        <v>62</v>
      </c>
      <c r="AD279">
        <f t="shared" si="194"/>
        <v>4</v>
      </c>
    </row>
    <row r="280" spans="1:30" x14ac:dyDescent="0.35">
      <c r="A280" t="s">
        <v>1904</v>
      </c>
      <c r="B280" t="s">
        <v>72</v>
      </c>
      <c r="C280" s="36">
        <f t="shared" si="182"/>
        <v>6.4945250238812036E-2</v>
      </c>
      <c r="D280" s="3">
        <f t="shared" si="183"/>
        <v>6.4945250238812036E-2</v>
      </c>
      <c r="F280">
        <v>1057.2</v>
      </c>
      <c r="G280" t="s">
        <v>76</v>
      </c>
      <c r="H280">
        <v>1000</v>
      </c>
      <c r="I280" s="22"/>
      <c r="J280">
        <v>50</v>
      </c>
      <c r="K280" s="22"/>
      <c r="L280">
        <v>-1.26491934096929</v>
      </c>
      <c r="M280" s="22">
        <v>7.2900000000000006E-2</v>
      </c>
      <c r="N280" s="21">
        <v>42451</v>
      </c>
      <c r="O280" s="21">
        <v>46103</v>
      </c>
      <c r="P280">
        <f t="shared" si="184"/>
        <v>10</v>
      </c>
      <c r="Q280" s="6">
        <f t="shared" si="185"/>
        <v>6.8955732122587973E-2</v>
      </c>
      <c r="R280" s="5">
        <f t="shared" si="186"/>
        <v>1</v>
      </c>
      <c r="S280" t="s">
        <v>93</v>
      </c>
      <c r="U280">
        <f t="shared" si="187"/>
        <v>10</v>
      </c>
      <c r="V280">
        <f t="shared" si="188"/>
        <v>72.900000000000006</v>
      </c>
      <c r="W280" s="28">
        <f t="shared" si="189"/>
        <v>6.4945250238812036E-2</v>
      </c>
      <c r="X280" s="27">
        <f t="shared" si="190"/>
        <v>6.4945250238812036E-2</v>
      </c>
      <c r="Y280" s="5">
        <f t="shared" si="191"/>
        <v>7.5130296892609962</v>
      </c>
      <c r="Z280" s="5">
        <f t="shared" si="192"/>
        <v>7.0548506484969176</v>
      </c>
      <c r="AA280" s="5">
        <f t="shared" si="193"/>
        <v>-7458.3881055909414</v>
      </c>
      <c r="AB280" t="s">
        <v>64</v>
      </c>
      <c r="AC280" t="s">
        <v>62</v>
      </c>
      <c r="AD280">
        <f t="shared" si="194"/>
        <v>1</v>
      </c>
    </row>
    <row r="281" spans="1:30" x14ac:dyDescent="0.35">
      <c r="A281" t="s">
        <v>1903</v>
      </c>
      <c r="B281" t="s">
        <v>72</v>
      </c>
      <c r="C281" s="36">
        <f t="shared" si="182"/>
        <v>6.6873585830626511E-2</v>
      </c>
      <c r="D281" s="3">
        <f t="shared" si="183"/>
        <v>6.6873585830626511E-2</v>
      </c>
      <c r="F281">
        <v>1025.1300000000001</v>
      </c>
      <c r="G281" t="s">
        <v>76</v>
      </c>
      <c r="H281">
        <v>1000</v>
      </c>
      <c r="I281" s="22"/>
      <c r="J281">
        <v>10</v>
      </c>
      <c r="K281" s="22"/>
      <c r="L281">
        <v>4.4877416688822498</v>
      </c>
      <c r="M281" s="22">
        <v>7.0400000000000004E-2</v>
      </c>
      <c r="N281" s="21">
        <v>42451</v>
      </c>
      <c r="O281" s="21">
        <v>46103</v>
      </c>
      <c r="P281">
        <f t="shared" si="184"/>
        <v>10</v>
      </c>
      <c r="Q281" s="6">
        <f t="shared" si="185"/>
        <v>6.8674216928584664E-2</v>
      </c>
      <c r="R281" s="5">
        <f t="shared" si="186"/>
        <v>1</v>
      </c>
      <c r="S281" t="s">
        <v>93</v>
      </c>
      <c r="U281">
        <f t="shared" si="187"/>
        <v>10</v>
      </c>
      <c r="V281">
        <f t="shared" si="188"/>
        <v>70.400000000000006</v>
      </c>
      <c r="W281" s="28">
        <f t="shared" si="189"/>
        <v>6.6873585830626511E-2</v>
      </c>
      <c r="X281" s="27">
        <f t="shared" si="190"/>
        <v>6.6873585830626511E-2</v>
      </c>
      <c r="Y281" s="5">
        <f t="shared" si="191"/>
        <v>7.5382274849734605</v>
      </c>
      <c r="Z281" s="5">
        <f t="shared" si="192"/>
        <v>7.0657176118054217</v>
      </c>
      <c r="AA281" s="5">
        <f t="shared" si="193"/>
        <v>-7243.2790953900931</v>
      </c>
      <c r="AB281" t="s">
        <v>64</v>
      </c>
      <c r="AC281" t="s">
        <v>62</v>
      </c>
      <c r="AD281">
        <f t="shared" si="194"/>
        <v>1</v>
      </c>
    </row>
    <row r="282" spans="1:30" x14ac:dyDescent="0.35">
      <c r="C282" s="28"/>
      <c r="D282" s="27"/>
      <c r="I282" s="22"/>
      <c r="K282" s="22"/>
      <c r="M282" s="22"/>
      <c r="N282" s="21"/>
      <c r="O282" s="21"/>
      <c r="P282" s="5"/>
      <c r="Q282" s="6"/>
      <c r="R282" s="5"/>
      <c r="W282" s="28"/>
      <c r="Y282" s="33"/>
      <c r="Z282" s="33"/>
      <c r="AA282" s="33"/>
    </row>
    <row r="283" spans="1:30" x14ac:dyDescent="0.35">
      <c r="A283" t="s">
        <v>1901</v>
      </c>
      <c r="B283" t="s">
        <v>128</v>
      </c>
      <c r="C283" s="36">
        <f>RATE(U283,V283,-F283,H283)</f>
        <v>4.6326706529305789E-2</v>
      </c>
      <c r="D283" s="3">
        <f>C283*AD283</f>
        <v>0.55592047835166947</v>
      </c>
      <c r="F283">
        <v>333</v>
      </c>
      <c r="G283" t="s">
        <v>76</v>
      </c>
      <c r="H283">
        <v>1000</v>
      </c>
      <c r="I283" s="22"/>
      <c r="J283">
        <v>7</v>
      </c>
      <c r="K283" s="22"/>
      <c r="M283" s="22">
        <v>9.4800000000000009E-2</v>
      </c>
      <c r="N283" s="21">
        <v>45008</v>
      </c>
      <c r="O283" s="21">
        <v>46104</v>
      </c>
      <c r="P283">
        <f>ROUND(YEARFRAC(N283,O283),0)</f>
        <v>3</v>
      </c>
      <c r="Q283" s="6">
        <f>(M283*H283)/F283</f>
        <v>0.28468468468468472</v>
      </c>
      <c r="R283" s="5">
        <f>IF(S283="Quarterly",4,IF(S283="Semi-annual",2,IF(S283="Annual",1,IF(S283="Pays at maturity",0,IF(S283="Monthly",12,0)))))</f>
        <v>12</v>
      </c>
      <c r="S283" t="s">
        <v>1717</v>
      </c>
      <c r="U283">
        <f>R283*P283</f>
        <v>36</v>
      </c>
      <c r="V283">
        <f>(H283*M283)/AD283</f>
        <v>7.9000000000000012</v>
      </c>
      <c r="W283" s="28">
        <f>RATE(U283,V283,-F283,H283)</f>
        <v>4.6326706529305789E-2</v>
      </c>
      <c r="X283" s="27">
        <f>W283*AD283</f>
        <v>0.55592047835166947</v>
      </c>
      <c r="Y283" s="5" t="e">
        <f>DURATION(N283,O283,M283,D283,AD283)</f>
        <v>#NUM!</v>
      </c>
      <c r="Z283" s="5" t="e">
        <f>Y283/(1+C283)</f>
        <v>#NUM!</v>
      </c>
      <c r="AA283" s="5" t="e">
        <f>-Z283*F283</f>
        <v>#NUM!</v>
      </c>
      <c r="AB283" t="s">
        <v>64</v>
      </c>
      <c r="AC283" t="s">
        <v>62</v>
      </c>
      <c r="AD283">
        <f>_xlfn.SWITCH(PROPER(TRIM(S283)),
   "Annual",1,
   "Semi-Annual",2,
   "Quarterly",4,
   "Monthly",12,
   "")</f>
        <v>12</v>
      </c>
    </row>
    <row r="284" spans="1:30" x14ac:dyDescent="0.35">
      <c r="A284" t="s">
        <v>1900</v>
      </c>
      <c r="B284" t="s">
        <v>128</v>
      </c>
      <c r="C284" s="36">
        <f>RATE(U284,V284,-F284,H284)</f>
        <v>0.66929261215648705</v>
      </c>
      <c r="D284" s="3">
        <f>C284*AD284</f>
        <v>0.66929261215648705</v>
      </c>
      <c r="F284">
        <v>331.1</v>
      </c>
      <c r="G284" t="s">
        <v>76</v>
      </c>
      <c r="H284">
        <v>1000</v>
      </c>
      <c r="I284" s="22"/>
      <c r="J284">
        <v>11</v>
      </c>
      <c r="K284" s="22"/>
      <c r="M284" s="22">
        <v>9.9000000000000005E-2</v>
      </c>
      <c r="N284" s="21">
        <v>45008</v>
      </c>
      <c r="O284" s="21">
        <v>46104</v>
      </c>
      <c r="P284">
        <f>ROUND(YEARFRAC(N284,O284),0)</f>
        <v>3</v>
      </c>
      <c r="Q284" s="6">
        <f>(M284*H284)/F284</f>
        <v>0.29900332225913617</v>
      </c>
      <c r="R284" s="5">
        <f>IF(S284="Quarterly",4,IF(S284="Semi-annual",2,IF(S284="Annual",1,IF(S284="Pays at maturity",0,IF(S284="Monthly",12,0)))))</f>
        <v>1</v>
      </c>
      <c r="S284" t="s">
        <v>93</v>
      </c>
      <c r="U284">
        <f>R284*P284</f>
        <v>3</v>
      </c>
      <c r="V284">
        <f>(H284*M284)/AD284</f>
        <v>99</v>
      </c>
      <c r="W284" s="28">
        <f>RATE(U284,V284,-F284,H284)</f>
        <v>0.66929261215648705</v>
      </c>
      <c r="X284" s="27">
        <f>W284*AD284</f>
        <v>0.66929261215648705</v>
      </c>
      <c r="Y284" s="5">
        <f>DURATION(N284,O284,M284,D284,AD284)</f>
        <v>2.5344576397509075</v>
      </c>
      <c r="Z284" s="5">
        <f>Y284/(1+C284)</f>
        <v>1.5182824277145461</v>
      </c>
      <c r="AA284" s="5">
        <f>-Z284*F284</f>
        <v>-502.70331181628626</v>
      </c>
      <c r="AB284" t="s">
        <v>64</v>
      </c>
      <c r="AC284" t="s">
        <v>62</v>
      </c>
      <c r="AD284">
        <f>_xlfn.SWITCH(PROPER(TRIM(S284)),
   "Annual",1,
   "Semi-Annual",2,
   "Quarterly",4,
   "Monthly",12,
   "")</f>
        <v>1</v>
      </c>
    </row>
    <row r="285" spans="1:30" x14ac:dyDescent="0.35">
      <c r="A285" t="s">
        <v>1899</v>
      </c>
      <c r="B285" t="s">
        <v>361</v>
      </c>
      <c r="C285" s="36">
        <f>RATE(U285,V285,-F285,H285)</f>
        <v>6.7950282834180656E-2</v>
      </c>
      <c r="D285" s="3">
        <f>C285*AD285</f>
        <v>6.7950282834180656E-2</v>
      </c>
      <c r="F285">
        <v>1017.37</v>
      </c>
      <c r="G285" t="s">
        <v>76</v>
      </c>
      <c r="H285">
        <v>1000</v>
      </c>
      <c r="I285" s="22"/>
      <c r="J285">
        <v>5</v>
      </c>
      <c r="K285" s="22"/>
      <c r="L285">
        <v>5.1594065322633904</v>
      </c>
      <c r="M285" s="22">
        <v>7.0400000000000004E-2</v>
      </c>
      <c r="N285" s="21">
        <v>42452</v>
      </c>
      <c r="O285" s="21">
        <v>46104</v>
      </c>
      <c r="P285">
        <f>ROUND(YEARFRAC(N285,O285),0)</f>
        <v>10</v>
      </c>
      <c r="Q285" s="6">
        <f>(M285*H285)/F285</f>
        <v>6.9198030215162631E-2</v>
      </c>
      <c r="R285" s="5">
        <f>IF(S285="Quarterly",4,IF(S285="Semi-annual",2,IF(S285="Annual",1,IF(S285="Pays at maturity",0,IF(S285="Monthly",12,0)))))</f>
        <v>1</v>
      </c>
      <c r="S285" t="s">
        <v>93</v>
      </c>
      <c r="U285">
        <f>R285*P285</f>
        <v>10</v>
      </c>
      <c r="V285">
        <f>(H285*M285)/AD285</f>
        <v>70.400000000000006</v>
      </c>
      <c r="W285" s="28">
        <f>RATE(U285,V285,-F285,H285)</f>
        <v>6.7950282834180656E-2</v>
      </c>
      <c r="X285" s="27">
        <f>W285*AD285</f>
        <v>6.7950282834180656E-2</v>
      </c>
      <c r="Y285" s="5">
        <f>DURATION(N285,O285,M285,D285,AD285)</f>
        <v>7.5278469905297589</v>
      </c>
      <c r="Z285" s="5">
        <f>Y285/(1+C285)</f>
        <v>7.0488740080221488</v>
      </c>
      <c r="AA285" s="5">
        <f>-Z285*F285</f>
        <v>-7171.3129495414933</v>
      </c>
      <c r="AB285" t="s">
        <v>64</v>
      </c>
      <c r="AC285" t="s">
        <v>62</v>
      </c>
      <c r="AD285">
        <f>_xlfn.SWITCH(PROPER(TRIM(S285)),
   "Annual",1,
   "Semi-Annual",2,
   "Quarterly",4,
   "Monthly",12,
   "")</f>
        <v>1</v>
      </c>
    </row>
    <row r="286" spans="1:30" x14ac:dyDescent="0.35">
      <c r="A286" t="s">
        <v>1898</v>
      </c>
      <c r="B286" t="s">
        <v>361</v>
      </c>
      <c r="C286" s="36">
        <f>RATE(U286,V286,-F286,H286)</f>
        <v>6.9328886779363733E-2</v>
      </c>
      <c r="D286" s="3">
        <f>C286*AD286</f>
        <v>6.9328886779363733E-2</v>
      </c>
      <c r="F286">
        <v>1025.1600000000001</v>
      </c>
      <c r="G286" t="s">
        <v>76</v>
      </c>
      <c r="H286">
        <v>1000</v>
      </c>
      <c r="I286" s="22"/>
      <c r="J286">
        <v>1750</v>
      </c>
      <c r="K286" s="22"/>
      <c r="L286">
        <v>3.4547519112994398</v>
      </c>
      <c r="M286" s="22">
        <v>7.2900000000000006E-2</v>
      </c>
      <c r="N286" s="21">
        <v>42452</v>
      </c>
      <c r="O286" s="21">
        <v>46104</v>
      </c>
      <c r="P286">
        <f>ROUND(YEARFRAC(N286,O286),0)</f>
        <v>10</v>
      </c>
      <c r="Q286" s="6">
        <f>(M286*H286)/F286</f>
        <v>7.1110850989113891E-2</v>
      </c>
      <c r="R286" s="5">
        <f>IF(S286="Quarterly",4,IF(S286="Semi-annual",2,IF(S286="Annual",1,IF(S286="Pays at maturity",0,IF(S286="Monthly",12,0)))))</f>
        <v>1</v>
      </c>
      <c r="S286" t="s">
        <v>93</v>
      </c>
      <c r="U286">
        <f>R286*P286</f>
        <v>10</v>
      </c>
      <c r="V286">
        <f>(H286*M286)/AD286</f>
        <v>72.900000000000006</v>
      </c>
      <c r="W286" s="28">
        <f>RATE(U286,V286,-F286,H286)</f>
        <v>6.9328886779363733E-2</v>
      </c>
      <c r="X286" s="27">
        <f>W286*AD286</f>
        <v>6.9328886779363733E-2</v>
      </c>
      <c r="Y286" s="5">
        <f>DURATION(N286,O286,M286,D286,AD286)</f>
        <v>7.4704863767811389</v>
      </c>
      <c r="Z286" s="5">
        <f>Y286/(1+C286)</f>
        <v>6.9861447391372451</v>
      </c>
      <c r="AA286" s="5">
        <f>-Z286*F286</f>
        <v>-7161.9161407739384</v>
      </c>
      <c r="AB286" t="s">
        <v>64</v>
      </c>
      <c r="AC286" t="s">
        <v>62</v>
      </c>
      <c r="AD286">
        <f>_xlfn.SWITCH(PROPER(TRIM(S286)),
   "Annual",1,
   "Semi-Annual",2,
   "Quarterly",4,
   "Monthly",12,
   "")</f>
        <v>1</v>
      </c>
    </row>
    <row r="287" spans="1:30" x14ac:dyDescent="0.35">
      <c r="A287" t="s">
        <v>1897</v>
      </c>
      <c r="B287" t="s">
        <v>128</v>
      </c>
      <c r="C287" s="36">
        <f>RATE(U287,V287,-F287,H287)</f>
        <v>0.12514439597502466</v>
      </c>
      <c r="D287" s="3">
        <f>C287*AD287</f>
        <v>0.12514439597502466</v>
      </c>
      <c r="F287">
        <v>945.2</v>
      </c>
      <c r="G287" t="s">
        <v>76</v>
      </c>
      <c r="H287">
        <v>1000</v>
      </c>
      <c r="I287" s="22"/>
      <c r="J287">
        <v>20</v>
      </c>
      <c r="K287" s="22"/>
      <c r="L287">
        <v>15.2685836700953</v>
      </c>
      <c r="M287" s="22">
        <v>9.2499999999999999E-2</v>
      </c>
      <c r="N287" s="21">
        <v>45377</v>
      </c>
      <c r="O287" s="21">
        <v>46107</v>
      </c>
      <c r="P287">
        <f>ROUND(YEARFRAC(N287,O287),0)</f>
        <v>2</v>
      </c>
      <c r="Q287" s="6">
        <f>(M287*H287)/F287</f>
        <v>9.7862886161658905E-2</v>
      </c>
      <c r="R287" s="5">
        <f>IF(S287="Quarterly",4,IF(S287="Semi-annual",2,IF(S287="Annual",1,IF(S287="Pays at maturity",0,IF(S287="Monthly",12,0)))))</f>
        <v>1</v>
      </c>
      <c r="S287" t="s">
        <v>93</v>
      </c>
      <c r="U287">
        <f>R287*P287</f>
        <v>2</v>
      </c>
      <c r="V287">
        <f>(H287*M287)/AD287</f>
        <v>92.5</v>
      </c>
      <c r="W287" s="28">
        <f>RATE(U287,V287,-F287,H287)</f>
        <v>0.12514439597502466</v>
      </c>
      <c r="X287" s="27">
        <f>W287*AD287</f>
        <v>0.12514439597502466</v>
      </c>
      <c r="Y287" s="5">
        <f>DURATION(N287,O287,M287,D287,AD287)</f>
        <v>1.9130219316633994</v>
      </c>
      <c r="Z287" s="5">
        <f>Y287/(1+C287)</f>
        <v>1.7002457093568135</v>
      </c>
      <c r="AA287" s="5">
        <f>-Z287*F287</f>
        <v>-1607.0722444840603</v>
      </c>
      <c r="AB287" t="s">
        <v>64</v>
      </c>
      <c r="AC287" t="s">
        <v>62</v>
      </c>
      <c r="AD287">
        <f>_xlfn.SWITCH(PROPER(TRIM(S287)),
   "Annual",1,
   "Semi-Annual",2,
   "Quarterly",4,
   "Monthly",12,
   "")</f>
        <v>1</v>
      </c>
    </row>
    <row r="288" spans="1:30" x14ac:dyDescent="0.35">
      <c r="C288" s="28"/>
      <c r="D288" s="27"/>
      <c r="I288" s="22"/>
      <c r="K288" s="22"/>
      <c r="M288" s="22"/>
      <c r="N288" s="21"/>
      <c r="O288" s="21"/>
      <c r="P288" s="5"/>
      <c r="Q288" s="6"/>
      <c r="R288" s="5"/>
      <c r="W288" s="28"/>
      <c r="Y288" s="33"/>
      <c r="Z288" s="33"/>
      <c r="AA288" s="33"/>
    </row>
    <row r="289" spans="1:30" x14ac:dyDescent="0.35">
      <c r="A289" t="s">
        <v>1895</v>
      </c>
      <c r="B289" t="s">
        <v>128</v>
      </c>
      <c r="C289" s="36">
        <f>RATE(U289,V289,-F289,H289)</f>
        <v>9.4783520547772934E-2</v>
      </c>
      <c r="D289" s="3">
        <f>C289*AD289</f>
        <v>9.4783520547772934E-2</v>
      </c>
      <c r="F289">
        <v>1003</v>
      </c>
      <c r="G289" t="s">
        <v>76</v>
      </c>
      <c r="H289">
        <v>1000</v>
      </c>
      <c r="I289" s="22"/>
      <c r="J289">
        <v>34</v>
      </c>
      <c r="K289" s="22"/>
      <c r="L289">
        <v>9.2312348668280801</v>
      </c>
      <c r="M289" s="22">
        <v>9.6500000000000002E-2</v>
      </c>
      <c r="N289" s="21">
        <v>45377</v>
      </c>
      <c r="O289" s="21">
        <v>46107</v>
      </c>
      <c r="P289">
        <f>ROUND(YEARFRAC(N289,O289),0)</f>
        <v>2</v>
      </c>
      <c r="Q289" s="6">
        <f>(M289*H289)/F289</f>
        <v>9.6211365902293122E-2</v>
      </c>
      <c r="R289" s="5">
        <f>IF(S289="Quarterly",4,IF(S289="Semi-annual",2,IF(S289="Annual",1,IF(S289="Pays at maturity",0,IF(S289="Monthly",12,0)))))</f>
        <v>1</v>
      </c>
      <c r="S289" t="s">
        <v>93</v>
      </c>
      <c r="U289">
        <f>R289*P289</f>
        <v>2</v>
      </c>
      <c r="V289">
        <f>(H289*M289)/AD289</f>
        <v>96.5</v>
      </c>
      <c r="W289" s="28">
        <f>RATE(U289,V289,-F289,H289)</f>
        <v>9.4783520547772934E-2</v>
      </c>
      <c r="X289" s="27">
        <f>W289*AD289</f>
        <v>9.4783520547772934E-2</v>
      </c>
      <c r="Y289" s="5">
        <f>DURATION(N289,O289,M289,D289,AD289)</f>
        <v>1.9121183648670463</v>
      </c>
      <c r="Z289" s="5">
        <f>Y289/(1+C289)</f>
        <v>1.7465721112702914</v>
      </c>
      <c r="AA289" s="5">
        <f>-Z289*F289</f>
        <v>-1751.8118276041023</v>
      </c>
      <c r="AB289" t="s">
        <v>64</v>
      </c>
      <c r="AC289" t="s">
        <v>62</v>
      </c>
      <c r="AD289">
        <f>_xlfn.SWITCH(PROPER(TRIM(S289)),
   "Annual",1,
   "Semi-Annual",2,
   "Quarterly",4,
   "Monthly",12,
   "")</f>
        <v>1</v>
      </c>
    </row>
    <row r="290" spans="1:30" x14ac:dyDescent="0.35">
      <c r="A290" t="s">
        <v>1894</v>
      </c>
      <c r="B290" t="s">
        <v>1452</v>
      </c>
      <c r="C290" s="36">
        <f>RATE(U290,V290,-F290,H290)</f>
        <v>0.11457286432160806</v>
      </c>
      <c r="D290" s="3">
        <f>C290*AD290</f>
        <v>0.11457286432160806</v>
      </c>
      <c r="F290">
        <v>99500</v>
      </c>
      <c r="G290" t="s">
        <v>76</v>
      </c>
      <c r="H290">
        <v>100000</v>
      </c>
      <c r="I290" s="22"/>
      <c r="J290">
        <v>1</v>
      </c>
      <c r="K290" s="22"/>
      <c r="L290">
        <v>11.5938577906956</v>
      </c>
      <c r="M290" s="22">
        <v>0.109</v>
      </c>
      <c r="N290" s="21">
        <v>45565</v>
      </c>
      <c r="O290" s="21">
        <v>46108</v>
      </c>
      <c r="P290">
        <f>ROUND(YEARFRAC(N290,O290),0)</f>
        <v>1</v>
      </c>
      <c r="Q290" s="6">
        <f>(M290*H290)/F290</f>
        <v>0.10954773869346733</v>
      </c>
      <c r="R290" s="5">
        <f>IF(S290="Quarterly",4,IF(S290="Semi-annual",2,IF(S290="Annual",1,IF(S290="Pays at maturity",0,IF(S290="Monthly",12,0)))))</f>
        <v>1</v>
      </c>
      <c r="S290" t="s">
        <v>93</v>
      </c>
      <c r="U290">
        <f>R290*P290</f>
        <v>1</v>
      </c>
      <c r="V290">
        <f>(H290*M290)/AD290</f>
        <v>10900</v>
      </c>
      <c r="W290" s="28">
        <f>RATE(U290,V290,-F290,H290)</f>
        <v>0.11457286432160806</v>
      </c>
      <c r="X290" s="27">
        <f>W290*AD290</f>
        <v>0.11457286432160806</v>
      </c>
      <c r="Y290" s="5">
        <f>DURATION(N290,O290,M290,D290,AD290)</f>
        <v>1.3929347826086957</v>
      </c>
      <c r="Z290" s="5">
        <f>Y290/(1+C290)</f>
        <v>1.2497476183008587</v>
      </c>
      <c r="AA290" s="5">
        <f>-Z290*F290</f>
        <v>-124349.88802093544</v>
      </c>
      <c r="AB290" t="s">
        <v>64</v>
      </c>
      <c r="AC290" t="s">
        <v>62</v>
      </c>
      <c r="AD290">
        <f>_xlfn.SWITCH(PROPER(TRIM(S290)),
   "Annual",1,
   "Semi-Annual",2,
   "Quarterly",4,
   "Monthly",12,
   "")</f>
        <v>1</v>
      </c>
    </row>
    <row r="291" spans="1:30" x14ac:dyDescent="0.35">
      <c r="C291" s="28"/>
      <c r="D291" s="27"/>
      <c r="I291" s="22"/>
      <c r="K291" s="22"/>
      <c r="M291" s="22"/>
      <c r="N291" s="21"/>
      <c r="O291" s="21"/>
      <c r="P291" s="5"/>
      <c r="Q291" s="6"/>
      <c r="R291" s="5"/>
      <c r="W291" s="28"/>
      <c r="Y291" s="33"/>
      <c r="Z291" s="33"/>
      <c r="AA291" s="33"/>
    </row>
    <row r="292" spans="1:30" x14ac:dyDescent="0.35">
      <c r="A292" t="s">
        <v>1892</v>
      </c>
      <c r="B292" t="s">
        <v>171</v>
      </c>
      <c r="C292" s="36">
        <f>RATE(U292,V292,-F292,H292)</f>
        <v>8.1234326876654717E-2</v>
      </c>
      <c r="D292" s="3">
        <f>C292*AD292</f>
        <v>8.1234326876654717E-2</v>
      </c>
      <c r="F292">
        <v>1015</v>
      </c>
      <c r="G292" t="s">
        <v>76</v>
      </c>
      <c r="H292">
        <v>1000</v>
      </c>
      <c r="I292" s="22"/>
      <c r="J292">
        <v>13</v>
      </c>
      <c r="K292" s="22"/>
      <c r="L292">
        <v>6.0620110113010703</v>
      </c>
      <c r="M292" s="22">
        <v>8.3000000000000004E-2</v>
      </c>
      <c r="N292" s="21">
        <v>40630</v>
      </c>
      <c r="O292" s="21">
        <v>46109</v>
      </c>
      <c r="P292">
        <f>ROUND(YEARFRAC(N292,O292),0)</f>
        <v>15</v>
      </c>
      <c r="Q292" s="6">
        <f>(M292*H292)/F292</f>
        <v>8.1773399014778328E-2</v>
      </c>
      <c r="R292" s="5">
        <f>IF(S292="Quarterly",4,IF(S292="Semi-annual",2,IF(S292="Annual",1,IF(S292="Pays at maturity",0,IF(S292="Monthly",12,0)))))</f>
        <v>1</v>
      </c>
      <c r="S292" t="s">
        <v>93</v>
      </c>
      <c r="U292">
        <f>R292*P292</f>
        <v>15</v>
      </c>
      <c r="V292">
        <f>(H292*M292)/AD292</f>
        <v>83</v>
      </c>
      <c r="W292" s="28">
        <f>RATE(U292,V292,-F292,H292)</f>
        <v>8.1234326876654717E-2</v>
      </c>
      <c r="X292" s="27">
        <f>W292*AD292</f>
        <v>8.1234326876654717E-2</v>
      </c>
      <c r="Y292" s="5">
        <f>DURATION(N292,O292,M292,D292,AD292)</f>
        <v>9.1468718055153797</v>
      </c>
      <c r="Z292" s="5">
        <f>Y292/(1+C292)</f>
        <v>8.4596572437149771</v>
      </c>
      <c r="AA292" s="5">
        <f>-Z292*F292</f>
        <v>-8586.5521023707024</v>
      </c>
      <c r="AB292" t="s">
        <v>79</v>
      </c>
      <c r="AC292" t="s">
        <v>62</v>
      </c>
      <c r="AD292">
        <f>_xlfn.SWITCH(PROPER(TRIM(S292)),
   "Annual",1,
   "Semi-Annual",2,
   "Quarterly",4,
   "Monthly",12,
   "")</f>
        <v>1</v>
      </c>
    </row>
    <row r="293" spans="1:30" x14ac:dyDescent="0.35">
      <c r="C293" s="28"/>
      <c r="D293" s="27"/>
      <c r="I293" s="22"/>
      <c r="K293" s="22"/>
      <c r="M293" s="22"/>
      <c r="N293" s="21"/>
      <c r="O293" s="21"/>
      <c r="P293" s="5"/>
      <c r="Q293" s="6"/>
      <c r="R293" s="5"/>
      <c r="W293" s="28"/>
      <c r="Y293" s="33"/>
      <c r="Z293" s="33"/>
      <c r="AA293" s="33"/>
    </row>
    <row r="294" spans="1:30" x14ac:dyDescent="0.35">
      <c r="A294" t="s">
        <v>1890</v>
      </c>
      <c r="B294" t="s">
        <v>561</v>
      </c>
      <c r="C294" s="36">
        <f>RATE(U294,V294,-F294,H294)</f>
        <v>0.65942028985507262</v>
      </c>
      <c r="D294" s="3">
        <f>C294*AD294</f>
        <v>0.65942028985507262</v>
      </c>
      <c r="F294">
        <v>69000</v>
      </c>
      <c r="G294" t="s">
        <v>76</v>
      </c>
      <c r="H294">
        <v>100000</v>
      </c>
      <c r="I294" s="22"/>
      <c r="J294">
        <v>1</v>
      </c>
      <c r="K294" s="22"/>
      <c r="L294">
        <v>81.975647863800404</v>
      </c>
      <c r="M294" s="22">
        <v>0.14499999999999999</v>
      </c>
      <c r="N294" s="21">
        <v>45744</v>
      </c>
      <c r="O294" s="21">
        <v>46110</v>
      </c>
      <c r="P294">
        <f>ROUND(YEARFRAC(N294,O294),0)</f>
        <v>1</v>
      </c>
      <c r="Q294" s="6">
        <f>(M294*H294)/F294</f>
        <v>0.21014492753623185</v>
      </c>
      <c r="R294" s="5">
        <f>IF(S294="Quarterly",4,IF(S294="Semi-annual",2,IF(S294="Annual",1,IF(S294="Pays at maturity",0,IF(S294="Monthly",12,0)))))</f>
        <v>1</v>
      </c>
      <c r="S294" t="s">
        <v>93</v>
      </c>
      <c r="U294">
        <f>R294*P294</f>
        <v>1</v>
      </c>
      <c r="V294">
        <f>(H294*M294)/AD294</f>
        <v>14499.999999999998</v>
      </c>
      <c r="W294" s="28">
        <f>RATE(U294,V294,-F294,H294)</f>
        <v>0.65942028985507262</v>
      </c>
      <c r="X294" s="27">
        <f>W294*AD294</f>
        <v>0.65942028985507262</v>
      </c>
      <c r="Y294" s="5">
        <f>DURATION(N294,O294,M294,D294,AD294)</f>
        <v>0.82912508316699929</v>
      </c>
      <c r="Z294" s="5">
        <f>Y294/(1+C294)</f>
        <v>0.49964743003076806</v>
      </c>
      <c r="AA294" s="5">
        <f>-Z294*F294</f>
        <v>-34475.672672122993</v>
      </c>
      <c r="AB294" t="s">
        <v>64</v>
      </c>
      <c r="AC294" t="s">
        <v>62</v>
      </c>
      <c r="AD294">
        <f>_xlfn.SWITCH(PROPER(TRIM(S294)),
   "Annual",1,
   "Semi-Annual",2,
   "Quarterly",4,
   "Monthly",12,
   "")</f>
        <v>1</v>
      </c>
    </row>
    <row r="295" spans="1:30" x14ac:dyDescent="0.35">
      <c r="A295" t="s">
        <v>1889</v>
      </c>
      <c r="B295" t="s">
        <v>1589</v>
      </c>
      <c r="C295" s="36">
        <f>RATE(U295,V295,-F295,H295)</f>
        <v>8.6925642146766693E-2</v>
      </c>
      <c r="D295" s="3">
        <f>C295*AD295</f>
        <v>8.6925642146766693E-2</v>
      </c>
      <c r="F295">
        <v>1020000</v>
      </c>
      <c r="G295" t="s">
        <v>76</v>
      </c>
      <c r="H295">
        <v>1000000</v>
      </c>
      <c r="I295" s="22"/>
      <c r="J295">
        <v>1</v>
      </c>
      <c r="K295" s="22"/>
      <c r="L295">
        <v>7.5246432511298504</v>
      </c>
      <c r="M295" s="22">
        <v>0.09</v>
      </c>
      <c r="N295" s="21">
        <v>42460</v>
      </c>
      <c r="O295" s="21">
        <v>46112</v>
      </c>
      <c r="P295">
        <f>ROUND(YEARFRAC(N295,O295),0)</f>
        <v>10</v>
      </c>
      <c r="Q295" s="6">
        <f>(M295*H295)/F295</f>
        <v>8.8235294117647065E-2</v>
      </c>
      <c r="R295" s="5">
        <f>IF(S295="Quarterly",4,IF(S295="Semi-annual",2,IF(S295="Annual",1,IF(S295="Pays at maturity",0,IF(S295="Monthly",12,0)))))</f>
        <v>1</v>
      </c>
      <c r="S295" t="s">
        <v>93</v>
      </c>
      <c r="U295">
        <f>R295*P295</f>
        <v>10</v>
      </c>
      <c r="V295">
        <f>(H295*M295)/AD295</f>
        <v>90000</v>
      </c>
      <c r="W295" s="28">
        <f>RATE(U295,V295,-F295,H295)</f>
        <v>8.6925642146766693E-2</v>
      </c>
      <c r="X295" s="27">
        <f>W295*AD295</f>
        <v>8.6925642146766693E-2</v>
      </c>
      <c r="Y295" s="5">
        <f>DURATION(N295,O295,M295,D295,AD295)</f>
        <v>7.0267810128779642</v>
      </c>
      <c r="Z295" s="5">
        <f>Y295/(1+C295)</f>
        <v>6.464822192435812</v>
      </c>
      <c r="AA295" s="5">
        <f>-Z295*F295</f>
        <v>-6594118.6362845283</v>
      </c>
      <c r="AB295" t="s">
        <v>64</v>
      </c>
      <c r="AC295" t="s">
        <v>62</v>
      </c>
      <c r="AD295">
        <f>_xlfn.SWITCH(PROPER(TRIM(S295)),
   "Annual",1,
   "Semi-Annual",2,
   "Quarterly",4,
   "Monthly",12,
   "")</f>
        <v>1</v>
      </c>
    </row>
    <row r="296" spans="1:30" x14ac:dyDescent="0.35">
      <c r="C296" s="28"/>
      <c r="D296" s="27"/>
      <c r="I296" s="22"/>
      <c r="K296" s="22"/>
      <c r="M296" s="22"/>
      <c r="N296" s="21"/>
      <c r="O296" s="21"/>
      <c r="P296" s="5"/>
      <c r="Q296" s="6"/>
      <c r="R296" s="5"/>
      <c r="W296" s="28"/>
      <c r="Y296" s="33"/>
      <c r="Z296" s="33"/>
      <c r="AA296" s="33"/>
    </row>
    <row r="297" spans="1:30" x14ac:dyDescent="0.35">
      <c r="A297" t="s">
        <v>1887</v>
      </c>
      <c r="B297" t="s">
        <v>94</v>
      </c>
      <c r="C297" s="36">
        <f>RATE(U297,V297,-F297,H297)</f>
        <v>7.2714687091464378E-2</v>
      </c>
      <c r="D297" s="3">
        <f>C297*AD297</f>
        <v>7.2714687091464378E-2</v>
      </c>
      <c r="F297">
        <v>5550</v>
      </c>
      <c r="G297" t="s">
        <v>76</v>
      </c>
      <c r="H297">
        <v>5000</v>
      </c>
      <c r="I297" s="22"/>
      <c r="J297">
        <v>2</v>
      </c>
      <c r="K297" s="22"/>
      <c r="L297">
        <v>-1.5696819268247799</v>
      </c>
      <c r="M297" s="22">
        <v>8.5000000000000006E-2</v>
      </c>
      <c r="N297" s="21">
        <v>40633</v>
      </c>
      <c r="O297" s="21">
        <v>46112</v>
      </c>
      <c r="P297">
        <f>ROUND(YEARFRAC(N297,O297),0)</f>
        <v>15</v>
      </c>
      <c r="Q297" s="6">
        <f>(M297*H297)/F297</f>
        <v>7.6576576576576585E-2</v>
      </c>
      <c r="R297" s="5">
        <f>IF(S297="Quarterly",4,IF(S297="Semi-annual",2,IF(S297="Annual",1,IF(S297="Pays at maturity",0,IF(S297="Monthly",12,0)))))</f>
        <v>1</v>
      </c>
      <c r="S297" t="s">
        <v>93</v>
      </c>
      <c r="U297">
        <f>R297*P297</f>
        <v>15</v>
      </c>
      <c r="V297">
        <f>(H297*M297)/AD297</f>
        <v>425.00000000000006</v>
      </c>
      <c r="W297" s="28">
        <f>RATE(U297,V297,-F297,H297)</f>
        <v>7.2714687091464378E-2</v>
      </c>
      <c r="X297" s="27">
        <f>W297*AD297</f>
        <v>7.2714687091464378E-2</v>
      </c>
      <c r="Y297" s="5">
        <f>DURATION(N297,O297,M297,D297,AD297)</f>
        <v>9.3183150502889163</v>
      </c>
      <c r="Z297" s="5">
        <f>Y297/(1+C297)</f>
        <v>8.6866667925973839</v>
      </c>
      <c r="AA297" s="5">
        <f>-Z297*F297</f>
        <v>-48211.000698915479</v>
      </c>
      <c r="AB297" t="s">
        <v>79</v>
      </c>
      <c r="AC297" t="s">
        <v>62</v>
      </c>
      <c r="AD297">
        <f>_xlfn.SWITCH(PROPER(TRIM(S297)),
   "Annual",1,
   "Semi-Annual",2,
   "Quarterly",4,
   "Monthly",12,
   "")</f>
        <v>1</v>
      </c>
    </row>
    <row r="298" spans="1:30" x14ac:dyDescent="0.35">
      <c r="A298" t="s">
        <v>1886</v>
      </c>
      <c r="B298" t="s">
        <v>281</v>
      </c>
      <c r="C298" s="36">
        <f>RATE(U298,V298,-F298,H298)</f>
        <v>4.6258032291693743E-2</v>
      </c>
      <c r="D298" s="3">
        <f>C298*AD298</f>
        <v>0.18503212916677497</v>
      </c>
      <c r="F298">
        <v>755000</v>
      </c>
      <c r="G298" t="s">
        <v>76</v>
      </c>
      <c r="H298">
        <v>1000000</v>
      </c>
      <c r="I298" s="22"/>
      <c r="J298">
        <v>1</v>
      </c>
      <c r="K298" s="22"/>
      <c r="M298" s="22">
        <v>9.6999999999999989E-2</v>
      </c>
      <c r="N298" s="21">
        <v>44650</v>
      </c>
      <c r="O298" s="21">
        <v>46112</v>
      </c>
      <c r="P298">
        <f>ROUND(YEARFRAC(N298,O298),0)</f>
        <v>4</v>
      </c>
      <c r="Q298" s="6">
        <f>(M298*H298)/F298</f>
        <v>0.12847682119205295</v>
      </c>
      <c r="R298" s="5">
        <f>IF(S298="Quarterly",4,IF(S298="Semi-annual",2,IF(S298="Annual",1,IF(S298="Pays at maturity",0,IF(S298="Monthly",12,0)))))</f>
        <v>4</v>
      </c>
      <c r="S298" t="s">
        <v>105</v>
      </c>
      <c r="U298">
        <f>R298*P298</f>
        <v>16</v>
      </c>
      <c r="V298">
        <f>(H298*M298)/AD298</f>
        <v>24249.999999999996</v>
      </c>
      <c r="W298" s="28">
        <f>RATE(U298,V298,-F298,H298)</f>
        <v>4.6258032291693743E-2</v>
      </c>
      <c r="X298" s="27">
        <f>W298*AD298</f>
        <v>0.18503212916677497</v>
      </c>
      <c r="Y298" s="5">
        <f>DURATION(N298,O298,M298,D298,AD298)</f>
        <v>3.1434544407291658</v>
      </c>
      <c r="Z298" s="5">
        <f>Y298/(1+C298)</f>
        <v>3.0044734125900407</v>
      </c>
      <c r="AA298" s="5">
        <f>-Z298*F298</f>
        <v>-2268377.4265054809</v>
      </c>
      <c r="AB298" t="s">
        <v>64</v>
      </c>
      <c r="AC298" t="s">
        <v>62</v>
      </c>
      <c r="AD298">
        <f>_xlfn.SWITCH(PROPER(TRIM(S298)),
   "Annual",1,
   "Semi-Annual",2,
   "Quarterly",4,
   "Monthly",12,
   "")</f>
        <v>4</v>
      </c>
    </row>
    <row r="299" spans="1:30" x14ac:dyDescent="0.35">
      <c r="A299" t="s">
        <v>1885</v>
      </c>
      <c r="B299" t="s">
        <v>283</v>
      </c>
      <c r="C299" s="36">
        <f>RATE(U299,V299,-F299,H299)</f>
        <v>2.4277975112774238E-2</v>
      </c>
      <c r="D299" s="3">
        <f>C299*AD299</f>
        <v>9.7111900451096952E-2</v>
      </c>
      <c r="F299">
        <v>1006151</v>
      </c>
      <c r="G299" t="s">
        <v>76</v>
      </c>
      <c r="H299">
        <v>1000000</v>
      </c>
      <c r="I299" s="22"/>
      <c r="J299">
        <v>1</v>
      </c>
      <c r="K299" s="22"/>
      <c r="M299" s="22">
        <v>9.9499999999999991E-2</v>
      </c>
      <c r="N299" s="21">
        <v>44841</v>
      </c>
      <c r="O299" s="21">
        <v>46112</v>
      </c>
      <c r="P299">
        <f>ROUND(YEARFRAC(N299,O299),0)</f>
        <v>3</v>
      </c>
      <c r="Q299" s="6">
        <f>(M299*H299)/F299</f>
        <v>9.8891717048435065E-2</v>
      </c>
      <c r="R299" s="5">
        <f>IF(S299="Quarterly",4,IF(S299="Semi-annual",2,IF(S299="Annual",1,IF(S299="Pays at maturity",0,IF(S299="Monthly",12,0)))))</f>
        <v>4</v>
      </c>
      <c r="S299" t="s">
        <v>105</v>
      </c>
      <c r="U299">
        <f>R299*P299</f>
        <v>12</v>
      </c>
      <c r="V299">
        <f>(H299*M299)/AD299</f>
        <v>24874.999999999996</v>
      </c>
      <c r="W299" s="28">
        <f>RATE(U299,V299,-F299,H299)</f>
        <v>2.4277975112774238E-2</v>
      </c>
      <c r="X299" s="27">
        <f>W299*AD299</f>
        <v>9.7111900451096952E-2</v>
      </c>
      <c r="Y299" s="5">
        <f>DURATION(N299,O299,M299,D299,AD299)</f>
        <v>2.9806929536045392</v>
      </c>
      <c r="Z299" s="5">
        <f>Y299/(1+C299)</f>
        <v>2.9100430020242909</v>
      </c>
      <c r="AA299" s="5">
        <f>-Z299*F299</f>
        <v>-2927942.6765297423</v>
      </c>
      <c r="AB299" t="s">
        <v>64</v>
      </c>
      <c r="AC299" t="s">
        <v>62</v>
      </c>
      <c r="AD299">
        <f>_xlfn.SWITCH(PROPER(TRIM(S299)),
   "Annual",1,
   "Semi-Annual",2,
   "Quarterly",4,
   "Monthly",12,
   "")</f>
        <v>4</v>
      </c>
    </row>
    <row r="300" spans="1:30" x14ac:dyDescent="0.35">
      <c r="A300" t="s">
        <v>1884</v>
      </c>
      <c r="B300" t="s">
        <v>853</v>
      </c>
      <c r="C300" s="36">
        <f>RATE(U300,V300,-F300,H300)</f>
        <v>7.9168207309812305E-2</v>
      </c>
      <c r="D300" s="3">
        <f>C300*AD300</f>
        <v>7.9168207309812305E-2</v>
      </c>
      <c r="F300">
        <v>1110000</v>
      </c>
      <c r="G300" t="s">
        <v>76</v>
      </c>
      <c r="H300">
        <v>1000000</v>
      </c>
      <c r="I300" s="22"/>
      <c r="J300">
        <v>1</v>
      </c>
      <c r="K300" s="22"/>
      <c r="L300">
        <v>6.2456393812325999</v>
      </c>
      <c r="M300" s="22">
        <v>9.5500000000000002E-2</v>
      </c>
      <c r="N300" s="21">
        <v>42460</v>
      </c>
      <c r="O300" s="21">
        <v>46112</v>
      </c>
      <c r="P300">
        <f>ROUND(YEARFRAC(N300,O300),0)</f>
        <v>10</v>
      </c>
      <c r="Q300" s="6">
        <f>(M300*H300)/F300</f>
        <v>8.6036036036036032E-2</v>
      </c>
      <c r="R300" s="5">
        <f>IF(S300="Quarterly",4,IF(S300="Semi-annual",2,IF(S300="Annual",1,IF(S300="Pays at maturity",0,IF(S300="Monthly",12,0)))))</f>
        <v>1</v>
      </c>
      <c r="S300" t="s">
        <v>93</v>
      </c>
      <c r="U300">
        <f>R300*P300</f>
        <v>10</v>
      </c>
      <c r="V300">
        <f>(H300*M300)/AD300</f>
        <v>95500</v>
      </c>
      <c r="W300" s="28">
        <f>RATE(U300,V300,-F300,H300)</f>
        <v>7.9168207309812305E-2</v>
      </c>
      <c r="X300" s="27">
        <f>W300*AD300</f>
        <v>7.9168207309812305E-2</v>
      </c>
      <c r="Y300" s="5">
        <f>DURATION(N300,O300,M300,D300,AD300)</f>
        <v>7.0316005666119086</v>
      </c>
      <c r="Z300" s="5">
        <f>Y300/(1+C300)</f>
        <v>6.515759562765961</v>
      </c>
      <c r="AA300" s="5">
        <f>-Z300*F300</f>
        <v>-7232493.114670217</v>
      </c>
      <c r="AB300" t="s">
        <v>64</v>
      </c>
      <c r="AC300" t="s">
        <v>62</v>
      </c>
      <c r="AD300">
        <f>_xlfn.SWITCH(PROPER(TRIM(S300)),
   "Annual",1,
   "Semi-Annual",2,
   "Quarterly",4,
   "Monthly",12,
   "")</f>
        <v>1</v>
      </c>
    </row>
    <row r="301" spans="1:30" x14ac:dyDescent="0.35">
      <c r="C301" s="28"/>
      <c r="D301" s="27"/>
      <c r="I301" s="22"/>
      <c r="K301" s="22"/>
      <c r="M301" s="22"/>
      <c r="N301" s="21"/>
      <c r="O301" s="21"/>
      <c r="P301" s="5"/>
      <c r="Q301" s="6"/>
      <c r="R301" s="5"/>
      <c r="W301" s="28"/>
      <c r="Y301" s="33"/>
      <c r="Z301" s="33"/>
      <c r="AA301" s="33"/>
    </row>
    <row r="302" spans="1:30" x14ac:dyDescent="0.35">
      <c r="A302" t="s">
        <v>1882</v>
      </c>
      <c r="B302" t="s">
        <v>241</v>
      </c>
      <c r="C302" s="36">
        <f>RATE(U302,V302,-F302,H302)</f>
        <v>7.4811874236817261E-2</v>
      </c>
      <c r="D302" s="3">
        <f>C302*AD302</f>
        <v>7.4811874236817261E-2</v>
      </c>
      <c r="F302">
        <v>1020</v>
      </c>
      <c r="G302" t="s">
        <v>76</v>
      </c>
      <c r="H302">
        <v>1000</v>
      </c>
      <c r="I302" s="22"/>
      <c r="J302">
        <v>99</v>
      </c>
      <c r="K302" s="22"/>
      <c r="L302">
        <v>5.4570357554786604</v>
      </c>
      <c r="M302" s="22">
        <v>8.2500000000000004E-2</v>
      </c>
      <c r="N302" s="21">
        <v>44958</v>
      </c>
      <c r="O302" s="21">
        <v>46113</v>
      </c>
      <c r="P302">
        <f>ROUND(YEARFRAC(N302,O302),0)</f>
        <v>3</v>
      </c>
      <c r="Q302" s="6">
        <f>(M302*H302)/F302</f>
        <v>8.0882352941176475E-2</v>
      </c>
      <c r="R302" s="5">
        <f>IF(S302="Quarterly",4,IF(S302="Semi-annual",2,IF(S302="Annual",1,IF(S302="Pays at maturity",0,IF(S302="Monthly",12,0)))))</f>
        <v>1</v>
      </c>
      <c r="S302" t="s">
        <v>93</v>
      </c>
      <c r="U302">
        <f>R302*P302</f>
        <v>3</v>
      </c>
      <c r="V302">
        <f>(H302*M302)/AD302</f>
        <v>82.5</v>
      </c>
      <c r="W302" s="28">
        <f>RATE(U302,V302,-F302,H302)</f>
        <v>7.4811874236817261E-2</v>
      </c>
      <c r="X302" s="27">
        <f>W302*AD302</f>
        <v>7.4811874236817261E-2</v>
      </c>
      <c r="Y302" s="5">
        <f>DURATION(N302,O302,M302,D302,AD302)</f>
        <v>2.7381585750402029</v>
      </c>
      <c r="Z302" s="5">
        <f>Y302/(1+C302)</f>
        <v>2.5475700824243908</v>
      </c>
      <c r="AA302" s="5">
        <f>-Z302*F302</f>
        <v>-2598.5214840728786</v>
      </c>
      <c r="AB302" t="s">
        <v>64</v>
      </c>
      <c r="AC302" t="s">
        <v>62</v>
      </c>
      <c r="AD302">
        <f>_xlfn.SWITCH(PROPER(TRIM(S302)),
   "Annual",1,
   "Semi-Annual",2,
   "Quarterly",4,
   "Monthly",12,
   "")</f>
        <v>1</v>
      </c>
    </row>
    <row r="303" spans="1:30" x14ac:dyDescent="0.35">
      <c r="A303" t="s">
        <v>1881</v>
      </c>
      <c r="B303" t="s">
        <v>1650</v>
      </c>
      <c r="C303" s="36">
        <f>RATE(U303,V303,-F303,H303)</f>
        <v>0.10506128201525528</v>
      </c>
      <c r="D303" s="3">
        <f>C303*AD303</f>
        <v>0.10506128201525528</v>
      </c>
      <c r="F303">
        <v>98800</v>
      </c>
      <c r="G303" t="s">
        <v>76</v>
      </c>
      <c r="H303">
        <v>100000</v>
      </c>
      <c r="I303" s="22"/>
      <c r="J303">
        <v>2</v>
      </c>
      <c r="K303" s="22"/>
      <c r="L303">
        <v>11.6745034907073</v>
      </c>
      <c r="M303" s="22">
        <v>9.8100000000000007E-2</v>
      </c>
      <c r="N303" s="21">
        <v>45379</v>
      </c>
      <c r="O303" s="21">
        <v>46114</v>
      </c>
      <c r="P303">
        <f>ROUND(YEARFRAC(N303,O303),0)</f>
        <v>2</v>
      </c>
      <c r="Q303" s="6">
        <f>(M303*H303)/F303</f>
        <v>9.9291497975708506E-2</v>
      </c>
      <c r="R303" s="5">
        <f>IF(S303="Quarterly",4,IF(S303="Semi-annual",2,IF(S303="Annual",1,IF(S303="Pays at maturity",0,IF(S303="Monthly",12,0)))))</f>
        <v>1</v>
      </c>
      <c r="S303" t="s">
        <v>93</v>
      </c>
      <c r="U303">
        <f>R303*P303</f>
        <v>2</v>
      </c>
      <c r="V303">
        <f>(H303*M303)/AD303</f>
        <v>9810</v>
      </c>
      <c r="W303" s="28">
        <f>RATE(U303,V303,-F303,H303)</f>
        <v>0.10506128201525528</v>
      </c>
      <c r="X303" s="27">
        <f>W303*AD303</f>
        <v>0.10506128201525528</v>
      </c>
      <c r="Y303" s="5">
        <f>DURATION(N303,O303,M303,D303,AD303)</f>
        <v>1.7487288652077182</v>
      </c>
      <c r="Z303" s="5">
        <f>Y303/(1+C303)</f>
        <v>1.5824722969378067</v>
      </c>
      <c r="AA303" s="5">
        <f>-Z303*F303</f>
        <v>-156348.26293745529</v>
      </c>
      <c r="AB303" t="s">
        <v>64</v>
      </c>
      <c r="AC303" t="s">
        <v>62</v>
      </c>
      <c r="AD303">
        <f>_xlfn.SWITCH(PROPER(TRIM(S303)),
   "Annual",1,
   "Semi-Annual",2,
   "Quarterly",4,
   "Monthly",12,
   "")</f>
        <v>1</v>
      </c>
    </row>
    <row r="304" spans="1:30" x14ac:dyDescent="0.35">
      <c r="C304" s="28"/>
      <c r="D304" s="27"/>
      <c r="I304" s="22"/>
      <c r="K304" s="22"/>
      <c r="M304" s="22"/>
      <c r="N304" s="21"/>
      <c r="O304" s="21"/>
      <c r="P304" s="5"/>
      <c r="Q304" s="6"/>
      <c r="R304" s="5"/>
      <c r="W304" s="28"/>
      <c r="Y304" s="33"/>
      <c r="Z304" s="33"/>
      <c r="AA304" s="33"/>
    </row>
    <row r="305" spans="1:30" x14ac:dyDescent="0.35">
      <c r="C305" s="28"/>
      <c r="D305" s="27"/>
      <c r="I305" s="22"/>
      <c r="K305" s="22"/>
      <c r="M305" s="22"/>
      <c r="N305" s="21"/>
      <c r="O305" s="21"/>
      <c r="P305" s="5"/>
      <c r="Q305" s="6"/>
      <c r="R305" s="5"/>
      <c r="W305" s="28"/>
      <c r="Y305" s="33"/>
      <c r="Z305" s="33"/>
      <c r="AA305" s="33"/>
    </row>
    <row r="306" spans="1:30" x14ac:dyDescent="0.35">
      <c r="A306" t="s">
        <v>1878</v>
      </c>
      <c r="B306" t="s">
        <v>1650</v>
      </c>
      <c r="C306" s="36">
        <f>RATE(U306,V306,-F306,H306)</f>
        <v>0.13264406586383481</v>
      </c>
      <c r="D306" s="3">
        <f>C306*AD306</f>
        <v>0.53057626345533926</v>
      </c>
      <c r="F306">
        <v>49700</v>
      </c>
      <c r="G306" t="s">
        <v>76</v>
      </c>
      <c r="H306">
        <v>100000</v>
      </c>
      <c r="I306" s="22"/>
      <c r="J306">
        <v>6</v>
      </c>
      <c r="K306" s="22"/>
      <c r="M306" s="22">
        <v>0.1075</v>
      </c>
      <c r="N306" s="21">
        <v>45358</v>
      </c>
      <c r="O306" s="21">
        <v>46115</v>
      </c>
      <c r="P306">
        <f>ROUND(YEARFRAC(N306,O306),0)</f>
        <v>2</v>
      </c>
      <c r="Q306" s="6">
        <f>(M306*H306)/F306</f>
        <v>0.21629778672032193</v>
      </c>
      <c r="R306" s="5">
        <f>IF(S306="Quarterly",4,IF(S306="Semi-annual",2,IF(S306="Annual",1,IF(S306="Pays at maturity",0,IF(S306="Monthly",12,0)))))</f>
        <v>4</v>
      </c>
      <c r="S306" t="s">
        <v>105</v>
      </c>
      <c r="U306">
        <f>R306*P306</f>
        <v>8</v>
      </c>
      <c r="V306">
        <f>(H306*M306)/AD306</f>
        <v>2687.5</v>
      </c>
      <c r="W306" s="28">
        <f>RATE(U306,V306,-F306,H306)</f>
        <v>0.13264406586383481</v>
      </c>
      <c r="X306" s="27">
        <f>W306*AD306</f>
        <v>0.53057626345533926</v>
      </c>
      <c r="Y306" s="5">
        <f>DURATION(N306,O306,M306,D306,AD306)</f>
        <v>1.7169224175845403</v>
      </c>
      <c r="Z306" s="5">
        <f>Y306/(1+C306)</f>
        <v>1.5158534524039495</v>
      </c>
      <c r="AA306" s="5">
        <f>-Z306*F306</f>
        <v>-75337.91658447629</v>
      </c>
      <c r="AB306" t="s">
        <v>64</v>
      </c>
      <c r="AC306" t="s">
        <v>62</v>
      </c>
      <c r="AD306">
        <f>_xlfn.SWITCH(PROPER(TRIM(S306)),
   "Annual",1,
   "Semi-Annual",2,
   "Quarterly",4,
   "Monthly",12,
   "")</f>
        <v>4</v>
      </c>
    </row>
    <row r="307" spans="1:30" x14ac:dyDescent="0.35">
      <c r="A307" t="s">
        <v>1877</v>
      </c>
      <c r="B307" t="s">
        <v>476</v>
      </c>
      <c r="C307" s="36" t="e">
        <f>RATE(U307,V307,-F307,H307)</f>
        <v>#VALUE!</v>
      </c>
      <c r="D307" s="3" t="e">
        <f>C307*AD307</f>
        <v>#VALUE!</v>
      </c>
      <c r="F307">
        <v>112500</v>
      </c>
      <c r="G307" t="s">
        <v>76</v>
      </c>
      <c r="H307">
        <v>100000</v>
      </c>
      <c r="I307" s="22"/>
      <c r="J307">
        <v>10</v>
      </c>
      <c r="K307" s="22"/>
      <c r="L307">
        <v>-2.9697339020922202</v>
      </c>
      <c r="M307" s="22">
        <v>0.05</v>
      </c>
      <c r="N307" s="21">
        <v>44930</v>
      </c>
      <c r="O307" s="21">
        <v>46116</v>
      </c>
      <c r="P307">
        <f>ROUND(YEARFRAC(N307,O307),0)</f>
        <v>3</v>
      </c>
      <c r="Q307" s="6">
        <f>(M307*H307)/F307</f>
        <v>4.4444444444444446E-2</v>
      </c>
      <c r="R307" s="5">
        <f>IF(S307="Quarterly",4,IF(S307="Semi-annual",2,IF(S307="Annual",1,IF(S307="Pays at maturity",0,IF(S307="Monthly",12,0)))))</f>
        <v>0</v>
      </c>
      <c r="S307" t="s">
        <v>782</v>
      </c>
      <c r="U307">
        <f>R307*P307</f>
        <v>0</v>
      </c>
      <c r="V307" t="e">
        <f>(H307*M307)/AD307</f>
        <v>#VALUE!</v>
      </c>
      <c r="W307" s="28" t="e">
        <f>RATE(U307,V307,-F307,H307)</f>
        <v>#VALUE!</v>
      </c>
      <c r="X307" s="27" t="e">
        <f>W307*AD307</f>
        <v>#VALUE!</v>
      </c>
      <c r="Y307" s="5" t="e">
        <f>DURATION(N307,O307,M307,D307,AD307)</f>
        <v>#VALUE!</v>
      </c>
      <c r="Z307" s="5" t="e">
        <f>Y307/(1+C307)</f>
        <v>#VALUE!</v>
      </c>
      <c r="AA307" s="5" t="e">
        <f>-Z307*F307</f>
        <v>#VALUE!</v>
      </c>
      <c r="AB307" t="s">
        <v>79</v>
      </c>
      <c r="AC307" t="s">
        <v>62</v>
      </c>
      <c r="AD307" t="str">
        <f>_xlfn.SWITCH(PROPER(TRIM(S307)),
   "Annual",1,
   "Semi-Annual",2,
   "Quarterly",4,
   "Monthly",12,
   "")</f>
        <v/>
      </c>
    </row>
    <row r="308" spans="1:30" x14ac:dyDescent="0.35">
      <c r="A308" t="s">
        <v>1876</v>
      </c>
      <c r="B308" t="s">
        <v>272</v>
      </c>
      <c r="C308" s="36">
        <f>RATE(U308,V308,-F308,H308)</f>
        <v>7.8738882681352124E-2</v>
      </c>
      <c r="D308" s="3">
        <f>C308*AD308</f>
        <v>7.8738882681352124E-2</v>
      </c>
      <c r="F308">
        <v>996.8</v>
      </c>
      <c r="G308" t="s">
        <v>76</v>
      </c>
      <c r="H308">
        <v>1000</v>
      </c>
      <c r="I308" s="22"/>
      <c r="J308">
        <v>100</v>
      </c>
      <c r="K308" s="22"/>
      <c r="L308">
        <v>8.2204117815793794</v>
      </c>
      <c r="M308" s="22">
        <v>7.7499999999999999E-2</v>
      </c>
      <c r="N308" s="21">
        <v>44995</v>
      </c>
      <c r="O308" s="21">
        <v>46122</v>
      </c>
      <c r="P308">
        <f>ROUND(YEARFRAC(N308,O308),0)</f>
        <v>3</v>
      </c>
      <c r="Q308" s="6">
        <f>(M308*H308)/F308</f>
        <v>7.774879614767255E-2</v>
      </c>
      <c r="R308" s="5">
        <f>IF(S308="Quarterly",4,IF(S308="Semi-annual",2,IF(S308="Annual",1,IF(S308="Pays at maturity",0,IF(S308="Monthly",12,0)))))</f>
        <v>1</v>
      </c>
      <c r="S308" t="s">
        <v>93</v>
      </c>
      <c r="U308">
        <f>R308*P308</f>
        <v>3</v>
      </c>
      <c r="V308">
        <f>(H308*M308)/AD308</f>
        <v>77.5</v>
      </c>
      <c r="W308" s="28">
        <f>RATE(U308,V308,-F308,H308)</f>
        <v>7.8738882681352124E-2</v>
      </c>
      <c r="X308" s="27">
        <f>W308*AD308</f>
        <v>7.8738882681352124E-2</v>
      </c>
      <c r="Y308" s="5">
        <f>DURATION(N308,O308,M308,D308,AD308)</f>
        <v>2.6711714559299136</v>
      </c>
      <c r="Z308" s="5">
        <f>Y308/(1+C308)</f>
        <v>2.4761983634912221</v>
      </c>
      <c r="AA308" s="5">
        <f>-Z308*F308</f>
        <v>-2468.27452872805</v>
      </c>
      <c r="AB308" t="s">
        <v>64</v>
      </c>
      <c r="AC308" t="s">
        <v>62</v>
      </c>
      <c r="AD308">
        <f>_xlfn.SWITCH(PROPER(TRIM(S308)),
   "Annual",1,
   "Semi-Annual",2,
   "Quarterly",4,
   "Monthly",12,
   "")</f>
        <v>1</v>
      </c>
    </row>
    <row r="309" spans="1:30" x14ac:dyDescent="0.35">
      <c r="C309" s="28"/>
      <c r="D309" s="27"/>
      <c r="I309" s="22"/>
      <c r="K309" s="22"/>
      <c r="M309" s="22"/>
      <c r="N309" s="21"/>
      <c r="O309" s="21"/>
      <c r="P309" s="5"/>
      <c r="Q309" s="6"/>
      <c r="R309" s="5"/>
      <c r="W309" s="28"/>
      <c r="Y309" s="33"/>
      <c r="Z309" s="33"/>
      <c r="AA309" s="33"/>
    </row>
    <row r="310" spans="1:30" x14ac:dyDescent="0.35">
      <c r="A310" t="s">
        <v>1874</v>
      </c>
      <c r="B310" t="s">
        <v>272</v>
      </c>
      <c r="C310" s="36">
        <f t="shared" ref="C310:C316" si="195">RATE(U310,V310,-F310,H310)</f>
        <v>7.2912994603908529E-2</v>
      </c>
      <c r="D310" s="3">
        <f t="shared" ref="D310:D316" si="196">C310*AD310</f>
        <v>7.2912994603908529E-2</v>
      </c>
      <c r="F310">
        <v>1018.5</v>
      </c>
      <c r="G310" t="s">
        <v>76</v>
      </c>
      <c r="H310">
        <v>1000</v>
      </c>
      <c r="I310" s="22"/>
      <c r="J310">
        <v>10</v>
      </c>
      <c r="K310" s="22"/>
      <c r="L310">
        <v>5.3991890761650199</v>
      </c>
      <c r="M310" s="22">
        <v>0.08</v>
      </c>
      <c r="N310" s="21">
        <v>44995</v>
      </c>
      <c r="O310" s="21">
        <v>46122</v>
      </c>
      <c r="P310">
        <f t="shared" ref="P310:P316" si="197">ROUND(YEARFRAC(N310,O310),0)</f>
        <v>3</v>
      </c>
      <c r="Q310" s="6">
        <f t="shared" ref="Q310:Q316" si="198">(M310*H310)/F310</f>
        <v>7.8546882670594009E-2</v>
      </c>
      <c r="R310" s="5">
        <f t="shared" ref="R310:R316" si="199">IF(S310="Quarterly",4,IF(S310="Semi-annual",2,IF(S310="Annual",1,IF(S310="Pays at maturity",0,IF(S310="Monthly",12,0)))))</f>
        <v>1</v>
      </c>
      <c r="S310" t="s">
        <v>93</v>
      </c>
      <c r="U310">
        <f t="shared" ref="U310:U316" si="200">R310*P310</f>
        <v>3</v>
      </c>
      <c r="V310">
        <f t="shared" ref="V310:V316" si="201">(H310*M310)/AD310</f>
        <v>80</v>
      </c>
      <c r="W310" s="28">
        <f t="shared" ref="W310:W316" si="202">RATE(U310,V310,-F310,H310)</f>
        <v>7.2912994603908529E-2</v>
      </c>
      <c r="X310" s="27">
        <f t="shared" ref="X310:X316" si="203">W310*AD310</f>
        <v>7.2912994603908529E-2</v>
      </c>
      <c r="Y310" s="5">
        <f t="shared" ref="Y310:Y316" si="204">DURATION(N310,O310,M310,D310,AD310)</f>
        <v>2.6658340972209991</v>
      </c>
      <c r="Z310" s="5">
        <f t="shared" ref="Z310:Z316" si="205">Y310/(1+C310)</f>
        <v>2.4846694099414424</v>
      </c>
      <c r="AA310" s="5">
        <f t="shared" ref="AA310:AA316" si="206">-Z310*F310</f>
        <v>-2530.6357940253592</v>
      </c>
      <c r="AB310" t="s">
        <v>64</v>
      </c>
      <c r="AC310" t="s">
        <v>62</v>
      </c>
      <c r="AD310">
        <f t="shared" ref="AD310:AD316" si="207">_xlfn.SWITCH(PROPER(TRIM(S310)),
   "Annual",1,
   "Semi-Annual",2,
   "Quarterly",4,
   "Monthly",12,
   "")</f>
        <v>1</v>
      </c>
    </row>
    <row r="311" spans="1:30" x14ac:dyDescent="0.35">
      <c r="A311" t="s">
        <v>1873</v>
      </c>
      <c r="B311" t="s">
        <v>923</v>
      </c>
      <c r="C311" s="36">
        <f t="shared" si="195"/>
        <v>0.43383837278974136</v>
      </c>
      <c r="D311" s="3">
        <f t="shared" si="196"/>
        <v>0.43383837278974136</v>
      </c>
      <c r="F311">
        <v>62136.4</v>
      </c>
      <c r="G311" t="s">
        <v>76</v>
      </c>
      <c r="H311">
        <v>100000</v>
      </c>
      <c r="I311" s="22"/>
      <c r="J311">
        <v>1</v>
      </c>
      <c r="K311" s="22"/>
      <c r="L311">
        <v>76.419151512759598</v>
      </c>
      <c r="M311" s="22">
        <v>0.114</v>
      </c>
      <c r="N311" s="21">
        <v>45394</v>
      </c>
      <c r="O311" s="21">
        <v>46124</v>
      </c>
      <c r="P311">
        <f t="shared" si="197"/>
        <v>2</v>
      </c>
      <c r="Q311" s="6">
        <f t="shared" si="198"/>
        <v>0.18346733959482686</v>
      </c>
      <c r="R311" s="5">
        <f t="shared" si="199"/>
        <v>1</v>
      </c>
      <c r="S311" t="s">
        <v>93</v>
      </c>
      <c r="U311">
        <f t="shared" si="200"/>
        <v>2</v>
      </c>
      <c r="V311">
        <f t="shared" si="201"/>
        <v>11400</v>
      </c>
      <c r="W311" s="28">
        <f t="shared" si="202"/>
        <v>0.43383837278974136</v>
      </c>
      <c r="X311" s="27">
        <f t="shared" si="203"/>
        <v>0.43383837278974136</v>
      </c>
      <c r="Y311" s="5">
        <f t="shared" si="204"/>
        <v>1.872044615992621</v>
      </c>
      <c r="Z311" s="5">
        <f t="shared" si="205"/>
        <v>1.3056176006437081</v>
      </c>
      <c r="AA311" s="5">
        <f t="shared" si="206"/>
        <v>-81126.377480637704</v>
      </c>
      <c r="AB311" t="s">
        <v>64</v>
      </c>
      <c r="AC311" t="s">
        <v>62</v>
      </c>
      <c r="AD311">
        <f t="shared" si="207"/>
        <v>1</v>
      </c>
    </row>
    <row r="312" spans="1:30" x14ac:dyDescent="0.35">
      <c r="A312" t="s">
        <v>1872</v>
      </c>
      <c r="B312" t="s">
        <v>316</v>
      </c>
      <c r="C312" s="36">
        <f t="shared" si="195"/>
        <v>0.10132755723041159</v>
      </c>
      <c r="D312" s="3">
        <f t="shared" si="196"/>
        <v>0.10132755723041159</v>
      </c>
      <c r="F312">
        <v>980</v>
      </c>
      <c r="G312" t="s">
        <v>76</v>
      </c>
      <c r="H312">
        <v>1000</v>
      </c>
      <c r="I312" s="22"/>
      <c r="J312">
        <v>178</v>
      </c>
      <c r="K312" s="22"/>
      <c r="L312">
        <v>11.978840616000999</v>
      </c>
      <c r="M312" s="22">
        <v>9.5000000000000001E-2</v>
      </c>
      <c r="N312" s="21">
        <v>44669</v>
      </c>
      <c r="O312" s="21">
        <v>46129</v>
      </c>
      <c r="P312">
        <f t="shared" si="197"/>
        <v>4</v>
      </c>
      <c r="Q312" s="6">
        <f t="shared" si="198"/>
        <v>9.6938775510204078E-2</v>
      </c>
      <c r="R312" s="5">
        <f t="shared" si="199"/>
        <v>1</v>
      </c>
      <c r="S312" t="s">
        <v>93</v>
      </c>
      <c r="U312">
        <f t="shared" si="200"/>
        <v>4</v>
      </c>
      <c r="V312">
        <f t="shared" si="201"/>
        <v>95</v>
      </c>
      <c r="W312" s="28">
        <f t="shared" si="202"/>
        <v>0.10132755723041159</v>
      </c>
      <c r="X312" s="27">
        <f t="shared" si="203"/>
        <v>0.10132755723041159</v>
      </c>
      <c r="Y312" s="5">
        <f t="shared" si="204"/>
        <v>3.5007506241674982</v>
      </c>
      <c r="Z312" s="5">
        <f t="shared" si="205"/>
        <v>3.1786643321366537</v>
      </c>
      <c r="AA312" s="5">
        <f t="shared" si="206"/>
        <v>-3115.0910454939208</v>
      </c>
      <c r="AB312" t="s">
        <v>64</v>
      </c>
      <c r="AC312" t="s">
        <v>62</v>
      </c>
      <c r="AD312">
        <f t="shared" si="207"/>
        <v>1</v>
      </c>
    </row>
    <row r="313" spans="1:30" x14ac:dyDescent="0.35">
      <c r="A313" t="s">
        <v>1871</v>
      </c>
      <c r="B313" t="s">
        <v>561</v>
      </c>
      <c r="C313" s="36">
        <f t="shared" si="195"/>
        <v>0.11108958202369802</v>
      </c>
      <c r="D313" s="3">
        <f t="shared" si="196"/>
        <v>0.11108958202369802</v>
      </c>
      <c r="F313">
        <v>97847.12</v>
      </c>
      <c r="G313" t="s">
        <v>76</v>
      </c>
      <c r="H313">
        <v>100000</v>
      </c>
      <c r="I313" s="22"/>
      <c r="J313">
        <v>9</v>
      </c>
      <c r="K313" s="22"/>
      <c r="L313">
        <v>13.052192085004201</v>
      </c>
      <c r="M313" s="22">
        <v>9.849999999999999E-2</v>
      </c>
      <c r="N313" s="21">
        <v>45582</v>
      </c>
      <c r="O313" s="21">
        <v>46129</v>
      </c>
      <c r="P313">
        <f t="shared" si="197"/>
        <v>2</v>
      </c>
      <c r="Q313" s="6">
        <f t="shared" si="198"/>
        <v>0.10066724498380739</v>
      </c>
      <c r="R313" s="5">
        <f t="shared" si="199"/>
        <v>1</v>
      </c>
      <c r="S313" t="s">
        <v>93</v>
      </c>
      <c r="U313">
        <f t="shared" si="200"/>
        <v>2</v>
      </c>
      <c r="V313">
        <f t="shared" si="201"/>
        <v>9849.9999999999982</v>
      </c>
      <c r="W313" s="28">
        <f t="shared" si="202"/>
        <v>0.11108958202369802</v>
      </c>
      <c r="X313" s="27">
        <f t="shared" si="203"/>
        <v>0.11108958202369802</v>
      </c>
      <c r="Y313" s="5">
        <f t="shared" si="204"/>
        <v>1.4093977239886855</v>
      </c>
      <c r="Z313" s="5">
        <f t="shared" si="205"/>
        <v>1.2684825299339588</v>
      </c>
      <c r="AA313" s="5">
        <f t="shared" si="206"/>
        <v>-124117.36232435165</v>
      </c>
      <c r="AB313" t="s">
        <v>64</v>
      </c>
      <c r="AC313" t="s">
        <v>62</v>
      </c>
      <c r="AD313">
        <f t="shared" si="207"/>
        <v>1</v>
      </c>
    </row>
    <row r="314" spans="1:30" x14ac:dyDescent="0.35">
      <c r="A314" t="s">
        <v>1870</v>
      </c>
      <c r="B314" t="s">
        <v>390</v>
      </c>
      <c r="C314" s="36">
        <f t="shared" si="195"/>
        <v>0.23312102978684526</v>
      </c>
      <c r="D314" s="3">
        <f t="shared" si="196"/>
        <v>0.23312102978684526</v>
      </c>
      <c r="F314">
        <v>830.2</v>
      </c>
      <c r="G314" t="s">
        <v>76</v>
      </c>
      <c r="H314">
        <v>1000</v>
      </c>
      <c r="I314" s="22"/>
      <c r="J314">
        <v>100</v>
      </c>
      <c r="K314" s="22"/>
      <c r="L314">
        <v>38.710155447641</v>
      </c>
      <c r="M314" s="22">
        <v>0.11749999999999999</v>
      </c>
      <c r="N314" s="21">
        <v>45401</v>
      </c>
      <c r="O314" s="21">
        <v>46131</v>
      </c>
      <c r="P314">
        <f t="shared" si="197"/>
        <v>2</v>
      </c>
      <c r="Q314" s="6">
        <f t="shared" si="198"/>
        <v>0.14153216092507828</v>
      </c>
      <c r="R314" s="5">
        <f t="shared" si="199"/>
        <v>1</v>
      </c>
      <c r="S314" t="s">
        <v>93</v>
      </c>
      <c r="U314">
        <f t="shared" si="200"/>
        <v>2</v>
      </c>
      <c r="V314">
        <f t="shared" si="201"/>
        <v>117.5</v>
      </c>
      <c r="W314" s="28">
        <f t="shared" si="202"/>
        <v>0.23312102978684526</v>
      </c>
      <c r="X314" s="27">
        <f t="shared" si="203"/>
        <v>0.23312102978684526</v>
      </c>
      <c r="Y314" s="5">
        <f t="shared" si="204"/>
        <v>1.8852244366073758</v>
      </c>
      <c r="Z314" s="5">
        <f t="shared" si="205"/>
        <v>1.528823522645828</v>
      </c>
      <c r="AA314" s="5">
        <f t="shared" si="206"/>
        <v>-1269.2292885005666</v>
      </c>
      <c r="AB314" t="s">
        <v>64</v>
      </c>
      <c r="AC314" t="s">
        <v>62</v>
      </c>
      <c r="AD314">
        <f t="shared" si="207"/>
        <v>1</v>
      </c>
    </row>
    <row r="315" spans="1:30" x14ac:dyDescent="0.35">
      <c r="A315" t="s">
        <v>1869</v>
      </c>
      <c r="B315" t="s">
        <v>390</v>
      </c>
      <c r="C315" s="36">
        <f t="shared" si="195"/>
        <v>0.12706334073078276</v>
      </c>
      <c r="D315" s="3">
        <f t="shared" si="196"/>
        <v>0.12706334073078276</v>
      </c>
      <c r="F315">
        <v>979.8</v>
      </c>
      <c r="G315" t="s">
        <v>76</v>
      </c>
      <c r="H315">
        <v>1000</v>
      </c>
      <c r="I315" s="22"/>
      <c r="J315">
        <v>30</v>
      </c>
      <c r="K315" s="22"/>
      <c r="L315">
        <v>13.5503434435845</v>
      </c>
      <c r="M315" s="22">
        <v>0.115</v>
      </c>
      <c r="N315" s="21">
        <v>45401</v>
      </c>
      <c r="O315" s="21">
        <v>46131</v>
      </c>
      <c r="P315">
        <f t="shared" si="197"/>
        <v>2</v>
      </c>
      <c r="Q315" s="6">
        <f t="shared" si="198"/>
        <v>0.11737089201877934</v>
      </c>
      <c r="R315" s="5">
        <f t="shared" si="199"/>
        <v>1</v>
      </c>
      <c r="S315" t="s">
        <v>93</v>
      </c>
      <c r="U315">
        <f t="shared" si="200"/>
        <v>2</v>
      </c>
      <c r="V315">
        <f t="shared" si="201"/>
        <v>115</v>
      </c>
      <c r="W315" s="28">
        <f t="shared" si="202"/>
        <v>0.12706334073078276</v>
      </c>
      <c r="X315" s="27">
        <f t="shared" si="203"/>
        <v>0.12706334073078276</v>
      </c>
      <c r="Y315" s="5">
        <f t="shared" si="204"/>
        <v>1.895861316948986</v>
      </c>
      <c r="Z315" s="5">
        <f t="shared" si="205"/>
        <v>1.6821249067685211</v>
      </c>
      <c r="AA315" s="5">
        <f t="shared" si="206"/>
        <v>-1648.145983651797</v>
      </c>
      <c r="AB315" t="s">
        <v>64</v>
      </c>
      <c r="AC315" t="s">
        <v>62</v>
      </c>
      <c r="AD315">
        <f t="shared" si="207"/>
        <v>1</v>
      </c>
    </row>
    <row r="316" spans="1:30" x14ac:dyDescent="0.35">
      <c r="A316" t="s">
        <v>1868</v>
      </c>
      <c r="B316" t="s">
        <v>1867</v>
      </c>
      <c r="C316" s="36">
        <f t="shared" si="195"/>
        <v>2.951959932676149E-2</v>
      </c>
      <c r="D316" s="3">
        <f t="shared" si="196"/>
        <v>5.903919865352298E-2</v>
      </c>
      <c r="F316">
        <v>1002.3</v>
      </c>
      <c r="G316" t="s">
        <v>66</v>
      </c>
      <c r="H316">
        <v>1000</v>
      </c>
      <c r="I316" s="22"/>
      <c r="J316">
        <v>500000</v>
      </c>
      <c r="K316" s="22"/>
      <c r="M316" s="22">
        <v>5.9500000000000004E-2</v>
      </c>
      <c r="N316" s="21">
        <v>44123</v>
      </c>
      <c r="O316" s="21">
        <v>46131</v>
      </c>
      <c r="P316">
        <f t="shared" si="197"/>
        <v>6</v>
      </c>
      <c r="Q316" s="6">
        <f t="shared" si="198"/>
        <v>5.9363464032724744E-2</v>
      </c>
      <c r="R316" s="5">
        <f t="shared" si="199"/>
        <v>2</v>
      </c>
      <c r="S316" t="s">
        <v>65</v>
      </c>
      <c r="U316">
        <f t="shared" si="200"/>
        <v>12</v>
      </c>
      <c r="V316">
        <f t="shared" si="201"/>
        <v>29.750000000000004</v>
      </c>
      <c r="W316" s="28">
        <f t="shared" si="202"/>
        <v>2.951959932676149E-2</v>
      </c>
      <c r="X316" s="27">
        <f t="shared" si="203"/>
        <v>5.903919865352298E-2</v>
      </c>
      <c r="Y316" s="5">
        <f t="shared" si="204"/>
        <v>4.7714802375412653</v>
      </c>
      <c r="Z316" s="5">
        <f t="shared" si="205"/>
        <v>4.6346667325823638</v>
      </c>
      <c r="AA316" s="5">
        <f t="shared" si="206"/>
        <v>-4645.326466067303</v>
      </c>
      <c r="AB316" t="s">
        <v>64</v>
      </c>
      <c r="AC316" t="s">
        <v>62</v>
      </c>
      <c r="AD316">
        <f t="shared" si="207"/>
        <v>2</v>
      </c>
    </row>
    <row r="317" spans="1:30" x14ac:dyDescent="0.35">
      <c r="C317" s="28"/>
      <c r="D317" s="27"/>
      <c r="I317" s="22"/>
      <c r="K317" s="22"/>
      <c r="M317" s="22"/>
      <c r="N317" s="21"/>
      <c r="O317" s="21"/>
      <c r="P317" s="5"/>
      <c r="Q317" s="6"/>
      <c r="R317" s="5"/>
      <c r="W317" s="28"/>
      <c r="Y317" s="33"/>
      <c r="Z317" s="33"/>
      <c r="AA317" s="33"/>
    </row>
    <row r="318" spans="1:30" x14ac:dyDescent="0.35">
      <c r="A318" t="s">
        <v>1865</v>
      </c>
      <c r="B318" t="s">
        <v>272</v>
      </c>
      <c r="C318" s="36">
        <f t="shared" ref="C318:C326" si="208">RATE(U318,V318,-F318,H318)</f>
        <v>7.473495359105839E-2</v>
      </c>
      <c r="D318" s="3">
        <f t="shared" ref="D318:D326" si="209">C318*AD318</f>
        <v>7.473495359105839E-2</v>
      </c>
      <c r="F318">
        <v>995</v>
      </c>
      <c r="G318" t="s">
        <v>76</v>
      </c>
      <c r="H318">
        <v>1000</v>
      </c>
      <c r="I318" s="22"/>
      <c r="J318">
        <v>6</v>
      </c>
      <c r="K318" s="22"/>
      <c r="L318">
        <v>8.0467083619536499</v>
      </c>
      <c r="M318" s="22">
        <v>7.3499999999999996E-2</v>
      </c>
      <c r="N318" s="21">
        <v>44306</v>
      </c>
      <c r="O318" s="21">
        <v>46132</v>
      </c>
      <c r="P318">
        <f t="shared" ref="P318:P326" si="210">ROUND(YEARFRAC(N318,O318),0)</f>
        <v>5</v>
      </c>
      <c r="Q318" s="6">
        <f t="shared" ref="Q318:Q326" si="211">(M318*H318)/F318</f>
        <v>7.3869346733668337E-2</v>
      </c>
      <c r="R318" s="5">
        <f t="shared" ref="R318:R326" si="212">IF(S318="Quarterly",4,IF(S318="Semi-annual",2,IF(S318="Annual",1,IF(S318="Pays at maturity",0,IF(S318="Monthly",12,0)))))</f>
        <v>1</v>
      </c>
      <c r="S318" t="s">
        <v>93</v>
      </c>
      <c r="U318">
        <f t="shared" ref="U318:U326" si="213">R318*P318</f>
        <v>5</v>
      </c>
      <c r="V318">
        <f t="shared" ref="V318:V326" si="214">(H318*M318)/AD318</f>
        <v>73.5</v>
      </c>
      <c r="W318" s="28">
        <f t="shared" ref="W318:W326" si="215">RATE(U318,V318,-F318,H318)</f>
        <v>7.473495359105839E-2</v>
      </c>
      <c r="X318" s="27">
        <f t="shared" ref="X318:X326" si="216">W318*AD318</f>
        <v>7.473495359105839E-2</v>
      </c>
      <c r="Y318" s="5">
        <f t="shared" ref="Y318:Y326" si="217">DURATION(N318,O318,M318,D318,AD318)</f>
        <v>4.3588304480601714</v>
      </c>
      <c r="Z318" s="5">
        <f t="shared" ref="Z318:Z326" si="218">Y318/(1+C318)</f>
        <v>4.0557259568936717</v>
      </c>
      <c r="AA318" s="5">
        <f t="shared" ref="AA318:AA326" si="219">-Z318*F318</f>
        <v>-4035.4473271092033</v>
      </c>
      <c r="AB318" t="s">
        <v>64</v>
      </c>
      <c r="AC318" t="s">
        <v>62</v>
      </c>
      <c r="AD318">
        <f t="shared" ref="AD318:AD326" si="220">_xlfn.SWITCH(PROPER(TRIM(S318)),
   "Annual",1,
   "Semi-Annual",2,
   "Quarterly",4,
   "Monthly",12,
   "")</f>
        <v>1</v>
      </c>
    </row>
    <row r="319" spans="1:30" x14ac:dyDescent="0.35">
      <c r="A319" t="s">
        <v>1864</v>
      </c>
      <c r="B319" t="s">
        <v>272</v>
      </c>
      <c r="C319" s="36">
        <f t="shared" si="208"/>
        <v>7.4764947966814738E-2</v>
      </c>
      <c r="D319" s="3">
        <f t="shared" si="209"/>
        <v>7.4764947966814738E-2</v>
      </c>
      <c r="F319">
        <v>1005</v>
      </c>
      <c r="G319" t="s">
        <v>76</v>
      </c>
      <c r="H319">
        <v>1000</v>
      </c>
      <c r="I319" s="22"/>
      <c r="J319">
        <v>100</v>
      </c>
      <c r="K319" s="22"/>
      <c r="L319">
        <v>6.9042468815343501</v>
      </c>
      <c r="M319" s="22">
        <v>7.5999999999999998E-2</v>
      </c>
      <c r="N319" s="21">
        <v>44306</v>
      </c>
      <c r="O319" s="21">
        <v>46132</v>
      </c>
      <c r="P319">
        <f t="shared" si="210"/>
        <v>5</v>
      </c>
      <c r="Q319" s="6">
        <f t="shared" si="211"/>
        <v>7.5621890547263676E-2</v>
      </c>
      <c r="R319" s="5">
        <f t="shared" si="212"/>
        <v>1</v>
      </c>
      <c r="S319" t="s">
        <v>93</v>
      </c>
      <c r="U319">
        <f t="shared" si="213"/>
        <v>5</v>
      </c>
      <c r="V319">
        <f t="shared" si="214"/>
        <v>76</v>
      </c>
      <c r="W319" s="28">
        <f t="shared" si="215"/>
        <v>7.4764947966814738E-2</v>
      </c>
      <c r="X319" s="27">
        <f t="shared" si="216"/>
        <v>7.4764947966814738E-2</v>
      </c>
      <c r="Y319" s="5">
        <f t="shared" si="217"/>
        <v>4.3436541011233318</v>
      </c>
      <c r="Z319" s="5">
        <f t="shared" si="218"/>
        <v>4.0414921507632293</v>
      </c>
      <c r="AA319" s="5">
        <f t="shared" si="219"/>
        <v>-4061.6996115170455</v>
      </c>
      <c r="AB319" t="s">
        <v>64</v>
      </c>
      <c r="AC319" t="s">
        <v>62</v>
      </c>
      <c r="AD319">
        <f t="shared" si="220"/>
        <v>1</v>
      </c>
    </row>
    <row r="320" spans="1:30" x14ac:dyDescent="0.35">
      <c r="A320" t="s">
        <v>1863</v>
      </c>
      <c r="B320" t="s">
        <v>520</v>
      </c>
      <c r="C320" s="36">
        <f t="shared" si="208"/>
        <v>4.4830784330483778E-2</v>
      </c>
      <c r="D320" s="3">
        <f t="shared" si="209"/>
        <v>8.9661568660967556E-2</v>
      </c>
      <c r="F320">
        <v>100610.49</v>
      </c>
      <c r="G320" t="s">
        <v>76</v>
      </c>
      <c r="H320">
        <v>100000</v>
      </c>
      <c r="I320" s="22"/>
      <c r="J320">
        <v>1</v>
      </c>
      <c r="K320" s="22"/>
      <c r="M320" s="22">
        <v>9.6180000000000002E-2</v>
      </c>
      <c r="N320" s="21">
        <v>45590</v>
      </c>
      <c r="O320" s="21">
        <v>46135</v>
      </c>
      <c r="P320">
        <f t="shared" si="210"/>
        <v>1</v>
      </c>
      <c r="Q320" s="6">
        <f t="shared" si="211"/>
        <v>9.5596393576852665E-2</v>
      </c>
      <c r="R320" s="5">
        <f t="shared" si="212"/>
        <v>2</v>
      </c>
      <c r="S320" t="s">
        <v>65</v>
      </c>
      <c r="U320">
        <f t="shared" si="213"/>
        <v>2</v>
      </c>
      <c r="V320">
        <f t="shared" si="214"/>
        <v>4809</v>
      </c>
      <c r="W320" s="28">
        <f t="shared" si="215"/>
        <v>4.4830784330483778E-2</v>
      </c>
      <c r="X320" s="27">
        <f t="shared" si="216"/>
        <v>8.9661568660967556E-2</v>
      </c>
      <c r="Y320" s="5">
        <f t="shared" si="217"/>
        <v>1.4269964840198612</v>
      </c>
      <c r="Z320" s="5">
        <f t="shared" si="218"/>
        <v>1.3657680319347263</v>
      </c>
      <c r="AA320" s="5">
        <f t="shared" si="219"/>
        <v>-137410.59091928846</v>
      </c>
      <c r="AB320" t="s">
        <v>64</v>
      </c>
      <c r="AC320" t="s">
        <v>62</v>
      </c>
      <c r="AD320">
        <f t="shared" si="220"/>
        <v>2</v>
      </c>
    </row>
    <row r="321" spans="1:30" x14ac:dyDescent="0.35">
      <c r="A321" t="s">
        <v>1862</v>
      </c>
      <c r="B321" t="s">
        <v>465</v>
      </c>
      <c r="C321" s="36">
        <f t="shared" si="208"/>
        <v>0.10711690039345756</v>
      </c>
      <c r="D321" s="3">
        <f t="shared" si="209"/>
        <v>0.10711690039345756</v>
      </c>
      <c r="F321">
        <v>1009</v>
      </c>
      <c r="G321" t="s">
        <v>76</v>
      </c>
      <c r="H321">
        <v>1000</v>
      </c>
      <c r="I321" s="22"/>
      <c r="J321">
        <v>1</v>
      </c>
      <c r="K321" s="22"/>
      <c r="L321">
        <v>9.8448380162949007</v>
      </c>
      <c r="M321" s="22">
        <v>0.11</v>
      </c>
      <c r="N321" s="21">
        <v>44494</v>
      </c>
      <c r="O321" s="21">
        <v>46136</v>
      </c>
      <c r="P321">
        <f t="shared" si="210"/>
        <v>4</v>
      </c>
      <c r="Q321" s="6">
        <f t="shared" si="211"/>
        <v>0.10901883052527254</v>
      </c>
      <c r="R321" s="5">
        <f t="shared" si="212"/>
        <v>1</v>
      </c>
      <c r="S321" t="s">
        <v>93</v>
      </c>
      <c r="U321">
        <f t="shared" si="213"/>
        <v>4</v>
      </c>
      <c r="V321">
        <f t="shared" si="214"/>
        <v>110</v>
      </c>
      <c r="W321" s="28">
        <f t="shared" si="215"/>
        <v>0.10711690039345756</v>
      </c>
      <c r="X321" s="27">
        <f t="shared" si="216"/>
        <v>0.10711690039345756</v>
      </c>
      <c r="Y321" s="5">
        <f t="shared" si="217"/>
        <v>3.6047998070656466</v>
      </c>
      <c r="Z321" s="5">
        <f t="shared" si="218"/>
        <v>3.256024549697091</v>
      </c>
      <c r="AA321" s="5">
        <f t="shared" si="219"/>
        <v>-3285.3287706443648</v>
      </c>
      <c r="AB321" t="s">
        <v>64</v>
      </c>
      <c r="AC321" t="s">
        <v>62</v>
      </c>
      <c r="AD321">
        <f t="shared" si="220"/>
        <v>1</v>
      </c>
    </row>
    <row r="322" spans="1:30" x14ac:dyDescent="0.35">
      <c r="A322" t="s">
        <v>1861</v>
      </c>
      <c r="B322" t="s">
        <v>1650</v>
      </c>
      <c r="C322" s="36">
        <f t="shared" si="208"/>
        <v>0.17031767104030074</v>
      </c>
      <c r="D322" s="3">
        <f t="shared" si="209"/>
        <v>0.17031767104030074</v>
      </c>
      <c r="F322">
        <v>86900</v>
      </c>
      <c r="G322" t="s">
        <v>76</v>
      </c>
      <c r="H322">
        <v>100000</v>
      </c>
      <c r="I322" s="22"/>
      <c r="J322">
        <v>2</v>
      </c>
      <c r="K322" s="22"/>
      <c r="L322">
        <v>23.2141024493245</v>
      </c>
      <c r="M322" s="22">
        <v>0.111</v>
      </c>
      <c r="N322" s="21">
        <v>45040</v>
      </c>
      <c r="O322" s="21">
        <v>46136</v>
      </c>
      <c r="P322">
        <f t="shared" si="210"/>
        <v>3</v>
      </c>
      <c r="Q322" s="6">
        <f t="shared" si="211"/>
        <v>0.12773302646720369</v>
      </c>
      <c r="R322" s="5">
        <f t="shared" si="212"/>
        <v>1</v>
      </c>
      <c r="S322" t="s">
        <v>93</v>
      </c>
      <c r="U322">
        <f t="shared" si="213"/>
        <v>3</v>
      </c>
      <c r="V322">
        <f t="shared" si="214"/>
        <v>11100</v>
      </c>
      <c r="W322" s="28">
        <f t="shared" si="215"/>
        <v>0.17031767104030074</v>
      </c>
      <c r="X322" s="27">
        <f t="shared" si="216"/>
        <v>0.17031767104030074</v>
      </c>
      <c r="Y322" s="5">
        <f t="shared" si="217"/>
        <v>2.6884521572317026</v>
      </c>
      <c r="Z322" s="5">
        <f t="shared" si="218"/>
        <v>2.2971986356848952</v>
      </c>
      <c r="AA322" s="5">
        <f t="shared" si="219"/>
        <v>-199626.5614410174</v>
      </c>
      <c r="AB322" t="s">
        <v>79</v>
      </c>
      <c r="AC322" t="s">
        <v>62</v>
      </c>
      <c r="AD322">
        <f t="shared" si="220"/>
        <v>1</v>
      </c>
    </row>
    <row r="323" spans="1:30" x14ac:dyDescent="0.35">
      <c r="A323" t="s">
        <v>1860</v>
      </c>
      <c r="B323" t="s">
        <v>598</v>
      </c>
      <c r="C323" s="36">
        <f t="shared" si="208"/>
        <v>0.11026205273280255</v>
      </c>
      <c r="D323" s="3">
        <f t="shared" si="209"/>
        <v>0.11026205273280255</v>
      </c>
      <c r="F323">
        <v>985</v>
      </c>
      <c r="G323" t="s">
        <v>76</v>
      </c>
      <c r="H323">
        <v>1000</v>
      </c>
      <c r="I323" s="22"/>
      <c r="J323">
        <v>63</v>
      </c>
      <c r="K323" s="22"/>
      <c r="L323">
        <v>12.318472743323699</v>
      </c>
      <c r="M323" s="22">
        <v>0.10150000000000001</v>
      </c>
      <c r="N323" s="21">
        <v>45589</v>
      </c>
      <c r="O323" s="21">
        <v>46136</v>
      </c>
      <c r="P323">
        <f t="shared" si="210"/>
        <v>2</v>
      </c>
      <c r="Q323" s="6">
        <f t="shared" si="211"/>
        <v>0.10304568527918782</v>
      </c>
      <c r="R323" s="5">
        <f t="shared" si="212"/>
        <v>1</v>
      </c>
      <c r="S323" t="s">
        <v>93</v>
      </c>
      <c r="U323">
        <f t="shared" si="213"/>
        <v>2</v>
      </c>
      <c r="V323">
        <f t="shared" si="214"/>
        <v>101.5</v>
      </c>
      <c r="W323" s="28">
        <f t="shared" si="215"/>
        <v>0.11026205273280255</v>
      </c>
      <c r="X323" s="27">
        <f t="shared" si="216"/>
        <v>0.11026205273280255</v>
      </c>
      <c r="Y323" s="5">
        <f t="shared" si="217"/>
        <v>1.4071879606931079</v>
      </c>
      <c r="Z323" s="5">
        <f t="shared" si="218"/>
        <v>1.2674376803471314</v>
      </c>
      <c r="AA323" s="5">
        <f t="shared" si="219"/>
        <v>-1248.4261151419246</v>
      </c>
      <c r="AB323" t="s">
        <v>64</v>
      </c>
      <c r="AC323" t="s">
        <v>62</v>
      </c>
      <c r="AD323">
        <f t="shared" si="220"/>
        <v>1</v>
      </c>
    </row>
    <row r="324" spans="1:30" x14ac:dyDescent="0.35">
      <c r="A324" t="s">
        <v>1859</v>
      </c>
      <c r="B324" t="s">
        <v>860</v>
      </c>
      <c r="C324" s="36">
        <f t="shared" si="208"/>
        <v>5.1034428232744941E-2</v>
      </c>
      <c r="D324" s="3">
        <f t="shared" si="209"/>
        <v>0.61241313879293924</v>
      </c>
      <c r="F324">
        <v>300</v>
      </c>
      <c r="G324" t="s">
        <v>76</v>
      </c>
      <c r="H324">
        <v>1000</v>
      </c>
      <c r="I324" s="22"/>
      <c r="J324">
        <v>10</v>
      </c>
      <c r="K324" s="22"/>
      <c r="M324" s="22">
        <v>9.8000000000000004E-2</v>
      </c>
      <c r="N324" s="21">
        <v>45041</v>
      </c>
      <c r="O324" s="21">
        <v>46137</v>
      </c>
      <c r="P324">
        <f t="shared" si="210"/>
        <v>3</v>
      </c>
      <c r="Q324" s="6">
        <f t="shared" si="211"/>
        <v>0.32666666666666666</v>
      </c>
      <c r="R324" s="5">
        <f t="shared" si="212"/>
        <v>12</v>
      </c>
      <c r="S324" t="s">
        <v>1717</v>
      </c>
      <c r="U324">
        <f t="shared" si="213"/>
        <v>36</v>
      </c>
      <c r="V324">
        <f t="shared" si="214"/>
        <v>8.1666666666666661</v>
      </c>
      <c r="W324" s="28">
        <f t="shared" si="215"/>
        <v>5.1034428232744941E-2</v>
      </c>
      <c r="X324" s="27">
        <f t="shared" si="216"/>
        <v>0.61241313879293924</v>
      </c>
      <c r="Y324" s="5" t="e">
        <f t="shared" si="217"/>
        <v>#NUM!</v>
      </c>
      <c r="Z324" s="5" t="e">
        <f t="shared" si="218"/>
        <v>#NUM!</v>
      </c>
      <c r="AA324" s="5" t="e">
        <f t="shared" si="219"/>
        <v>#NUM!</v>
      </c>
      <c r="AB324" t="s">
        <v>64</v>
      </c>
      <c r="AC324" t="s">
        <v>62</v>
      </c>
      <c r="AD324">
        <f t="shared" si="220"/>
        <v>12</v>
      </c>
    </row>
    <row r="325" spans="1:30" x14ac:dyDescent="0.35">
      <c r="A325" t="s">
        <v>1858</v>
      </c>
      <c r="B325" t="s">
        <v>860</v>
      </c>
      <c r="C325" s="36">
        <f t="shared" si="208"/>
        <v>0.22846316548776222</v>
      </c>
      <c r="D325" s="3">
        <f t="shared" si="209"/>
        <v>0.22846316548776222</v>
      </c>
      <c r="F325">
        <v>746.05</v>
      </c>
      <c r="G325" t="s">
        <v>76</v>
      </c>
      <c r="H325">
        <v>1000</v>
      </c>
      <c r="I325" s="22"/>
      <c r="J325">
        <v>39</v>
      </c>
      <c r="K325" s="22"/>
      <c r="L325">
        <v>45.034579262706302</v>
      </c>
      <c r="M325" s="22">
        <v>0.10249999999999999</v>
      </c>
      <c r="N325" s="21">
        <v>45041</v>
      </c>
      <c r="O325" s="21">
        <v>46137</v>
      </c>
      <c r="P325">
        <f t="shared" si="210"/>
        <v>3</v>
      </c>
      <c r="Q325" s="6">
        <f t="shared" si="211"/>
        <v>0.13739025534481603</v>
      </c>
      <c r="R325" s="5">
        <f t="shared" si="212"/>
        <v>1</v>
      </c>
      <c r="S325" t="s">
        <v>93</v>
      </c>
      <c r="U325">
        <f t="shared" si="213"/>
        <v>3</v>
      </c>
      <c r="V325">
        <f t="shared" si="214"/>
        <v>102.5</v>
      </c>
      <c r="W325" s="28">
        <f t="shared" si="215"/>
        <v>0.22846316548776222</v>
      </c>
      <c r="X325" s="27">
        <f t="shared" si="216"/>
        <v>0.22846316548776222</v>
      </c>
      <c r="Y325" s="5">
        <f t="shared" si="217"/>
        <v>2.6852818590371581</v>
      </c>
      <c r="Z325" s="5">
        <f t="shared" si="218"/>
        <v>2.1858871592384821</v>
      </c>
      <c r="AA325" s="5">
        <f t="shared" si="219"/>
        <v>-1630.7811151498695</v>
      </c>
      <c r="AB325" t="s">
        <v>64</v>
      </c>
      <c r="AC325" t="s">
        <v>62</v>
      </c>
      <c r="AD325">
        <f t="shared" si="220"/>
        <v>1</v>
      </c>
    </row>
    <row r="326" spans="1:30" x14ac:dyDescent="0.35">
      <c r="A326" t="s">
        <v>1857</v>
      </c>
      <c r="B326" t="s">
        <v>316</v>
      </c>
      <c r="C326" s="36">
        <f t="shared" si="208"/>
        <v>9.9008477904886136E-2</v>
      </c>
      <c r="D326" s="3">
        <f t="shared" si="209"/>
        <v>9.9008477904886136E-2</v>
      </c>
      <c r="F326">
        <v>980</v>
      </c>
      <c r="G326" t="s">
        <v>76</v>
      </c>
      <c r="H326">
        <v>1000</v>
      </c>
      <c r="I326" s="22"/>
      <c r="J326">
        <v>66</v>
      </c>
      <c r="K326" s="22"/>
      <c r="L326">
        <v>11.579453845595101</v>
      </c>
      <c r="M326" s="22">
        <v>8.7499999999999994E-2</v>
      </c>
      <c r="N326" s="21">
        <v>45408</v>
      </c>
      <c r="O326" s="21">
        <v>46137</v>
      </c>
      <c r="P326">
        <f t="shared" si="210"/>
        <v>2</v>
      </c>
      <c r="Q326" s="6">
        <f t="shared" si="211"/>
        <v>8.9285714285714288E-2</v>
      </c>
      <c r="R326" s="5">
        <f t="shared" si="212"/>
        <v>1</v>
      </c>
      <c r="S326" t="s">
        <v>93</v>
      </c>
      <c r="U326">
        <f t="shared" si="213"/>
        <v>2</v>
      </c>
      <c r="V326">
        <f t="shared" si="214"/>
        <v>87.5</v>
      </c>
      <c r="W326" s="28">
        <f t="shared" si="215"/>
        <v>9.9008477904886136E-2</v>
      </c>
      <c r="X326" s="27">
        <f t="shared" si="216"/>
        <v>9.9008477904886136E-2</v>
      </c>
      <c r="Y326" s="5">
        <f t="shared" si="217"/>
        <v>1.9159801607815994</v>
      </c>
      <c r="Z326" s="5">
        <f t="shared" si="218"/>
        <v>1.7433715929418137</v>
      </c>
      <c r="AA326" s="5">
        <f t="shared" si="219"/>
        <v>-1708.5041610829774</v>
      </c>
      <c r="AB326" t="s">
        <v>64</v>
      </c>
      <c r="AC326" t="s">
        <v>62</v>
      </c>
      <c r="AD326">
        <f t="shared" si="220"/>
        <v>1</v>
      </c>
    </row>
    <row r="327" spans="1:30" x14ac:dyDescent="0.35">
      <c r="C327" s="28"/>
      <c r="D327" s="27"/>
      <c r="I327" s="22"/>
      <c r="K327" s="22"/>
      <c r="M327" s="22"/>
      <c r="N327" s="21"/>
      <c r="O327" s="21"/>
      <c r="P327" s="5"/>
      <c r="Q327" s="6"/>
      <c r="R327" s="5"/>
      <c r="W327" s="28"/>
      <c r="Y327" s="33"/>
      <c r="Z327" s="33"/>
      <c r="AA327" s="33"/>
    </row>
    <row r="328" spans="1:30" x14ac:dyDescent="0.35">
      <c r="A328" t="s">
        <v>1855</v>
      </c>
      <c r="B328" t="s">
        <v>122</v>
      </c>
      <c r="C328" s="36">
        <f>RATE(U328,V328,-F328,H328)</f>
        <v>9.2507968405264374E-2</v>
      </c>
      <c r="D328" s="3">
        <f>C328*AD328</f>
        <v>9.2507968405264374E-2</v>
      </c>
      <c r="F328">
        <v>1008.8</v>
      </c>
      <c r="G328" t="s">
        <v>76</v>
      </c>
      <c r="H328">
        <v>1000</v>
      </c>
      <c r="I328" s="22"/>
      <c r="J328">
        <v>330</v>
      </c>
      <c r="K328" s="22"/>
      <c r="L328">
        <v>8.39907063455626</v>
      </c>
      <c r="M328" s="22">
        <v>9.6000000000000002E-2</v>
      </c>
      <c r="N328" s="21">
        <v>45043</v>
      </c>
      <c r="O328" s="21">
        <v>46139</v>
      </c>
      <c r="P328">
        <f>ROUND(YEARFRAC(N328,O328),0)</f>
        <v>3</v>
      </c>
      <c r="Q328" s="6">
        <f>(M328*H328)/F328</f>
        <v>9.5162569389373522E-2</v>
      </c>
      <c r="R328" s="5">
        <f>IF(S328="Quarterly",4,IF(S328="Semi-annual",2,IF(S328="Annual",1,IF(S328="Pays at maturity",0,IF(S328="Monthly",12,0)))))</f>
        <v>1</v>
      </c>
      <c r="S328" t="s">
        <v>93</v>
      </c>
      <c r="U328">
        <f>R328*P328</f>
        <v>3</v>
      </c>
      <c r="V328">
        <f>(H328*M328)/AD328</f>
        <v>96</v>
      </c>
      <c r="W328" s="28">
        <f>RATE(U328,V328,-F328,H328)</f>
        <v>9.2507968405264374E-2</v>
      </c>
      <c r="X328" s="27">
        <f>W328*AD328</f>
        <v>9.2507968405264374E-2</v>
      </c>
      <c r="Y328" s="5">
        <f>DURATION(N328,O328,M328,D328,AD328)</f>
        <v>2.7460615042127436</v>
      </c>
      <c r="Z328" s="5">
        <f>Y328/(1+C328)</f>
        <v>2.5135391078393452</v>
      </c>
      <c r="AA328" s="5">
        <f>-Z328*F328</f>
        <v>-2535.6582519883314</v>
      </c>
      <c r="AB328" t="s">
        <v>64</v>
      </c>
      <c r="AC328" t="s">
        <v>62</v>
      </c>
      <c r="AD328">
        <f>_xlfn.SWITCH(PROPER(TRIM(S328)),
   "Annual",1,
   "Semi-Annual",2,
   "Quarterly",4,
   "Monthly",12,
   "")</f>
        <v>1</v>
      </c>
    </row>
    <row r="329" spans="1:30" x14ac:dyDescent="0.35">
      <c r="C329" s="28"/>
      <c r="D329" s="27"/>
      <c r="I329" s="22"/>
      <c r="K329" s="22"/>
      <c r="M329" s="22"/>
      <c r="N329" s="21"/>
      <c r="O329" s="21"/>
      <c r="P329" s="5"/>
      <c r="Q329" s="6"/>
      <c r="R329" s="5"/>
      <c r="W329" s="28"/>
      <c r="Y329" s="33"/>
      <c r="Z329" s="33"/>
      <c r="AA329" s="33"/>
    </row>
    <row r="330" spans="1:30" x14ac:dyDescent="0.35">
      <c r="A330" t="s">
        <v>1853</v>
      </c>
      <c r="B330" t="s">
        <v>122</v>
      </c>
      <c r="C330" s="36">
        <f>RATE(U330,V330,-F330,H330)</f>
        <v>9.809162055546472E-2</v>
      </c>
      <c r="D330" s="3">
        <f>C330*AD330</f>
        <v>9.809162055546472E-2</v>
      </c>
      <c r="F330">
        <v>984.8</v>
      </c>
      <c r="G330" t="s">
        <v>76</v>
      </c>
      <c r="H330">
        <v>1000</v>
      </c>
      <c r="I330" s="22"/>
      <c r="J330">
        <v>118</v>
      </c>
      <c r="K330" s="22"/>
      <c r="L330">
        <v>11.361221025538001</v>
      </c>
      <c r="M330" s="22">
        <v>9.1999999999999998E-2</v>
      </c>
      <c r="N330" s="21">
        <v>45043</v>
      </c>
      <c r="O330" s="21">
        <v>46139</v>
      </c>
      <c r="P330">
        <f>ROUND(YEARFRAC(N330,O330),0)</f>
        <v>3</v>
      </c>
      <c r="Q330" s="6">
        <f>(M330*H330)/F330</f>
        <v>9.3419983753046304E-2</v>
      </c>
      <c r="R330" s="5">
        <f>IF(S330="Quarterly",4,IF(S330="Semi-annual",2,IF(S330="Annual",1,IF(S330="Pays at maturity",0,IF(S330="Monthly",12,0)))))</f>
        <v>1</v>
      </c>
      <c r="S330" t="s">
        <v>93</v>
      </c>
      <c r="U330">
        <f>R330*P330</f>
        <v>3</v>
      </c>
      <c r="V330">
        <f>(H330*M330)/AD330</f>
        <v>92</v>
      </c>
      <c r="W330" s="28">
        <f>RATE(U330,V330,-F330,H330)</f>
        <v>9.809162055546472E-2</v>
      </c>
      <c r="X330" s="27">
        <f>W330*AD330</f>
        <v>9.809162055546472E-2</v>
      </c>
      <c r="Y330" s="5">
        <f>DURATION(N330,O330,M330,D330,AD330)</f>
        <v>2.7523751061201165</v>
      </c>
      <c r="Z330" s="5">
        <f>Y330/(1+C330)</f>
        <v>2.5065077035446639</v>
      </c>
      <c r="AA330" s="5">
        <f>-Z330*F330</f>
        <v>-2468.4087864507851</v>
      </c>
      <c r="AB330" t="s">
        <v>64</v>
      </c>
      <c r="AC330" t="s">
        <v>62</v>
      </c>
      <c r="AD330">
        <f>_xlfn.SWITCH(PROPER(TRIM(S330)),
   "Annual",1,
   "Semi-Annual",2,
   "Quarterly",4,
   "Monthly",12,
   "")</f>
        <v>1</v>
      </c>
    </row>
    <row r="331" spans="1:30" x14ac:dyDescent="0.35">
      <c r="A331" t="s">
        <v>1852</v>
      </c>
      <c r="B331" t="s">
        <v>316</v>
      </c>
      <c r="C331" s="36">
        <f>RATE(U331,V331,-F331,H331)</f>
        <v>0.10005382266508514</v>
      </c>
      <c r="D331" s="3">
        <f>C331*AD331</f>
        <v>0.10005382266508514</v>
      </c>
      <c r="F331">
        <v>975</v>
      </c>
      <c r="G331" t="s">
        <v>76</v>
      </c>
      <c r="H331">
        <v>1000</v>
      </c>
      <c r="I331" s="22"/>
      <c r="J331">
        <v>22</v>
      </c>
      <c r="K331" s="22"/>
      <c r="L331">
        <v>12.075442288208199</v>
      </c>
      <c r="M331" s="22">
        <v>0.09</v>
      </c>
      <c r="N331" s="21">
        <v>45045</v>
      </c>
      <c r="O331" s="21">
        <v>46140</v>
      </c>
      <c r="P331">
        <f>ROUND(YEARFRAC(N331,O331),0)</f>
        <v>3</v>
      </c>
      <c r="Q331" s="6">
        <f>(M331*H331)/F331</f>
        <v>9.2307692307692313E-2</v>
      </c>
      <c r="R331" s="5">
        <f>IF(S331="Quarterly",4,IF(S331="Semi-annual",2,IF(S331="Annual",1,IF(S331="Pays at maturity",0,IF(S331="Monthly",12,0)))))</f>
        <v>1</v>
      </c>
      <c r="S331" t="s">
        <v>93</v>
      </c>
      <c r="U331">
        <f>R331*P331</f>
        <v>3</v>
      </c>
      <c r="V331">
        <f>(H331*M331)/AD331</f>
        <v>90</v>
      </c>
      <c r="W331" s="28">
        <f>RATE(U331,V331,-F331,H331)</f>
        <v>0.10005382266508514</v>
      </c>
      <c r="X331" s="27">
        <f>W331*AD331</f>
        <v>0.10005382266508514</v>
      </c>
      <c r="Y331" s="5">
        <f>DURATION(N331,O331,M331,D331,AD331)</f>
        <v>2.7531183818361495</v>
      </c>
      <c r="Z331" s="5">
        <f>Y331/(1+C331)</f>
        <v>2.5027124356208388</v>
      </c>
      <c r="AA331" s="5">
        <f>-Z331*F331</f>
        <v>-2440.1446247303179</v>
      </c>
      <c r="AB331" t="s">
        <v>64</v>
      </c>
      <c r="AC331" t="s">
        <v>62</v>
      </c>
      <c r="AD331">
        <f>_xlfn.SWITCH(PROPER(TRIM(S331)),
   "Annual",1,
   "Semi-Annual",2,
   "Quarterly",4,
   "Monthly",12,
   "")</f>
        <v>1</v>
      </c>
    </row>
    <row r="332" spans="1:30" x14ac:dyDescent="0.35">
      <c r="C332" s="28"/>
      <c r="D332" s="27"/>
      <c r="I332" s="22"/>
      <c r="K332" s="22"/>
      <c r="M332" s="22"/>
      <c r="N332" s="21"/>
      <c r="O332" s="21"/>
      <c r="P332" s="5"/>
      <c r="Q332" s="6"/>
      <c r="R332" s="5"/>
      <c r="W332" s="28"/>
      <c r="Y332" s="33"/>
      <c r="Z332" s="33"/>
      <c r="AA332" s="33"/>
    </row>
    <row r="333" spans="1:30" x14ac:dyDescent="0.35">
      <c r="A333" t="s">
        <v>1850</v>
      </c>
      <c r="B333" t="s">
        <v>915</v>
      </c>
      <c r="C333" s="36">
        <f>RATE(U333,V333,-F333,H333)</f>
        <v>0.14441773863931145</v>
      </c>
      <c r="D333" s="3">
        <f>C333*AD333</f>
        <v>0.14441773863931145</v>
      </c>
      <c r="F333">
        <v>99686</v>
      </c>
      <c r="G333" t="s">
        <v>76</v>
      </c>
      <c r="H333">
        <v>100000</v>
      </c>
      <c r="I333" s="22"/>
      <c r="J333">
        <v>4</v>
      </c>
      <c r="K333" s="22"/>
      <c r="L333">
        <v>14.7040354399647</v>
      </c>
      <c r="M333" s="22">
        <v>0.14249999999999999</v>
      </c>
      <c r="N333" s="21">
        <v>45412</v>
      </c>
      <c r="O333" s="21">
        <v>46141</v>
      </c>
      <c r="P333">
        <f>ROUND(YEARFRAC(N333,O333),0)</f>
        <v>2</v>
      </c>
      <c r="Q333" s="6">
        <f>(M333*H333)/F333</f>
        <v>0.1429488594185743</v>
      </c>
      <c r="R333" s="5">
        <f>IF(S333="Quarterly",4,IF(S333="Semi-annual",2,IF(S333="Annual",1,IF(S333="Pays at maturity",0,IF(S333="Monthly",12,0)))))</f>
        <v>1</v>
      </c>
      <c r="S333" t="s">
        <v>93</v>
      </c>
      <c r="U333">
        <f>R333*P333</f>
        <v>2</v>
      </c>
      <c r="V333">
        <f>(H333*M333)/AD333</f>
        <v>14249.999999999998</v>
      </c>
      <c r="W333" s="28">
        <f>RATE(U333,V333,-F333,H333)</f>
        <v>0.14441773863931145</v>
      </c>
      <c r="X333" s="27">
        <f>W333*AD333</f>
        <v>0.14441773863931145</v>
      </c>
      <c r="Y333" s="5">
        <f>DURATION(N333,O333,M333,D333,AD333)</f>
        <v>1.8723125370677787</v>
      </c>
      <c r="Z333" s="5">
        <f>Y333/(1+C333)</f>
        <v>1.6360394232388591</v>
      </c>
      <c r="AA333" s="5">
        <f>-Z333*F333</f>
        <v>-163090.2259449889</v>
      </c>
      <c r="AB333" t="s">
        <v>69</v>
      </c>
      <c r="AC333" t="s">
        <v>62</v>
      </c>
      <c r="AD333">
        <f>_xlfn.SWITCH(PROPER(TRIM(S333)),
   "Annual",1,
   "Semi-Annual",2,
   "Quarterly",4,
   "Monthly",12,
   "")</f>
        <v>1</v>
      </c>
    </row>
    <row r="334" spans="1:30" x14ac:dyDescent="0.35">
      <c r="A334" t="s">
        <v>1849</v>
      </c>
      <c r="B334" t="s">
        <v>122</v>
      </c>
      <c r="C334" s="36">
        <f>RATE(U334,V334,-F334,H334)</f>
        <v>9.6512672891808871E-2</v>
      </c>
      <c r="D334" s="3">
        <f>C334*AD334</f>
        <v>9.6512672891808871E-2</v>
      </c>
      <c r="F334">
        <v>981.21</v>
      </c>
      <c r="G334" t="s">
        <v>76</v>
      </c>
      <c r="H334">
        <v>1000</v>
      </c>
      <c r="I334" s="22"/>
      <c r="J334">
        <v>237</v>
      </c>
      <c r="K334" s="22"/>
      <c r="L334">
        <v>11.8228452117058</v>
      </c>
      <c r="M334" s="22">
        <v>9.1600000000000001E-2</v>
      </c>
      <c r="N334" s="21">
        <v>44315</v>
      </c>
      <c r="O334" s="21">
        <v>46141</v>
      </c>
      <c r="P334">
        <f>ROUND(YEARFRAC(N334,O334),0)</f>
        <v>5</v>
      </c>
      <c r="Q334" s="6">
        <f>(M334*H334)/F334</f>
        <v>9.3354123989767723E-2</v>
      </c>
      <c r="R334" s="5">
        <f>IF(S334="Quarterly",4,IF(S334="Semi-annual",2,IF(S334="Annual",1,IF(S334="Pays at maturity",0,IF(S334="Monthly",12,0)))))</f>
        <v>1</v>
      </c>
      <c r="S334" t="s">
        <v>93</v>
      </c>
      <c r="U334">
        <f>R334*P334</f>
        <v>5</v>
      </c>
      <c r="V334">
        <f>(H334*M334)/AD334</f>
        <v>91.6</v>
      </c>
      <c r="W334" s="28">
        <f>RATE(U334,V334,-F334,H334)</f>
        <v>9.6512672891808871E-2</v>
      </c>
      <c r="X334" s="27">
        <f>W334*AD334</f>
        <v>9.6512672891808871E-2</v>
      </c>
      <c r="Y334" s="5">
        <f>DURATION(N334,O334,M334,D334,AD334)</f>
        <v>4.2203232472924963</v>
      </c>
      <c r="Z334" s="5">
        <f>Y334/(1+C334)</f>
        <v>3.8488595267780448</v>
      </c>
      <c r="AA334" s="5">
        <f>-Z334*F334</f>
        <v>-3776.5394562698852</v>
      </c>
      <c r="AB334" t="s">
        <v>64</v>
      </c>
      <c r="AC334" t="s">
        <v>62</v>
      </c>
      <c r="AD334">
        <f>_xlfn.SWITCH(PROPER(TRIM(S334)),
   "Annual",1,
   "Semi-Annual",2,
   "Quarterly",4,
   "Monthly",12,
   "")</f>
        <v>1</v>
      </c>
    </row>
    <row r="335" spans="1:30" x14ac:dyDescent="0.35">
      <c r="A335" t="s">
        <v>1848</v>
      </c>
      <c r="B335" t="s">
        <v>357</v>
      </c>
      <c r="C335" s="36">
        <f>RATE(U335,V335,-F335,H335)</f>
        <v>0.13074225164101946</v>
      </c>
      <c r="D335" s="3">
        <f>C335*AD335</f>
        <v>0.13074225164101946</v>
      </c>
      <c r="F335">
        <v>879</v>
      </c>
      <c r="G335" t="s">
        <v>76</v>
      </c>
      <c r="H335">
        <v>1000</v>
      </c>
      <c r="I335" s="22"/>
      <c r="J335">
        <v>1400</v>
      </c>
      <c r="K335" s="22"/>
      <c r="L335">
        <v>14.592858987781501</v>
      </c>
      <c r="M335" s="22">
        <v>0.09</v>
      </c>
      <c r="N335" s="21">
        <v>44680</v>
      </c>
      <c r="O335" s="21">
        <v>46141</v>
      </c>
      <c r="P335">
        <f>ROUND(YEARFRAC(N335,O335),0)</f>
        <v>4</v>
      </c>
      <c r="Q335" s="6">
        <f>(M335*H335)/F335</f>
        <v>0.10238907849829351</v>
      </c>
      <c r="R335" s="5">
        <f>IF(S335="Quarterly",4,IF(S335="Semi-annual",2,IF(S335="Annual",1,IF(S335="Pays at maturity",0,IF(S335="Monthly",12,0)))))</f>
        <v>1</v>
      </c>
      <c r="S335" t="s">
        <v>93</v>
      </c>
      <c r="U335">
        <f>R335*P335</f>
        <v>4</v>
      </c>
      <c r="V335">
        <f>(H335*M335)/AD335</f>
        <v>90</v>
      </c>
      <c r="W335" s="28">
        <f>RATE(U335,V335,-F335,H335)</f>
        <v>0.13074225164101946</v>
      </c>
      <c r="X335" s="27">
        <f>W335*AD335</f>
        <v>0.13074225164101946</v>
      </c>
      <c r="Y335" s="5">
        <f>DURATION(N335,O335,M335,D335,AD335)</f>
        <v>3.4973670486509949</v>
      </c>
      <c r="Z335" s="5">
        <f>Y335/(1+C335)</f>
        <v>3.0929834306406687</v>
      </c>
      <c r="AA335" s="5">
        <f>-Z335*F335</f>
        <v>-2718.732435533148</v>
      </c>
      <c r="AB335" t="s">
        <v>64</v>
      </c>
      <c r="AC335" t="s">
        <v>62</v>
      </c>
      <c r="AD335">
        <f>_xlfn.SWITCH(PROPER(TRIM(S335)),
   "Annual",1,
   "Semi-Annual",2,
   "Quarterly",4,
   "Monthly",12,
   "")</f>
        <v>1</v>
      </c>
    </row>
    <row r="336" spans="1:30" x14ac:dyDescent="0.35">
      <c r="C336" s="28"/>
      <c r="D336" s="27"/>
      <c r="I336" s="22"/>
      <c r="K336" s="22"/>
      <c r="M336" s="22"/>
      <c r="N336" s="21"/>
      <c r="O336" s="21"/>
      <c r="P336" s="5"/>
      <c r="Q336" s="6"/>
      <c r="R336" s="5"/>
      <c r="W336" s="28"/>
      <c r="Y336" s="33"/>
      <c r="Z336" s="33"/>
      <c r="AA336" s="33"/>
    </row>
    <row r="337" spans="1:30" x14ac:dyDescent="0.35">
      <c r="A337" t="s">
        <v>1846</v>
      </c>
      <c r="B337" t="s">
        <v>122</v>
      </c>
      <c r="C337" s="36">
        <f>RATE(U337,V337,-F337,H337)</f>
        <v>9.2738791262624035E-2</v>
      </c>
      <c r="D337" s="3">
        <f>C337*AD337</f>
        <v>9.2738791262624035E-2</v>
      </c>
      <c r="F337">
        <v>995.2</v>
      </c>
      <c r="G337" t="s">
        <v>76</v>
      </c>
      <c r="H337">
        <v>1000</v>
      </c>
      <c r="I337" s="22"/>
      <c r="J337">
        <v>115</v>
      </c>
      <c r="K337" s="22"/>
      <c r="L337">
        <v>9.6676814667852398</v>
      </c>
      <c r="M337" s="22">
        <v>0.09</v>
      </c>
      <c r="N337" s="21">
        <v>45411</v>
      </c>
      <c r="O337" s="21">
        <v>46141</v>
      </c>
      <c r="P337">
        <f>ROUND(YEARFRAC(N337,O337),0)</f>
        <v>2</v>
      </c>
      <c r="Q337" s="6">
        <f>(M337*H337)/F337</f>
        <v>9.0434083601286172E-2</v>
      </c>
      <c r="R337" s="5">
        <f>IF(S337="Quarterly",4,IF(S337="Semi-annual",2,IF(S337="Annual",1,IF(S337="Pays at maturity",0,IF(S337="Monthly",12,0)))))</f>
        <v>1</v>
      </c>
      <c r="S337" t="s">
        <v>93</v>
      </c>
      <c r="U337">
        <f>R337*P337</f>
        <v>2</v>
      </c>
      <c r="V337">
        <f>(H337*M337)/AD337</f>
        <v>90</v>
      </c>
      <c r="W337" s="28">
        <f>RATE(U337,V337,-F337,H337)</f>
        <v>9.2738791262624035E-2</v>
      </c>
      <c r="X337" s="27">
        <f>W337*AD337</f>
        <v>9.2738791262624035E-2</v>
      </c>
      <c r="Y337" s="5">
        <f>DURATION(N337,O337,M337,D337,AD337)</f>
        <v>1.9172408956976876</v>
      </c>
      <c r="Z337" s="5">
        <f>Y337/(1+C337)</f>
        <v>1.7545280821250779</v>
      </c>
      <c r="AA337" s="5">
        <f>-Z337*F337</f>
        <v>-1746.1063473308777</v>
      </c>
      <c r="AB337" t="s">
        <v>64</v>
      </c>
      <c r="AC337" t="s">
        <v>62</v>
      </c>
      <c r="AD337">
        <f>_xlfn.SWITCH(PROPER(TRIM(S337)),
   "Annual",1,
   "Semi-Annual",2,
   "Quarterly",4,
   "Monthly",12,
   "")</f>
        <v>1</v>
      </c>
    </row>
    <row r="338" spans="1:30" x14ac:dyDescent="0.35">
      <c r="A338" t="s">
        <v>1845</v>
      </c>
      <c r="B338" t="s">
        <v>122</v>
      </c>
      <c r="C338" s="36">
        <f>RATE(U338,V338,-F338,H338)</f>
        <v>9.3747718292862617E-2</v>
      </c>
      <c r="D338" s="3">
        <f>C338*AD338</f>
        <v>9.3747718292862617E-2</v>
      </c>
      <c r="F338">
        <v>1006.75</v>
      </c>
      <c r="G338" t="s">
        <v>76</v>
      </c>
      <c r="H338">
        <v>1000</v>
      </c>
      <c r="I338" s="22"/>
      <c r="J338">
        <v>65</v>
      </c>
      <c r="K338" s="22"/>
      <c r="L338">
        <v>8.6119585653978508</v>
      </c>
      <c r="M338" s="22">
        <v>9.5500000000000002E-2</v>
      </c>
      <c r="N338" s="21">
        <v>44315</v>
      </c>
      <c r="O338" s="21">
        <v>46141</v>
      </c>
      <c r="P338">
        <f>ROUND(YEARFRAC(N338,O338),0)</f>
        <v>5</v>
      </c>
      <c r="Q338" s="6">
        <f>(M338*H338)/F338</f>
        <v>9.4859697044946609E-2</v>
      </c>
      <c r="R338" s="5">
        <f>IF(S338="Quarterly",4,IF(S338="Semi-annual",2,IF(S338="Annual",1,IF(S338="Pays at maturity",0,IF(S338="Monthly",12,0)))))</f>
        <v>1</v>
      </c>
      <c r="S338" t="s">
        <v>93</v>
      </c>
      <c r="U338">
        <f>R338*P338</f>
        <v>5</v>
      </c>
      <c r="V338">
        <f>(H338*M338)/AD338</f>
        <v>95.5</v>
      </c>
      <c r="W338" s="28">
        <f>RATE(U338,V338,-F338,H338)</f>
        <v>9.3747718292862617E-2</v>
      </c>
      <c r="X338" s="27">
        <f>W338*AD338</f>
        <v>9.3747718292862617E-2</v>
      </c>
      <c r="Y338" s="5">
        <f>DURATION(N338,O338,M338,D338,AD338)</f>
        <v>4.2039158504853482</v>
      </c>
      <c r="Z338" s="5">
        <f>Y338/(1+C338)</f>
        <v>3.8435882243913446</v>
      </c>
      <c r="AA338" s="5">
        <f>-Z338*F338</f>
        <v>-3869.5324449059863</v>
      </c>
      <c r="AB338" t="s">
        <v>64</v>
      </c>
      <c r="AC338" t="s">
        <v>62</v>
      </c>
      <c r="AD338">
        <f>_xlfn.SWITCH(PROPER(TRIM(S338)),
   "Annual",1,
   "Semi-Annual",2,
   "Quarterly",4,
   "Monthly",12,
   "")</f>
        <v>1</v>
      </c>
    </row>
    <row r="339" spans="1:30" x14ac:dyDescent="0.35">
      <c r="C339" s="28"/>
      <c r="D339" s="27"/>
      <c r="I339" s="22"/>
      <c r="K339" s="22"/>
      <c r="M339" s="22"/>
      <c r="N339" s="21"/>
      <c r="O339" s="21"/>
      <c r="P339" s="5"/>
      <c r="Q339" s="6"/>
      <c r="R339" s="5"/>
      <c r="W339" s="28"/>
      <c r="Y339" s="33"/>
      <c r="Z339" s="33"/>
      <c r="AA339" s="33"/>
    </row>
    <row r="340" spans="1:30" x14ac:dyDescent="0.35">
      <c r="A340" t="s">
        <v>1842</v>
      </c>
      <c r="B340" t="s">
        <v>1841</v>
      </c>
      <c r="C340" s="36">
        <f>RATE(U340,V340,-F340,H340)</f>
        <v>9.4772287312974032E-2</v>
      </c>
      <c r="D340" s="3">
        <f>C340*AD340</f>
        <v>9.4772287312974032E-2</v>
      </c>
      <c r="F340">
        <v>100182.65</v>
      </c>
      <c r="G340" t="s">
        <v>76</v>
      </c>
      <c r="H340">
        <v>100000</v>
      </c>
      <c r="I340" s="22"/>
      <c r="J340">
        <v>2</v>
      </c>
      <c r="K340" s="22"/>
      <c r="L340">
        <v>9.4697504790314504</v>
      </c>
      <c r="M340" s="22">
        <v>9.5500000000000002E-2</v>
      </c>
      <c r="N340" s="21">
        <v>45048</v>
      </c>
      <c r="O340" s="21">
        <v>46144</v>
      </c>
      <c r="P340">
        <f>ROUND(YEARFRAC(N340,O340),0)</f>
        <v>3</v>
      </c>
      <c r="Q340" s="6">
        <f>(M340*H340)/F340</f>
        <v>9.5325887266906995E-2</v>
      </c>
      <c r="R340" s="5">
        <f>IF(S340="Quarterly",4,IF(S340="Semi-annual",2,IF(S340="Annual",1,IF(S340="Pays at maturity",0,IF(S340="Monthly",12,0)))))</f>
        <v>1</v>
      </c>
      <c r="S340" t="s">
        <v>93</v>
      </c>
      <c r="U340">
        <f>R340*P340</f>
        <v>3</v>
      </c>
      <c r="V340">
        <f>(H340*M340)/AD340</f>
        <v>9550</v>
      </c>
      <c r="W340" s="28">
        <f>RATE(U340,V340,-F340,H340)</f>
        <v>9.4772287312974032E-2</v>
      </c>
      <c r="X340" s="27">
        <f>W340*AD340</f>
        <v>9.4772287312974032E-2</v>
      </c>
      <c r="Y340" s="5">
        <f>DURATION(N340,O340,M340,D340,AD340)</f>
        <v>2.7463166631708362</v>
      </c>
      <c r="Z340" s="5">
        <f>Y340/(1+C340)</f>
        <v>2.5085734220688383</v>
      </c>
      <c r="AA340" s="5">
        <f>-Z340*F340</f>
        <v>-251315.53314242468</v>
      </c>
      <c r="AB340" t="s">
        <v>64</v>
      </c>
      <c r="AC340" t="s">
        <v>62</v>
      </c>
      <c r="AD340">
        <f>_xlfn.SWITCH(PROPER(TRIM(S340)),
   "Annual",1,
   "Semi-Annual",2,
   "Quarterly",4,
   "Monthly",12,
   "")</f>
        <v>1</v>
      </c>
    </row>
    <row r="341" spans="1:30" x14ac:dyDescent="0.35">
      <c r="A341" t="s">
        <v>1840</v>
      </c>
      <c r="B341" t="s">
        <v>1114</v>
      </c>
      <c r="C341" s="36">
        <f>RATE(U341,V341,-F341,H341)</f>
        <v>2.519864861917942E-2</v>
      </c>
      <c r="D341" s="3">
        <f>C341*AD341</f>
        <v>0.10079459447671768</v>
      </c>
      <c r="F341">
        <v>989</v>
      </c>
      <c r="G341" t="s">
        <v>76</v>
      </c>
      <c r="H341">
        <v>1000</v>
      </c>
      <c r="I341" s="22"/>
      <c r="J341">
        <v>22</v>
      </c>
      <c r="K341" s="22"/>
      <c r="M341" s="22">
        <v>9.6500000000000002E-2</v>
      </c>
      <c r="N341" s="21">
        <v>44959</v>
      </c>
      <c r="O341" s="21">
        <v>46144</v>
      </c>
      <c r="P341">
        <f>ROUND(YEARFRAC(N341,O341),0)</f>
        <v>3</v>
      </c>
      <c r="Q341" s="6">
        <f>(M341*H341)/F341</f>
        <v>9.7573306370070778E-2</v>
      </c>
      <c r="R341" s="5">
        <f>IF(S341="Quarterly",4,IF(S341="Semi-annual",2,IF(S341="Annual",1,IF(S341="Pays at maturity",0,IF(S341="Monthly",12,0)))))</f>
        <v>4</v>
      </c>
      <c r="S341" t="s">
        <v>105</v>
      </c>
      <c r="U341">
        <f>R341*P341</f>
        <v>12</v>
      </c>
      <c r="V341">
        <f>(H341*M341)/AD341</f>
        <v>24.125</v>
      </c>
      <c r="W341" s="28">
        <f>RATE(U341,V341,-F341,H341)</f>
        <v>2.519864861917942E-2</v>
      </c>
      <c r="X341" s="27">
        <f>W341*AD341</f>
        <v>0.10079459447671768</v>
      </c>
      <c r="Y341" s="5">
        <f>DURATION(N341,O341,M341,D341,AD341)</f>
        <v>2.8250440879739016</v>
      </c>
      <c r="Z341" s="5">
        <f>Y341/(1+C341)</f>
        <v>2.7556065273582835</v>
      </c>
      <c r="AA341" s="5">
        <f>-Z341*F341</f>
        <v>-2725.2948555573425</v>
      </c>
      <c r="AB341" t="s">
        <v>64</v>
      </c>
      <c r="AC341" t="s">
        <v>62</v>
      </c>
      <c r="AD341">
        <f>_xlfn.SWITCH(PROPER(TRIM(S341)),
   "Annual",1,
   "Semi-Annual",2,
   "Quarterly",4,
   "Monthly",12,
   "")</f>
        <v>4</v>
      </c>
    </row>
    <row r="342" spans="1:30" x14ac:dyDescent="0.35">
      <c r="A342" t="s">
        <v>1839</v>
      </c>
      <c r="B342" t="s">
        <v>1114</v>
      </c>
      <c r="C342" s="36">
        <f>RATE(U342,V342,-F342,H342)</f>
        <v>8.8649791432456992E-2</v>
      </c>
      <c r="D342" s="3">
        <f>C342*AD342</f>
        <v>8.8649791432456992E-2</v>
      </c>
      <c r="F342">
        <v>1028.8</v>
      </c>
      <c r="G342" t="s">
        <v>76</v>
      </c>
      <c r="H342">
        <v>1000</v>
      </c>
      <c r="I342" s="22"/>
      <c r="J342">
        <v>89</v>
      </c>
      <c r="K342" s="22"/>
      <c r="L342">
        <v>6.2564251258665697</v>
      </c>
      <c r="M342" s="22">
        <v>0.1</v>
      </c>
      <c r="N342" s="21">
        <v>44959</v>
      </c>
      <c r="O342" s="21">
        <v>46144</v>
      </c>
      <c r="P342">
        <f>ROUND(YEARFRAC(N342,O342),0)</f>
        <v>3</v>
      </c>
      <c r="Q342" s="6">
        <f>(M342*H342)/F342</f>
        <v>9.7200622083981336E-2</v>
      </c>
      <c r="R342" s="5">
        <f>IF(S342="Quarterly",4,IF(S342="Semi-annual",2,IF(S342="Annual",1,IF(S342="Pays at maturity",0,IF(S342="Monthly",12,0)))))</f>
        <v>1</v>
      </c>
      <c r="S342" t="s">
        <v>93</v>
      </c>
      <c r="U342">
        <f>R342*P342</f>
        <v>3</v>
      </c>
      <c r="V342">
        <f>(H342*M342)/AD342</f>
        <v>100</v>
      </c>
      <c r="W342" s="28">
        <f>RATE(U342,V342,-F342,H342)</f>
        <v>8.8649791432456992E-2</v>
      </c>
      <c r="X342" s="27">
        <f>W342*AD342</f>
        <v>8.8649791432456992E-2</v>
      </c>
      <c r="Y342" s="5">
        <f>DURATION(N342,O342,M342,D342,AD342)</f>
        <v>2.7467304054698678</v>
      </c>
      <c r="Z342" s="5">
        <f>Y342/(1+C342)</f>
        <v>2.523061527303184</v>
      </c>
      <c r="AA342" s="5">
        <f>-Z342*F342</f>
        <v>-2595.7256992895154</v>
      </c>
      <c r="AB342" t="s">
        <v>64</v>
      </c>
      <c r="AC342" t="s">
        <v>62</v>
      </c>
      <c r="AD342">
        <f>_xlfn.SWITCH(PROPER(TRIM(S342)),
   "Annual",1,
   "Semi-Annual",2,
   "Quarterly",4,
   "Monthly",12,
   "")</f>
        <v>1</v>
      </c>
    </row>
    <row r="343" spans="1:30" x14ac:dyDescent="0.35">
      <c r="A343" t="s">
        <v>1838</v>
      </c>
      <c r="B343" t="s">
        <v>261</v>
      </c>
      <c r="C343" s="36">
        <f>RATE(U343,V343,-F343,H343)</f>
        <v>8.0700824691590123E-2</v>
      </c>
      <c r="D343" s="3">
        <f>C343*AD343</f>
        <v>8.0700824691590123E-2</v>
      </c>
      <c r="F343">
        <v>101750</v>
      </c>
      <c r="G343" t="s">
        <v>76</v>
      </c>
      <c r="H343">
        <v>100000</v>
      </c>
      <c r="I343" s="22"/>
      <c r="J343">
        <v>1</v>
      </c>
      <c r="K343" s="22"/>
      <c r="L343">
        <v>6.4642564642564597</v>
      </c>
      <c r="M343" s="22">
        <v>8.7499999999999994E-2</v>
      </c>
      <c r="N343" s="21">
        <v>45050</v>
      </c>
      <c r="O343" s="21">
        <v>46146</v>
      </c>
      <c r="P343">
        <f>ROUND(YEARFRAC(N343,O343),0)</f>
        <v>3</v>
      </c>
      <c r="Q343" s="6">
        <f>(M343*H343)/F343</f>
        <v>8.5995085995085999E-2</v>
      </c>
      <c r="R343" s="5">
        <f>IF(S343="Quarterly",4,IF(S343="Semi-annual",2,IF(S343="Annual",1,IF(S343="Pays at maturity",0,IF(S343="Monthly",12,0)))))</f>
        <v>1</v>
      </c>
      <c r="S343" t="s">
        <v>93</v>
      </c>
      <c r="U343">
        <f>R343*P343</f>
        <v>3</v>
      </c>
      <c r="V343">
        <f>(H343*M343)/AD343</f>
        <v>8750</v>
      </c>
      <c r="W343" s="28">
        <f>RATE(U343,V343,-F343,H343)</f>
        <v>8.0700824691590123E-2</v>
      </c>
      <c r="X343" s="27">
        <f>W343*AD343</f>
        <v>8.0700824691590123E-2</v>
      </c>
      <c r="Y343" s="5">
        <f>DURATION(N343,O343,M343,D343,AD343)</f>
        <v>2.767221778937317</v>
      </c>
      <c r="Z343" s="5">
        <f>Y343/(1+C343)</f>
        <v>2.5605807969351977</v>
      </c>
      <c r="AA343" s="5">
        <f>-Z343*F343</f>
        <v>-260539.09608815637</v>
      </c>
      <c r="AB343" t="s">
        <v>64</v>
      </c>
      <c r="AC343" t="s">
        <v>62</v>
      </c>
      <c r="AD343">
        <f>_xlfn.SWITCH(PROPER(TRIM(S343)),
   "Annual",1,
   "Semi-Annual",2,
   "Quarterly",4,
   "Monthly",12,
   "")</f>
        <v>1</v>
      </c>
    </row>
    <row r="344" spans="1:30" x14ac:dyDescent="0.35">
      <c r="A344" t="s">
        <v>1837</v>
      </c>
      <c r="B344" t="s">
        <v>316</v>
      </c>
      <c r="C344" s="36">
        <f>RATE(U344,V344,-F344,H344)</f>
        <v>0.10353902382177528</v>
      </c>
      <c r="D344" s="3">
        <f>C344*AD344</f>
        <v>0.10353902382177528</v>
      </c>
      <c r="F344">
        <v>995</v>
      </c>
      <c r="G344" t="s">
        <v>76</v>
      </c>
      <c r="H344">
        <v>1000</v>
      </c>
      <c r="I344" s="22"/>
      <c r="J344">
        <v>70</v>
      </c>
      <c r="K344" s="22"/>
      <c r="L344">
        <v>10.737177574332399</v>
      </c>
      <c r="M344" s="22">
        <v>0.10249999999999999</v>
      </c>
      <c r="N344" s="21">
        <v>43591</v>
      </c>
      <c r="O344" s="21">
        <v>46147</v>
      </c>
      <c r="P344">
        <f>ROUND(YEARFRAC(N344,O344),0)</f>
        <v>7</v>
      </c>
      <c r="Q344" s="6">
        <f>(M344*H344)/F344</f>
        <v>0.10301507537688442</v>
      </c>
      <c r="R344" s="5">
        <f>IF(S344="Quarterly",4,IF(S344="Semi-annual",2,IF(S344="Annual",1,IF(S344="Pays at maturity",0,IF(S344="Monthly",12,0)))))</f>
        <v>1</v>
      </c>
      <c r="S344" t="s">
        <v>93</v>
      </c>
      <c r="U344">
        <f>R344*P344</f>
        <v>7</v>
      </c>
      <c r="V344">
        <f>(H344*M344)/AD344</f>
        <v>102.5</v>
      </c>
      <c r="W344" s="28">
        <f>RATE(U344,V344,-F344,H344)</f>
        <v>0.10353902382177528</v>
      </c>
      <c r="X344" s="27">
        <f>W344*AD344</f>
        <v>0.10353902382177528</v>
      </c>
      <c r="Y344" s="5">
        <f>DURATION(N344,O344,M344,D344,AD344)</f>
        <v>5.3162326093073276</v>
      </c>
      <c r="Z344" s="5">
        <f>Y344/(1+C344)</f>
        <v>4.817439614320258</v>
      </c>
      <c r="AA344" s="5">
        <f>-Z344*F344</f>
        <v>-4793.3524162486565</v>
      </c>
      <c r="AB344" t="s">
        <v>64</v>
      </c>
      <c r="AC344" t="s">
        <v>62</v>
      </c>
      <c r="AD344">
        <f>_xlfn.SWITCH(PROPER(TRIM(S344)),
   "Annual",1,
   "Semi-Annual",2,
   "Quarterly",4,
   "Monthly",12,
   "")</f>
        <v>1</v>
      </c>
    </row>
    <row r="345" spans="1:30" x14ac:dyDescent="0.35">
      <c r="C345" s="28"/>
      <c r="D345" s="27"/>
      <c r="I345" s="22"/>
      <c r="K345" s="22"/>
      <c r="M345" s="22"/>
      <c r="N345" s="21"/>
      <c r="O345" s="21"/>
      <c r="P345" s="5"/>
      <c r="Q345" s="6"/>
      <c r="R345" s="5"/>
      <c r="W345" s="28"/>
      <c r="Y345" s="33"/>
      <c r="Z345" s="33"/>
      <c r="AA345" s="33"/>
    </row>
    <row r="346" spans="1:30" x14ac:dyDescent="0.35">
      <c r="C346" s="28"/>
      <c r="D346" s="27"/>
      <c r="I346" s="22"/>
      <c r="K346" s="22"/>
      <c r="M346" s="22"/>
      <c r="N346" s="21"/>
      <c r="O346" s="21"/>
      <c r="P346" s="5"/>
      <c r="Q346" s="6"/>
      <c r="R346" s="5"/>
      <c r="W346" s="28"/>
      <c r="Y346" s="33"/>
      <c r="Z346" s="33"/>
      <c r="AA346" s="33"/>
    </row>
    <row r="347" spans="1:30" x14ac:dyDescent="0.35">
      <c r="A347" t="s">
        <v>1834</v>
      </c>
      <c r="B347" t="s">
        <v>1452</v>
      </c>
      <c r="C347" s="36">
        <f>RATE(U347,V347,-F347,H347)</f>
        <v>0.1178504093502136</v>
      </c>
      <c r="D347" s="3">
        <f>C347*AD347</f>
        <v>0.1178504093502136</v>
      </c>
      <c r="F347">
        <v>98500</v>
      </c>
      <c r="G347" t="s">
        <v>76</v>
      </c>
      <c r="H347">
        <v>100000</v>
      </c>
      <c r="I347" s="22"/>
      <c r="J347">
        <v>1</v>
      </c>
      <c r="K347" s="22"/>
      <c r="L347">
        <v>12.943819453971701</v>
      </c>
      <c r="M347" s="22">
        <v>0.109</v>
      </c>
      <c r="N347" s="21">
        <v>45595</v>
      </c>
      <c r="O347" s="21">
        <v>46148</v>
      </c>
      <c r="P347">
        <f>ROUND(YEARFRAC(N347,O347),0)</f>
        <v>2</v>
      </c>
      <c r="Q347" s="6">
        <f>(M347*H347)/F347</f>
        <v>0.11065989847715736</v>
      </c>
      <c r="R347" s="5">
        <f>IF(S347="Quarterly",4,IF(S347="Semi-annual",2,IF(S347="Annual",1,IF(S347="Pays at maturity",0,IF(S347="Monthly",12,0)))))</f>
        <v>1</v>
      </c>
      <c r="S347" t="s">
        <v>93</v>
      </c>
      <c r="U347">
        <f>R347*P347</f>
        <v>2</v>
      </c>
      <c r="V347">
        <f>(H347*M347)/AD347</f>
        <v>10900</v>
      </c>
      <c r="W347" s="28">
        <f>RATE(U347,V347,-F347,H347)</f>
        <v>0.1178504093502136</v>
      </c>
      <c r="X347" s="27">
        <f>W347*AD347</f>
        <v>0.1178504093502136</v>
      </c>
      <c r="Y347" s="5">
        <f>DURATION(N347,O347,M347,D347,AD347)</f>
        <v>1.4176731899442472</v>
      </c>
      <c r="Z347" s="5">
        <f>Y347/(1+C347)</f>
        <v>1.2682136877047039</v>
      </c>
      <c r="AA347" s="5">
        <f>-Z347*F347</f>
        <v>-124919.04823891334</v>
      </c>
      <c r="AB347" t="s">
        <v>64</v>
      </c>
      <c r="AC347" t="s">
        <v>62</v>
      </c>
      <c r="AD347">
        <f>_xlfn.SWITCH(PROPER(TRIM(S347)),
   "Annual",1,
   "Semi-Annual",2,
   "Quarterly",4,
   "Monthly",12,
   "")</f>
        <v>1</v>
      </c>
    </row>
    <row r="348" spans="1:30" x14ac:dyDescent="0.35">
      <c r="A348" t="s">
        <v>1833</v>
      </c>
      <c r="B348" t="s">
        <v>330</v>
      </c>
      <c r="C348" s="36">
        <f>RATE(U348,V348,-F348,H348)</f>
        <v>7.6247984672315777E-2</v>
      </c>
      <c r="D348" s="3">
        <f>C348*AD348</f>
        <v>7.6247984672315777E-2</v>
      </c>
      <c r="F348">
        <v>999</v>
      </c>
      <c r="G348" t="s">
        <v>76</v>
      </c>
      <c r="H348">
        <v>1000</v>
      </c>
      <c r="I348" s="22"/>
      <c r="J348">
        <v>300</v>
      </c>
      <c r="K348" s="22"/>
      <c r="L348">
        <v>7.7289914499216801</v>
      </c>
      <c r="M348" s="22">
        <v>7.5999999999999998E-2</v>
      </c>
      <c r="N348" s="21">
        <v>44322</v>
      </c>
      <c r="O348" s="21">
        <v>46148</v>
      </c>
      <c r="P348">
        <f>ROUND(YEARFRAC(N348,O348),0)</f>
        <v>5</v>
      </c>
      <c r="Q348" s="6">
        <f>(M348*H348)/F348</f>
        <v>7.6076076076076082E-2</v>
      </c>
      <c r="R348" s="5">
        <f>IF(S348="Quarterly",4,IF(S348="Semi-annual",2,IF(S348="Annual",1,IF(S348="Pays at maturity",0,IF(S348="Monthly",12,0)))))</f>
        <v>1</v>
      </c>
      <c r="S348" t="s">
        <v>93</v>
      </c>
      <c r="U348">
        <f>R348*P348</f>
        <v>5</v>
      </c>
      <c r="V348">
        <f>(H348*M348)/AD348</f>
        <v>76</v>
      </c>
      <c r="W348" s="28">
        <f>RATE(U348,V348,-F348,H348)</f>
        <v>7.6247984672315777E-2</v>
      </c>
      <c r="X348" s="27">
        <f>W348*AD348</f>
        <v>7.6247984672315777E-2</v>
      </c>
      <c r="Y348" s="5">
        <f>DURATION(N348,O348,M348,D348,AD348)</f>
        <v>4.3414659337093147</v>
      </c>
      <c r="Z348" s="5">
        <f>Y348/(1+C348)</f>
        <v>4.0338899543037527</v>
      </c>
      <c r="AA348" s="5">
        <f>-Z348*F348</f>
        <v>-4029.8560643494488</v>
      </c>
      <c r="AB348" t="s">
        <v>64</v>
      </c>
      <c r="AC348" t="s">
        <v>62</v>
      </c>
      <c r="AD348">
        <f>_xlfn.SWITCH(PROPER(TRIM(S348)),
   "Annual",1,
   "Semi-Annual",2,
   "Quarterly",4,
   "Monthly",12,
   "")</f>
        <v>1</v>
      </c>
    </row>
    <row r="349" spans="1:30" x14ac:dyDescent="0.35">
      <c r="C349" s="28"/>
      <c r="D349" s="27"/>
      <c r="I349" s="22"/>
      <c r="K349" s="22"/>
      <c r="M349" s="22"/>
      <c r="N349" s="21"/>
      <c r="O349" s="21"/>
      <c r="P349" s="5"/>
      <c r="Q349" s="6"/>
      <c r="R349" s="5"/>
      <c r="W349" s="28"/>
      <c r="Y349" s="33"/>
      <c r="Z349" s="33"/>
      <c r="AA349" s="33"/>
    </row>
    <row r="350" spans="1:30" x14ac:dyDescent="0.35">
      <c r="A350" t="s">
        <v>1831</v>
      </c>
      <c r="B350" t="s">
        <v>241</v>
      </c>
      <c r="C350" s="36">
        <f>RATE(U350,V350,-F350,H350)</f>
        <v>9.5319520800110566E-2</v>
      </c>
      <c r="D350" s="3">
        <f>C350*AD350</f>
        <v>9.5319520800110566E-2</v>
      </c>
      <c r="F350">
        <v>970</v>
      </c>
      <c r="G350" t="s">
        <v>76</v>
      </c>
      <c r="H350">
        <v>1000</v>
      </c>
      <c r="I350" s="22"/>
      <c r="J350">
        <v>50</v>
      </c>
      <c r="K350" s="22"/>
      <c r="L350">
        <v>12.0470689035681</v>
      </c>
      <c r="M350" s="22">
        <v>8.7499999999999994E-2</v>
      </c>
      <c r="N350" s="21">
        <v>44323</v>
      </c>
      <c r="O350" s="21">
        <v>46149</v>
      </c>
      <c r="P350">
        <f>ROUND(YEARFRAC(N350,O350),0)</f>
        <v>5</v>
      </c>
      <c r="Q350" s="6">
        <f>(M350*H350)/F350</f>
        <v>9.0206185567010308E-2</v>
      </c>
      <c r="R350" s="5">
        <f>IF(S350="Quarterly",4,IF(S350="Semi-annual",2,IF(S350="Annual",1,IF(S350="Pays at maturity",0,IF(S350="Monthly",12,0)))))</f>
        <v>1</v>
      </c>
      <c r="S350" t="s">
        <v>93</v>
      </c>
      <c r="U350">
        <f>R350*P350</f>
        <v>5</v>
      </c>
      <c r="V350">
        <f>(H350*M350)/AD350</f>
        <v>87.5</v>
      </c>
      <c r="W350" s="28">
        <f>RATE(U350,V350,-F350,H350)</f>
        <v>9.5319520800110566E-2</v>
      </c>
      <c r="X350" s="27">
        <f>W350*AD350</f>
        <v>9.5319520800110566E-2</v>
      </c>
      <c r="Y350" s="5">
        <f>DURATION(N350,O350,M350,D350,AD350)</f>
        <v>4.2450451508187825</v>
      </c>
      <c r="Z350" s="5">
        <f>Y350/(1+C350)</f>
        <v>3.8756226564079275</v>
      </c>
      <c r="AA350" s="5">
        <f>-Z350*F350</f>
        <v>-3759.3539767156894</v>
      </c>
      <c r="AB350" t="s">
        <v>64</v>
      </c>
      <c r="AC350" t="s">
        <v>62</v>
      </c>
      <c r="AD350">
        <f>_xlfn.SWITCH(PROPER(TRIM(S350)),
   "Annual",1,
   "Semi-Annual",2,
   "Quarterly",4,
   "Monthly",12,
   "")</f>
        <v>1</v>
      </c>
    </row>
    <row r="351" spans="1:30" x14ac:dyDescent="0.35">
      <c r="A351" t="s">
        <v>1830</v>
      </c>
      <c r="B351" t="s">
        <v>465</v>
      </c>
      <c r="C351" s="36">
        <f>RATE(U351,V351,-F351,H351)</f>
        <v>0.16193480546792857</v>
      </c>
      <c r="D351" s="3">
        <f>C351*AD351</f>
        <v>0.16193480546792857</v>
      </c>
      <c r="F351">
        <v>951</v>
      </c>
      <c r="G351" t="s">
        <v>76</v>
      </c>
      <c r="H351">
        <v>1000</v>
      </c>
      <c r="I351" s="22"/>
      <c r="J351">
        <v>2</v>
      </c>
      <c r="K351" s="22"/>
      <c r="L351">
        <v>16.881543455401602</v>
      </c>
      <c r="M351" s="22">
        <v>0.105</v>
      </c>
      <c r="N351" s="21">
        <v>45604</v>
      </c>
      <c r="O351" s="21">
        <v>46149</v>
      </c>
      <c r="P351">
        <f>ROUND(YEARFRAC(N351,O351),0)</f>
        <v>1</v>
      </c>
      <c r="Q351" s="6">
        <f>(M351*H351)/F351</f>
        <v>0.11041009463722397</v>
      </c>
      <c r="R351" s="5">
        <f>IF(S351="Quarterly",4,IF(S351="Semi-annual",2,IF(S351="Annual",1,IF(S351="Pays at maturity",0,IF(S351="Monthly",12,0)))))</f>
        <v>1</v>
      </c>
      <c r="S351" t="s">
        <v>93</v>
      </c>
      <c r="U351">
        <f>R351*P351</f>
        <v>1</v>
      </c>
      <c r="V351">
        <f>(H351*M351)/AD351</f>
        <v>105</v>
      </c>
      <c r="W351" s="28">
        <f>RATE(U351,V351,-F351,H351)</f>
        <v>0.16193480546792857</v>
      </c>
      <c r="X351" s="27">
        <f>W351*AD351</f>
        <v>0.16193480546792857</v>
      </c>
      <c r="Y351" s="5">
        <f>DURATION(N351,O351,M351,D351,AD351)</f>
        <v>1.3977904040404041</v>
      </c>
      <c r="Z351" s="5">
        <f>Y351/(1+C351)</f>
        <v>1.202985225558755</v>
      </c>
      <c r="AA351" s="5">
        <f>-Z351*F351</f>
        <v>-1144.038949506376</v>
      </c>
      <c r="AB351" t="s">
        <v>64</v>
      </c>
      <c r="AC351" t="s">
        <v>62</v>
      </c>
      <c r="AD351">
        <f>_xlfn.SWITCH(PROPER(TRIM(S351)),
   "Annual",1,
   "Semi-Annual",2,
   "Quarterly",4,
   "Monthly",12,
   "")</f>
        <v>1</v>
      </c>
    </row>
    <row r="352" spans="1:30" x14ac:dyDescent="0.35">
      <c r="A352" t="s">
        <v>1829</v>
      </c>
      <c r="B352" t="s">
        <v>357</v>
      </c>
      <c r="C352" s="36">
        <f>RATE(U352,V352,-F352,H352)</f>
        <v>0.12876180616010169</v>
      </c>
      <c r="D352" s="3">
        <f>C352*AD352</f>
        <v>0.12876180616010169</v>
      </c>
      <c r="F352">
        <v>914.20001000000002</v>
      </c>
      <c r="G352" t="s">
        <v>76</v>
      </c>
      <c r="H352">
        <v>1000</v>
      </c>
      <c r="I352" s="22"/>
      <c r="J352">
        <v>3382</v>
      </c>
      <c r="K352" s="22"/>
      <c r="L352">
        <v>14.1530212295532</v>
      </c>
      <c r="M352" s="22">
        <v>9.2499999999999999E-2</v>
      </c>
      <c r="N352" s="21">
        <v>45054</v>
      </c>
      <c r="O352" s="21">
        <v>46150</v>
      </c>
      <c r="P352">
        <f>ROUND(YEARFRAC(N352,O352),0)</f>
        <v>3</v>
      </c>
      <c r="Q352" s="6">
        <f>(M352*H352)/F352</f>
        <v>0.10118135964579567</v>
      </c>
      <c r="R352" s="5">
        <f>IF(S352="Quarterly",4,IF(S352="Semi-annual",2,IF(S352="Annual",1,IF(S352="Pays at maturity",0,IF(S352="Monthly",12,0)))))</f>
        <v>1</v>
      </c>
      <c r="S352" t="s">
        <v>93</v>
      </c>
      <c r="U352">
        <f>R352*P352</f>
        <v>3</v>
      </c>
      <c r="V352">
        <f>(H352*M352)/AD352</f>
        <v>92.5</v>
      </c>
      <c r="W352" s="28">
        <f>RATE(U352,V352,-F352,H352)</f>
        <v>0.12876180616010169</v>
      </c>
      <c r="X352" s="27">
        <f>W352*AD352</f>
        <v>0.12876180616010169</v>
      </c>
      <c r="Y352" s="5">
        <f>DURATION(N352,O352,M352,D352,AD352)</f>
        <v>2.741307718023986</v>
      </c>
      <c r="Z352" s="5">
        <f>Y352/(1+C352)</f>
        <v>2.4285971611225508</v>
      </c>
      <c r="AA352" s="5">
        <f>-Z352*F352</f>
        <v>-2220.2235489842074</v>
      </c>
      <c r="AB352" t="s">
        <v>64</v>
      </c>
      <c r="AC352" t="s">
        <v>62</v>
      </c>
      <c r="AD352">
        <f>_xlfn.SWITCH(PROPER(TRIM(S352)),
   "Annual",1,
   "Semi-Annual",2,
   "Quarterly",4,
   "Monthly",12,
   "")</f>
        <v>1</v>
      </c>
    </row>
    <row r="353" spans="1:30" x14ac:dyDescent="0.35">
      <c r="A353" t="s">
        <v>1828</v>
      </c>
      <c r="B353" t="s">
        <v>162</v>
      </c>
      <c r="C353" s="36">
        <f>RATE(U353,V353,-F353,H353)</f>
        <v>8.2284088185302889E-2</v>
      </c>
      <c r="D353" s="3">
        <f>C353*AD353</f>
        <v>8.2284088185302889E-2</v>
      </c>
      <c r="F353">
        <v>1011.05</v>
      </c>
      <c r="G353" t="s">
        <v>76</v>
      </c>
      <c r="H353">
        <v>1000</v>
      </c>
      <c r="I353" s="22"/>
      <c r="J353">
        <v>199</v>
      </c>
      <c r="K353" s="22"/>
      <c r="L353">
        <v>7.3871222986004597</v>
      </c>
      <c r="M353" s="22">
        <v>8.8499999999999995E-2</v>
      </c>
      <c r="N353" s="21">
        <v>45421</v>
      </c>
      <c r="O353" s="21">
        <v>46151</v>
      </c>
      <c r="P353">
        <f>ROUND(YEARFRAC(N353,O353),0)</f>
        <v>2</v>
      </c>
      <c r="Q353" s="6">
        <f>(M353*H353)/F353</f>
        <v>8.753276296919045E-2</v>
      </c>
      <c r="R353" s="5">
        <f>IF(S353="Quarterly",4,IF(S353="Semi-annual",2,IF(S353="Annual",1,IF(S353="Pays at maturity",0,IF(S353="Monthly",12,0)))))</f>
        <v>1</v>
      </c>
      <c r="S353" t="s">
        <v>93</v>
      </c>
      <c r="U353">
        <f>R353*P353</f>
        <v>2</v>
      </c>
      <c r="V353">
        <f>(H353*M353)/AD353</f>
        <v>88.5</v>
      </c>
      <c r="W353" s="28">
        <f>RATE(U353,V353,-F353,H353)</f>
        <v>8.2284088185302889E-2</v>
      </c>
      <c r="X353" s="27">
        <f>W353*AD353</f>
        <v>8.2284088185302889E-2</v>
      </c>
      <c r="Y353" s="5">
        <f>DURATION(N353,O353,M353,D353,AD353)</f>
        <v>1.9191221935860119</v>
      </c>
      <c r="Z353" s="5">
        <f>Y353/(1+C353)</f>
        <v>1.7732148282840041</v>
      </c>
      <c r="AA353" s="5">
        <f>-Z353*F353</f>
        <v>-1792.8088521365423</v>
      </c>
      <c r="AB353" t="s">
        <v>64</v>
      </c>
      <c r="AC353" t="s">
        <v>62</v>
      </c>
      <c r="AD353">
        <f>_xlfn.SWITCH(PROPER(TRIM(S353)),
   "Annual",1,
   "Semi-Annual",2,
   "Quarterly",4,
   "Monthly",12,
   "")</f>
        <v>1</v>
      </c>
    </row>
    <row r="354" spans="1:30" x14ac:dyDescent="0.35">
      <c r="C354" s="28"/>
      <c r="D354" s="27"/>
      <c r="I354" s="22"/>
      <c r="K354" s="22"/>
      <c r="M354" s="22"/>
      <c r="N354" s="21"/>
      <c r="O354" s="21"/>
      <c r="P354" s="5"/>
      <c r="Q354" s="6"/>
      <c r="R354" s="5"/>
      <c r="W354" s="28"/>
      <c r="Y354" s="33"/>
      <c r="Z354" s="33"/>
      <c r="AA354" s="33"/>
    </row>
    <row r="355" spans="1:30" x14ac:dyDescent="0.35">
      <c r="A355" t="s">
        <v>1826</v>
      </c>
      <c r="B355" t="s">
        <v>1546</v>
      </c>
      <c r="C355" s="36">
        <f>RATE(U355,V355,-F355,H355)</f>
        <v>0.11346622592338987</v>
      </c>
      <c r="D355" s="3">
        <f>C355*AD355</f>
        <v>0.11346622592338987</v>
      </c>
      <c r="F355">
        <v>99000</v>
      </c>
      <c r="G355" t="s">
        <v>76</v>
      </c>
      <c r="H355">
        <v>100000</v>
      </c>
      <c r="I355" s="22"/>
      <c r="J355">
        <v>10</v>
      </c>
      <c r="K355" s="22"/>
      <c r="L355">
        <v>12.1058911260253</v>
      </c>
      <c r="M355" s="22">
        <v>0.1076</v>
      </c>
      <c r="N355" s="21">
        <v>45422</v>
      </c>
      <c r="O355" s="21">
        <v>46152</v>
      </c>
      <c r="P355">
        <f>ROUND(YEARFRAC(N355,O355),0)</f>
        <v>2</v>
      </c>
      <c r="Q355" s="6">
        <f>(M355*H355)/F355</f>
        <v>0.10868686868686869</v>
      </c>
      <c r="R355" s="5">
        <f>IF(S355="Quarterly",4,IF(S355="Semi-annual",2,IF(S355="Annual",1,IF(S355="Pays at maturity",0,IF(S355="Monthly",12,0)))))</f>
        <v>1</v>
      </c>
      <c r="S355" t="s">
        <v>93</v>
      </c>
      <c r="U355">
        <f>R355*P355</f>
        <v>2</v>
      </c>
      <c r="V355">
        <f>(H355*M355)/AD355</f>
        <v>10760</v>
      </c>
      <c r="W355" s="28">
        <f>RATE(U355,V355,-F355,H355)</f>
        <v>0.11346622592338987</v>
      </c>
      <c r="X355" s="27">
        <f>W355*AD355</f>
        <v>0.11346622592338987</v>
      </c>
      <c r="Y355" s="5">
        <f>DURATION(N355,O355,M355,D355,AD355)</f>
        <v>1.9023887153858345</v>
      </c>
      <c r="Z355" s="5">
        <f>Y355/(1+C355)</f>
        <v>1.7085284412719359</v>
      </c>
      <c r="AA355" s="5">
        <f>-Z355*F355</f>
        <v>-169144.31568592167</v>
      </c>
      <c r="AB355" t="s">
        <v>64</v>
      </c>
      <c r="AC355" t="s">
        <v>62</v>
      </c>
      <c r="AD355">
        <f>_xlfn.SWITCH(PROPER(TRIM(S355)),
   "Annual",1,
   "Semi-Annual",2,
   "Quarterly",4,
   "Monthly",12,
   "")</f>
        <v>1</v>
      </c>
    </row>
    <row r="356" spans="1:30" x14ac:dyDescent="0.35">
      <c r="A356" t="s">
        <v>1825</v>
      </c>
      <c r="B356" t="s">
        <v>923</v>
      </c>
      <c r="C356" s="36">
        <f>RATE(U356,V356,-F356,H356)</f>
        <v>0.61125577091816852</v>
      </c>
      <c r="D356" s="3">
        <f>C356*AD356</f>
        <v>0.61125577091816852</v>
      </c>
      <c r="F356">
        <v>49985</v>
      </c>
      <c r="G356" t="s">
        <v>76</v>
      </c>
      <c r="H356">
        <v>100000</v>
      </c>
      <c r="I356" s="22"/>
      <c r="J356">
        <v>45</v>
      </c>
      <c r="K356" s="22"/>
      <c r="L356">
        <v>137.65560485755699</v>
      </c>
      <c r="M356" s="22">
        <v>0.114</v>
      </c>
      <c r="N356" s="21">
        <v>45422</v>
      </c>
      <c r="O356" s="21">
        <v>46152</v>
      </c>
      <c r="P356">
        <f>ROUND(YEARFRAC(N356,O356),0)</f>
        <v>2</v>
      </c>
      <c r="Q356" s="6">
        <f>(M356*H356)/F356</f>
        <v>0.22806842052615786</v>
      </c>
      <c r="R356" s="5">
        <f>IF(S356="Quarterly",4,IF(S356="Semi-annual",2,IF(S356="Annual",1,IF(S356="Pays at maturity",0,IF(S356="Monthly",12,0)))))</f>
        <v>1</v>
      </c>
      <c r="S356" t="s">
        <v>93</v>
      </c>
      <c r="U356">
        <f>R356*P356</f>
        <v>2</v>
      </c>
      <c r="V356">
        <f>(H356*M356)/AD356</f>
        <v>11400</v>
      </c>
      <c r="W356" s="28">
        <f>RATE(U356,V356,-F356,H356)</f>
        <v>0.61125577091816852</v>
      </c>
      <c r="X356" s="27">
        <f>W356*AD356</f>
        <v>0.61125577091816852</v>
      </c>
      <c r="Y356" s="5">
        <f>DURATION(N356,O356,M356,D356,AD356)</f>
        <v>1.8584530000496504</v>
      </c>
      <c r="Z356" s="5">
        <f>Y356/(1+C356)</f>
        <v>1.1534189875953818</v>
      </c>
      <c r="AA356" s="5">
        <f>-Z356*F356</f>
        <v>-57653.648094955155</v>
      </c>
      <c r="AB356" t="s">
        <v>64</v>
      </c>
      <c r="AC356" t="s">
        <v>62</v>
      </c>
      <c r="AD356">
        <f>_xlfn.SWITCH(PROPER(TRIM(S356)),
   "Annual",1,
   "Semi-Annual",2,
   "Quarterly",4,
   "Monthly",12,
   "")</f>
        <v>1</v>
      </c>
    </row>
    <row r="357" spans="1:30" x14ac:dyDescent="0.35">
      <c r="A357" t="s">
        <v>1824</v>
      </c>
      <c r="B357" t="s">
        <v>338</v>
      </c>
      <c r="C357" s="36">
        <f>RATE(U357,V357,-F357,H357)</f>
        <v>0.21841603868589896</v>
      </c>
      <c r="D357" s="3">
        <f>C357*AD357</f>
        <v>0.21841603868589896</v>
      </c>
      <c r="F357">
        <v>835</v>
      </c>
      <c r="G357" t="s">
        <v>76</v>
      </c>
      <c r="H357">
        <v>1000</v>
      </c>
      <c r="I357" s="22"/>
      <c r="J357">
        <v>15</v>
      </c>
      <c r="K357" s="22"/>
      <c r="L357">
        <v>32.375034297980797</v>
      </c>
      <c r="M357" s="22">
        <v>0.10800000000000001</v>
      </c>
      <c r="N357" s="21">
        <v>45546</v>
      </c>
      <c r="O357" s="21">
        <v>46153</v>
      </c>
      <c r="P357">
        <f>ROUND(YEARFRAC(N357,O357),0)</f>
        <v>2</v>
      </c>
      <c r="Q357" s="6">
        <f>(M357*H357)/F357</f>
        <v>0.12934131736526946</v>
      </c>
      <c r="R357" s="5">
        <f>IF(S357="Quarterly",4,IF(S357="Semi-annual",2,IF(S357="Annual",1,IF(S357="Pays at maturity",0,IF(S357="Monthly",12,0)))))</f>
        <v>1</v>
      </c>
      <c r="S357" t="s">
        <v>93</v>
      </c>
      <c r="U357">
        <f>R357*P357</f>
        <v>2</v>
      </c>
      <c r="V357">
        <f>(H357*M357)/AD357</f>
        <v>108.00000000000001</v>
      </c>
      <c r="W357" s="28">
        <f>RATE(U357,V357,-F357,H357)</f>
        <v>0.21841603868589896</v>
      </c>
      <c r="X357" s="27">
        <f>W357*AD357</f>
        <v>0.21841603868589896</v>
      </c>
      <c r="Y357" s="5">
        <f>DURATION(N357,O357,M357,D357,AD357)</f>
        <v>1.5605113689206125</v>
      </c>
      <c r="Z357" s="5">
        <f>Y357/(1+C357)</f>
        <v>1.2807705409095522</v>
      </c>
      <c r="AA357" s="5">
        <f>-Z357*F357</f>
        <v>-1069.4434016594762</v>
      </c>
      <c r="AB357" t="s">
        <v>64</v>
      </c>
      <c r="AC357" t="s">
        <v>62</v>
      </c>
      <c r="AD357">
        <f>_xlfn.SWITCH(PROPER(TRIM(S357)),
   "Annual",1,
   "Semi-Annual",2,
   "Quarterly",4,
   "Monthly",12,
   "")</f>
        <v>1</v>
      </c>
    </row>
    <row r="358" spans="1:30" x14ac:dyDescent="0.35">
      <c r="C358" s="28"/>
      <c r="D358" s="27"/>
      <c r="I358" s="22"/>
      <c r="K358" s="22"/>
      <c r="M358" s="22"/>
      <c r="N358" s="21"/>
      <c r="O358" s="21"/>
      <c r="P358" s="5"/>
      <c r="Q358" s="6"/>
      <c r="R358" s="5"/>
      <c r="W358" s="28"/>
      <c r="Y358" s="33"/>
      <c r="Z358" s="33"/>
      <c r="AA358" s="33"/>
    </row>
    <row r="359" spans="1:30" x14ac:dyDescent="0.35">
      <c r="A359" t="s">
        <v>1822</v>
      </c>
      <c r="B359" t="s">
        <v>145</v>
      </c>
      <c r="C359" s="36">
        <f>RATE(U359,V359,-F359,H359)</f>
        <v>7.8985530884390032E-2</v>
      </c>
      <c r="D359" s="3">
        <f>C359*AD359</f>
        <v>7.8985530884390032E-2</v>
      </c>
      <c r="F359">
        <v>100520.1</v>
      </c>
      <c r="G359" t="s">
        <v>76</v>
      </c>
      <c r="H359">
        <v>100000</v>
      </c>
      <c r="I359" s="22"/>
      <c r="J359">
        <v>5</v>
      </c>
      <c r="K359" s="22"/>
      <c r="L359">
        <v>7.8887138486007702</v>
      </c>
      <c r="M359" s="22">
        <v>8.1000000000000003E-2</v>
      </c>
      <c r="N359" s="21">
        <v>45037</v>
      </c>
      <c r="O359" s="21">
        <v>46163</v>
      </c>
      <c r="P359">
        <f>ROUND(YEARFRAC(N359,O359),0)</f>
        <v>3</v>
      </c>
      <c r="Q359" s="6">
        <f>(M359*H359)/F359</f>
        <v>8.0580898745624005E-2</v>
      </c>
      <c r="R359" s="5">
        <f>IF(S359="Quarterly",4,IF(S359="Semi-annual",2,IF(S359="Annual",1,IF(S359="Pays at maturity",0,IF(S359="Monthly",12,0)))))</f>
        <v>1</v>
      </c>
      <c r="S359" t="s">
        <v>93</v>
      </c>
      <c r="U359">
        <f>R359*P359</f>
        <v>3</v>
      </c>
      <c r="V359">
        <f>(H359*M359)/AD359</f>
        <v>8100</v>
      </c>
      <c r="W359" s="28">
        <f>RATE(U359,V359,-F359,H359)</f>
        <v>7.8985530884390032E-2</v>
      </c>
      <c r="X359" s="27">
        <f>W359*AD359</f>
        <v>7.8985530884390032E-2</v>
      </c>
      <c r="Y359" s="5">
        <f>DURATION(N359,O359,M359,D359,AD359)</f>
        <v>2.6573384014390453</v>
      </c>
      <c r="Z359" s="5">
        <f>Y359/(1+C359)</f>
        <v>2.4628118963383678</v>
      </c>
      <c r="AA359" s="5">
        <f>-Z359*F359</f>
        <v>-247562.09810112239</v>
      </c>
      <c r="AB359" t="s">
        <v>64</v>
      </c>
      <c r="AC359" t="s">
        <v>62</v>
      </c>
      <c r="AD359">
        <f>_xlfn.SWITCH(PROPER(TRIM(S359)),
   "Annual",1,
   "Semi-Annual",2,
   "Quarterly",4,
   "Monthly",12,
   "")</f>
        <v>1</v>
      </c>
    </row>
    <row r="360" spans="1:30" x14ac:dyDescent="0.35">
      <c r="A360" t="s">
        <v>1821</v>
      </c>
      <c r="B360" t="s">
        <v>460</v>
      </c>
      <c r="C360" s="36">
        <f>RATE(U360,V360,-F360,H360)</f>
        <v>0.13509135396817162</v>
      </c>
      <c r="D360" s="3">
        <f>C360*AD360</f>
        <v>0.13509135396817162</v>
      </c>
      <c r="F360">
        <v>882</v>
      </c>
      <c r="G360" t="s">
        <v>76</v>
      </c>
      <c r="H360">
        <v>1000</v>
      </c>
      <c r="I360" s="22"/>
      <c r="J360">
        <v>375</v>
      </c>
      <c r="K360" s="22"/>
      <c r="L360">
        <v>26.781532285045099</v>
      </c>
      <c r="M360" s="22">
        <v>9.5000000000000001E-2</v>
      </c>
      <c r="N360" s="21">
        <v>44704</v>
      </c>
      <c r="O360" s="21">
        <v>46164</v>
      </c>
      <c r="P360">
        <f>ROUND(YEARFRAC(N360,O360),0)</f>
        <v>4</v>
      </c>
      <c r="Q360" s="6">
        <f>(M360*H360)/F360</f>
        <v>0.10770975056689343</v>
      </c>
      <c r="R360" s="5">
        <f>IF(S360="Quarterly",4,IF(S360="Semi-annual",2,IF(S360="Annual",1,IF(S360="Pays at maturity",0,IF(S360="Monthly",12,0)))))</f>
        <v>1</v>
      </c>
      <c r="S360" t="s">
        <v>93</v>
      </c>
      <c r="U360">
        <f>R360*P360</f>
        <v>4</v>
      </c>
      <c r="V360">
        <f>(H360*M360)/AD360</f>
        <v>95</v>
      </c>
      <c r="W360" s="28">
        <f>RATE(U360,V360,-F360,H360)</f>
        <v>0.13509135396817162</v>
      </c>
      <c r="X360" s="27">
        <f>W360*AD360</f>
        <v>0.13509135396817162</v>
      </c>
      <c r="Y360" s="5">
        <f>DURATION(N360,O360,M360,D360,AD360)</f>
        <v>3.4717064469597561</v>
      </c>
      <c r="Z360" s="5">
        <f>Y360/(1+C360)</f>
        <v>3.0585260250842361</v>
      </c>
      <c r="AA360" s="5">
        <f>-Z360*F360</f>
        <v>-2697.6199541242963</v>
      </c>
      <c r="AB360" t="s">
        <v>64</v>
      </c>
      <c r="AC360" t="s">
        <v>62</v>
      </c>
      <c r="AD360">
        <f>_xlfn.SWITCH(PROPER(TRIM(S360)),
   "Annual",1,
   "Semi-Annual",2,
   "Quarterly",4,
   "Monthly",12,
   "")</f>
        <v>1</v>
      </c>
    </row>
    <row r="361" spans="1:30" x14ac:dyDescent="0.35">
      <c r="A361" t="s">
        <v>1820</v>
      </c>
      <c r="B361" t="s">
        <v>401</v>
      </c>
      <c r="C361" s="36">
        <f>RATE(U361,V361,-F361,H361)</f>
        <v>0.10499999999972132</v>
      </c>
      <c r="D361" s="3">
        <f>C361*AD361</f>
        <v>0.10499999999972132</v>
      </c>
      <c r="F361">
        <v>100000</v>
      </c>
      <c r="G361" t="s">
        <v>76</v>
      </c>
      <c r="H361">
        <v>100000</v>
      </c>
      <c r="I361" s="22"/>
      <c r="J361">
        <v>2</v>
      </c>
      <c r="K361" s="22"/>
      <c r="L361">
        <v>10.5</v>
      </c>
      <c r="M361" s="22">
        <v>0.105</v>
      </c>
      <c r="N361" s="21">
        <v>45435</v>
      </c>
      <c r="O361" s="21">
        <v>46165</v>
      </c>
      <c r="P361">
        <f>ROUND(YEARFRAC(N361,O361),0)</f>
        <v>2</v>
      </c>
      <c r="Q361" s="6">
        <f>(M361*H361)/F361</f>
        <v>0.105</v>
      </c>
      <c r="R361" s="5">
        <f>IF(S361="Quarterly",4,IF(S361="Semi-annual",2,IF(S361="Annual",1,IF(S361="Pays at maturity",0,IF(S361="Monthly",12,0)))))</f>
        <v>1</v>
      </c>
      <c r="S361" t="s">
        <v>93</v>
      </c>
      <c r="U361">
        <f>R361*P361</f>
        <v>2</v>
      </c>
      <c r="V361">
        <f>(H361*M361)/AD361</f>
        <v>10500</v>
      </c>
      <c r="W361" s="28">
        <f>RATE(U361,V361,-F361,H361)</f>
        <v>0.10499999999972132</v>
      </c>
      <c r="X361" s="27">
        <f>W361*AD361</f>
        <v>0.10499999999972132</v>
      </c>
      <c r="Y361" s="5">
        <f>DURATION(N361,O361,M361,D361,AD361)</f>
        <v>1.9049773755656325</v>
      </c>
      <c r="Z361" s="5">
        <f>Y361/(1+C361)</f>
        <v>1.723961425851686</v>
      </c>
      <c r="AA361" s="5">
        <f>-Z361*F361</f>
        <v>-172396.14258516859</v>
      </c>
      <c r="AB361" t="s">
        <v>64</v>
      </c>
      <c r="AC361" t="s">
        <v>62</v>
      </c>
      <c r="AD361">
        <f>_xlfn.SWITCH(PROPER(TRIM(S361)),
   "Annual",1,
   "Semi-Annual",2,
   "Quarterly",4,
   "Monthly",12,
   "")</f>
        <v>1</v>
      </c>
    </row>
    <row r="362" spans="1:30" x14ac:dyDescent="0.35">
      <c r="A362" t="s">
        <v>1819</v>
      </c>
      <c r="B362" t="s">
        <v>1818</v>
      </c>
      <c r="C362" s="36">
        <f>RATE(U362,V362,-F362,H362)</f>
        <v>2.7570500048300577E-2</v>
      </c>
      <c r="D362" s="3">
        <f>C362*AD362</f>
        <v>0.11028200019320231</v>
      </c>
      <c r="F362">
        <v>99950</v>
      </c>
      <c r="G362" t="s">
        <v>76</v>
      </c>
      <c r="H362">
        <v>100000</v>
      </c>
      <c r="I362" s="22"/>
      <c r="J362">
        <v>1</v>
      </c>
      <c r="K362" s="22"/>
      <c r="M362" s="22">
        <v>0.11</v>
      </c>
      <c r="N362" s="21">
        <v>45436</v>
      </c>
      <c r="O362" s="21">
        <v>46166</v>
      </c>
      <c r="P362">
        <f>ROUND(YEARFRAC(N362,O362),0)</f>
        <v>2</v>
      </c>
      <c r="Q362" s="6">
        <f>(M362*H362)/F362</f>
        <v>0.11005502751375688</v>
      </c>
      <c r="R362" s="5">
        <f>IF(S362="Quarterly",4,IF(S362="Semi-annual",2,IF(S362="Annual",1,IF(S362="Pays at maturity",0,IF(S362="Monthly",12,0)))))</f>
        <v>4</v>
      </c>
      <c r="S362" t="s">
        <v>105</v>
      </c>
      <c r="U362">
        <f>R362*P362</f>
        <v>8</v>
      </c>
      <c r="V362">
        <f>(H362*M362)/AD362</f>
        <v>2750</v>
      </c>
      <c r="W362" s="28">
        <f>RATE(U362,V362,-F362,H362)</f>
        <v>2.7570500048300577E-2</v>
      </c>
      <c r="X362" s="27">
        <f>W362*AD362</f>
        <v>0.11028200019320231</v>
      </c>
      <c r="Y362" s="5">
        <f>DURATION(N362,O362,M362,D362,AD362)</f>
        <v>1.8222987460880211</v>
      </c>
      <c r="Z362" s="5">
        <f>Y362/(1+C362)</f>
        <v>1.7734050812108411</v>
      </c>
      <c r="AA362" s="5">
        <f>-Z362*F362</f>
        <v>-177251.83786702357</v>
      </c>
      <c r="AB362" t="s">
        <v>64</v>
      </c>
      <c r="AC362" t="s">
        <v>62</v>
      </c>
      <c r="AD362">
        <f>_xlfn.SWITCH(PROPER(TRIM(S362)),
   "Annual",1,
   "Semi-Annual",2,
   "Quarterly",4,
   "Monthly",12,
   "")</f>
        <v>4</v>
      </c>
    </row>
    <row r="363" spans="1:30" x14ac:dyDescent="0.35">
      <c r="A363" t="s">
        <v>1817</v>
      </c>
      <c r="B363" t="s">
        <v>591</v>
      </c>
      <c r="C363" s="36">
        <f>RATE(U363,V363,-F363,H363)</f>
        <v>2.5625000000000085E-2</v>
      </c>
      <c r="D363" s="3">
        <f>C363*AD363</f>
        <v>0.10250000000000034</v>
      </c>
      <c r="F363">
        <v>100000</v>
      </c>
      <c r="G363" t="s">
        <v>76</v>
      </c>
      <c r="H363">
        <v>100000</v>
      </c>
      <c r="I363" s="22"/>
      <c r="J363">
        <v>1</v>
      </c>
      <c r="K363" s="22"/>
      <c r="M363" s="22">
        <v>0.10249999999999999</v>
      </c>
      <c r="N363" s="21">
        <v>45061</v>
      </c>
      <c r="O363" s="21">
        <v>46167</v>
      </c>
      <c r="P363">
        <f>ROUND(YEARFRAC(N363,O363),0)</f>
        <v>3</v>
      </c>
      <c r="Q363" s="6">
        <f>(M363*H363)/F363</f>
        <v>0.10249999999999999</v>
      </c>
      <c r="R363" s="5">
        <f>IF(S363="Quarterly",4,IF(S363="Semi-annual",2,IF(S363="Annual",1,IF(S363="Pays at maturity",0,IF(S363="Monthly",12,0)))))</f>
        <v>4</v>
      </c>
      <c r="S363" t="s">
        <v>105</v>
      </c>
      <c r="U363">
        <f>R363*P363</f>
        <v>12</v>
      </c>
      <c r="V363">
        <f>(H363*M363)/AD363</f>
        <v>2562.5</v>
      </c>
      <c r="W363" s="28">
        <f>RATE(U363,V363,-F363,H363)</f>
        <v>2.5625000000000085E-2</v>
      </c>
      <c r="X363" s="27">
        <f>W363*AD363</f>
        <v>0.10250000000000034</v>
      </c>
      <c r="Y363" s="5">
        <f>DURATION(N363,O363,M363,D363,AD363)</f>
        <v>2.5825413429368229</v>
      </c>
      <c r="Z363" s="5">
        <f>Y363/(1+C363)</f>
        <v>2.518017153381424</v>
      </c>
      <c r="AA363" s="5">
        <f>-Z363*F363</f>
        <v>-251801.71533814239</v>
      </c>
      <c r="AB363" t="s">
        <v>79</v>
      </c>
      <c r="AC363" t="s">
        <v>62</v>
      </c>
      <c r="AD363">
        <f>_xlfn.SWITCH(PROPER(TRIM(S363)),
   "Annual",1,
   "Semi-Annual",2,
   "Quarterly",4,
   "Monthly",12,
   "")</f>
        <v>4</v>
      </c>
    </row>
    <row r="364" spans="1:30" x14ac:dyDescent="0.35">
      <c r="C364" s="28"/>
      <c r="D364" s="27"/>
      <c r="I364" s="22"/>
      <c r="K364" s="22"/>
      <c r="M364" s="22"/>
      <c r="N364" s="21"/>
      <c r="O364" s="21"/>
      <c r="P364" s="5"/>
      <c r="Q364" s="6"/>
      <c r="R364" s="5"/>
      <c r="W364" s="28"/>
      <c r="Y364" s="33"/>
      <c r="Z364" s="33"/>
      <c r="AA364" s="33"/>
    </row>
    <row r="365" spans="1:30" x14ac:dyDescent="0.35">
      <c r="A365" t="s">
        <v>1815</v>
      </c>
      <c r="B365" t="s">
        <v>338</v>
      </c>
      <c r="C365" s="36">
        <f t="shared" ref="C365:C371" si="221">RATE(U365,V365,-F365,H365)</f>
        <v>0.1702127659574468</v>
      </c>
      <c r="D365" s="3">
        <f t="shared" ref="D365:D371" si="222">C365*AD365</f>
        <v>0.1702127659574468</v>
      </c>
      <c r="F365">
        <v>940</v>
      </c>
      <c r="G365" t="s">
        <v>76</v>
      </c>
      <c r="H365">
        <v>1000</v>
      </c>
      <c r="I365" s="22"/>
      <c r="J365">
        <v>10</v>
      </c>
      <c r="K365" s="22"/>
      <c r="L365">
        <v>18.2271813708503</v>
      </c>
      <c r="M365" s="22">
        <v>0.1</v>
      </c>
      <c r="N365" s="21">
        <v>45768</v>
      </c>
      <c r="O365" s="21">
        <v>46168</v>
      </c>
      <c r="P365">
        <f t="shared" ref="P365:P371" si="223">ROUND(YEARFRAC(N365,O365),0)</f>
        <v>1</v>
      </c>
      <c r="Q365" s="6">
        <f t="shared" ref="Q365:Q371" si="224">(M365*H365)/F365</f>
        <v>0.10638297872340426</v>
      </c>
      <c r="R365" s="5">
        <f t="shared" ref="R365:R371" si="225">IF(S365="Quarterly",4,IF(S365="Semi-annual",2,IF(S365="Annual",1,IF(S365="Pays at maturity",0,IF(S365="Monthly",12,0)))))</f>
        <v>1</v>
      </c>
      <c r="S365" t="s">
        <v>93</v>
      </c>
      <c r="U365">
        <f t="shared" ref="U365:U371" si="226">R365*P365</f>
        <v>1</v>
      </c>
      <c r="V365">
        <f t="shared" ref="V365:V371" si="227">(H365*M365)/AD365</f>
        <v>100</v>
      </c>
      <c r="W365" s="28">
        <f t="shared" ref="W365:W371" si="228">RATE(U365,V365,-F365,H365)</f>
        <v>0.1702127659574468</v>
      </c>
      <c r="X365" s="27">
        <f t="shared" ref="X365:X371" si="229">W365*AD365</f>
        <v>0.1702127659574468</v>
      </c>
      <c r="Y365" s="5">
        <f t="shared" ref="Y365:Y371" si="230">DURATION(N365,O365,M365,D365,AD365)</f>
        <v>1.0010683760683763</v>
      </c>
      <c r="Z365" s="5">
        <f t="shared" ref="Z365:Z371" si="231">Y365/(1+C365)</f>
        <v>0.85545843045843062</v>
      </c>
      <c r="AA365" s="5">
        <f t="shared" ref="AA365:AA371" si="232">-Z365*F365</f>
        <v>-804.13092463092482</v>
      </c>
      <c r="AB365" t="s">
        <v>64</v>
      </c>
      <c r="AC365" t="s">
        <v>62</v>
      </c>
      <c r="AD365">
        <f t="shared" ref="AD365:AD371" si="233">_xlfn.SWITCH(PROPER(TRIM(S365)),
   "Annual",1,
   "Semi-Annual",2,
   "Quarterly",4,
   "Monthly",12,
   "")</f>
        <v>1</v>
      </c>
    </row>
    <row r="366" spans="1:30" x14ac:dyDescent="0.35">
      <c r="A366" t="s">
        <v>1814</v>
      </c>
      <c r="B366" t="s">
        <v>598</v>
      </c>
      <c r="C366" s="36">
        <f t="shared" si="221"/>
        <v>0.10709160291004623</v>
      </c>
      <c r="D366" s="3">
        <f t="shared" si="222"/>
        <v>0.10709160291004623</v>
      </c>
      <c r="F366">
        <v>1005</v>
      </c>
      <c r="G366" t="s">
        <v>76</v>
      </c>
      <c r="H366">
        <v>1000</v>
      </c>
      <c r="I366" s="22"/>
      <c r="J366">
        <v>130</v>
      </c>
      <c r="K366" s="22"/>
      <c r="L366">
        <v>10.426439232409299</v>
      </c>
      <c r="M366" s="22">
        <v>0.11</v>
      </c>
      <c r="N366" s="21">
        <v>45349</v>
      </c>
      <c r="O366" s="21">
        <v>46169</v>
      </c>
      <c r="P366">
        <f t="shared" si="223"/>
        <v>2</v>
      </c>
      <c r="Q366" s="6">
        <f t="shared" si="224"/>
        <v>0.10945273631840796</v>
      </c>
      <c r="R366" s="5">
        <f t="shared" si="225"/>
        <v>1</v>
      </c>
      <c r="S366" t="s">
        <v>93</v>
      </c>
      <c r="U366">
        <f t="shared" si="226"/>
        <v>2</v>
      </c>
      <c r="V366">
        <f t="shared" si="227"/>
        <v>110</v>
      </c>
      <c r="W366" s="28">
        <f t="shared" si="228"/>
        <v>0.10709160291004623</v>
      </c>
      <c r="X366" s="27">
        <f t="shared" si="229"/>
        <v>0.10709160291004623</v>
      </c>
      <c r="Y366" s="5">
        <f t="shared" si="230"/>
        <v>1.9635789789506681</v>
      </c>
      <c r="Z366" s="5">
        <f t="shared" si="231"/>
        <v>1.7736373158185841</v>
      </c>
      <c r="AA366" s="5">
        <f t="shared" si="232"/>
        <v>-1782.505502397677</v>
      </c>
      <c r="AB366" t="s">
        <v>64</v>
      </c>
      <c r="AC366" t="s">
        <v>62</v>
      </c>
      <c r="AD366">
        <f t="shared" si="233"/>
        <v>1</v>
      </c>
    </row>
    <row r="367" spans="1:30" x14ac:dyDescent="0.35">
      <c r="A367" t="s">
        <v>1813</v>
      </c>
      <c r="B367" t="s">
        <v>338</v>
      </c>
      <c r="C367" s="36">
        <f t="shared" si="221"/>
        <v>0.11197172168105941</v>
      </c>
      <c r="D367" s="3">
        <f t="shared" si="222"/>
        <v>0.11197172168105941</v>
      </c>
      <c r="F367">
        <v>989.8</v>
      </c>
      <c r="G367" t="s">
        <v>76</v>
      </c>
      <c r="H367">
        <v>1000</v>
      </c>
      <c r="I367" s="22"/>
      <c r="J367">
        <v>10</v>
      </c>
      <c r="K367" s="22"/>
      <c r="L367">
        <v>11.519873398318</v>
      </c>
      <c r="M367" s="22">
        <v>0.106</v>
      </c>
      <c r="N367" s="21">
        <v>45439</v>
      </c>
      <c r="O367" s="21">
        <v>46169</v>
      </c>
      <c r="P367">
        <f t="shared" si="223"/>
        <v>2</v>
      </c>
      <c r="Q367" s="6">
        <f t="shared" si="224"/>
        <v>0.10709234188724995</v>
      </c>
      <c r="R367" s="5">
        <f t="shared" si="225"/>
        <v>1</v>
      </c>
      <c r="S367" t="s">
        <v>93</v>
      </c>
      <c r="U367">
        <f t="shared" si="226"/>
        <v>2</v>
      </c>
      <c r="V367">
        <f t="shared" si="227"/>
        <v>106</v>
      </c>
      <c r="W367" s="28">
        <f t="shared" si="228"/>
        <v>0.11197172168105941</v>
      </c>
      <c r="X367" s="27">
        <f t="shared" si="229"/>
        <v>0.11197172168105941</v>
      </c>
      <c r="Y367" s="5">
        <f t="shared" si="230"/>
        <v>1.9036914880125282</v>
      </c>
      <c r="Z367" s="5">
        <f t="shared" si="231"/>
        <v>1.7119963133006302</v>
      </c>
      <c r="AA367" s="5">
        <f t="shared" si="232"/>
        <v>-1694.5339509049636</v>
      </c>
      <c r="AB367" t="s">
        <v>64</v>
      </c>
      <c r="AC367" t="s">
        <v>62</v>
      </c>
      <c r="AD367">
        <f t="shared" si="233"/>
        <v>1</v>
      </c>
    </row>
    <row r="368" spans="1:30" x14ac:dyDescent="0.35">
      <c r="A368" t="s">
        <v>1812</v>
      </c>
      <c r="B368" t="s">
        <v>598</v>
      </c>
      <c r="C368" s="36">
        <f t="shared" si="221"/>
        <v>0.19621627757138405</v>
      </c>
      <c r="D368" s="3">
        <f t="shared" si="222"/>
        <v>0.19621627757138405</v>
      </c>
      <c r="F368">
        <v>860</v>
      </c>
      <c r="G368" t="s">
        <v>76</v>
      </c>
      <c r="H368">
        <v>1000</v>
      </c>
      <c r="I368" s="22"/>
      <c r="J368">
        <v>22</v>
      </c>
      <c r="K368" s="22"/>
      <c r="L368">
        <v>29.4320862824401</v>
      </c>
      <c r="M368" s="22">
        <v>0.105</v>
      </c>
      <c r="N368" s="21">
        <v>45349</v>
      </c>
      <c r="O368" s="21">
        <v>46169</v>
      </c>
      <c r="P368">
        <f t="shared" si="223"/>
        <v>2</v>
      </c>
      <c r="Q368" s="6">
        <f t="shared" si="224"/>
        <v>0.12209302325581395</v>
      </c>
      <c r="R368" s="5">
        <f t="shared" si="225"/>
        <v>1</v>
      </c>
      <c r="S368" t="s">
        <v>93</v>
      </c>
      <c r="U368">
        <f t="shared" si="226"/>
        <v>2</v>
      </c>
      <c r="V368">
        <f t="shared" si="227"/>
        <v>105</v>
      </c>
      <c r="W368" s="28">
        <f t="shared" si="228"/>
        <v>0.19621627757138405</v>
      </c>
      <c r="X368" s="27">
        <f t="shared" si="229"/>
        <v>0.19621627757138405</v>
      </c>
      <c r="Y368" s="5">
        <f t="shared" si="230"/>
        <v>1.9414230371934487</v>
      </c>
      <c r="Z368" s="5">
        <f t="shared" si="231"/>
        <v>1.6229699207362562</v>
      </c>
      <c r="AA368" s="5">
        <f t="shared" si="232"/>
        <v>-1395.7541318331803</v>
      </c>
      <c r="AB368" t="s">
        <v>64</v>
      </c>
      <c r="AC368" t="s">
        <v>62</v>
      </c>
      <c r="AD368">
        <f t="shared" si="233"/>
        <v>1</v>
      </c>
    </row>
    <row r="369" spans="1:30" x14ac:dyDescent="0.35">
      <c r="A369" t="s">
        <v>1811</v>
      </c>
      <c r="B369" t="s">
        <v>644</v>
      </c>
      <c r="C369" s="36">
        <f t="shared" si="221"/>
        <v>8.9984128798871382E-2</v>
      </c>
      <c r="D369" s="3">
        <f t="shared" si="222"/>
        <v>8.9984128798871382E-2</v>
      </c>
      <c r="F369">
        <v>99035.26</v>
      </c>
      <c r="G369" t="s">
        <v>76</v>
      </c>
      <c r="H369">
        <v>100000</v>
      </c>
      <c r="I369" s="22"/>
      <c r="J369">
        <v>1</v>
      </c>
      <c r="K369" s="22"/>
      <c r="L369">
        <v>9.6163400571157993</v>
      </c>
      <c r="M369" s="22">
        <v>8.4499999999999992E-2</v>
      </c>
      <c r="N369" s="21">
        <v>45624</v>
      </c>
      <c r="O369" s="21">
        <v>46170</v>
      </c>
      <c r="P369">
        <f t="shared" si="223"/>
        <v>2</v>
      </c>
      <c r="Q369" s="6">
        <f t="shared" si="224"/>
        <v>8.5323146523773458E-2</v>
      </c>
      <c r="R369" s="5">
        <f t="shared" si="225"/>
        <v>1</v>
      </c>
      <c r="S369" t="s">
        <v>93</v>
      </c>
      <c r="U369">
        <f t="shared" si="226"/>
        <v>2</v>
      </c>
      <c r="V369">
        <f t="shared" si="227"/>
        <v>8450</v>
      </c>
      <c r="W369" s="28">
        <f t="shared" si="228"/>
        <v>8.9984128798871382E-2</v>
      </c>
      <c r="X369" s="27">
        <f t="shared" si="229"/>
        <v>8.9984128798871382E-2</v>
      </c>
      <c r="Y369" s="5">
        <f t="shared" si="230"/>
        <v>1.4217207441196442</v>
      </c>
      <c r="Z369" s="5">
        <f t="shared" si="231"/>
        <v>1.3043499502018769</v>
      </c>
      <c r="AA369" s="5">
        <f t="shared" si="232"/>
        <v>-129176.63644922993</v>
      </c>
      <c r="AB369" t="s">
        <v>64</v>
      </c>
      <c r="AC369" t="s">
        <v>62</v>
      </c>
      <c r="AD369">
        <f t="shared" si="233"/>
        <v>1</v>
      </c>
    </row>
    <row r="370" spans="1:30" x14ac:dyDescent="0.35">
      <c r="A370" t="s">
        <v>1810</v>
      </c>
      <c r="B370" t="s">
        <v>257</v>
      </c>
      <c r="C370" s="36">
        <f t="shared" si="221"/>
        <v>7.9407278160267186E-2</v>
      </c>
      <c r="D370" s="3">
        <f t="shared" si="222"/>
        <v>7.9407278160267186E-2</v>
      </c>
      <c r="F370">
        <v>1077996.5</v>
      </c>
      <c r="G370" t="s">
        <v>76</v>
      </c>
      <c r="H370">
        <v>1000000</v>
      </c>
      <c r="I370" s="22"/>
      <c r="J370">
        <v>1</v>
      </c>
      <c r="K370" s="22"/>
      <c r="L370">
        <v>2.2856606205902699</v>
      </c>
      <c r="M370" s="22">
        <v>9.0999999999999998E-2</v>
      </c>
      <c r="N370" s="21">
        <v>42520</v>
      </c>
      <c r="O370" s="21">
        <v>46171</v>
      </c>
      <c r="P370">
        <f t="shared" si="223"/>
        <v>10</v>
      </c>
      <c r="Q370" s="6">
        <f t="shared" si="224"/>
        <v>8.4415858493047058E-2</v>
      </c>
      <c r="R370" s="5">
        <f t="shared" si="225"/>
        <v>1</v>
      </c>
      <c r="S370" t="s">
        <v>93</v>
      </c>
      <c r="U370">
        <f t="shared" si="226"/>
        <v>10</v>
      </c>
      <c r="V370">
        <f t="shared" si="227"/>
        <v>91000</v>
      </c>
      <c r="W370" s="28">
        <f t="shared" si="228"/>
        <v>7.9407278160267186E-2</v>
      </c>
      <c r="X370" s="27">
        <f t="shared" si="229"/>
        <v>7.9407278160267186E-2</v>
      </c>
      <c r="Y370" s="5">
        <f t="shared" si="230"/>
        <v>7.0868581761956957</v>
      </c>
      <c r="Z370" s="5">
        <f t="shared" si="231"/>
        <v>6.5655089784779639</v>
      </c>
      <c r="AA370" s="5">
        <f t="shared" si="232"/>
        <v>-7077595.69951782</v>
      </c>
      <c r="AB370" t="s">
        <v>64</v>
      </c>
      <c r="AC370" t="s">
        <v>62</v>
      </c>
      <c r="AD370">
        <f t="shared" si="233"/>
        <v>1</v>
      </c>
    </row>
    <row r="371" spans="1:30" x14ac:dyDescent="0.35">
      <c r="A371" t="s">
        <v>1809</v>
      </c>
      <c r="B371" t="s">
        <v>249</v>
      </c>
      <c r="C371" s="36">
        <f t="shared" si="221"/>
        <v>2.277030556424757E-2</v>
      </c>
      <c r="D371" s="3">
        <f t="shared" si="222"/>
        <v>9.108122225699028E-2</v>
      </c>
      <c r="F371">
        <v>1017000</v>
      </c>
      <c r="G371" t="s">
        <v>76</v>
      </c>
      <c r="H371">
        <v>1000000</v>
      </c>
      <c r="I371" s="22"/>
      <c r="J371">
        <v>1</v>
      </c>
      <c r="K371" s="22"/>
      <c r="M371" s="22">
        <v>9.6199999999999994E-2</v>
      </c>
      <c r="N371" s="21">
        <v>44726</v>
      </c>
      <c r="O371" s="21">
        <v>46171</v>
      </c>
      <c r="P371">
        <f t="shared" si="223"/>
        <v>4</v>
      </c>
      <c r="Q371" s="6">
        <f t="shared" si="224"/>
        <v>9.459193706981317E-2</v>
      </c>
      <c r="R371" s="5">
        <f t="shared" si="225"/>
        <v>4</v>
      </c>
      <c r="S371" t="s">
        <v>105</v>
      </c>
      <c r="U371">
        <f t="shared" si="226"/>
        <v>16</v>
      </c>
      <c r="V371">
        <f t="shared" si="227"/>
        <v>24050</v>
      </c>
      <c r="W371" s="28">
        <f t="shared" si="228"/>
        <v>2.277030556424757E-2</v>
      </c>
      <c r="X371" s="27">
        <f t="shared" si="229"/>
        <v>9.108122225699028E-2</v>
      </c>
      <c r="Y371" s="5">
        <f t="shared" si="230"/>
        <v>3.3318081866914304</v>
      </c>
      <c r="Z371" s="5">
        <f t="shared" si="231"/>
        <v>3.257630934888474</v>
      </c>
      <c r="AA371" s="5">
        <f t="shared" si="232"/>
        <v>-3313010.6607815782</v>
      </c>
      <c r="AB371" t="s">
        <v>64</v>
      </c>
      <c r="AC371" t="s">
        <v>62</v>
      </c>
      <c r="AD371">
        <f t="shared" si="233"/>
        <v>4</v>
      </c>
    </row>
    <row r="372" spans="1:30" x14ac:dyDescent="0.35">
      <c r="C372" s="28"/>
      <c r="D372" s="27"/>
      <c r="I372" s="22"/>
      <c r="K372" s="22"/>
      <c r="M372" s="22"/>
      <c r="N372" s="21"/>
      <c r="O372" s="21"/>
      <c r="P372" s="5"/>
      <c r="Q372" s="6"/>
      <c r="R372" s="5"/>
      <c r="W372" s="28"/>
      <c r="Y372" s="33"/>
      <c r="Z372" s="33"/>
      <c r="AA372" s="33"/>
    </row>
    <row r="373" spans="1:30" x14ac:dyDescent="0.35">
      <c r="A373" t="s">
        <v>1807</v>
      </c>
      <c r="B373" t="s">
        <v>128</v>
      </c>
      <c r="C373" s="36">
        <f>RATE(U373,V373,-F373,H373)</f>
        <v>0.10111643106238474</v>
      </c>
      <c r="D373" s="3">
        <f>C373*AD373</f>
        <v>0.10111643106238474</v>
      </c>
      <c r="F373">
        <v>992</v>
      </c>
      <c r="G373" t="s">
        <v>76</v>
      </c>
      <c r="H373">
        <v>1000</v>
      </c>
      <c r="I373" s="22"/>
      <c r="J373">
        <v>14</v>
      </c>
      <c r="K373" s="22"/>
      <c r="L373">
        <v>10.668253375244699</v>
      </c>
      <c r="M373" s="22">
        <v>9.6500000000000002E-2</v>
      </c>
      <c r="N373" s="21">
        <v>45443</v>
      </c>
      <c r="O373" s="21">
        <v>46173</v>
      </c>
      <c r="P373">
        <f>ROUND(YEARFRAC(N373,O373),0)</f>
        <v>2</v>
      </c>
      <c r="Q373" s="6">
        <f>(M373*H373)/F373</f>
        <v>9.727822580645161E-2</v>
      </c>
      <c r="R373" s="5">
        <f>IF(S373="Quarterly",4,IF(S373="Semi-annual",2,IF(S373="Annual",1,IF(S373="Pays at maturity",0,IF(S373="Monthly",12,0)))))</f>
        <v>1</v>
      </c>
      <c r="S373" t="s">
        <v>93</v>
      </c>
      <c r="U373">
        <f>R373*P373</f>
        <v>2</v>
      </c>
      <c r="V373">
        <f>(H373*M373)/AD373</f>
        <v>96.5</v>
      </c>
      <c r="W373" s="28">
        <f>RATE(U373,V373,-F373,H373)</f>
        <v>0.10111643106238474</v>
      </c>
      <c r="X373" s="27">
        <f>W373*AD373</f>
        <v>0.10111643106238474</v>
      </c>
      <c r="Y373" s="5">
        <f>DURATION(N373,O373,M373,D373,AD373)</f>
        <v>1.9116549139925241</v>
      </c>
      <c r="Z373" s="5">
        <f>Y373/(1+C373)</f>
        <v>1.7361060647765574</v>
      </c>
      <c r="AA373" s="5">
        <f>-Z373*F373</f>
        <v>-1722.2172162583449</v>
      </c>
      <c r="AB373" t="s">
        <v>64</v>
      </c>
      <c r="AC373" t="s">
        <v>62</v>
      </c>
      <c r="AD373">
        <f>_xlfn.SWITCH(PROPER(TRIM(S373)),
   "Annual",1,
   "Semi-Annual",2,
   "Quarterly",4,
   "Monthly",12,
   "")</f>
        <v>1</v>
      </c>
    </row>
    <row r="374" spans="1:30" x14ac:dyDescent="0.35">
      <c r="A374" t="s">
        <v>1806</v>
      </c>
      <c r="B374" t="s">
        <v>128</v>
      </c>
      <c r="C374" s="36">
        <f>RATE(U374,V374,-F374,H374)</f>
        <v>0.10115627047144687</v>
      </c>
      <c r="D374" s="3">
        <f>C374*AD374</f>
        <v>0.10115627047144687</v>
      </c>
      <c r="F374">
        <v>985</v>
      </c>
      <c r="G374" t="s">
        <v>76</v>
      </c>
      <c r="H374">
        <v>1000</v>
      </c>
      <c r="I374" s="22"/>
      <c r="J374">
        <v>5</v>
      </c>
      <c r="K374" s="22"/>
      <c r="L374">
        <v>11.1610462672572</v>
      </c>
      <c r="M374" s="22">
        <v>9.2499999999999999E-2</v>
      </c>
      <c r="N374" s="21">
        <v>45443</v>
      </c>
      <c r="O374" s="21">
        <v>46173</v>
      </c>
      <c r="P374">
        <f>ROUND(YEARFRAC(N374,O374),0)</f>
        <v>2</v>
      </c>
      <c r="Q374" s="6">
        <f>(M374*H374)/F374</f>
        <v>9.3908629441624369E-2</v>
      </c>
      <c r="R374" s="5">
        <f>IF(S374="Quarterly",4,IF(S374="Semi-annual",2,IF(S374="Annual",1,IF(S374="Pays at maturity",0,IF(S374="Monthly",12,0)))))</f>
        <v>1</v>
      </c>
      <c r="S374" t="s">
        <v>93</v>
      </c>
      <c r="U374">
        <f>R374*P374</f>
        <v>2</v>
      </c>
      <c r="V374">
        <f>(H374*M374)/AD374</f>
        <v>92.5</v>
      </c>
      <c r="W374" s="28">
        <f>RATE(U374,V374,-F374,H374)</f>
        <v>0.10115627047144687</v>
      </c>
      <c r="X374" s="27">
        <f>W374*AD374</f>
        <v>0.10115627047144687</v>
      </c>
      <c r="Y374" s="5">
        <f>DURATION(N374,O374,M374,D374,AD374)</f>
        <v>1.914718163116468</v>
      </c>
      <c r="Z374" s="5">
        <f>Y374/(1+C374)</f>
        <v>1.7388251009066173</v>
      </c>
      <c r="AA374" s="5">
        <f>-Z374*F374</f>
        <v>-1712.7427243930181</v>
      </c>
      <c r="AB374" t="s">
        <v>64</v>
      </c>
      <c r="AC374" t="s">
        <v>62</v>
      </c>
      <c r="AD374">
        <f>_xlfn.SWITCH(PROPER(TRIM(S374)),
   "Annual",1,
   "Semi-Annual",2,
   "Quarterly",4,
   "Monthly",12,
   "")</f>
        <v>1</v>
      </c>
    </row>
    <row r="375" spans="1:30" x14ac:dyDescent="0.35">
      <c r="A375" t="s">
        <v>1805</v>
      </c>
      <c r="B375" t="s">
        <v>882</v>
      </c>
      <c r="C375" s="36">
        <f>RATE(U375,V375,-F375,H375)</f>
        <v>0.11593141587333655</v>
      </c>
      <c r="D375" s="3">
        <f>C375*AD375</f>
        <v>0.11593141587333655</v>
      </c>
      <c r="F375">
        <v>9900.25</v>
      </c>
      <c r="G375" t="s">
        <v>76</v>
      </c>
      <c r="H375">
        <v>10000</v>
      </c>
      <c r="I375" s="22"/>
      <c r="J375">
        <v>25</v>
      </c>
      <c r="K375" s="22"/>
      <c r="L375">
        <v>11.7605301379664</v>
      </c>
      <c r="M375" s="22">
        <v>0.1048</v>
      </c>
      <c r="N375" s="21">
        <v>45764</v>
      </c>
      <c r="O375" s="21">
        <v>46174</v>
      </c>
      <c r="P375">
        <f>ROUND(YEARFRAC(N375,O375),0)</f>
        <v>1</v>
      </c>
      <c r="Q375" s="6">
        <f>(M375*H375)/F375</f>
        <v>0.10585591272947653</v>
      </c>
      <c r="R375" s="5">
        <f>IF(S375="Quarterly",4,IF(S375="Semi-annual",2,IF(S375="Annual",1,IF(S375="Pays at maturity",0,IF(S375="Monthly",12,0)))))</f>
        <v>1</v>
      </c>
      <c r="S375" t="s">
        <v>93</v>
      </c>
      <c r="U375">
        <f>R375*P375</f>
        <v>1</v>
      </c>
      <c r="V375">
        <f>(H375*M375)/AD375</f>
        <v>1048</v>
      </c>
      <c r="W375" s="28">
        <f>RATE(U375,V375,-F375,H375)</f>
        <v>0.11593141587333655</v>
      </c>
      <c r="X375" s="27">
        <f>W375*AD375</f>
        <v>0.11593141587333655</v>
      </c>
      <c r="Y375" s="5">
        <f>DURATION(N375,O375,M375,D375,AD375)</f>
        <v>1.0264991614590864</v>
      </c>
      <c r="Z375" s="5">
        <f>Y375/(1+C375)</f>
        <v>0.91985864620160396</v>
      </c>
      <c r="AA375" s="5">
        <f>-Z375*F375</f>
        <v>-9106.8305620574301</v>
      </c>
      <c r="AB375" t="s">
        <v>69</v>
      </c>
      <c r="AC375" t="s">
        <v>62</v>
      </c>
      <c r="AD375">
        <f>_xlfn.SWITCH(PROPER(TRIM(S375)),
   "Annual",1,
   "Semi-Annual",2,
   "Quarterly",4,
   "Monthly",12,
   "")</f>
        <v>1</v>
      </c>
    </row>
    <row r="376" spans="1:30" x14ac:dyDescent="0.35">
      <c r="A376" t="s">
        <v>1804</v>
      </c>
      <c r="B376" t="s">
        <v>460</v>
      </c>
      <c r="C376" s="36">
        <f>RATE(U376,V376,-F376,H376)</f>
        <v>0.10250000000000002</v>
      </c>
      <c r="D376" s="3">
        <f>C376*AD376</f>
        <v>0.10250000000000002</v>
      </c>
      <c r="F376">
        <v>1000</v>
      </c>
      <c r="G376" t="s">
        <v>76</v>
      </c>
      <c r="H376">
        <v>1000</v>
      </c>
      <c r="I376" s="22"/>
      <c r="J376">
        <v>70</v>
      </c>
      <c r="K376" s="22"/>
      <c r="L376">
        <v>10.25</v>
      </c>
      <c r="M376" s="22">
        <v>0.10249999999999999</v>
      </c>
      <c r="N376" s="21">
        <v>44319</v>
      </c>
      <c r="O376" s="21">
        <v>46175</v>
      </c>
      <c r="P376">
        <f>ROUND(YEARFRAC(N376,O376),0)</f>
        <v>5</v>
      </c>
      <c r="Q376" s="6">
        <f>(M376*H376)/F376</f>
        <v>0.10249999999999999</v>
      </c>
      <c r="R376" s="5">
        <f>IF(S376="Quarterly",4,IF(S376="Semi-annual",2,IF(S376="Annual",1,IF(S376="Pays at maturity",0,IF(S376="Monthly",12,0)))))</f>
        <v>1</v>
      </c>
      <c r="S376" t="s">
        <v>93</v>
      </c>
      <c r="U376">
        <f>R376*P376</f>
        <v>5</v>
      </c>
      <c r="V376">
        <f>(H376*M376)/AD376</f>
        <v>102.5</v>
      </c>
      <c r="W376" s="28">
        <f>RATE(U376,V376,-F376,H376)</f>
        <v>0.10250000000000002</v>
      </c>
      <c r="X376" s="27">
        <f>W376*AD376</f>
        <v>0.10250000000000002</v>
      </c>
      <c r="Y376" s="5">
        <f>DURATION(N376,O376,M376,D376,AD376)</f>
        <v>3.8472555210115611</v>
      </c>
      <c r="Z376" s="5">
        <f>Y376/(1+C376)</f>
        <v>3.4895741687179691</v>
      </c>
      <c r="AA376" s="5">
        <f>-Z376*F376</f>
        <v>-3489.5741687179693</v>
      </c>
      <c r="AB376" t="s">
        <v>64</v>
      </c>
      <c r="AC376" t="s">
        <v>62</v>
      </c>
      <c r="AD376">
        <f>_xlfn.SWITCH(PROPER(TRIM(S376)),
   "Annual",1,
   "Semi-Annual",2,
   "Quarterly",4,
   "Monthly",12,
   "")</f>
        <v>1</v>
      </c>
    </row>
    <row r="377" spans="1:30" x14ac:dyDescent="0.35">
      <c r="C377" s="28"/>
      <c r="D377" s="27"/>
      <c r="I377" s="22"/>
      <c r="K377" s="22"/>
      <c r="M377" s="22"/>
      <c r="N377" s="21"/>
      <c r="O377" s="21"/>
      <c r="P377" s="5"/>
      <c r="Q377" s="6"/>
      <c r="R377" s="5"/>
      <c r="W377" s="28"/>
      <c r="Y377" s="33"/>
      <c r="Z377" s="33"/>
      <c r="AA377" s="33"/>
    </row>
    <row r="378" spans="1:30" x14ac:dyDescent="0.35">
      <c r="A378" t="s">
        <v>1802</v>
      </c>
      <c r="B378" t="s">
        <v>272</v>
      </c>
      <c r="C378" s="36">
        <f>RATE(U378,V378,-F378,H378)</f>
        <v>7.8066597244845645E-2</v>
      </c>
      <c r="D378" s="3">
        <f>C378*AD378</f>
        <v>7.8066597244845645E-2</v>
      </c>
      <c r="F378">
        <v>1005</v>
      </c>
      <c r="G378" t="s">
        <v>76</v>
      </c>
      <c r="H378">
        <v>1000</v>
      </c>
      <c r="I378" s="22"/>
      <c r="J378">
        <v>90</v>
      </c>
      <c r="K378" s="22"/>
      <c r="L378">
        <v>7.39449171587545</v>
      </c>
      <c r="M378" s="22">
        <v>0.08</v>
      </c>
      <c r="N378" s="21">
        <v>45049</v>
      </c>
      <c r="O378" s="21">
        <v>46176</v>
      </c>
      <c r="P378">
        <f>ROUND(YEARFRAC(N378,O378),0)</f>
        <v>3</v>
      </c>
      <c r="Q378" s="6">
        <f>(M378*H378)/F378</f>
        <v>7.9601990049751242E-2</v>
      </c>
      <c r="R378" s="5">
        <f>IF(S378="Quarterly",4,IF(S378="Semi-annual",2,IF(S378="Annual",1,IF(S378="Pays at maturity",0,IF(S378="Monthly",12,0)))))</f>
        <v>1</v>
      </c>
      <c r="S378" t="s">
        <v>93</v>
      </c>
      <c r="U378">
        <f>R378*P378</f>
        <v>3</v>
      </c>
      <c r="V378">
        <f>(H378*M378)/AD378</f>
        <v>80</v>
      </c>
      <c r="W378" s="28">
        <f>RATE(U378,V378,-F378,H378)</f>
        <v>7.8066597244845645E-2</v>
      </c>
      <c r="X378" s="27">
        <f>W378*AD378</f>
        <v>7.8066597244845645E-2</v>
      </c>
      <c r="Y378" s="5">
        <f>DURATION(N378,O378,M378,D378,AD378)</f>
        <v>2.6619073692880022</v>
      </c>
      <c r="Z378" s="5">
        <f>Y378/(1+C378)</f>
        <v>2.4691492864085482</v>
      </c>
      <c r="AA378" s="5">
        <f>-Z378*F378</f>
        <v>-2481.4950328405912</v>
      </c>
      <c r="AB378" t="s">
        <v>64</v>
      </c>
      <c r="AC378" t="s">
        <v>62</v>
      </c>
      <c r="AD378">
        <f>_xlfn.SWITCH(PROPER(TRIM(S378)),
   "Annual",1,
   "Semi-Annual",2,
   "Quarterly",4,
   "Monthly",12,
   "")</f>
        <v>1</v>
      </c>
    </row>
    <row r="379" spans="1:30" x14ac:dyDescent="0.35">
      <c r="A379" t="s">
        <v>1801</v>
      </c>
      <c r="B379" t="s">
        <v>272</v>
      </c>
      <c r="C379" s="36">
        <f>RATE(U379,V379,-F379,H379)</f>
        <v>8.4541917840235278E-2</v>
      </c>
      <c r="D379" s="3">
        <f>C379*AD379</f>
        <v>8.4541917840235278E-2</v>
      </c>
      <c r="F379">
        <v>982</v>
      </c>
      <c r="G379" t="s">
        <v>76</v>
      </c>
      <c r="H379">
        <v>1000</v>
      </c>
      <c r="I379" s="22"/>
      <c r="J379">
        <v>10</v>
      </c>
      <c r="K379" s="22"/>
      <c r="L379">
        <v>9.9256216764991692</v>
      </c>
      <c r="M379" s="22">
        <v>7.7499999999999999E-2</v>
      </c>
      <c r="N379" s="21">
        <v>45049</v>
      </c>
      <c r="O379" s="21">
        <v>46176</v>
      </c>
      <c r="P379">
        <f>ROUND(YEARFRAC(N379,O379),0)</f>
        <v>3</v>
      </c>
      <c r="Q379" s="6">
        <f>(M379*H379)/F379</f>
        <v>7.8920570264765788E-2</v>
      </c>
      <c r="R379" s="5">
        <f>IF(S379="Quarterly",4,IF(S379="Semi-annual",2,IF(S379="Annual",1,IF(S379="Pays at maturity",0,IF(S379="Monthly",12,0)))))</f>
        <v>1</v>
      </c>
      <c r="S379" t="s">
        <v>93</v>
      </c>
      <c r="U379">
        <f>R379*P379</f>
        <v>3</v>
      </c>
      <c r="V379">
        <f>(H379*M379)/AD379</f>
        <v>77.5</v>
      </c>
      <c r="W379" s="28">
        <f>RATE(U379,V379,-F379,H379)</f>
        <v>8.4541917840235278E-2</v>
      </c>
      <c r="X379" s="27">
        <f>W379*AD379</f>
        <v>8.4541917840235278E-2</v>
      </c>
      <c r="Y379" s="5">
        <f>DURATION(N379,O379,M379,D379,AD379)</f>
        <v>2.6668105484847686</v>
      </c>
      <c r="Z379" s="5">
        <f>Y379/(1+C379)</f>
        <v>2.4589280548929584</v>
      </c>
      <c r="AA379" s="5">
        <f>-Z379*F379</f>
        <v>-2414.6673499048852</v>
      </c>
      <c r="AB379" t="s">
        <v>64</v>
      </c>
      <c r="AC379" t="s">
        <v>62</v>
      </c>
      <c r="AD379">
        <f>_xlfn.SWITCH(PROPER(TRIM(S379)),
   "Annual",1,
   "Semi-Annual",2,
   "Quarterly",4,
   "Monthly",12,
   "")</f>
        <v>1</v>
      </c>
    </row>
    <row r="380" spans="1:30" x14ac:dyDescent="0.35">
      <c r="A380" t="s">
        <v>1800</v>
      </c>
      <c r="B380" t="s">
        <v>326</v>
      </c>
      <c r="C380" s="36">
        <f>RATE(U380,V380,-F380,H380)</f>
        <v>0.12206332992849851</v>
      </c>
      <c r="D380" s="3">
        <f>C380*AD380</f>
        <v>0.12206332992849851</v>
      </c>
      <c r="F380">
        <v>979</v>
      </c>
      <c r="G380" t="s">
        <v>76</v>
      </c>
      <c r="H380">
        <v>1000</v>
      </c>
      <c r="I380" s="22"/>
      <c r="J380">
        <v>25</v>
      </c>
      <c r="K380" s="22"/>
      <c r="L380">
        <v>12.4410492686849</v>
      </c>
      <c r="M380" s="22">
        <v>9.849999999999999E-2</v>
      </c>
      <c r="N380" s="21">
        <v>45630</v>
      </c>
      <c r="O380" s="21">
        <v>46176</v>
      </c>
      <c r="P380">
        <f>ROUND(YEARFRAC(N380,O380),0)</f>
        <v>1</v>
      </c>
      <c r="Q380" s="6">
        <f>(M380*H380)/F380</f>
        <v>0.1006128702757916</v>
      </c>
      <c r="R380" s="5">
        <f>IF(S380="Quarterly",4,IF(S380="Semi-annual",2,IF(S380="Annual",1,IF(S380="Pays at maturity",0,IF(S380="Monthly",12,0)))))</f>
        <v>1</v>
      </c>
      <c r="S380" t="s">
        <v>93</v>
      </c>
      <c r="U380">
        <f>R380*P380</f>
        <v>1</v>
      </c>
      <c r="V380">
        <f>(H380*M380)/AD380</f>
        <v>98.499999999999986</v>
      </c>
      <c r="W380" s="28">
        <f>RATE(U380,V380,-F380,H380)</f>
        <v>0.12206332992849851</v>
      </c>
      <c r="X380" s="27">
        <f>W380*AD380</f>
        <v>0.12206332992849851</v>
      </c>
      <c r="Y380" s="5">
        <f>DURATION(N380,O380,M380,D380,AD380)</f>
        <v>1.4058069089971643</v>
      </c>
      <c r="Z380" s="5">
        <f>Y380/(1+C380)</f>
        <v>1.2528766171217331</v>
      </c>
      <c r="AA380" s="5">
        <f>-Z380*F380</f>
        <v>-1226.5662081621767</v>
      </c>
      <c r="AB380" t="s">
        <v>64</v>
      </c>
      <c r="AC380" t="s">
        <v>62</v>
      </c>
      <c r="AD380">
        <f>_xlfn.SWITCH(PROPER(TRIM(S380)),
   "Annual",1,
   "Semi-Annual",2,
   "Quarterly",4,
   "Monthly",12,
   "")</f>
        <v>1</v>
      </c>
    </row>
    <row r="381" spans="1:30" x14ac:dyDescent="0.35">
      <c r="A381" t="s">
        <v>1799</v>
      </c>
      <c r="B381" t="s">
        <v>749</v>
      </c>
      <c r="C381" s="36">
        <f>RATE(U381,V381,-F381,H381)</f>
        <v>8.3000000000006915E-2</v>
      </c>
      <c r="D381" s="3">
        <f>C381*AD381</f>
        <v>8.3000000000006915E-2</v>
      </c>
      <c r="F381">
        <v>1000</v>
      </c>
      <c r="G381" t="s">
        <v>76</v>
      </c>
      <c r="H381">
        <v>1000</v>
      </c>
      <c r="I381" s="22"/>
      <c r="J381">
        <v>100</v>
      </c>
      <c r="K381" s="22"/>
      <c r="L381">
        <v>8.3000000000000007</v>
      </c>
      <c r="M381" s="22">
        <v>8.3000000000000004E-2</v>
      </c>
      <c r="N381" s="21">
        <v>45050</v>
      </c>
      <c r="O381" s="21">
        <v>46177</v>
      </c>
      <c r="P381">
        <f>ROUND(YEARFRAC(N381,O381),0)</f>
        <v>3</v>
      </c>
      <c r="Q381" s="6">
        <f>(M381*H381)/F381</f>
        <v>8.3000000000000004E-2</v>
      </c>
      <c r="R381" s="5">
        <f>IF(S381="Quarterly",4,IF(S381="Semi-annual",2,IF(S381="Annual",1,IF(S381="Pays at maturity",0,IF(S381="Monthly",12,0)))))</f>
        <v>1</v>
      </c>
      <c r="S381" t="s">
        <v>93</v>
      </c>
      <c r="U381">
        <f>R381*P381</f>
        <v>3</v>
      </c>
      <c r="V381">
        <f>(H381*M381)/AD381</f>
        <v>83</v>
      </c>
      <c r="W381" s="28">
        <f>RATE(U381,V381,-F381,H381)</f>
        <v>8.3000000000006915E-2</v>
      </c>
      <c r="X381" s="27">
        <f>W381*AD381</f>
        <v>8.3000000000006915E-2</v>
      </c>
      <c r="Y381" s="5">
        <f>DURATION(N381,O381,M381,D381,AD381)</f>
        <v>2.6465435213087956</v>
      </c>
      <c r="Z381" s="5">
        <f>Y381/(1+C381)</f>
        <v>2.4437151627966562</v>
      </c>
      <c r="AA381" s="5">
        <f>-Z381*F381</f>
        <v>-2443.7151627966564</v>
      </c>
      <c r="AB381" t="s">
        <v>64</v>
      </c>
      <c r="AC381" t="s">
        <v>62</v>
      </c>
      <c r="AD381">
        <f>_xlfn.SWITCH(PROPER(TRIM(S381)),
   "Annual",1,
   "Semi-Annual",2,
   "Quarterly",4,
   "Monthly",12,
   "")</f>
        <v>1</v>
      </c>
    </row>
    <row r="382" spans="1:30" x14ac:dyDescent="0.35">
      <c r="C382" s="28"/>
      <c r="D382" s="27"/>
      <c r="I382" s="22"/>
      <c r="K382" s="22"/>
      <c r="M382" s="22"/>
      <c r="N382" s="21"/>
      <c r="O382" s="21"/>
      <c r="P382" s="5"/>
      <c r="Q382" s="6"/>
      <c r="R382" s="5"/>
      <c r="W382" s="28"/>
      <c r="Y382" s="33"/>
      <c r="Z382" s="33"/>
      <c r="AA382" s="33"/>
    </row>
    <row r="383" spans="1:30" x14ac:dyDescent="0.35">
      <c r="A383" t="s">
        <v>1797</v>
      </c>
      <c r="B383" t="s">
        <v>1704</v>
      </c>
      <c r="C383" s="36">
        <f>RATE(U383,V383,-F383,H383)</f>
        <v>4.160877273721058E-2</v>
      </c>
      <c r="D383" s="3">
        <f>C383*AD383</f>
        <v>0.49930527284652693</v>
      </c>
      <c r="F383">
        <v>40001</v>
      </c>
      <c r="G383" t="s">
        <v>76</v>
      </c>
      <c r="H383">
        <v>100000</v>
      </c>
      <c r="I383" s="22"/>
      <c r="J383">
        <v>5</v>
      </c>
      <c r="K383" s="22"/>
      <c r="M383" s="22">
        <v>0.11</v>
      </c>
      <c r="N383" s="21">
        <v>45082</v>
      </c>
      <c r="O383" s="21">
        <v>46178</v>
      </c>
      <c r="P383">
        <f>ROUND(YEARFRAC(N383,O383),0)</f>
        <v>3</v>
      </c>
      <c r="Q383" s="6">
        <f>(M383*H383)/F383</f>
        <v>0.27499312517187069</v>
      </c>
      <c r="R383" s="5">
        <f>IF(S383="Quarterly",4,IF(S383="Semi-annual",2,IF(S383="Annual",1,IF(S383="Pays at maturity",0,IF(S383="Monthly",12,0)))))</f>
        <v>12</v>
      </c>
      <c r="S383" t="s">
        <v>1717</v>
      </c>
      <c r="U383">
        <f>R383*P383</f>
        <v>36</v>
      </c>
      <c r="V383">
        <f>(H383*M383)/AD383</f>
        <v>916.66666666666663</v>
      </c>
      <c r="W383" s="28">
        <f>RATE(U383,V383,-F383,H383)</f>
        <v>4.160877273721058E-2</v>
      </c>
      <c r="X383" s="27">
        <f>W383*AD383</f>
        <v>0.49930527284652693</v>
      </c>
      <c r="Y383" s="5" t="e">
        <f>DURATION(N383,O383,M383,D383,AD383)</f>
        <v>#NUM!</v>
      </c>
      <c r="Z383" s="5" t="e">
        <f>Y383/(1+C383)</f>
        <v>#NUM!</v>
      </c>
      <c r="AA383" s="5" t="e">
        <f>-Z383*F383</f>
        <v>#NUM!</v>
      </c>
      <c r="AB383" t="s">
        <v>79</v>
      </c>
      <c r="AC383" t="s">
        <v>62</v>
      </c>
      <c r="AD383">
        <f>_xlfn.SWITCH(PROPER(TRIM(S383)),
   "Annual",1,
   "Semi-Annual",2,
   "Quarterly",4,
   "Monthly",12,
   "")</f>
        <v>12</v>
      </c>
    </row>
    <row r="384" spans="1:30" x14ac:dyDescent="0.35">
      <c r="C384" s="28"/>
      <c r="D384" s="27"/>
      <c r="I384" s="22"/>
      <c r="K384" s="22"/>
      <c r="M384" s="22"/>
      <c r="N384" s="21"/>
      <c r="O384" s="21"/>
      <c r="P384" s="5"/>
      <c r="Q384" s="6"/>
      <c r="R384" s="5"/>
      <c r="W384" s="28"/>
      <c r="Y384" s="33"/>
      <c r="Z384" s="33"/>
      <c r="AA384" s="33"/>
    </row>
    <row r="385" spans="1:30" x14ac:dyDescent="0.35">
      <c r="A385" t="s">
        <v>1795</v>
      </c>
      <c r="B385" t="s">
        <v>145</v>
      </c>
      <c r="C385" s="36">
        <f>RATE(U385,V385,-F385,H385)</f>
        <v>8.8452397349301243E-2</v>
      </c>
      <c r="D385" s="3">
        <f>C385*AD385</f>
        <v>8.8452397349301243E-2</v>
      </c>
      <c r="F385">
        <v>1010</v>
      </c>
      <c r="G385" t="s">
        <v>76</v>
      </c>
      <c r="H385">
        <v>1000</v>
      </c>
      <c r="I385" s="22"/>
      <c r="J385">
        <v>5</v>
      </c>
      <c r="K385" s="22"/>
      <c r="L385">
        <v>7.7815594059405901</v>
      </c>
      <c r="M385" s="22">
        <v>0.09</v>
      </c>
      <c r="N385" s="21">
        <v>42527</v>
      </c>
      <c r="O385" s="21">
        <v>46179</v>
      </c>
      <c r="P385">
        <f>ROUND(YEARFRAC(N385,O385),0)</f>
        <v>10</v>
      </c>
      <c r="Q385" s="6">
        <f>(M385*H385)/F385</f>
        <v>8.9108910891089105E-2</v>
      </c>
      <c r="R385" s="5">
        <f>IF(S385="Quarterly",4,IF(S385="Semi-annual",2,IF(S385="Annual",1,IF(S385="Pays at maturity",0,IF(S385="Monthly",12,0)))))</f>
        <v>1</v>
      </c>
      <c r="S385" t="s">
        <v>93</v>
      </c>
      <c r="U385">
        <f>R385*P385</f>
        <v>10</v>
      </c>
      <c r="V385">
        <f>(H385*M385)/AD385</f>
        <v>90</v>
      </c>
      <c r="W385" s="28">
        <f>RATE(U385,V385,-F385,H385)</f>
        <v>8.8452397349301243E-2</v>
      </c>
      <c r="X385" s="27">
        <f>W385*AD385</f>
        <v>8.8452397349301243E-2</v>
      </c>
      <c r="Y385" s="5">
        <f>DURATION(N385,O385,M385,D385,AD385)</f>
        <v>7.0111309298030067</v>
      </c>
      <c r="Z385" s="5">
        <f>Y385/(1+C385)</f>
        <v>6.4413757982224613</v>
      </c>
      <c r="AA385" s="5">
        <f>-Z385*F385</f>
        <v>-6505.7895562046861</v>
      </c>
      <c r="AB385" t="s">
        <v>64</v>
      </c>
      <c r="AC385" t="s">
        <v>62</v>
      </c>
      <c r="AD385">
        <f>_xlfn.SWITCH(PROPER(TRIM(S385)),
   "Annual",1,
   "Semi-Annual",2,
   "Quarterly",4,
   "Monthly",12,
   "")</f>
        <v>1</v>
      </c>
    </row>
    <row r="386" spans="1:30" x14ac:dyDescent="0.35">
      <c r="A386" t="s">
        <v>1794</v>
      </c>
      <c r="B386" t="s">
        <v>145</v>
      </c>
      <c r="C386" s="36">
        <f>RATE(U386,V386,-F386,H386)</f>
        <v>2.1202701002445073E-2</v>
      </c>
      <c r="D386" s="3">
        <f>C386*AD386</f>
        <v>8.4810804009780291E-2</v>
      </c>
      <c r="F386">
        <v>1016</v>
      </c>
      <c r="G386" t="s">
        <v>76</v>
      </c>
      <c r="H386">
        <v>1000</v>
      </c>
      <c r="I386" s="22"/>
      <c r="J386">
        <v>20</v>
      </c>
      <c r="K386" s="22"/>
      <c r="M386" s="22">
        <v>8.72E-2</v>
      </c>
      <c r="N386" s="21">
        <v>42527</v>
      </c>
      <c r="O386" s="21">
        <v>46179</v>
      </c>
      <c r="P386">
        <f>ROUND(YEARFRAC(N386,O386),0)</f>
        <v>10</v>
      </c>
      <c r="Q386" s="6">
        <f>(M386*H386)/F386</f>
        <v>8.5826771653543313E-2</v>
      </c>
      <c r="R386" s="5">
        <f>IF(S386="Quarterly",4,IF(S386="Semi-annual",2,IF(S386="Annual",1,IF(S386="Pays at maturity",0,IF(S386="Monthly",12,0)))))</f>
        <v>4</v>
      </c>
      <c r="S386" t="s">
        <v>105</v>
      </c>
      <c r="U386">
        <f>R386*P386</f>
        <v>40</v>
      </c>
      <c r="V386">
        <f>(H386*M386)/AD386</f>
        <v>21.8</v>
      </c>
      <c r="W386" s="28">
        <f>RATE(U386,V386,-F386,H386)</f>
        <v>2.1202701002445073E-2</v>
      </c>
      <c r="X386" s="27">
        <f>W386*AD386</f>
        <v>8.4810804009780291E-2</v>
      </c>
      <c r="Y386" s="5">
        <f>DURATION(N386,O386,M386,D386,AD386)</f>
        <v>6.8009353754752384</v>
      </c>
      <c r="Z386" s="5">
        <f>Y386/(1+C386)</f>
        <v>6.6597310884501413</v>
      </c>
      <c r="AA386" s="5">
        <f>-Z386*F386</f>
        <v>-6766.2867858653435</v>
      </c>
      <c r="AB386" t="s">
        <v>64</v>
      </c>
      <c r="AC386" t="s">
        <v>62</v>
      </c>
      <c r="AD386">
        <f>_xlfn.SWITCH(PROPER(TRIM(S386)),
   "Annual",1,
   "Semi-Annual",2,
   "Quarterly",4,
   "Monthly",12,
   "")</f>
        <v>4</v>
      </c>
    </row>
    <row r="387" spans="1:30" x14ac:dyDescent="0.35">
      <c r="A387" t="s">
        <v>1793</v>
      </c>
      <c r="B387" t="s">
        <v>145</v>
      </c>
      <c r="C387" s="36">
        <f>RATE(U387,V387,-F387,H387)</f>
        <v>2.1325E-2</v>
      </c>
      <c r="D387" s="3">
        <f>C387*AD387</f>
        <v>8.5300000000000001E-2</v>
      </c>
      <c r="F387">
        <v>1000</v>
      </c>
      <c r="G387" t="s">
        <v>76</v>
      </c>
      <c r="H387">
        <v>1000</v>
      </c>
      <c r="I387" s="22"/>
      <c r="J387">
        <v>1500</v>
      </c>
      <c r="K387" s="22"/>
      <c r="M387" s="22">
        <v>8.5299999999999987E-2</v>
      </c>
      <c r="N387" s="21">
        <v>42527</v>
      </c>
      <c r="O387" s="21">
        <v>46179</v>
      </c>
      <c r="P387">
        <f>ROUND(YEARFRAC(N387,O387),0)</f>
        <v>10</v>
      </c>
      <c r="Q387" s="6">
        <f>(M387*H387)/F387</f>
        <v>8.5299999999999987E-2</v>
      </c>
      <c r="R387" s="5">
        <f>IF(S387="Quarterly",4,IF(S387="Semi-annual",2,IF(S387="Annual",1,IF(S387="Pays at maturity",0,IF(S387="Monthly",12,0)))))</f>
        <v>4</v>
      </c>
      <c r="S387" t="s">
        <v>105</v>
      </c>
      <c r="U387">
        <f>R387*P387</f>
        <v>40</v>
      </c>
      <c r="V387">
        <f>(H387*M387)/AD387</f>
        <v>21.324999999999996</v>
      </c>
      <c r="W387" s="28">
        <f>RATE(U387,V387,-F387,H387)</f>
        <v>2.1325E-2</v>
      </c>
      <c r="X387" s="27">
        <f>W387*AD387</f>
        <v>8.5300000000000001E-2</v>
      </c>
      <c r="Y387" s="5">
        <f>DURATION(N387,O387,M387,D387,AD387)</f>
        <v>6.8251174145158418</v>
      </c>
      <c r="Z387" s="5">
        <f>Y387/(1+C387)</f>
        <v>6.6826107404752078</v>
      </c>
      <c r="AA387" s="5">
        <f>-Z387*F387</f>
        <v>-6682.6107404752074</v>
      </c>
      <c r="AB387" t="s">
        <v>64</v>
      </c>
      <c r="AC387" t="s">
        <v>62</v>
      </c>
      <c r="AD387">
        <f>_xlfn.SWITCH(PROPER(TRIM(S387)),
   "Annual",1,
   "Semi-Annual",2,
   "Quarterly",4,
   "Monthly",12,
   "")</f>
        <v>4</v>
      </c>
    </row>
    <row r="388" spans="1:30" x14ac:dyDescent="0.35">
      <c r="A388" t="s">
        <v>1792</v>
      </c>
      <c r="B388" t="s">
        <v>145</v>
      </c>
      <c r="C388" s="36">
        <f>RATE(U388,V388,-F388,H388)</f>
        <v>8.6923982670223457E-2</v>
      </c>
      <c r="D388" s="3">
        <f>C388*AD388</f>
        <v>8.6923982670223457E-2</v>
      </c>
      <c r="F388">
        <v>1007</v>
      </c>
      <c r="G388" t="s">
        <v>76</v>
      </c>
      <c r="H388">
        <v>1000</v>
      </c>
      <c r="I388" s="22"/>
      <c r="J388">
        <v>199</v>
      </c>
      <c r="K388" s="22"/>
      <c r="L388">
        <v>8.3514634201808704</v>
      </c>
      <c r="M388" s="22">
        <v>8.8000000000000009E-2</v>
      </c>
      <c r="N388" s="21">
        <v>42527</v>
      </c>
      <c r="O388" s="21">
        <v>46179</v>
      </c>
      <c r="P388">
        <f>ROUND(YEARFRAC(N388,O388),0)</f>
        <v>10</v>
      </c>
      <c r="Q388" s="6">
        <f>(M388*H388)/F388</f>
        <v>8.7388282025819275E-2</v>
      </c>
      <c r="R388" s="5">
        <f>IF(S388="Quarterly",4,IF(S388="Semi-annual",2,IF(S388="Annual",1,IF(S388="Pays at maturity",0,IF(S388="Monthly",12,0)))))</f>
        <v>1</v>
      </c>
      <c r="S388" t="s">
        <v>93</v>
      </c>
      <c r="U388">
        <f>R388*P388</f>
        <v>10</v>
      </c>
      <c r="V388">
        <f>(H388*M388)/AD388</f>
        <v>88.000000000000014</v>
      </c>
      <c r="W388" s="28">
        <f>RATE(U388,V388,-F388,H388)</f>
        <v>8.6923982670223457E-2</v>
      </c>
      <c r="X388" s="27">
        <f>W388*AD388</f>
        <v>8.6923982670223457E-2</v>
      </c>
      <c r="Y388" s="5">
        <f>DURATION(N388,O388,M388,D388,AD388)</f>
        <v>7.0553075856221668</v>
      </c>
      <c r="Z388" s="5">
        <f>Y388/(1+C388)</f>
        <v>6.4910772952948737</v>
      </c>
      <c r="AA388" s="5">
        <f>-Z388*F388</f>
        <v>-6536.5148363619373</v>
      </c>
      <c r="AB388" t="s">
        <v>64</v>
      </c>
      <c r="AC388" t="s">
        <v>62</v>
      </c>
      <c r="AD388">
        <f>_xlfn.SWITCH(PROPER(TRIM(S388)),
   "Annual",1,
   "Semi-Annual",2,
   "Quarterly",4,
   "Monthly",12,
   "")</f>
        <v>1</v>
      </c>
    </row>
    <row r="389" spans="1:30" x14ac:dyDescent="0.35">
      <c r="C389" s="28"/>
      <c r="D389" s="27"/>
      <c r="I389" s="22"/>
      <c r="K389" s="22"/>
      <c r="M389" s="22"/>
      <c r="N389" s="21"/>
      <c r="O389" s="21"/>
      <c r="P389" s="5"/>
      <c r="Q389" s="6"/>
      <c r="R389" s="5"/>
      <c r="W389" s="28"/>
      <c r="Y389" s="33"/>
      <c r="Z389" s="33"/>
      <c r="AA389" s="33"/>
    </row>
    <row r="390" spans="1:30" x14ac:dyDescent="0.35">
      <c r="C390" s="28"/>
      <c r="D390" s="27"/>
      <c r="I390" s="22"/>
      <c r="K390" s="22"/>
      <c r="M390" s="22"/>
      <c r="N390" s="21"/>
      <c r="O390" s="21"/>
      <c r="P390" s="5"/>
      <c r="Q390" s="6"/>
      <c r="R390" s="5"/>
      <c r="W390" s="28"/>
      <c r="Y390" s="33"/>
      <c r="Z390" s="33"/>
      <c r="AA390" s="33"/>
    </row>
    <row r="391" spans="1:30" x14ac:dyDescent="0.35">
      <c r="A391" t="s">
        <v>1789</v>
      </c>
      <c r="B391" t="s">
        <v>875</v>
      </c>
      <c r="C391" s="36">
        <f>RATE(U391,V391,-F391,H391)</f>
        <v>7.4073244028015559E-2</v>
      </c>
      <c r="D391" s="3">
        <f>C391*AD391</f>
        <v>7.4073244028015559E-2</v>
      </c>
      <c r="F391">
        <v>1048</v>
      </c>
      <c r="G391" t="s">
        <v>76</v>
      </c>
      <c r="H391">
        <v>1000</v>
      </c>
      <c r="I391" s="22"/>
      <c r="J391">
        <v>1400</v>
      </c>
      <c r="K391" s="22"/>
      <c r="L391">
        <v>3.8360202802779901</v>
      </c>
      <c r="M391" s="22">
        <v>9.2499999999999999E-2</v>
      </c>
      <c r="N391" s="21">
        <v>45176</v>
      </c>
      <c r="O391" s="21">
        <v>46180</v>
      </c>
      <c r="P391">
        <f>ROUND(YEARFRAC(N391,O391),0)</f>
        <v>3</v>
      </c>
      <c r="Q391" s="6">
        <f>(M391*H391)/F391</f>
        <v>8.8263358778625955E-2</v>
      </c>
      <c r="R391" s="5">
        <f>IF(S391="Quarterly",4,IF(S391="Semi-annual",2,IF(S391="Annual",1,IF(S391="Pays at maturity",0,IF(S391="Monthly",12,0)))))</f>
        <v>1</v>
      </c>
      <c r="S391" t="s">
        <v>93</v>
      </c>
      <c r="U391">
        <f>R391*P391</f>
        <v>3</v>
      </c>
      <c r="V391">
        <f>(H391*M391)/AD391</f>
        <v>92.5</v>
      </c>
      <c r="W391" s="28">
        <f>RATE(U391,V391,-F391,H391)</f>
        <v>7.4073244028015559E-2</v>
      </c>
      <c r="X391" s="27">
        <f>W391*AD391</f>
        <v>7.4073244028015559E-2</v>
      </c>
      <c r="Y391" s="5">
        <f>DURATION(N391,O391,M391,D391,AD391)</f>
        <v>2.5091383892218135</v>
      </c>
      <c r="Z391" s="5">
        <f>Y391/(1+C391)</f>
        <v>2.3360961677175589</v>
      </c>
      <c r="AA391" s="5">
        <f>-Z391*F391</f>
        <v>-2448.2287837680019</v>
      </c>
      <c r="AB391" t="s">
        <v>64</v>
      </c>
      <c r="AC391" t="s">
        <v>62</v>
      </c>
      <c r="AD391">
        <f>_xlfn.SWITCH(PROPER(TRIM(S391)),
   "Annual",1,
   "Semi-Annual",2,
   "Quarterly",4,
   "Monthly",12,
   "")</f>
        <v>1</v>
      </c>
    </row>
    <row r="392" spans="1:30" x14ac:dyDescent="0.35">
      <c r="A392" t="s">
        <v>1788</v>
      </c>
      <c r="B392" t="s">
        <v>324</v>
      </c>
      <c r="C392" s="36">
        <f>RATE(U392,V392,-F392,H392)</f>
        <v>7.3680932088383846E-2</v>
      </c>
      <c r="D392" s="3">
        <f>C392*AD392</f>
        <v>7.3680932088383846E-2</v>
      </c>
      <c r="F392">
        <v>104254</v>
      </c>
      <c r="G392" t="s">
        <v>76</v>
      </c>
      <c r="H392">
        <v>100000</v>
      </c>
      <c r="I392" s="22"/>
      <c r="J392">
        <v>20</v>
      </c>
      <c r="K392" s="22"/>
      <c r="L392">
        <v>5.4773535494959598</v>
      </c>
      <c r="M392" s="22">
        <v>0.09</v>
      </c>
      <c r="N392" s="21">
        <v>45085</v>
      </c>
      <c r="O392" s="21">
        <v>46181</v>
      </c>
      <c r="P392">
        <f>ROUND(YEARFRAC(N392,O392),0)</f>
        <v>3</v>
      </c>
      <c r="Q392" s="6">
        <f>(M392*H392)/F392</f>
        <v>8.6327622920943078E-2</v>
      </c>
      <c r="R392" s="5">
        <f>IF(S392="Quarterly",4,IF(S392="Semi-annual",2,IF(S392="Annual",1,IF(S392="Pays at maturity",0,IF(S392="Monthly",12,0)))))</f>
        <v>1</v>
      </c>
      <c r="S392" t="s">
        <v>93</v>
      </c>
      <c r="U392">
        <f>R392*P392</f>
        <v>3</v>
      </c>
      <c r="V392">
        <f>(H392*M392)/AD392</f>
        <v>9000</v>
      </c>
      <c r="W392" s="28">
        <f>RATE(U392,V392,-F392,H392)</f>
        <v>7.3680932088383846E-2</v>
      </c>
      <c r="X392" s="27">
        <f>W392*AD392</f>
        <v>7.3680932088383846E-2</v>
      </c>
      <c r="Y392" s="5">
        <f>DURATION(N392,O392,M392,D392,AD392)</f>
        <v>2.7643073822051658</v>
      </c>
      <c r="Z392" s="5">
        <f>Y392/(1+C392)</f>
        <v>2.5746078742670755</v>
      </c>
      <c r="AA392" s="5">
        <f>-Z392*F392</f>
        <v>-268413.16932383971</v>
      </c>
      <c r="AB392" t="s">
        <v>64</v>
      </c>
      <c r="AC392" t="s">
        <v>62</v>
      </c>
      <c r="AD392">
        <f>_xlfn.SWITCH(PROPER(TRIM(S392)),
   "Annual",1,
   "Semi-Annual",2,
   "Quarterly",4,
   "Monthly",12,
   "")</f>
        <v>1</v>
      </c>
    </row>
    <row r="393" spans="1:30" x14ac:dyDescent="0.35">
      <c r="A393" t="s">
        <v>1787</v>
      </c>
      <c r="B393" t="s">
        <v>1786</v>
      </c>
      <c r="C393" s="36">
        <f>RATE(U393,V393,-F393,H393)</f>
        <v>2.25238193389945E-2</v>
      </c>
      <c r="D393" s="3">
        <f>C393*AD393</f>
        <v>4.5047638677988999E-2</v>
      </c>
      <c r="F393">
        <v>993.14</v>
      </c>
      <c r="G393" t="s">
        <v>66</v>
      </c>
      <c r="H393">
        <v>1000</v>
      </c>
      <c r="I393" s="22"/>
      <c r="J393">
        <v>0</v>
      </c>
      <c r="K393" s="22"/>
      <c r="M393" s="22">
        <v>4.3499999999999997E-2</v>
      </c>
      <c r="N393" s="21">
        <v>44356</v>
      </c>
      <c r="O393" s="21">
        <v>46182</v>
      </c>
      <c r="P393">
        <f>ROUND(YEARFRAC(N393,O393),0)</f>
        <v>5</v>
      </c>
      <c r="Q393" s="6">
        <f>(M393*H393)/F393</f>
        <v>4.380047123265602E-2</v>
      </c>
      <c r="R393" s="5">
        <f>IF(S393="Quarterly",4,IF(S393="Semi-annual",2,IF(S393="Annual",1,IF(S393="Pays at maturity",0,IF(S393="Monthly",12,0)))))</f>
        <v>2</v>
      </c>
      <c r="S393" t="s">
        <v>65</v>
      </c>
      <c r="U393">
        <f>R393*P393</f>
        <v>10</v>
      </c>
      <c r="V393">
        <f>(H393*M393)/AD393</f>
        <v>21.75</v>
      </c>
      <c r="W393" s="28">
        <f>RATE(U393,V393,-F393,H393)</f>
        <v>2.25238193389945E-2</v>
      </c>
      <c r="X393" s="27">
        <f>W393*AD393</f>
        <v>4.5047638677988999E-2</v>
      </c>
      <c r="Y393" s="5">
        <f>DURATION(N393,O393,M393,D393,AD393)</f>
        <v>4.5453431666706932</v>
      </c>
      <c r="Z393" s="5">
        <f>Y393/(1+C393)</f>
        <v>4.4452198381148795</v>
      </c>
      <c r="AA393" s="5">
        <f>-Z393*F393</f>
        <v>-4414.7256300254112</v>
      </c>
      <c r="AB393" t="s">
        <v>69</v>
      </c>
      <c r="AC393" t="s">
        <v>62</v>
      </c>
      <c r="AD393">
        <f>_xlfn.SWITCH(PROPER(TRIM(S393)),
   "Annual",1,
   "Semi-Annual",2,
   "Quarterly",4,
   "Monthly",12,
   "")</f>
        <v>2</v>
      </c>
    </row>
    <row r="394" spans="1:30" x14ac:dyDescent="0.35">
      <c r="C394" s="28"/>
      <c r="D394" s="27"/>
      <c r="I394" s="22"/>
      <c r="K394" s="22"/>
      <c r="M394" s="22"/>
      <c r="N394" s="21"/>
      <c r="O394" s="21"/>
      <c r="P394" s="5"/>
      <c r="Q394" s="6"/>
      <c r="R394" s="5"/>
      <c r="W394" s="28"/>
      <c r="Y394" s="33"/>
      <c r="Z394" s="33"/>
      <c r="AA394" s="33"/>
    </row>
    <row r="395" spans="1:30" x14ac:dyDescent="0.35">
      <c r="A395" t="s">
        <v>1784</v>
      </c>
      <c r="B395" t="s">
        <v>157</v>
      </c>
      <c r="C395" s="36">
        <f t="shared" ref="C395:C400" si="234">RATE(U395,V395,-F395,H395)</f>
        <v>9.2377769283207845E-2</v>
      </c>
      <c r="D395" s="3">
        <f t="shared" ref="D395:D400" si="235">C395*AD395</f>
        <v>9.2377769283207845E-2</v>
      </c>
      <c r="F395">
        <v>995.48</v>
      </c>
      <c r="G395" t="s">
        <v>76</v>
      </c>
      <c r="H395">
        <v>1000</v>
      </c>
      <c r="I395" s="22"/>
      <c r="J395">
        <v>5</v>
      </c>
      <c r="K395" s="22"/>
      <c r="L395">
        <v>9.4915951920864092</v>
      </c>
      <c r="M395" s="22">
        <v>8.9800000000000005E-2</v>
      </c>
      <c r="N395" s="21">
        <v>45455</v>
      </c>
      <c r="O395" s="21">
        <v>46185</v>
      </c>
      <c r="P395">
        <f t="shared" ref="P395:P400" si="236">ROUND(YEARFRAC(N395,O395),0)</f>
        <v>2</v>
      </c>
      <c r="Q395" s="6">
        <f t="shared" ref="Q395:Q400" si="237">(M395*H395)/F395</f>
        <v>9.0207738980190466E-2</v>
      </c>
      <c r="R395" s="5">
        <f t="shared" ref="R395:R400" si="238">IF(S395="Quarterly",4,IF(S395="Semi-annual",2,IF(S395="Annual",1,IF(S395="Pays at maturity",0,IF(S395="Monthly",12,0)))))</f>
        <v>1</v>
      </c>
      <c r="S395" t="s">
        <v>93</v>
      </c>
      <c r="U395">
        <f t="shared" ref="U395:U400" si="239">R395*P395</f>
        <v>2</v>
      </c>
      <c r="V395">
        <f t="shared" ref="V395:V400" si="240">(H395*M395)/AD395</f>
        <v>89.800000000000011</v>
      </c>
      <c r="W395" s="28">
        <f t="shared" ref="W395:W400" si="241">RATE(U395,V395,-F395,H395)</f>
        <v>9.2377769283207845E-2</v>
      </c>
      <c r="X395" s="27">
        <f t="shared" ref="X395:X400" si="242">W395*AD395</f>
        <v>9.2377769283207845E-2</v>
      </c>
      <c r="Y395" s="5">
        <f t="shared" ref="Y395:Y400" si="243">DURATION(N395,O395,M395,D395,AD395)</f>
        <v>1.9174207480994576</v>
      </c>
      <c r="Z395" s="5">
        <f t="shared" ref="Z395:Z400" si="244">Y395/(1+C395)</f>
        <v>1.7552725824488569</v>
      </c>
      <c r="AA395" s="5">
        <f t="shared" ref="AA395:AA400" si="245">-Z395*F395</f>
        <v>-1747.338750376188</v>
      </c>
      <c r="AB395" t="s">
        <v>64</v>
      </c>
      <c r="AC395" t="s">
        <v>62</v>
      </c>
      <c r="AD395">
        <f t="shared" ref="AD395:AD400" si="246">_xlfn.SWITCH(PROPER(TRIM(S395)),
   "Annual",1,
   "Semi-Annual",2,
   "Quarterly",4,
   "Monthly",12,
   "")</f>
        <v>1</v>
      </c>
    </row>
    <row r="396" spans="1:30" x14ac:dyDescent="0.35">
      <c r="A396" t="s">
        <v>1783</v>
      </c>
      <c r="B396" t="s">
        <v>1270</v>
      </c>
      <c r="C396" s="36">
        <f t="shared" si="234"/>
        <v>0.1166733849084152</v>
      </c>
      <c r="D396" s="3">
        <f t="shared" si="235"/>
        <v>0.1166733849084152</v>
      </c>
      <c r="F396">
        <v>97000</v>
      </c>
      <c r="G396" t="s">
        <v>76</v>
      </c>
      <c r="H396">
        <v>100000</v>
      </c>
      <c r="I396" s="22"/>
      <c r="J396">
        <v>2</v>
      </c>
      <c r="K396" s="22"/>
      <c r="L396">
        <v>13.5659057437407</v>
      </c>
      <c r="M396" s="22">
        <v>9.9000000000000005E-2</v>
      </c>
      <c r="N396" s="21">
        <v>45455</v>
      </c>
      <c r="O396" s="21">
        <v>46185</v>
      </c>
      <c r="P396">
        <f t="shared" si="236"/>
        <v>2</v>
      </c>
      <c r="Q396" s="6">
        <f t="shared" si="237"/>
        <v>0.10206185567010309</v>
      </c>
      <c r="R396" s="5">
        <f t="shared" si="238"/>
        <v>1</v>
      </c>
      <c r="S396" t="s">
        <v>93</v>
      </c>
      <c r="U396">
        <f t="shared" si="239"/>
        <v>2</v>
      </c>
      <c r="V396">
        <f t="shared" si="240"/>
        <v>9900</v>
      </c>
      <c r="W396" s="28">
        <f t="shared" si="241"/>
        <v>0.1166733849084152</v>
      </c>
      <c r="X396" s="27">
        <f t="shared" si="242"/>
        <v>0.1166733849084152</v>
      </c>
      <c r="Y396" s="5">
        <f t="shared" si="243"/>
        <v>1.9086018731623358</v>
      </c>
      <c r="Z396" s="5">
        <f t="shared" si="244"/>
        <v>1.7091854242759366</v>
      </c>
      <c r="AA396" s="5">
        <f t="shared" si="245"/>
        <v>-165790.98615476585</v>
      </c>
      <c r="AB396" t="s">
        <v>79</v>
      </c>
      <c r="AC396" t="s">
        <v>62</v>
      </c>
      <c r="AD396">
        <f t="shared" si="246"/>
        <v>1</v>
      </c>
    </row>
    <row r="397" spans="1:30" x14ac:dyDescent="0.35">
      <c r="A397" t="s">
        <v>1782</v>
      </c>
      <c r="B397" t="s">
        <v>1531</v>
      </c>
      <c r="C397" s="36">
        <f t="shared" si="234"/>
        <v>0.36502135589215146</v>
      </c>
      <c r="D397" s="3">
        <f t="shared" si="235"/>
        <v>0.36502135589215146</v>
      </c>
      <c r="F397">
        <v>66742.25</v>
      </c>
      <c r="G397" t="s">
        <v>76</v>
      </c>
      <c r="H397">
        <v>100000</v>
      </c>
      <c r="I397" s="22"/>
      <c r="J397">
        <v>1</v>
      </c>
      <c r="K397" s="22"/>
      <c r="L397">
        <v>70.215628347625895</v>
      </c>
      <c r="M397" s="22">
        <v>0.10300000000000001</v>
      </c>
      <c r="N397" s="21">
        <v>45638</v>
      </c>
      <c r="O397" s="21">
        <v>46185</v>
      </c>
      <c r="P397">
        <f t="shared" si="236"/>
        <v>2</v>
      </c>
      <c r="Q397" s="6">
        <f t="shared" si="237"/>
        <v>0.15432503399271078</v>
      </c>
      <c r="R397" s="5">
        <f t="shared" si="238"/>
        <v>1</v>
      </c>
      <c r="S397" t="s">
        <v>93</v>
      </c>
      <c r="U397">
        <f t="shared" si="239"/>
        <v>2</v>
      </c>
      <c r="V397">
        <f t="shared" si="240"/>
        <v>10300</v>
      </c>
      <c r="W397" s="28">
        <f t="shared" si="241"/>
        <v>0.36502135589215146</v>
      </c>
      <c r="X397" s="27">
        <f t="shared" si="242"/>
        <v>0.36502135589215146</v>
      </c>
      <c r="Y397" s="5">
        <f t="shared" si="243"/>
        <v>1.3869431358516389</v>
      </c>
      <c r="Z397" s="5">
        <f t="shared" si="244"/>
        <v>1.0160596607993433</v>
      </c>
      <c r="AA397" s="5">
        <f t="shared" si="245"/>
        <v>-67814.107895984969</v>
      </c>
      <c r="AB397" t="s">
        <v>64</v>
      </c>
      <c r="AC397" t="s">
        <v>62</v>
      </c>
      <c r="AD397">
        <f t="shared" si="246"/>
        <v>1</v>
      </c>
    </row>
    <row r="398" spans="1:30" x14ac:dyDescent="0.35">
      <c r="A398" t="s">
        <v>1781</v>
      </c>
      <c r="B398" t="s">
        <v>157</v>
      </c>
      <c r="C398" s="36">
        <f t="shared" si="234"/>
        <v>9.3500000000912395E-2</v>
      </c>
      <c r="D398" s="3">
        <f t="shared" si="235"/>
        <v>9.3500000000912395E-2</v>
      </c>
      <c r="F398">
        <v>1000</v>
      </c>
      <c r="G398" t="s">
        <v>76</v>
      </c>
      <c r="H398">
        <v>1000</v>
      </c>
      <c r="I398" s="22"/>
      <c r="J398">
        <v>10</v>
      </c>
      <c r="K398" s="22"/>
      <c r="L398">
        <v>9.35</v>
      </c>
      <c r="M398" s="22">
        <v>9.35E-2</v>
      </c>
      <c r="N398" s="21">
        <v>45455</v>
      </c>
      <c r="O398" s="21">
        <v>46185</v>
      </c>
      <c r="P398">
        <f t="shared" si="236"/>
        <v>2</v>
      </c>
      <c r="Q398" s="6">
        <f t="shared" si="237"/>
        <v>9.35E-2</v>
      </c>
      <c r="R398" s="5">
        <f t="shared" si="238"/>
        <v>1</v>
      </c>
      <c r="S398" t="s">
        <v>93</v>
      </c>
      <c r="U398">
        <f t="shared" si="239"/>
        <v>2</v>
      </c>
      <c r="V398">
        <f t="shared" si="240"/>
        <v>93.5</v>
      </c>
      <c r="W398" s="28">
        <f t="shared" si="241"/>
        <v>9.3500000000912395E-2</v>
      </c>
      <c r="X398" s="27">
        <f t="shared" si="242"/>
        <v>9.3500000000912395E-2</v>
      </c>
      <c r="Y398" s="5">
        <f t="shared" si="243"/>
        <v>1.9144947416551703</v>
      </c>
      <c r="Z398" s="5">
        <f t="shared" si="244"/>
        <v>1.7507953741687912</v>
      </c>
      <c r="AA398" s="5">
        <f t="shared" si="245"/>
        <v>-1750.7953741687911</v>
      </c>
      <c r="AB398" t="s">
        <v>64</v>
      </c>
      <c r="AC398" t="s">
        <v>62</v>
      </c>
      <c r="AD398">
        <f t="shared" si="246"/>
        <v>1</v>
      </c>
    </row>
    <row r="399" spans="1:30" x14ac:dyDescent="0.35">
      <c r="A399" t="s">
        <v>1780</v>
      </c>
      <c r="B399" t="s">
        <v>882</v>
      </c>
      <c r="C399" s="36">
        <f t="shared" si="234"/>
        <v>0.10632434012523684</v>
      </c>
      <c r="D399" s="3">
        <f t="shared" si="235"/>
        <v>0.10632434012523684</v>
      </c>
      <c r="F399">
        <v>996</v>
      </c>
      <c r="G399" t="s">
        <v>76</v>
      </c>
      <c r="H399">
        <v>1000</v>
      </c>
      <c r="I399" s="22"/>
      <c r="J399">
        <v>70</v>
      </c>
      <c r="K399" s="22"/>
      <c r="L399">
        <v>10.865427026023101</v>
      </c>
      <c r="M399" s="22">
        <v>0.10400000000000001</v>
      </c>
      <c r="N399" s="21">
        <v>45364</v>
      </c>
      <c r="O399" s="21">
        <v>46186</v>
      </c>
      <c r="P399">
        <f t="shared" si="236"/>
        <v>2</v>
      </c>
      <c r="Q399" s="6">
        <f t="shared" si="237"/>
        <v>0.10441767068273093</v>
      </c>
      <c r="R399" s="5">
        <f t="shared" si="238"/>
        <v>1</v>
      </c>
      <c r="S399" t="s">
        <v>93</v>
      </c>
      <c r="U399">
        <f t="shared" si="239"/>
        <v>2</v>
      </c>
      <c r="V399">
        <f t="shared" si="240"/>
        <v>104.00000000000001</v>
      </c>
      <c r="W399" s="28">
        <f t="shared" si="241"/>
        <v>0.10632434012523684</v>
      </c>
      <c r="X399" s="27">
        <f t="shared" si="242"/>
        <v>0.10632434012523684</v>
      </c>
      <c r="Y399" s="5">
        <f t="shared" si="243"/>
        <v>1.9754500161007313</v>
      </c>
      <c r="Z399" s="5">
        <f t="shared" si="244"/>
        <v>1.7855975363220418</v>
      </c>
      <c r="AA399" s="5">
        <f t="shared" si="245"/>
        <v>-1778.4551461767535</v>
      </c>
      <c r="AB399" t="s">
        <v>64</v>
      </c>
      <c r="AC399" t="s">
        <v>62</v>
      </c>
      <c r="AD399">
        <f t="shared" si="246"/>
        <v>1</v>
      </c>
    </row>
    <row r="400" spans="1:30" x14ac:dyDescent="0.35">
      <c r="A400" t="s">
        <v>1779</v>
      </c>
      <c r="B400" t="s">
        <v>882</v>
      </c>
      <c r="C400" s="36">
        <f t="shared" si="234"/>
        <v>9.8363875580138135E-2</v>
      </c>
      <c r="D400" s="3">
        <f t="shared" si="235"/>
        <v>9.8363875580138135E-2</v>
      </c>
      <c r="F400">
        <v>1018.5</v>
      </c>
      <c r="G400" t="s">
        <v>76</v>
      </c>
      <c r="H400">
        <v>1000</v>
      </c>
      <c r="I400" s="22"/>
      <c r="J400">
        <v>10</v>
      </c>
      <c r="K400" s="22"/>
      <c r="L400">
        <v>8.7577758678523505</v>
      </c>
      <c r="M400" s="22">
        <v>0.109</v>
      </c>
      <c r="N400" s="21">
        <v>45364</v>
      </c>
      <c r="O400" s="21">
        <v>46186</v>
      </c>
      <c r="P400">
        <f t="shared" si="236"/>
        <v>2</v>
      </c>
      <c r="Q400" s="6">
        <f t="shared" si="237"/>
        <v>0.10702012763868433</v>
      </c>
      <c r="R400" s="5">
        <f t="shared" si="238"/>
        <v>1</v>
      </c>
      <c r="S400" t="s">
        <v>93</v>
      </c>
      <c r="U400">
        <f t="shared" si="239"/>
        <v>2</v>
      </c>
      <c r="V400">
        <f t="shared" si="240"/>
        <v>109</v>
      </c>
      <c r="W400" s="28">
        <f t="shared" si="241"/>
        <v>9.8363875580138135E-2</v>
      </c>
      <c r="X400" s="27">
        <f t="shared" si="242"/>
        <v>9.8363875580138135E-2</v>
      </c>
      <c r="Y400" s="5">
        <f t="shared" si="243"/>
        <v>1.9686354633679746</v>
      </c>
      <c r="Z400" s="5">
        <f t="shared" si="244"/>
        <v>1.7923344960049536</v>
      </c>
      <c r="AA400" s="5">
        <f t="shared" si="245"/>
        <v>-1825.4926841810452</v>
      </c>
      <c r="AB400" t="s">
        <v>64</v>
      </c>
      <c r="AC400" t="s">
        <v>62</v>
      </c>
      <c r="AD400">
        <f t="shared" si="246"/>
        <v>1</v>
      </c>
    </row>
    <row r="401" spans="1:30" x14ac:dyDescent="0.35">
      <c r="C401" s="28"/>
      <c r="D401" s="27"/>
      <c r="I401" s="22"/>
      <c r="K401" s="22"/>
      <c r="M401" s="22"/>
      <c r="N401" s="21"/>
      <c r="O401" s="21"/>
      <c r="P401" s="5"/>
      <c r="Q401" s="6"/>
      <c r="R401" s="5"/>
      <c r="W401" s="28"/>
      <c r="Y401" s="33"/>
      <c r="Z401" s="33"/>
      <c r="AA401" s="33"/>
    </row>
    <row r="402" spans="1:30" x14ac:dyDescent="0.35">
      <c r="A402" t="s">
        <v>1776</v>
      </c>
      <c r="B402" t="s">
        <v>261</v>
      </c>
      <c r="C402" s="36">
        <f>RATE(U402,V402,-F402,H402)</f>
        <v>8.2036882021625845E-2</v>
      </c>
      <c r="D402" s="3">
        <f>C402*AD402</f>
        <v>8.2036882021625845E-2</v>
      </c>
      <c r="F402">
        <v>101402.74</v>
      </c>
      <c r="G402" t="s">
        <v>76</v>
      </c>
      <c r="H402">
        <v>100000</v>
      </c>
      <c r="I402" s="22"/>
      <c r="J402">
        <v>5</v>
      </c>
      <c r="K402" s="22"/>
      <c r="L402">
        <v>8.1875967701020294</v>
      </c>
      <c r="M402" s="22">
        <v>8.7499999999999994E-2</v>
      </c>
      <c r="N402" s="21">
        <v>45000</v>
      </c>
      <c r="O402" s="21">
        <v>46188</v>
      </c>
      <c r="P402">
        <f>ROUND(YEARFRAC(N402,O402),0)</f>
        <v>3</v>
      </c>
      <c r="Q402" s="6">
        <f>(M402*H402)/F402</f>
        <v>8.6289581524128439E-2</v>
      </c>
      <c r="R402" s="5">
        <f>IF(S402="Quarterly",4,IF(S402="Semi-annual",2,IF(S402="Annual",1,IF(S402="Pays at maturity",0,IF(S402="Monthly",12,0)))))</f>
        <v>1</v>
      </c>
      <c r="S402" t="s">
        <v>93</v>
      </c>
      <c r="U402">
        <f>R402*P402</f>
        <v>3</v>
      </c>
      <c r="V402">
        <f>(H402*M402)/AD402</f>
        <v>8750</v>
      </c>
      <c r="W402" s="28">
        <f>RATE(U402,V402,-F402,H402)</f>
        <v>8.2036882021625845E-2</v>
      </c>
      <c r="X402" s="27">
        <f>W402*AD402</f>
        <v>8.2036882021625845E-2</v>
      </c>
      <c r="Y402" s="5">
        <f>DURATION(N402,O402,M402,D402,AD402)</f>
        <v>2.7970226246923664</v>
      </c>
      <c r="Z402" s="5">
        <f>Y402/(1+C402)</f>
        <v>2.5849605232185278</v>
      </c>
      <c r="AA402" s="5">
        <f>-Z402*F402</f>
        <v>-262122.07984619236</v>
      </c>
      <c r="AB402" t="s">
        <v>64</v>
      </c>
      <c r="AC402" t="s">
        <v>62</v>
      </c>
      <c r="AD402">
        <f>_xlfn.SWITCH(PROPER(TRIM(S402)),
   "Annual",1,
   "Semi-Annual",2,
   "Quarterly",4,
   "Monthly",12,
   "")</f>
        <v>1</v>
      </c>
    </row>
    <row r="403" spans="1:30" x14ac:dyDescent="0.35">
      <c r="A403" t="s">
        <v>1775</v>
      </c>
      <c r="B403" t="s">
        <v>390</v>
      </c>
      <c r="C403" s="36">
        <f>RATE(U403,V403,-F403,H403)</f>
        <v>0.13265306122448967</v>
      </c>
      <c r="D403" s="3">
        <f>C403*AD403</f>
        <v>0.13265306122448967</v>
      </c>
      <c r="F403">
        <v>980</v>
      </c>
      <c r="G403" t="s">
        <v>76</v>
      </c>
      <c r="H403">
        <v>1000</v>
      </c>
      <c r="I403" s="22"/>
      <c r="J403">
        <v>40</v>
      </c>
      <c r="K403" s="22"/>
      <c r="L403">
        <v>13.488617331431</v>
      </c>
      <c r="M403" s="22">
        <v>0.11</v>
      </c>
      <c r="N403" s="21">
        <v>45793</v>
      </c>
      <c r="O403" s="21">
        <v>46189</v>
      </c>
      <c r="P403">
        <f>ROUND(YEARFRAC(N403,O403),0)</f>
        <v>1</v>
      </c>
      <c r="Q403" s="6">
        <f>(M403*H403)/F403</f>
        <v>0.11224489795918367</v>
      </c>
      <c r="R403" s="5">
        <f>IF(S403="Quarterly",4,IF(S403="Semi-annual",2,IF(S403="Annual",1,IF(S403="Pays at maturity",0,IF(S403="Monthly",12,0)))))</f>
        <v>1</v>
      </c>
      <c r="S403" t="s">
        <v>93</v>
      </c>
      <c r="U403">
        <f>R403*P403</f>
        <v>1</v>
      </c>
      <c r="V403">
        <f>(H403*M403)/AD403</f>
        <v>110</v>
      </c>
      <c r="W403" s="28">
        <f>RATE(U403,V403,-F403,H403)</f>
        <v>0.13265306122448967</v>
      </c>
      <c r="X403" s="27">
        <f>W403*AD403</f>
        <v>0.13265306122448967</v>
      </c>
      <c r="Y403" s="5">
        <f>DURATION(N403,O403,M403,D403,AD403)</f>
        <v>0.98241590214067287</v>
      </c>
      <c r="Z403" s="5">
        <f>Y403/(1+C403)</f>
        <v>0.86735818387194552</v>
      </c>
      <c r="AA403" s="5">
        <f>-Z403*F403</f>
        <v>-850.01102019450661</v>
      </c>
      <c r="AB403" t="s">
        <v>64</v>
      </c>
      <c r="AC403" t="s">
        <v>62</v>
      </c>
      <c r="AD403">
        <f>_xlfn.SWITCH(PROPER(TRIM(S403)),
   "Annual",1,
   "Semi-Annual",2,
   "Quarterly",4,
   "Monthly",12,
   "")</f>
        <v>1</v>
      </c>
    </row>
    <row r="404" spans="1:30" x14ac:dyDescent="0.35">
      <c r="C404" s="28"/>
      <c r="D404" s="27"/>
      <c r="I404" s="22"/>
      <c r="K404" s="22"/>
      <c r="M404" s="22"/>
      <c r="N404" s="21"/>
      <c r="O404" s="21"/>
      <c r="P404" s="5"/>
      <c r="Q404" s="6"/>
      <c r="R404" s="5"/>
      <c r="W404" s="28"/>
      <c r="Y404" s="33"/>
      <c r="Z404" s="33"/>
      <c r="AA404" s="33"/>
    </row>
    <row r="405" spans="1:30" x14ac:dyDescent="0.35">
      <c r="A405" t="s">
        <v>1773</v>
      </c>
      <c r="B405" t="s">
        <v>923</v>
      </c>
      <c r="C405" s="36">
        <f>RATE(U405,V405,-F405,H405)</f>
        <v>0.12148027342373637</v>
      </c>
      <c r="D405" s="3">
        <f>C405*AD405</f>
        <v>0.12148027342373637</v>
      </c>
      <c r="F405">
        <v>99333</v>
      </c>
      <c r="G405" t="s">
        <v>76</v>
      </c>
      <c r="H405">
        <v>100000</v>
      </c>
      <c r="I405" s="22"/>
      <c r="J405">
        <v>3</v>
      </c>
      <c r="K405" s="22"/>
      <c r="L405">
        <v>12.191095951101699</v>
      </c>
      <c r="M405" s="22">
        <v>0.114</v>
      </c>
      <c r="N405" s="21">
        <v>45824</v>
      </c>
      <c r="O405" s="21">
        <v>46192</v>
      </c>
      <c r="P405">
        <f>ROUND(YEARFRAC(N405,O405),0)</f>
        <v>1</v>
      </c>
      <c r="Q405" s="6">
        <f>(M405*H405)/F405</f>
        <v>0.11476548579022078</v>
      </c>
      <c r="R405" s="5">
        <f>IF(S405="Quarterly",4,IF(S405="Semi-annual",2,IF(S405="Annual",1,IF(S405="Pays at maturity",0,IF(S405="Monthly",12,0)))))</f>
        <v>1</v>
      </c>
      <c r="S405" t="s">
        <v>93</v>
      </c>
      <c r="U405">
        <f>R405*P405</f>
        <v>1</v>
      </c>
      <c r="V405">
        <f>(H405*M405)/AD405</f>
        <v>11400</v>
      </c>
      <c r="W405" s="28">
        <f>RATE(U405,V405,-F405,H405)</f>
        <v>0.12148027342373637</v>
      </c>
      <c r="X405" s="27">
        <f>W405*AD405</f>
        <v>0.12148027342373637</v>
      </c>
      <c r="Y405" s="5">
        <f>DURATION(N405,O405,M405,D405,AD405)</f>
        <v>0.90538299332628924</v>
      </c>
      <c r="Z405" s="5">
        <f>Y405/(1+C405)</f>
        <v>0.8073106721371659</v>
      </c>
      <c r="AA405" s="5">
        <f>-Z405*F405</f>
        <v>-80192.5909954011</v>
      </c>
      <c r="AB405" t="s">
        <v>69</v>
      </c>
      <c r="AC405" t="s">
        <v>62</v>
      </c>
      <c r="AD405">
        <f>_xlfn.SWITCH(PROPER(TRIM(S405)),
   "Annual",1,
   "Semi-Annual",2,
   "Quarterly",4,
   "Monthly",12,
   "")</f>
        <v>1</v>
      </c>
    </row>
    <row r="406" spans="1:30" x14ac:dyDescent="0.35">
      <c r="C406" s="28"/>
      <c r="D406" s="27"/>
      <c r="I406" s="22"/>
      <c r="K406" s="22"/>
      <c r="M406" s="22"/>
      <c r="N406" s="21"/>
      <c r="O406" s="21"/>
      <c r="P406" s="5"/>
      <c r="Q406" s="6"/>
      <c r="R406" s="5"/>
      <c r="W406" s="28"/>
      <c r="Y406" s="33"/>
      <c r="Z406" s="33"/>
      <c r="AA406" s="33"/>
    </row>
    <row r="407" spans="1:30" x14ac:dyDescent="0.35">
      <c r="A407" t="s">
        <v>1771</v>
      </c>
      <c r="B407" t="s">
        <v>654</v>
      </c>
      <c r="C407" s="36">
        <f t="shared" ref="C407:C416" si="247">RATE(U407,V407,-F407,H407)</f>
        <v>0.11735460833126692</v>
      </c>
      <c r="D407" s="3">
        <f t="shared" ref="D407:D416" si="248">C407*AD407</f>
        <v>0.11735460833126692</v>
      </c>
      <c r="F407">
        <v>957</v>
      </c>
      <c r="G407" t="s">
        <v>76</v>
      </c>
      <c r="H407">
        <v>1000</v>
      </c>
      <c r="I407" s="22"/>
      <c r="J407">
        <v>1</v>
      </c>
      <c r="K407" s="22"/>
      <c r="L407">
        <v>14.2201754076996</v>
      </c>
      <c r="M407" s="22">
        <v>9.1999999999999998E-2</v>
      </c>
      <c r="N407" s="21">
        <v>45464</v>
      </c>
      <c r="O407" s="21">
        <v>46194</v>
      </c>
      <c r="P407">
        <f t="shared" ref="P407:P416" si="249">ROUND(YEARFRAC(N407,O407),0)</f>
        <v>2</v>
      </c>
      <c r="Q407" s="6">
        <f t="shared" ref="Q407:Q416" si="250">(M407*H407)/F407</f>
        <v>9.6133751306165097E-2</v>
      </c>
      <c r="R407" s="5">
        <f t="shared" ref="R407:R416" si="251">IF(S407="Quarterly",4,IF(S407="Semi-annual",2,IF(S407="Annual",1,IF(S407="Pays at maturity",0,IF(S407="Monthly",12,0)))))</f>
        <v>1</v>
      </c>
      <c r="S407" t="s">
        <v>93</v>
      </c>
      <c r="U407">
        <f t="shared" ref="U407:U416" si="252">R407*P407</f>
        <v>2</v>
      </c>
      <c r="V407">
        <f t="shared" ref="V407:V416" si="253">(H407*M407)/AD407</f>
        <v>92</v>
      </c>
      <c r="W407" s="28">
        <f t="shared" ref="W407:W416" si="254">RATE(U407,V407,-F407,H407)</f>
        <v>0.11735460833126692</v>
      </c>
      <c r="X407" s="27">
        <f t="shared" ref="X407:X416" si="255">W407*AD407</f>
        <v>0.11735460833126692</v>
      </c>
      <c r="Y407" s="5">
        <f t="shared" ref="Y407:Y416" si="256">DURATION(N407,O407,M407,D407,AD407)</f>
        <v>1.91396307797957</v>
      </c>
      <c r="Z407" s="5">
        <f t="shared" ref="Z407:Z416" si="257">Y407/(1+C407)</f>
        <v>1.7129414992416885</v>
      </c>
      <c r="AA407" s="5">
        <f t="shared" ref="AA407:AA416" si="258">-Z407*F407</f>
        <v>-1639.2850147742959</v>
      </c>
      <c r="AB407" t="s">
        <v>64</v>
      </c>
      <c r="AC407" t="s">
        <v>62</v>
      </c>
      <c r="AD407">
        <f t="shared" ref="AD407:AD416" si="259">_xlfn.SWITCH(PROPER(TRIM(S407)),
   "Annual",1,
   "Semi-Annual",2,
   "Quarterly",4,
   "Monthly",12,
   "")</f>
        <v>1</v>
      </c>
    </row>
    <row r="408" spans="1:30" x14ac:dyDescent="0.35">
      <c r="A408" t="s">
        <v>1770</v>
      </c>
      <c r="B408" t="s">
        <v>654</v>
      </c>
      <c r="C408" s="36">
        <f t="shared" si="247"/>
        <v>0.10776039194548935</v>
      </c>
      <c r="D408" s="3">
        <f t="shared" si="248"/>
        <v>0.10776039194548935</v>
      </c>
      <c r="F408">
        <v>979.8</v>
      </c>
      <c r="G408" t="s">
        <v>76</v>
      </c>
      <c r="H408">
        <v>1000</v>
      </c>
      <c r="I408" s="22"/>
      <c r="J408">
        <v>100</v>
      </c>
      <c r="K408" s="22"/>
      <c r="L408">
        <v>11.8045859699258</v>
      </c>
      <c r="M408" s="22">
        <v>9.6000000000000002E-2</v>
      </c>
      <c r="N408" s="21">
        <v>45464</v>
      </c>
      <c r="O408" s="21">
        <v>46194</v>
      </c>
      <c r="P408">
        <f t="shared" si="249"/>
        <v>2</v>
      </c>
      <c r="Q408" s="6">
        <f t="shared" si="250"/>
        <v>9.7979179424372329E-2</v>
      </c>
      <c r="R408" s="5">
        <f t="shared" si="251"/>
        <v>1</v>
      </c>
      <c r="S408" t="s">
        <v>93</v>
      </c>
      <c r="U408">
        <f t="shared" si="252"/>
        <v>2</v>
      </c>
      <c r="V408">
        <f t="shared" si="253"/>
        <v>96</v>
      </c>
      <c r="W408" s="28">
        <f t="shared" si="254"/>
        <v>0.10776039194548935</v>
      </c>
      <c r="X408" s="27">
        <f t="shared" si="255"/>
        <v>0.10776039194548935</v>
      </c>
      <c r="Y408" s="5">
        <f t="shared" si="256"/>
        <v>1.911552010582092</v>
      </c>
      <c r="Z408" s="5">
        <f t="shared" si="257"/>
        <v>1.7256006122632301</v>
      </c>
      <c r="AA408" s="5">
        <f t="shared" si="258"/>
        <v>-1690.7434798955128</v>
      </c>
      <c r="AB408" t="s">
        <v>64</v>
      </c>
      <c r="AC408" t="s">
        <v>62</v>
      </c>
      <c r="AD408">
        <f t="shared" si="259"/>
        <v>1</v>
      </c>
    </row>
    <row r="409" spans="1:30" x14ac:dyDescent="0.35">
      <c r="A409" t="s">
        <v>1769</v>
      </c>
      <c r="B409" t="s">
        <v>644</v>
      </c>
      <c r="C409" s="36">
        <f t="shared" si="247"/>
        <v>9.5202214542131902E-2</v>
      </c>
      <c r="D409" s="3">
        <f t="shared" si="248"/>
        <v>9.5202214542131902E-2</v>
      </c>
      <c r="F409">
        <v>9979</v>
      </c>
      <c r="G409" t="s">
        <v>76</v>
      </c>
      <c r="H409">
        <v>10000</v>
      </c>
      <c r="I409" s="22"/>
      <c r="J409">
        <v>5</v>
      </c>
      <c r="K409" s="22"/>
      <c r="L409">
        <v>9.6477082585595895</v>
      </c>
      <c r="M409" s="22">
        <v>9.4E-2</v>
      </c>
      <c r="N409" s="21">
        <v>45649</v>
      </c>
      <c r="O409" s="21">
        <v>46196</v>
      </c>
      <c r="P409">
        <f t="shared" si="249"/>
        <v>2</v>
      </c>
      <c r="Q409" s="6">
        <f t="shared" si="250"/>
        <v>9.4197815412365965E-2</v>
      </c>
      <c r="R409" s="5">
        <f t="shared" si="251"/>
        <v>1</v>
      </c>
      <c r="S409" t="s">
        <v>93</v>
      </c>
      <c r="U409">
        <f t="shared" si="252"/>
        <v>2</v>
      </c>
      <c r="V409">
        <f t="shared" si="253"/>
        <v>940</v>
      </c>
      <c r="W409" s="28">
        <f t="shared" si="254"/>
        <v>9.5202214542131902E-2</v>
      </c>
      <c r="X409" s="27">
        <f t="shared" si="255"/>
        <v>9.5202214542131902E-2</v>
      </c>
      <c r="Y409" s="5">
        <f t="shared" si="256"/>
        <v>1.4139904812447948</v>
      </c>
      <c r="Z409" s="5">
        <f t="shared" si="257"/>
        <v>1.2910770837291794</v>
      </c>
      <c r="AA409" s="5">
        <f t="shared" si="258"/>
        <v>-12883.658218533481</v>
      </c>
      <c r="AB409" t="s">
        <v>64</v>
      </c>
      <c r="AC409" t="s">
        <v>62</v>
      </c>
      <c r="AD409">
        <f t="shared" si="259"/>
        <v>1</v>
      </c>
    </row>
    <row r="410" spans="1:30" x14ac:dyDescent="0.35">
      <c r="A410" t="s">
        <v>1768</v>
      </c>
      <c r="B410" t="s">
        <v>1767</v>
      </c>
      <c r="C410" s="36">
        <f t="shared" si="247"/>
        <v>1.0566963909002844E-2</v>
      </c>
      <c r="D410" s="3">
        <f t="shared" si="248"/>
        <v>2.1133927818005688E-2</v>
      </c>
      <c r="F410">
        <v>971.04</v>
      </c>
      <c r="G410" t="s">
        <v>66</v>
      </c>
      <c r="H410">
        <v>1000</v>
      </c>
      <c r="I410" s="22"/>
      <c r="J410">
        <v>1000000</v>
      </c>
      <c r="K410" s="22"/>
      <c r="M410" s="22">
        <v>1.4999999999999999E-2</v>
      </c>
      <c r="N410" s="21">
        <v>44370</v>
      </c>
      <c r="O410" s="21">
        <v>46196</v>
      </c>
      <c r="P410">
        <f t="shared" si="249"/>
        <v>5</v>
      </c>
      <c r="Q410" s="6">
        <f t="shared" si="250"/>
        <v>1.5447355412753338E-2</v>
      </c>
      <c r="R410" s="5">
        <f t="shared" si="251"/>
        <v>2</v>
      </c>
      <c r="S410" t="s">
        <v>65</v>
      </c>
      <c r="U410">
        <f t="shared" si="252"/>
        <v>10</v>
      </c>
      <c r="V410">
        <f t="shared" si="253"/>
        <v>7.5</v>
      </c>
      <c r="W410" s="28">
        <f t="shared" si="254"/>
        <v>1.0566963909002844E-2</v>
      </c>
      <c r="X410" s="27">
        <f t="shared" si="255"/>
        <v>2.1133927818005688E-2</v>
      </c>
      <c r="Y410" s="5">
        <f t="shared" si="256"/>
        <v>4.832742828273326</v>
      </c>
      <c r="Z410" s="5">
        <f t="shared" si="257"/>
        <v>4.7822093941995245</v>
      </c>
      <c r="AA410" s="5">
        <f t="shared" si="258"/>
        <v>-4643.7166101435059</v>
      </c>
      <c r="AB410" t="s">
        <v>69</v>
      </c>
      <c r="AC410" t="s">
        <v>62</v>
      </c>
      <c r="AD410">
        <f t="shared" si="259"/>
        <v>2</v>
      </c>
    </row>
    <row r="411" spans="1:30" x14ac:dyDescent="0.35">
      <c r="A411" t="s">
        <v>1766</v>
      </c>
      <c r="B411" t="s">
        <v>67</v>
      </c>
      <c r="C411" s="36">
        <f t="shared" si="247"/>
        <v>3.8296777033231921E-2</v>
      </c>
      <c r="D411" s="3">
        <f t="shared" si="248"/>
        <v>7.6593554066463843E-2</v>
      </c>
      <c r="F411">
        <v>1200.5</v>
      </c>
      <c r="G411" t="s">
        <v>66</v>
      </c>
      <c r="H411">
        <v>1000</v>
      </c>
      <c r="I411" s="22"/>
      <c r="J411">
        <v>250000</v>
      </c>
      <c r="K411" s="22"/>
      <c r="M411" s="22">
        <v>9.375E-2</v>
      </c>
      <c r="N411" s="21">
        <v>35240</v>
      </c>
      <c r="O411" s="21">
        <v>46197</v>
      </c>
      <c r="P411">
        <f t="shared" si="249"/>
        <v>30</v>
      </c>
      <c r="Q411" s="6">
        <f t="shared" si="250"/>
        <v>7.8092461474385672E-2</v>
      </c>
      <c r="R411" s="5">
        <f t="shared" si="251"/>
        <v>2</v>
      </c>
      <c r="S411" t="s">
        <v>65</v>
      </c>
      <c r="U411">
        <f t="shared" si="252"/>
        <v>60</v>
      </c>
      <c r="V411">
        <f t="shared" si="253"/>
        <v>46.875</v>
      </c>
      <c r="W411" s="28">
        <f t="shared" si="254"/>
        <v>3.8296777033231921E-2</v>
      </c>
      <c r="X411" s="27">
        <f t="shared" si="255"/>
        <v>7.6593554066463843E-2</v>
      </c>
      <c r="Y411" s="5">
        <f t="shared" si="256"/>
        <v>11.784499092816967</v>
      </c>
      <c r="Z411" s="5">
        <f t="shared" si="257"/>
        <v>11.349836918967718</v>
      </c>
      <c r="AA411" s="5">
        <f t="shared" si="258"/>
        <v>-13625.479221220745</v>
      </c>
      <c r="AB411" t="s">
        <v>79</v>
      </c>
      <c r="AC411" t="s">
        <v>62</v>
      </c>
      <c r="AD411">
        <f t="shared" si="259"/>
        <v>2</v>
      </c>
    </row>
    <row r="412" spans="1:30" x14ac:dyDescent="0.35">
      <c r="A412" t="s">
        <v>1765</v>
      </c>
      <c r="B412" t="s">
        <v>1446</v>
      </c>
      <c r="C412" s="36">
        <f t="shared" si="247"/>
        <v>2.5225440631714845E-2</v>
      </c>
      <c r="D412" s="3">
        <f t="shared" si="248"/>
        <v>0.10090176252685938</v>
      </c>
      <c r="F412">
        <v>9937.2900000000009</v>
      </c>
      <c r="G412" t="s">
        <v>76</v>
      </c>
      <c r="H412">
        <v>10000</v>
      </c>
      <c r="I412" s="22"/>
      <c r="J412">
        <v>12</v>
      </c>
      <c r="K412" s="22"/>
      <c r="M412" s="22">
        <v>9.74E-2</v>
      </c>
      <c r="N412" s="21">
        <v>45650</v>
      </c>
      <c r="O412" s="21">
        <v>46197</v>
      </c>
      <c r="P412">
        <f t="shared" si="249"/>
        <v>2</v>
      </c>
      <c r="Q412" s="6">
        <f t="shared" si="250"/>
        <v>9.8014649869330561E-2</v>
      </c>
      <c r="R412" s="5">
        <f t="shared" si="251"/>
        <v>4</v>
      </c>
      <c r="S412" t="s">
        <v>105</v>
      </c>
      <c r="U412">
        <f t="shared" si="252"/>
        <v>8</v>
      </c>
      <c r="V412">
        <f t="shared" si="253"/>
        <v>243.5</v>
      </c>
      <c r="W412" s="28">
        <f t="shared" si="254"/>
        <v>2.5225440631714845E-2</v>
      </c>
      <c r="X412" s="27">
        <f t="shared" si="255"/>
        <v>0.10090176252685938</v>
      </c>
      <c r="Y412" s="5">
        <f t="shared" si="256"/>
        <v>1.4133854124277883</v>
      </c>
      <c r="Z412" s="5">
        <f t="shared" si="257"/>
        <v>1.3786093832756434</v>
      </c>
      <c r="AA412" s="5">
        <f t="shared" si="258"/>
        <v>-13699.64123833122</v>
      </c>
      <c r="AB412" t="s">
        <v>64</v>
      </c>
      <c r="AC412" t="s">
        <v>62</v>
      </c>
      <c r="AD412">
        <f t="shared" si="259"/>
        <v>4</v>
      </c>
    </row>
    <row r="413" spans="1:30" x14ac:dyDescent="0.35">
      <c r="A413" t="s">
        <v>1764</v>
      </c>
      <c r="B413" t="s">
        <v>67</v>
      </c>
      <c r="C413" s="36">
        <f t="shared" si="247"/>
        <v>3.5052416208737218E-2</v>
      </c>
      <c r="D413" s="3">
        <f t="shared" si="248"/>
        <v>7.0104832417474436E-2</v>
      </c>
      <c r="F413">
        <v>1294.6001000000001</v>
      </c>
      <c r="G413" t="s">
        <v>66</v>
      </c>
      <c r="H413">
        <v>1000</v>
      </c>
      <c r="I413" s="22"/>
      <c r="J413">
        <v>0</v>
      </c>
      <c r="K413" s="22"/>
      <c r="M413" s="22">
        <v>9.375E-2</v>
      </c>
      <c r="N413" s="21">
        <v>35240</v>
      </c>
      <c r="O413" s="21">
        <v>46197</v>
      </c>
      <c r="P413">
        <f t="shared" si="249"/>
        <v>30</v>
      </c>
      <c r="Q413" s="6">
        <f t="shared" si="250"/>
        <v>7.2416184735347999E-2</v>
      </c>
      <c r="R413" s="5">
        <f t="shared" si="251"/>
        <v>2</v>
      </c>
      <c r="S413" t="s">
        <v>65</v>
      </c>
      <c r="U413">
        <f t="shared" si="252"/>
        <v>60</v>
      </c>
      <c r="V413">
        <f t="shared" si="253"/>
        <v>46.875</v>
      </c>
      <c r="W413" s="28">
        <f t="shared" si="254"/>
        <v>3.5052416208737218E-2</v>
      </c>
      <c r="X413" s="27">
        <f t="shared" si="255"/>
        <v>7.0104832417474436E-2</v>
      </c>
      <c r="Y413" s="5">
        <f t="shared" si="256"/>
        <v>12.332015003116116</v>
      </c>
      <c r="Z413" s="5">
        <f t="shared" si="257"/>
        <v>11.914386952775482</v>
      </c>
      <c r="AA413" s="5">
        <f t="shared" si="258"/>
        <v>-15424.366540501836</v>
      </c>
      <c r="AB413" t="s">
        <v>79</v>
      </c>
      <c r="AC413" t="s">
        <v>62</v>
      </c>
      <c r="AD413">
        <f t="shared" si="259"/>
        <v>2</v>
      </c>
    </row>
    <row r="414" spans="1:30" x14ac:dyDescent="0.35">
      <c r="A414" t="s">
        <v>1763</v>
      </c>
      <c r="B414" t="s">
        <v>1254</v>
      </c>
      <c r="C414" s="36">
        <f t="shared" si="247"/>
        <v>0.11749410249564506</v>
      </c>
      <c r="D414" s="3">
        <f t="shared" si="248"/>
        <v>0.11749410249564506</v>
      </c>
      <c r="F414">
        <v>100001</v>
      </c>
      <c r="G414" t="s">
        <v>76</v>
      </c>
      <c r="H414">
        <v>100000</v>
      </c>
      <c r="I414" s="22"/>
      <c r="J414">
        <v>1</v>
      </c>
      <c r="K414" s="22"/>
      <c r="L414">
        <v>11.7493762649058</v>
      </c>
      <c r="M414" s="22">
        <v>0.11749999999999999</v>
      </c>
      <c r="N414" s="21">
        <v>45469</v>
      </c>
      <c r="O414" s="21">
        <v>46199</v>
      </c>
      <c r="P414">
        <f t="shared" si="249"/>
        <v>2</v>
      </c>
      <c r="Q414" s="6">
        <f t="shared" si="250"/>
        <v>0.11749882501174988</v>
      </c>
      <c r="R414" s="5">
        <f t="shared" si="251"/>
        <v>1</v>
      </c>
      <c r="S414" t="s">
        <v>93</v>
      </c>
      <c r="U414">
        <f t="shared" si="252"/>
        <v>2</v>
      </c>
      <c r="V414">
        <f t="shared" si="253"/>
        <v>11750</v>
      </c>
      <c r="W414" s="28">
        <f t="shared" si="254"/>
        <v>0.11749410249564506</v>
      </c>
      <c r="X414" s="27">
        <f t="shared" si="255"/>
        <v>0.11749410249564506</v>
      </c>
      <c r="Y414" s="5">
        <f t="shared" si="256"/>
        <v>1.8948550826806643</v>
      </c>
      <c r="Z414" s="5">
        <f t="shared" si="257"/>
        <v>1.6956287093139704</v>
      </c>
      <c r="AA414" s="5">
        <f t="shared" si="258"/>
        <v>-169564.56656010635</v>
      </c>
      <c r="AB414" t="s">
        <v>64</v>
      </c>
      <c r="AC414" t="s">
        <v>62</v>
      </c>
      <c r="AD414">
        <f t="shared" si="259"/>
        <v>1</v>
      </c>
    </row>
    <row r="415" spans="1:30" x14ac:dyDescent="0.35">
      <c r="A415" t="s">
        <v>1762</v>
      </c>
      <c r="B415" t="s">
        <v>1761</v>
      </c>
      <c r="C415" s="36">
        <f t="shared" si="247"/>
        <v>0.14120151085637309</v>
      </c>
      <c r="D415" s="3">
        <f t="shared" si="248"/>
        <v>0.14120151085637309</v>
      </c>
      <c r="F415">
        <v>92400</v>
      </c>
      <c r="G415" t="s">
        <v>76</v>
      </c>
      <c r="H415">
        <v>100000</v>
      </c>
      <c r="I415" s="22"/>
      <c r="J415">
        <v>10</v>
      </c>
      <c r="K415" s="22"/>
      <c r="L415">
        <v>19.764486278247698</v>
      </c>
      <c r="M415" s="22">
        <v>0.11900000000000001</v>
      </c>
      <c r="N415" s="21">
        <v>44281</v>
      </c>
      <c r="O415" s="21">
        <v>46199</v>
      </c>
      <c r="P415">
        <f t="shared" si="249"/>
        <v>5</v>
      </c>
      <c r="Q415" s="6">
        <f t="shared" si="250"/>
        <v>0.12878787878787878</v>
      </c>
      <c r="R415" s="5">
        <f t="shared" si="251"/>
        <v>1</v>
      </c>
      <c r="S415" t="s">
        <v>93</v>
      </c>
      <c r="U415">
        <f t="shared" si="252"/>
        <v>5</v>
      </c>
      <c r="V415">
        <f t="shared" si="253"/>
        <v>11900</v>
      </c>
      <c r="W415" s="28">
        <f t="shared" si="254"/>
        <v>0.14120151085637309</v>
      </c>
      <c r="X415" s="27">
        <f t="shared" si="255"/>
        <v>0.14120151085637309</v>
      </c>
      <c r="Y415" s="5">
        <f t="shared" si="256"/>
        <v>3.7959983877914922</v>
      </c>
      <c r="Z415" s="5">
        <f t="shared" si="257"/>
        <v>3.3263173520887852</v>
      </c>
      <c r="AA415" s="5">
        <f t="shared" si="258"/>
        <v>-307351.72333300376</v>
      </c>
      <c r="AB415" t="s">
        <v>64</v>
      </c>
      <c r="AC415" t="s">
        <v>62</v>
      </c>
      <c r="AD415">
        <f t="shared" si="259"/>
        <v>1</v>
      </c>
    </row>
    <row r="416" spans="1:30" x14ac:dyDescent="0.35">
      <c r="A416" t="s">
        <v>1760</v>
      </c>
      <c r="B416" t="s">
        <v>1270</v>
      </c>
      <c r="C416" s="36">
        <f t="shared" si="247"/>
        <v>0.23676838925349555</v>
      </c>
      <c r="D416" s="3">
        <f t="shared" si="248"/>
        <v>0.23676838925349555</v>
      </c>
      <c r="F416">
        <v>80000</v>
      </c>
      <c r="G416" t="s">
        <v>76</v>
      </c>
      <c r="H416">
        <v>100000</v>
      </c>
      <c r="I416" s="22"/>
      <c r="J416">
        <v>2</v>
      </c>
      <c r="K416" s="22"/>
      <c r="L416">
        <v>39.338235294117602</v>
      </c>
      <c r="M416" s="22">
        <v>0.1</v>
      </c>
      <c r="N416" s="21">
        <v>45653</v>
      </c>
      <c r="O416" s="21">
        <v>46200</v>
      </c>
      <c r="P416">
        <f t="shared" si="249"/>
        <v>2</v>
      </c>
      <c r="Q416" s="6">
        <f t="shared" si="250"/>
        <v>0.125</v>
      </c>
      <c r="R416" s="5">
        <f t="shared" si="251"/>
        <v>1</v>
      </c>
      <c r="S416" t="s">
        <v>93</v>
      </c>
      <c r="U416">
        <f t="shared" si="252"/>
        <v>2</v>
      </c>
      <c r="V416">
        <f t="shared" si="253"/>
        <v>10000</v>
      </c>
      <c r="W416" s="28">
        <f t="shared" si="254"/>
        <v>0.23676838925349555</v>
      </c>
      <c r="X416" s="27">
        <f t="shared" si="255"/>
        <v>0.23676838925349555</v>
      </c>
      <c r="Y416" s="5">
        <f t="shared" si="256"/>
        <v>1.3989301464315003</v>
      </c>
      <c r="Z416" s="5">
        <f t="shared" si="257"/>
        <v>1.1311173204191323</v>
      </c>
      <c r="AA416" s="5">
        <f t="shared" si="258"/>
        <v>-90489.385633530575</v>
      </c>
      <c r="AB416" t="s">
        <v>64</v>
      </c>
      <c r="AC416" t="s">
        <v>62</v>
      </c>
      <c r="AD416">
        <f t="shared" si="259"/>
        <v>1</v>
      </c>
    </row>
    <row r="417" spans="1:30" x14ac:dyDescent="0.35">
      <c r="C417" s="28"/>
      <c r="D417" s="27"/>
      <c r="I417" s="22"/>
      <c r="K417" s="22"/>
      <c r="M417" s="22"/>
      <c r="N417" s="21"/>
      <c r="O417" s="21"/>
      <c r="P417" s="5"/>
      <c r="Q417" s="6"/>
      <c r="R417" s="5"/>
      <c r="W417" s="28"/>
      <c r="Y417" s="33"/>
      <c r="Z417" s="33"/>
      <c r="AA417" s="33"/>
    </row>
    <row r="418" spans="1:30" x14ac:dyDescent="0.35">
      <c r="A418" t="s">
        <v>1758</v>
      </c>
      <c r="B418" t="s">
        <v>1757</v>
      </c>
      <c r="C418" s="36">
        <f>RATE(U418,V418,-F418,H418)</f>
        <v>8.7500000000000647E-2</v>
      </c>
      <c r="D418" s="3">
        <f>C418*AD418</f>
        <v>8.7500000000000647E-2</v>
      </c>
      <c r="F418">
        <v>100000</v>
      </c>
      <c r="G418" t="s">
        <v>76</v>
      </c>
      <c r="H418">
        <v>100000</v>
      </c>
      <c r="I418" s="22"/>
      <c r="J418">
        <v>1</v>
      </c>
      <c r="K418" s="22"/>
      <c r="L418">
        <v>8.75</v>
      </c>
      <c r="M418" s="22">
        <v>8.7499999999999994E-2</v>
      </c>
      <c r="N418" s="21">
        <v>45013</v>
      </c>
      <c r="O418" s="21">
        <v>46201</v>
      </c>
      <c r="P418">
        <f>ROUND(YEARFRAC(N418,O418),0)</f>
        <v>3</v>
      </c>
      <c r="Q418" s="6">
        <f>(M418*H418)/F418</f>
        <v>8.7499999999999994E-2</v>
      </c>
      <c r="R418" s="5">
        <f>IF(S418="Quarterly",4,IF(S418="Semi-annual",2,IF(S418="Annual",1,IF(S418="Pays at maturity",0,IF(S418="Monthly",12,0)))))</f>
        <v>1</v>
      </c>
      <c r="S418" t="s">
        <v>93</v>
      </c>
      <c r="U418">
        <f>R418*P418</f>
        <v>3</v>
      </c>
      <c r="V418">
        <f>(H418*M418)/AD418</f>
        <v>8750</v>
      </c>
      <c r="W418" s="28">
        <f>RATE(U418,V418,-F418,H418)</f>
        <v>8.7500000000000647E-2</v>
      </c>
      <c r="X418" s="27">
        <f>W418*AD418</f>
        <v>8.7500000000000647E-2</v>
      </c>
      <c r="Y418" s="5">
        <f>DURATION(N418,O418,M418,D418,AD418)</f>
        <v>2.7926155993214912</v>
      </c>
      <c r="Z418" s="5">
        <f>Y418/(1+C418)</f>
        <v>2.56792239018068</v>
      </c>
      <c r="AA418" s="5">
        <f>-Z418*F418</f>
        <v>-256792.23901806801</v>
      </c>
      <c r="AB418" t="s">
        <v>64</v>
      </c>
      <c r="AC418" t="s">
        <v>62</v>
      </c>
      <c r="AD418">
        <f>_xlfn.SWITCH(PROPER(TRIM(S418)),
   "Annual",1,
   "Semi-Annual",2,
   "Quarterly",4,
   "Monthly",12,
   "")</f>
        <v>1</v>
      </c>
    </row>
    <row r="419" spans="1:30" x14ac:dyDescent="0.35">
      <c r="A419" t="s">
        <v>1756</v>
      </c>
      <c r="B419" t="s">
        <v>1650</v>
      </c>
      <c r="C419" s="36">
        <f>RATE(U419,V419,-F419,H419)</f>
        <v>0.10948718489640227</v>
      </c>
      <c r="D419" s="3">
        <f>C419*AD419</f>
        <v>0.10948718489640227</v>
      </c>
      <c r="F419">
        <v>98100</v>
      </c>
      <c r="G419" t="s">
        <v>76</v>
      </c>
      <c r="H419">
        <v>100000</v>
      </c>
      <c r="I419" s="22"/>
      <c r="J419">
        <v>1</v>
      </c>
      <c r="K419" s="22"/>
      <c r="L419">
        <v>12.1036945363669</v>
      </c>
      <c r="M419" s="22">
        <v>9.8400000000000001E-2</v>
      </c>
      <c r="N419" s="21">
        <v>45471</v>
      </c>
      <c r="O419" s="21">
        <v>46201</v>
      </c>
      <c r="P419">
        <f>ROUND(YEARFRAC(N419,O419),0)</f>
        <v>2</v>
      </c>
      <c r="Q419" s="6">
        <f>(M419*H419)/F419</f>
        <v>0.10030581039755351</v>
      </c>
      <c r="R419" s="5">
        <f>IF(S419="Quarterly",4,IF(S419="Semi-annual",2,IF(S419="Annual",1,IF(S419="Pays at maturity",0,IF(S419="Monthly",12,0)))))</f>
        <v>1</v>
      </c>
      <c r="S419" t="s">
        <v>93</v>
      </c>
      <c r="U419">
        <f>R419*P419</f>
        <v>2</v>
      </c>
      <c r="V419">
        <f>(H419*M419)/AD419</f>
        <v>9840</v>
      </c>
      <c r="W419" s="28">
        <f>RATE(U419,V419,-F419,H419)</f>
        <v>0.10948718489640227</v>
      </c>
      <c r="X419" s="27">
        <f>W419*AD419</f>
        <v>0.10948718489640227</v>
      </c>
      <c r="Y419" s="5">
        <f>DURATION(N419,O419,M419,D419,AD419)</f>
        <v>1.9095926372444583</v>
      </c>
      <c r="Z419" s="5">
        <f>Y419/(1+C419)</f>
        <v>1.7211488904423582</v>
      </c>
      <c r="AA419" s="5">
        <f>-Z419*F419</f>
        <v>-168844.70615239535</v>
      </c>
      <c r="AB419" t="s">
        <v>64</v>
      </c>
      <c r="AC419" t="s">
        <v>62</v>
      </c>
      <c r="AD419">
        <f>_xlfn.SWITCH(PROPER(TRIM(S419)),
   "Annual",1,
   "Semi-Annual",2,
   "Quarterly",4,
   "Monthly",12,
   "")</f>
        <v>1</v>
      </c>
    </row>
    <row r="420" spans="1:30" x14ac:dyDescent="0.35">
      <c r="A420" t="s">
        <v>1755</v>
      </c>
      <c r="B420" t="s">
        <v>483</v>
      </c>
      <c r="C420" s="36">
        <f>RATE(U420,V420,-F420,H420)</f>
        <v>6.7917866691456483E-2</v>
      </c>
      <c r="D420" s="3">
        <f>C420*AD420</f>
        <v>6.7917866691456483E-2</v>
      </c>
      <c r="F420">
        <v>1045</v>
      </c>
      <c r="G420" t="s">
        <v>76</v>
      </c>
      <c r="H420">
        <v>1000</v>
      </c>
      <c r="I420" s="22"/>
      <c r="J420">
        <v>15</v>
      </c>
      <c r="K420" s="22"/>
      <c r="L420">
        <v>4.0725492377879098</v>
      </c>
      <c r="M420" s="22">
        <v>8.5000000000000006E-2</v>
      </c>
      <c r="N420" s="21">
        <v>45105</v>
      </c>
      <c r="O420" s="21">
        <v>46201</v>
      </c>
      <c r="P420">
        <f>ROUND(YEARFRAC(N420,O420),0)</f>
        <v>3</v>
      </c>
      <c r="Q420" s="6">
        <f>(M420*H420)/F420</f>
        <v>8.1339712918660281E-2</v>
      </c>
      <c r="R420" s="5">
        <f>IF(S420="Quarterly",4,IF(S420="Semi-annual",2,IF(S420="Annual",1,IF(S420="Pays at maturity",0,IF(S420="Monthly",12,0)))))</f>
        <v>1</v>
      </c>
      <c r="S420" t="s">
        <v>93</v>
      </c>
      <c r="U420">
        <f>R420*P420</f>
        <v>3</v>
      </c>
      <c r="V420">
        <f>(H420*M420)/AD420</f>
        <v>85</v>
      </c>
      <c r="W420" s="28">
        <f>RATE(U420,V420,-F420,H420)</f>
        <v>6.7917866691456483E-2</v>
      </c>
      <c r="X420" s="27">
        <f>W420*AD420</f>
        <v>6.7917866691456483E-2</v>
      </c>
      <c r="Y420" s="5">
        <f>DURATION(N420,O420,M420,D420,AD420)</f>
        <v>2.7763441640210349</v>
      </c>
      <c r="Z420" s="5">
        <f>Y420/(1+C420)</f>
        <v>2.5997731198397287</v>
      </c>
      <c r="AA420" s="5">
        <f>-Z420*F420</f>
        <v>-2716.7629102325163</v>
      </c>
      <c r="AB420" t="s">
        <v>64</v>
      </c>
      <c r="AC420" t="s">
        <v>62</v>
      </c>
      <c r="AD420">
        <f>_xlfn.SWITCH(PROPER(TRIM(S420)),
   "Annual",1,
   "Semi-Annual",2,
   "Quarterly",4,
   "Monthly",12,
   "")</f>
        <v>1</v>
      </c>
    </row>
    <row r="421" spans="1:30" x14ac:dyDescent="0.35">
      <c r="A421" t="s">
        <v>1754</v>
      </c>
      <c r="B421" t="s">
        <v>128</v>
      </c>
      <c r="C421" s="36">
        <f>RATE(U421,V421,-F421,H421)</f>
        <v>8.5367144192058445E-2</v>
      </c>
      <c r="D421" s="3">
        <f>C421*AD421</f>
        <v>8.5367144192058445E-2</v>
      </c>
      <c r="F421">
        <v>105000</v>
      </c>
      <c r="G421" t="s">
        <v>76</v>
      </c>
      <c r="H421">
        <v>100000</v>
      </c>
      <c r="I421" s="22"/>
      <c r="J421">
        <v>40</v>
      </c>
      <c r="K421" s="22"/>
      <c r="L421">
        <v>4.2590073066263496</v>
      </c>
      <c r="M421" s="22">
        <v>9.3000000000000013E-2</v>
      </c>
      <c r="N421" s="21">
        <v>42550</v>
      </c>
      <c r="O421" s="21">
        <v>46202</v>
      </c>
      <c r="P421">
        <f>ROUND(YEARFRAC(N421,O421),0)</f>
        <v>10</v>
      </c>
      <c r="Q421" s="6">
        <f>(M421*H421)/F421</f>
        <v>8.8571428571428593E-2</v>
      </c>
      <c r="R421" s="5">
        <f>IF(S421="Quarterly",4,IF(S421="Semi-annual",2,IF(S421="Annual",1,IF(S421="Pays at maturity",0,IF(S421="Monthly",12,0)))))</f>
        <v>1</v>
      </c>
      <c r="S421" t="s">
        <v>93</v>
      </c>
      <c r="U421">
        <f>R421*P421</f>
        <v>10</v>
      </c>
      <c r="V421">
        <f>(H421*M421)/AD421</f>
        <v>9300.0000000000018</v>
      </c>
      <c r="W421" s="28">
        <f>RATE(U421,V421,-F421,H421)</f>
        <v>8.5367144192058445E-2</v>
      </c>
      <c r="X421" s="27">
        <f>W421*AD421</f>
        <v>8.5367144192058445E-2</v>
      </c>
      <c r="Y421" s="5">
        <f>DURATION(N421,O421,M421,D421,AD421)</f>
        <v>7.0013532966191674</v>
      </c>
      <c r="Z421" s="5">
        <f>Y421/(1+C421)</f>
        <v>6.4506773897517764</v>
      </c>
      <c r="AA421" s="5">
        <f>-Z421*F421</f>
        <v>-677321.12592393649</v>
      </c>
      <c r="AB421" t="s">
        <v>64</v>
      </c>
      <c r="AC421" t="s">
        <v>62</v>
      </c>
      <c r="AD421">
        <f>_xlfn.SWITCH(PROPER(TRIM(S421)),
   "Annual",1,
   "Semi-Annual",2,
   "Quarterly",4,
   "Monthly",12,
   "")</f>
        <v>1</v>
      </c>
    </row>
    <row r="422" spans="1:30" x14ac:dyDescent="0.35">
      <c r="C422" s="28"/>
      <c r="D422" s="27"/>
      <c r="I422" s="22"/>
      <c r="K422" s="22"/>
      <c r="M422" s="22"/>
      <c r="N422" s="21"/>
      <c r="O422" s="21"/>
      <c r="P422" s="5"/>
      <c r="Q422" s="6"/>
      <c r="R422" s="5"/>
      <c r="W422" s="28"/>
      <c r="Y422" s="33"/>
      <c r="Z422" s="33"/>
      <c r="AA422" s="33"/>
    </row>
    <row r="423" spans="1:30" x14ac:dyDescent="0.35">
      <c r="A423" t="s">
        <v>1752</v>
      </c>
      <c r="B423" t="s">
        <v>128</v>
      </c>
      <c r="C423" s="36">
        <f>RATE(U423,V423,-F423,H423)</f>
        <v>0.12213622759929377</v>
      </c>
      <c r="D423" s="3">
        <f>C423*AD423</f>
        <v>0.12213622759929377</v>
      </c>
      <c r="F423">
        <v>820000</v>
      </c>
      <c r="G423" t="s">
        <v>76</v>
      </c>
      <c r="H423">
        <v>1000000</v>
      </c>
      <c r="I423" s="22"/>
      <c r="J423">
        <v>1</v>
      </c>
      <c r="K423" s="22"/>
      <c r="L423">
        <v>31.006097560975601</v>
      </c>
      <c r="M423" s="22">
        <v>0.09</v>
      </c>
      <c r="N423" s="21">
        <v>42551</v>
      </c>
      <c r="O423" s="21">
        <v>46203</v>
      </c>
      <c r="P423">
        <f>ROUND(YEARFRAC(N423,O423),0)</f>
        <v>10</v>
      </c>
      <c r="Q423" s="6">
        <f>(M423*H423)/F423</f>
        <v>0.10975609756097561</v>
      </c>
      <c r="R423" s="5">
        <f>IF(S423="Quarterly",4,IF(S423="Semi-annual",2,IF(S423="Annual",1,IF(S423="Pays at maturity",0,IF(S423="Monthly",12,0)))))</f>
        <v>1</v>
      </c>
      <c r="S423" t="s">
        <v>93</v>
      </c>
      <c r="U423">
        <f>R423*P423</f>
        <v>10</v>
      </c>
      <c r="V423">
        <f>(H423*M423)/AD423</f>
        <v>90000</v>
      </c>
      <c r="W423" s="28">
        <f>RATE(U423,V423,-F423,H423)</f>
        <v>0.12213622759929377</v>
      </c>
      <c r="X423" s="27">
        <f>W423*AD423</f>
        <v>0.12213622759929377</v>
      </c>
      <c r="Y423" s="5">
        <f>DURATION(N423,O423,M423,D423,AD423)</f>
        <v>6.6617975767422326</v>
      </c>
      <c r="Z423" s="5">
        <f>Y423/(1+C423)</f>
        <v>5.9367101898087089</v>
      </c>
      <c r="AA423" s="5">
        <f>-Z423*F423</f>
        <v>-4868102.3556431411</v>
      </c>
      <c r="AB423" t="s">
        <v>64</v>
      </c>
      <c r="AC423" t="s">
        <v>62</v>
      </c>
      <c r="AD423">
        <f>_xlfn.SWITCH(PROPER(TRIM(S423)),
   "Annual",1,
   "Semi-Annual",2,
   "Quarterly",4,
   "Monthly",12,
   "")</f>
        <v>1</v>
      </c>
    </row>
    <row r="424" spans="1:30" x14ac:dyDescent="0.35">
      <c r="A424" t="s">
        <v>1751</v>
      </c>
      <c r="B424" t="s">
        <v>241</v>
      </c>
      <c r="C424" s="36">
        <f>RATE(U424,V424,-F424,H424)</f>
        <v>8.6558922595183885E-2</v>
      </c>
      <c r="D424" s="3">
        <f>C424*AD424</f>
        <v>8.6558922595183885E-2</v>
      </c>
      <c r="F424">
        <v>1010.5</v>
      </c>
      <c r="G424" t="s">
        <v>76</v>
      </c>
      <c r="H424">
        <v>1000</v>
      </c>
      <c r="I424" s="22"/>
      <c r="J424">
        <v>90</v>
      </c>
      <c r="K424" s="22"/>
      <c r="L424">
        <v>8.0449143640893404</v>
      </c>
      <c r="M424" s="22">
        <v>9.2499999999999999E-2</v>
      </c>
      <c r="N424" s="21">
        <v>45412</v>
      </c>
      <c r="O424" s="21">
        <v>46203</v>
      </c>
      <c r="P424">
        <f>ROUND(YEARFRAC(N424,O424),0)</f>
        <v>2</v>
      </c>
      <c r="Q424" s="6">
        <f>(M424*H424)/F424</f>
        <v>9.1538842157347852E-2</v>
      </c>
      <c r="R424" s="5">
        <f>IF(S424="Quarterly",4,IF(S424="Semi-annual",2,IF(S424="Annual",1,IF(S424="Pays at maturity",0,IF(S424="Monthly",12,0)))))</f>
        <v>1</v>
      </c>
      <c r="S424" t="s">
        <v>93</v>
      </c>
      <c r="U424">
        <f>R424*P424</f>
        <v>2</v>
      </c>
      <c r="V424">
        <f>(H424*M424)/AD424</f>
        <v>92.5</v>
      </c>
      <c r="W424" s="28">
        <f>RATE(U424,V424,-F424,H424)</f>
        <v>8.6558922595183885E-2</v>
      </c>
      <c r="X424" s="27">
        <f>W424*AD424</f>
        <v>8.6558922595183885E-2</v>
      </c>
      <c r="Y424" s="5">
        <f>DURATION(N424,O424,M424,D424,AD424)</f>
        <v>1.9217608278425526</v>
      </c>
      <c r="Z424" s="5">
        <f>Y424/(1+C424)</f>
        <v>1.7686669244338233</v>
      </c>
      <c r="AA424" s="5">
        <f>-Z424*F424</f>
        <v>-1787.2379271403786</v>
      </c>
      <c r="AB424" t="s">
        <v>64</v>
      </c>
      <c r="AC424" t="s">
        <v>62</v>
      </c>
      <c r="AD424">
        <f>_xlfn.SWITCH(PROPER(TRIM(S424)),
   "Annual",1,
   "Semi-Annual",2,
   "Quarterly",4,
   "Monthly",12,
   "")</f>
        <v>1</v>
      </c>
    </row>
    <row r="425" spans="1:30" x14ac:dyDescent="0.35">
      <c r="A425" t="s">
        <v>1750</v>
      </c>
      <c r="B425" t="s">
        <v>241</v>
      </c>
      <c r="C425" s="36">
        <f>RATE(U425,V425,-F425,H425)</f>
        <v>9.8662630175758839E-2</v>
      </c>
      <c r="D425" s="3">
        <f>C425*AD425</f>
        <v>9.8662630175758839E-2</v>
      </c>
      <c r="F425">
        <v>983.2</v>
      </c>
      <c r="G425" t="s">
        <v>76</v>
      </c>
      <c r="H425">
        <v>1000</v>
      </c>
      <c r="I425" s="22"/>
      <c r="J425">
        <v>150</v>
      </c>
      <c r="K425" s="22"/>
      <c r="L425">
        <v>10.8650916797547</v>
      </c>
      <c r="M425" s="22">
        <v>8.900000000000001E-2</v>
      </c>
      <c r="N425" s="21">
        <v>45412</v>
      </c>
      <c r="O425" s="21">
        <v>46203</v>
      </c>
      <c r="P425">
        <f>ROUND(YEARFRAC(N425,O425),0)</f>
        <v>2</v>
      </c>
      <c r="Q425" s="6">
        <f>(M425*H425)/F425</f>
        <v>9.0520748576078128E-2</v>
      </c>
      <c r="R425" s="5">
        <f>IF(S425="Quarterly",4,IF(S425="Semi-annual",2,IF(S425="Annual",1,IF(S425="Pays at maturity",0,IF(S425="Monthly",12,0)))))</f>
        <v>1</v>
      </c>
      <c r="S425" t="s">
        <v>93</v>
      </c>
      <c r="U425">
        <f>R425*P425</f>
        <v>2</v>
      </c>
      <c r="V425">
        <f>(H425*M425)/AD425</f>
        <v>89.000000000000014</v>
      </c>
      <c r="W425" s="28">
        <f>RATE(U425,V425,-F425,H425)</f>
        <v>9.8662630175758839E-2</v>
      </c>
      <c r="X425" s="27">
        <f>W425*AD425</f>
        <v>9.8662630175758839E-2</v>
      </c>
      <c r="Y425" s="5">
        <f>DURATION(N425,O425,M425,D425,AD425)</f>
        <v>1.9251001873022981</v>
      </c>
      <c r="Z425" s="5">
        <f>Y425/(1+C425)</f>
        <v>1.7522214139515508</v>
      </c>
      <c r="AA425" s="5">
        <f>-Z425*F425</f>
        <v>-1722.7840941971649</v>
      </c>
      <c r="AB425" t="s">
        <v>64</v>
      </c>
      <c r="AC425" t="s">
        <v>62</v>
      </c>
      <c r="AD425">
        <f>_xlfn.SWITCH(PROPER(TRIM(S425)),
   "Annual",1,
   "Semi-Annual",2,
   "Quarterly",4,
   "Monthly",12,
   "")</f>
        <v>1</v>
      </c>
    </row>
    <row r="426" spans="1:30" x14ac:dyDescent="0.35">
      <c r="A426" t="s">
        <v>1749</v>
      </c>
      <c r="B426" t="s">
        <v>1660</v>
      </c>
      <c r="C426" s="36">
        <f>RATE(U426,V426,-F426,H426)</f>
        <v>0.11795944038723666</v>
      </c>
      <c r="D426" s="3">
        <f>C426*AD426</f>
        <v>0.11795944038723666</v>
      </c>
      <c r="F426">
        <v>98227.55</v>
      </c>
      <c r="G426" t="s">
        <v>76</v>
      </c>
      <c r="H426">
        <v>100000</v>
      </c>
      <c r="I426" s="22"/>
      <c r="J426">
        <v>2</v>
      </c>
      <c r="K426" s="22"/>
      <c r="L426">
        <v>12.853013970762399</v>
      </c>
      <c r="M426" s="22">
        <v>0.1075</v>
      </c>
      <c r="N426" s="21">
        <v>45475</v>
      </c>
      <c r="O426" s="21">
        <v>46205</v>
      </c>
      <c r="P426">
        <f>ROUND(YEARFRAC(N426,O426),0)</f>
        <v>2</v>
      </c>
      <c r="Q426" s="6">
        <f>(M426*H426)/F426</f>
        <v>0.10943976511681294</v>
      </c>
      <c r="R426" s="5">
        <f>IF(S426="Quarterly",4,IF(S426="Semi-annual",2,IF(S426="Annual",1,IF(S426="Pays at maturity",0,IF(S426="Monthly",12,0)))))</f>
        <v>1</v>
      </c>
      <c r="S426" t="s">
        <v>93</v>
      </c>
      <c r="U426">
        <f>R426*P426</f>
        <v>2</v>
      </c>
      <c r="V426">
        <f>(H426*M426)/AD426</f>
        <v>10750</v>
      </c>
      <c r="W426" s="28">
        <f>RATE(U426,V426,-F426,H426)</f>
        <v>0.11795944038723666</v>
      </c>
      <c r="X426" s="27">
        <f>W426*AD426</f>
        <v>0.11795944038723666</v>
      </c>
      <c r="Y426" s="5">
        <f>DURATION(N426,O426,M426,D426,AD426)</f>
        <v>1.9021075710234128</v>
      </c>
      <c r="Z426" s="5">
        <f>Y426/(1+C426)</f>
        <v>1.7014101784985727</v>
      </c>
      <c r="AA426" s="5">
        <f>-Z426*F426</f>
        <v>-167125.35337897748</v>
      </c>
      <c r="AB426" t="s">
        <v>64</v>
      </c>
      <c r="AC426" t="s">
        <v>62</v>
      </c>
      <c r="AD426">
        <f>_xlfn.SWITCH(PROPER(TRIM(S426)),
   "Annual",1,
   "Semi-Annual",2,
   "Quarterly",4,
   "Monthly",12,
   "")</f>
        <v>1</v>
      </c>
    </row>
    <row r="427" spans="1:30" x14ac:dyDescent="0.35">
      <c r="C427" s="28"/>
      <c r="D427" s="27"/>
      <c r="I427" s="22"/>
      <c r="K427" s="22"/>
      <c r="M427" s="22"/>
      <c r="N427" s="21"/>
      <c r="O427" s="21"/>
      <c r="P427" s="5"/>
      <c r="Q427" s="6"/>
      <c r="R427" s="5"/>
      <c r="W427" s="28"/>
      <c r="Y427" s="33"/>
      <c r="Z427" s="33"/>
      <c r="AA427" s="33"/>
    </row>
    <row r="428" spans="1:30" x14ac:dyDescent="0.35">
      <c r="A428" t="s">
        <v>1747</v>
      </c>
      <c r="B428" t="s">
        <v>119</v>
      </c>
      <c r="C428" s="36">
        <f>RATE(U428,V428,-F428,H428)</f>
        <v>0.10076784268527811</v>
      </c>
      <c r="D428" s="3">
        <f>C428*AD428</f>
        <v>0.10076784268527811</v>
      </c>
      <c r="F428">
        <v>990</v>
      </c>
      <c r="G428" t="s">
        <v>76</v>
      </c>
      <c r="H428">
        <v>1000</v>
      </c>
      <c r="I428" s="22"/>
      <c r="J428">
        <v>63</v>
      </c>
      <c r="K428" s="22"/>
      <c r="L428">
        <v>10.6584577766133</v>
      </c>
      <c r="M428" s="22">
        <v>9.5000000000000001E-2</v>
      </c>
      <c r="N428" s="21">
        <v>45476</v>
      </c>
      <c r="O428" s="21">
        <v>46206</v>
      </c>
      <c r="P428">
        <f>ROUND(YEARFRAC(N428,O428),0)</f>
        <v>2</v>
      </c>
      <c r="Q428" s="6">
        <f>(M428*H428)/F428</f>
        <v>9.5959595959595953E-2</v>
      </c>
      <c r="R428" s="5">
        <f>IF(S428="Quarterly",4,IF(S428="Semi-annual",2,IF(S428="Annual",1,IF(S428="Pays at maturity",0,IF(S428="Monthly",12,0)))))</f>
        <v>1</v>
      </c>
      <c r="S428" t="s">
        <v>93</v>
      </c>
      <c r="U428">
        <f>R428*P428</f>
        <v>2</v>
      </c>
      <c r="V428">
        <f>(H428*M428)/AD428</f>
        <v>95</v>
      </c>
      <c r="W428" s="28">
        <f>RATE(U428,V428,-F428,H428)</f>
        <v>0.10076784268527811</v>
      </c>
      <c r="X428" s="27">
        <f>W428*AD428</f>
        <v>0.10076784268527811</v>
      </c>
      <c r="Y428" s="5">
        <f>DURATION(N428,O428,M428,D428,AD428)</f>
        <v>1.9128248553069043</v>
      </c>
      <c r="Z428" s="5">
        <f>Y428/(1+C428)</f>
        <v>1.7377186915641052</v>
      </c>
      <c r="AA428" s="5">
        <f>-Z428*F428</f>
        <v>-1720.341504648464</v>
      </c>
      <c r="AB428" t="s">
        <v>64</v>
      </c>
      <c r="AC428" t="s">
        <v>62</v>
      </c>
      <c r="AD428">
        <f>_xlfn.SWITCH(PROPER(TRIM(S428)),
   "Annual",1,
   "Semi-Annual",2,
   "Quarterly",4,
   "Monthly",12,
   "")</f>
        <v>1</v>
      </c>
    </row>
    <row r="429" spans="1:30" x14ac:dyDescent="0.35">
      <c r="A429" t="s">
        <v>1746</v>
      </c>
      <c r="B429" t="s">
        <v>401</v>
      </c>
      <c r="C429" s="36">
        <f>RATE(U429,V429,-F429,H429)</f>
        <v>0.10409231667563351</v>
      </c>
      <c r="D429" s="3">
        <f>C429*AD429</f>
        <v>0.10409231667563351</v>
      </c>
      <c r="F429">
        <v>99606.85</v>
      </c>
      <c r="G429" t="s">
        <v>76</v>
      </c>
      <c r="H429">
        <v>100000</v>
      </c>
      <c r="I429" s="22"/>
      <c r="J429">
        <v>10</v>
      </c>
      <c r="K429" s="22"/>
      <c r="L429">
        <v>10.699735755440599</v>
      </c>
      <c r="M429" s="22">
        <v>0.10249999999999999</v>
      </c>
      <c r="N429" s="21">
        <v>45296</v>
      </c>
      <c r="O429" s="21">
        <v>46208</v>
      </c>
      <c r="P429">
        <f>ROUND(YEARFRAC(N429,O429),0)</f>
        <v>3</v>
      </c>
      <c r="Q429" s="6">
        <f>(M429*H429)/F429</f>
        <v>0.10290456931425901</v>
      </c>
      <c r="R429" s="5">
        <f>IF(S429="Quarterly",4,IF(S429="Semi-annual",2,IF(S429="Annual",1,IF(S429="Pays at maturity",0,IF(S429="Monthly",12,0)))))</f>
        <v>1</v>
      </c>
      <c r="S429" t="s">
        <v>93</v>
      </c>
      <c r="U429">
        <f>R429*P429</f>
        <v>3</v>
      </c>
      <c r="V429">
        <f>(H429*M429)/AD429</f>
        <v>10250</v>
      </c>
      <c r="W429" s="28">
        <f>RATE(U429,V429,-F429,H429)</f>
        <v>0.10409231667563351</v>
      </c>
      <c r="X429" s="27">
        <f>W429*AD429</f>
        <v>0.10409231667563351</v>
      </c>
      <c r="Y429" s="5">
        <f>DURATION(N429,O429,M429,D429,AD429)</f>
        <v>2.2291784381768749</v>
      </c>
      <c r="Z429" s="5">
        <f>Y429/(1+C429)</f>
        <v>2.0190145375604271</v>
      </c>
      <c r="AA429" s="5">
        <f>-Z429*F429</f>
        <v>-201107.67819060085</v>
      </c>
      <c r="AB429" t="s">
        <v>64</v>
      </c>
      <c r="AC429" t="s">
        <v>62</v>
      </c>
      <c r="AD429">
        <f>_xlfn.SWITCH(PROPER(TRIM(S429)),
   "Annual",1,
   "Semi-Annual",2,
   "Quarterly",4,
   "Monthly",12,
   "")</f>
        <v>1</v>
      </c>
    </row>
    <row r="430" spans="1:30" x14ac:dyDescent="0.35">
      <c r="A430" t="s">
        <v>1745</v>
      </c>
      <c r="B430" t="s">
        <v>465</v>
      </c>
      <c r="C430" s="36">
        <f>RATE(U430,V430,-F430,H430)</f>
        <v>0.11249999999999998</v>
      </c>
      <c r="D430" s="3">
        <f>C430*AD430</f>
        <v>0.11249999999999998</v>
      </c>
      <c r="F430">
        <v>100000</v>
      </c>
      <c r="G430" t="s">
        <v>76</v>
      </c>
      <c r="H430">
        <v>100000</v>
      </c>
      <c r="I430" s="22"/>
      <c r="J430">
        <v>1</v>
      </c>
      <c r="K430" s="22"/>
      <c r="L430">
        <v>11.25</v>
      </c>
      <c r="M430" s="22">
        <v>0.1125</v>
      </c>
      <c r="N430" s="21">
        <v>45665</v>
      </c>
      <c r="O430" s="21">
        <v>46211</v>
      </c>
      <c r="P430">
        <f>ROUND(YEARFRAC(N430,O430),0)</f>
        <v>2</v>
      </c>
      <c r="Q430" s="6">
        <f>(M430*H430)/F430</f>
        <v>0.1125</v>
      </c>
      <c r="R430" s="5">
        <f>IF(S430="Quarterly",4,IF(S430="Semi-annual",2,IF(S430="Annual",1,IF(S430="Pays at maturity",0,IF(S430="Monthly",12,0)))))</f>
        <v>1</v>
      </c>
      <c r="S430" t="s">
        <v>93</v>
      </c>
      <c r="U430">
        <f>R430*P430</f>
        <v>2</v>
      </c>
      <c r="V430">
        <f>(H430*M430)/AD430</f>
        <v>11250</v>
      </c>
      <c r="W430" s="28">
        <f>RATE(U430,V430,-F430,H430)</f>
        <v>0.11249999999999998</v>
      </c>
      <c r="X430" s="27">
        <f>W430*AD430</f>
        <v>0.11249999999999998</v>
      </c>
      <c r="Y430" s="5">
        <f>DURATION(N430,O430,M430,D430,AD430)</f>
        <v>1.398876404494382</v>
      </c>
      <c r="Z430" s="5">
        <f>Y430/(1+C430)</f>
        <v>1.2574169928039389</v>
      </c>
      <c r="AA430" s="5">
        <f>-Z430*F430</f>
        <v>-125741.69928039389</v>
      </c>
      <c r="AB430" t="s">
        <v>64</v>
      </c>
      <c r="AC430" t="s">
        <v>62</v>
      </c>
      <c r="AD430">
        <f>_xlfn.SWITCH(PROPER(TRIM(S430)),
   "Annual",1,
   "Semi-Annual",2,
   "Quarterly",4,
   "Monthly",12,
   "")</f>
        <v>1</v>
      </c>
    </row>
    <row r="431" spans="1:30" x14ac:dyDescent="0.35">
      <c r="C431" s="28"/>
      <c r="D431" s="27"/>
      <c r="I431" s="22"/>
      <c r="K431" s="22"/>
      <c r="M431" s="22"/>
      <c r="N431" s="21"/>
      <c r="O431" s="21"/>
      <c r="P431" s="5"/>
      <c r="Q431" s="6"/>
      <c r="R431" s="5"/>
      <c r="W431" s="28"/>
      <c r="Y431" s="33"/>
      <c r="Z431" s="33"/>
      <c r="AA431" s="33"/>
    </row>
    <row r="432" spans="1:30" x14ac:dyDescent="0.35">
      <c r="A432" t="s">
        <v>1743</v>
      </c>
      <c r="B432" t="s">
        <v>634</v>
      </c>
      <c r="C432" s="36">
        <f>RATE(U432,V432,-F432,H432)</f>
        <v>0.12184127446782067</v>
      </c>
      <c r="D432" s="3">
        <f>C432*AD432</f>
        <v>0.12184127446782067</v>
      </c>
      <c r="F432">
        <v>97750.7</v>
      </c>
      <c r="G432" t="s">
        <v>76</v>
      </c>
      <c r="H432">
        <v>100000</v>
      </c>
      <c r="I432" s="22"/>
      <c r="J432">
        <v>1</v>
      </c>
      <c r="K432" s="22"/>
      <c r="L432">
        <v>13.3881826261422</v>
      </c>
      <c r="M432" s="22">
        <v>0.1085</v>
      </c>
      <c r="N432" s="21">
        <v>45303</v>
      </c>
      <c r="O432" s="21">
        <v>46213</v>
      </c>
      <c r="P432">
        <f>ROUND(YEARFRAC(N432,O432),0)</f>
        <v>2</v>
      </c>
      <c r="Q432" s="6">
        <f>(M432*H432)/F432</f>
        <v>0.11099664759433948</v>
      </c>
      <c r="R432" s="5">
        <f>IF(S432="Quarterly",4,IF(S432="Semi-annual",2,IF(S432="Annual",1,IF(S432="Pays at maturity",0,IF(S432="Monthly",12,0)))))</f>
        <v>1</v>
      </c>
      <c r="S432" t="s">
        <v>93</v>
      </c>
      <c r="U432">
        <f>R432*P432</f>
        <v>2</v>
      </c>
      <c r="V432">
        <f>(H432*M432)/AD432</f>
        <v>10850</v>
      </c>
      <c r="W432" s="28">
        <f>RATE(U432,V432,-F432,H432)</f>
        <v>0.12184127446782067</v>
      </c>
      <c r="X432" s="27">
        <f>W432*AD432</f>
        <v>0.12184127446782067</v>
      </c>
      <c r="Y432" s="5">
        <f>DURATION(N432,O432,M432,D432,AD432)</f>
        <v>2.2055733788115792</v>
      </c>
      <c r="Z432" s="5">
        <f>Y432/(1+C432)</f>
        <v>1.9660298020839528</v>
      </c>
      <c r="AA432" s="5">
        <f>-Z432*F432</f>
        <v>-192180.78937456783</v>
      </c>
      <c r="AB432" t="s">
        <v>64</v>
      </c>
      <c r="AC432" t="s">
        <v>62</v>
      </c>
      <c r="AD432">
        <f>_xlfn.SWITCH(PROPER(TRIM(S432)),
   "Annual",1,
   "Semi-Annual",2,
   "Quarterly",4,
   "Monthly",12,
   "")</f>
        <v>1</v>
      </c>
    </row>
    <row r="433" spans="1:30" x14ac:dyDescent="0.35">
      <c r="A433" t="s">
        <v>1742</v>
      </c>
      <c r="B433" t="s">
        <v>772</v>
      </c>
      <c r="C433" s="36">
        <f>RATE(U433,V433,-F433,H433)</f>
        <v>1.2132858693680745E-2</v>
      </c>
      <c r="D433" s="3">
        <f>C433*AD433</f>
        <v>2.4265717387361489E-2</v>
      </c>
      <c r="F433">
        <v>965.21</v>
      </c>
      <c r="G433" t="s">
        <v>66</v>
      </c>
      <c r="H433">
        <v>1000</v>
      </c>
      <c r="I433" s="22"/>
      <c r="J433">
        <v>2880000</v>
      </c>
      <c r="K433" s="22"/>
      <c r="M433" s="22">
        <v>1.8000000000000002E-2</v>
      </c>
      <c r="N433" s="21">
        <v>44209</v>
      </c>
      <c r="O433" s="21">
        <v>46216</v>
      </c>
      <c r="P433">
        <f>ROUND(YEARFRAC(N433,O433),0)</f>
        <v>6</v>
      </c>
      <c r="Q433" s="6">
        <f>(M433*H433)/F433</f>
        <v>1.8648791454709341E-2</v>
      </c>
      <c r="R433" s="5">
        <f>IF(S433="Quarterly",4,IF(S433="Semi-annual",2,IF(S433="Annual",1,IF(S433="Pays at maturity",0,IF(S433="Monthly",12,0)))))</f>
        <v>2</v>
      </c>
      <c r="S433" t="s">
        <v>65</v>
      </c>
      <c r="U433">
        <f>R433*P433</f>
        <v>12</v>
      </c>
      <c r="V433">
        <f>(H433*M433)/AD433</f>
        <v>9.0000000000000018</v>
      </c>
      <c r="W433" s="28">
        <f>RATE(U433,V433,-F433,H433)</f>
        <v>1.2132858693680745E-2</v>
      </c>
      <c r="X433" s="27">
        <f>W433*AD433</f>
        <v>2.4265717387361489E-2</v>
      </c>
      <c r="Y433" s="5">
        <f>DURATION(N433,O433,M433,D433,AD433)</f>
        <v>5.2562336700260932</v>
      </c>
      <c r="Z433" s="5">
        <f>Y433/(1+C433)</f>
        <v>5.1932250048774264</v>
      </c>
      <c r="AA433" s="5">
        <f>-Z433*F433</f>
        <v>-5012.5527069577411</v>
      </c>
      <c r="AB433" t="s">
        <v>64</v>
      </c>
      <c r="AC433" t="s">
        <v>62</v>
      </c>
      <c r="AD433">
        <f>_xlfn.SWITCH(PROPER(TRIM(S433)),
   "Annual",1,
   "Semi-Annual",2,
   "Quarterly",4,
   "Monthly",12,
   "")</f>
        <v>2</v>
      </c>
    </row>
    <row r="434" spans="1:30" x14ac:dyDescent="0.35">
      <c r="A434" t="s">
        <v>1741</v>
      </c>
      <c r="B434" t="s">
        <v>353</v>
      </c>
      <c r="C434" s="36">
        <f>RATE(U434,V434,-F434,H434)</f>
        <v>0.12436548223350258</v>
      </c>
      <c r="D434" s="3">
        <f>C434*AD434</f>
        <v>0.12436548223350258</v>
      </c>
      <c r="F434">
        <v>985</v>
      </c>
      <c r="G434" t="s">
        <v>76</v>
      </c>
      <c r="H434">
        <v>1000</v>
      </c>
      <c r="I434" s="22"/>
      <c r="J434">
        <v>150</v>
      </c>
      <c r="K434" s="22"/>
      <c r="L434">
        <v>12.3764360138925</v>
      </c>
      <c r="M434" s="22">
        <v>0.1075</v>
      </c>
      <c r="N434" s="21">
        <v>45674</v>
      </c>
      <c r="O434" s="21">
        <v>46219</v>
      </c>
      <c r="P434">
        <f>ROUND(YEARFRAC(N434,O434),0)</f>
        <v>1</v>
      </c>
      <c r="Q434" s="6">
        <f>(M434*H434)/F434</f>
        <v>0.10913705583756345</v>
      </c>
      <c r="R434" s="5">
        <f>IF(S434="Quarterly",4,IF(S434="Semi-annual",2,IF(S434="Annual",1,IF(S434="Pays at maturity",0,IF(S434="Monthly",12,0)))))</f>
        <v>1</v>
      </c>
      <c r="S434" t="s">
        <v>93</v>
      </c>
      <c r="U434">
        <f>R434*P434</f>
        <v>1</v>
      </c>
      <c r="V434">
        <f>(H434*M434)/AD434</f>
        <v>107.5</v>
      </c>
      <c r="W434" s="28">
        <f>RATE(U434,V434,-F434,H434)</f>
        <v>0.12436548223350258</v>
      </c>
      <c r="X434" s="27">
        <f>W434*AD434</f>
        <v>0.12436548223350258</v>
      </c>
      <c r="Y434" s="5">
        <f>DURATION(N434,O434,M434,D434,AD434)</f>
        <v>1.398824052885838</v>
      </c>
      <c r="Z434" s="5">
        <f>Y434/(1+C434)</f>
        <v>1.244100850647901</v>
      </c>
      <c r="AA434" s="5">
        <f>-Z434*F434</f>
        <v>-1225.4393378881825</v>
      </c>
      <c r="AB434" t="s">
        <v>64</v>
      </c>
      <c r="AC434" t="s">
        <v>62</v>
      </c>
      <c r="AD434">
        <f>_xlfn.SWITCH(PROPER(TRIM(S434)),
   "Annual",1,
   "Semi-Annual",2,
   "Quarterly",4,
   "Monthly",12,
   "")</f>
        <v>1</v>
      </c>
    </row>
    <row r="435" spans="1:30" x14ac:dyDescent="0.35">
      <c r="A435" t="s">
        <v>1740</v>
      </c>
      <c r="B435" t="s">
        <v>809</v>
      </c>
      <c r="C435" s="36" t="e">
        <f>RATE(U435,V435,-F435,H435)</f>
        <v>#VALUE!</v>
      </c>
      <c r="D435" s="3" t="e">
        <f>C435*AD435</f>
        <v>#VALUE!</v>
      </c>
      <c r="F435">
        <v>240000</v>
      </c>
      <c r="G435" t="s">
        <v>76</v>
      </c>
      <c r="H435">
        <v>100000</v>
      </c>
      <c r="I435" s="22"/>
      <c r="J435">
        <v>10</v>
      </c>
      <c r="K435" s="22"/>
      <c r="L435">
        <v>-53.800306211723502</v>
      </c>
      <c r="M435" s="22">
        <v>0.05</v>
      </c>
      <c r="N435" s="21">
        <v>42543</v>
      </c>
      <c r="O435" s="21">
        <v>46220</v>
      </c>
      <c r="P435">
        <f>ROUND(YEARFRAC(N435,O435),0)</f>
        <v>10</v>
      </c>
      <c r="Q435" s="6">
        <f>(M435*H435)/F435</f>
        <v>2.0833333333333332E-2</v>
      </c>
      <c r="R435" s="5">
        <f>IF(S435="Quarterly",4,IF(S435="Semi-annual",2,IF(S435="Annual",1,IF(S435="Pays at maturity",0,IF(S435="Monthly",12,0)))))</f>
        <v>0</v>
      </c>
      <c r="S435" t="s">
        <v>782</v>
      </c>
      <c r="U435">
        <f>R435*P435</f>
        <v>0</v>
      </c>
      <c r="V435" t="e">
        <f>(H435*M435)/AD435</f>
        <v>#VALUE!</v>
      </c>
      <c r="W435" s="28" t="e">
        <f>RATE(U435,V435,-F435,H435)</f>
        <v>#VALUE!</v>
      </c>
      <c r="X435" s="27" t="e">
        <f>W435*AD435</f>
        <v>#VALUE!</v>
      </c>
      <c r="Y435" s="5" t="e">
        <f>DURATION(N435,O435,M435,D435,AD435)</f>
        <v>#VALUE!</v>
      </c>
      <c r="Z435" s="5" t="e">
        <f>Y435/(1+C435)</f>
        <v>#VALUE!</v>
      </c>
      <c r="AA435" s="5" t="e">
        <f>-Z435*F435</f>
        <v>#VALUE!</v>
      </c>
      <c r="AB435" t="s">
        <v>64</v>
      </c>
      <c r="AC435" t="s">
        <v>62</v>
      </c>
      <c r="AD435" t="str">
        <f>_xlfn.SWITCH(PROPER(TRIM(S435)),
   "Annual",1,
   "Semi-Annual",2,
   "Quarterly",4,
   "Monthly",12,
   "")</f>
        <v/>
      </c>
    </row>
    <row r="436" spans="1:30" x14ac:dyDescent="0.35">
      <c r="C436" s="28"/>
      <c r="D436" s="27"/>
      <c r="I436" s="22"/>
      <c r="K436" s="22"/>
      <c r="M436" s="22"/>
      <c r="N436" s="21"/>
      <c r="O436" s="21"/>
      <c r="P436" s="5"/>
      <c r="Q436" s="6"/>
      <c r="R436" s="5"/>
      <c r="W436" s="28"/>
      <c r="Y436" s="33"/>
      <c r="Z436" s="33"/>
      <c r="AA436" s="33"/>
    </row>
    <row r="437" spans="1:30" x14ac:dyDescent="0.35">
      <c r="A437" t="s">
        <v>1738</v>
      </c>
      <c r="B437" t="s">
        <v>882</v>
      </c>
      <c r="C437" s="36">
        <f>RATE(U437,V437,-F437,H437)</f>
        <v>0.10816047757373104</v>
      </c>
      <c r="D437" s="3">
        <f>C437*AD437</f>
        <v>0.10816047757373104</v>
      </c>
      <c r="F437">
        <v>1005</v>
      </c>
      <c r="G437" t="s">
        <v>76</v>
      </c>
      <c r="H437">
        <v>1000</v>
      </c>
      <c r="I437" s="22"/>
      <c r="J437">
        <v>10</v>
      </c>
      <c r="K437" s="22"/>
      <c r="L437">
        <v>10.4607517965726</v>
      </c>
      <c r="M437" s="22">
        <v>0.11019999999999999</v>
      </c>
      <c r="N437" s="21">
        <v>45125</v>
      </c>
      <c r="O437" s="21">
        <v>46221</v>
      </c>
      <c r="P437">
        <f>ROUND(YEARFRAC(N437,O437),0)</f>
        <v>3</v>
      </c>
      <c r="Q437" s="6">
        <f>(M437*H437)/F437</f>
        <v>0.10965174129353232</v>
      </c>
      <c r="R437" s="5">
        <f>IF(S437="Quarterly",4,IF(S437="Semi-annual",2,IF(S437="Annual",1,IF(S437="Pays at maturity",0,IF(S437="Monthly",12,0)))))</f>
        <v>1</v>
      </c>
      <c r="S437" t="s">
        <v>93</v>
      </c>
      <c r="U437">
        <f>R437*P437</f>
        <v>3</v>
      </c>
      <c r="V437">
        <f>(H437*M437)/AD437</f>
        <v>110.19999999999999</v>
      </c>
      <c r="W437" s="28">
        <f>RATE(U437,V437,-F437,H437)</f>
        <v>0.10816047757373104</v>
      </c>
      <c r="X437" s="27">
        <f>W437*AD437</f>
        <v>0.10816047757373104</v>
      </c>
      <c r="Y437" s="5">
        <f>DURATION(N437,O437,M437,D437,AD437)</f>
        <v>2.7128098113106516</v>
      </c>
      <c r="Z437" s="5">
        <f>Y437/(1+C437)</f>
        <v>2.4480297449790216</v>
      </c>
      <c r="AA437" s="5">
        <f>-Z437*F437</f>
        <v>-2460.2698937039168</v>
      </c>
      <c r="AB437" t="s">
        <v>64</v>
      </c>
      <c r="AC437" t="s">
        <v>62</v>
      </c>
      <c r="AD437">
        <f>_xlfn.SWITCH(PROPER(TRIM(S437)),
   "Annual",1,
   "Semi-Annual",2,
   "Quarterly",4,
   "Monthly",12,
   "")</f>
        <v>1</v>
      </c>
    </row>
    <row r="438" spans="1:30" x14ac:dyDescent="0.35">
      <c r="A438" t="s">
        <v>1737</v>
      </c>
      <c r="B438" t="s">
        <v>882</v>
      </c>
      <c r="C438" s="36">
        <f>RATE(U438,V438,-F438,H438)</f>
        <v>0.10197365439687552</v>
      </c>
      <c r="D438" s="3">
        <f>C438*AD438</f>
        <v>0.10197365439687552</v>
      </c>
      <c r="F438">
        <v>1007.5</v>
      </c>
      <c r="G438" t="s">
        <v>76</v>
      </c>
      <c r="H438">
        <v>1000</v>
      </c>
      <c r="I438" s="22"/>
      <c r="J438">
        <v>163</v>
      </c>
      <c r="K438" s="22"/>
      <c r="L438">
        <v>9.6670802315963602</v>
      </c>
      <c r="M438" s="22">
        <v>0.105</v>
      </c>
      <c r="N438" s="21">
        <v>45125</v>
      </c>
      <c r="O438" s="21">
        <v>46221</v>
      </c>
      <c r="P438">
        <f>ROUND(YEARFRAC(N438,O438),0)</f>
        <v>3</v>
      </c>
      <c r="Q438" s="6">
        <f>(M438*H438)/F438</f>
        <v>0.10421836228287841</v>
      </c>
      <c r="R438" s="5">
        <f>IF(S438="Quarterly",4,IF(S438="Semi-annual",2,IF(S438="Annual",1,IF(S438="Pays at maturity",0,IF(S438="Monthly",12,0)))))</f>
        <v>1</v>
      </c>
      <c r="S438" t="s">
        <v>93</v>
      </c>
      <c r="U438">
        <f>R438*P438</f>
        <v>3</v>
      </c>
      <c r="V438">
        <f>(H438*M438)/AD438</f>
        <v>105</v>
      </c>
      <c r="W438" s="28">
        <f>RATE(U438,V438,-F438,H438)</f>
        <v>0.10197365439687552</v>
      </c>
      <c r="X438" s="27">
        <f>W438*AD438</f>
        <v>0.10197365439687552</v>
      </c>
      <c r="Y438" s="5">
        <f>DURATION(N438,O438,M438,D438,AD438)</f>
        <v>2.725028814489157</v>
      </c>
      <c r="Z438" s="5">
        <f>Y438/(1+C438)</f>
        <v>2.4728620358719926</v>
      </c>
      <c r="AA438" s="5">
        <f>-Z438*F438</f>
        <v>-2491.4085011410325</v>
      </c>
      <c r="AB438" t="s">
        <v>64</v>
      </c>
      <c r="AC438" t="s">
        <v>62</v>
      </c>
      <c r="AD438">
        <f>_xlfn.SWITCH(PROPER(TRIM(S438)),
   "Annual",1,
   "Semi-Annual",2,
   "Quarterly",4,
   "Monthly",12,
   "")</f>
        <v>1</v>
      </c>
    </row>
    <row r="439" spans="1:30" x14ac:dyDescent="0.35">
      <c r="A439" t="s">
        <v>1736</v>
      </c>
      <c r="B439" t="s">
        <v>119</v>
      </c>
      <c r="C439" s="36">
        <f>RATE(U439,V439,-F439,H439)</f>
        <v>9.8333791660807052E-2</v>
      </c>
      <c r="D439" s="3">
        <f>C439*AD439</f>
        <v>9.8333791660807052E-2</v>
      </c>
      <c r="F439">
        <v>983.7</v>
      </c>
      <c r="G439" t="s">
        <v>76</v>
      </c>
      <c r="H439">
        <v>1000</v>
      </c>
      <c r="I439" s="22"/>
      <c r="J439">
        <v>20</v>
      </c>
      <c r="K439" s="22"/>
      <c r="L439">
        <v>11.376555012923101</v>
      </c>
      <c r="M439" s="22">
        <v>9.5700000000000007E-2</v>
      </c>
      <c r="N439" s="21">
        <v>42570</v>
      </c>
      <c r="O439" s="21">
        <v>46222</v>
      </c>
      <c r="P439">
        <f>ROUND(YEARFRAC(N439,O439),0)</f>
        <v>10</v>
      </c>
      <c r="Q439" s="6">
        <f>(M439*H439)/F439</f>
        <v>9.728575785300396E-2</v>
      </c>
      <c r="R439" s="5">
        <f>IF(S439="Quarterly",4,IF(S439="Semi-annual",2,IF(S439="Annual",1,IF(S439="Pays at maturity",0,IF(S439="Monthly",12,0)))))</f>
        <v>1</v>
      </c>
      <c r="S439" t="s">
        <v>93</v>
      </c>
      <c r="U439">
        <f>R439*P439</f>
        <v>10</v>
      </c>
      <c r="V439">
        <f>(H439*M439)/AD439</f>
        <v>95.7</v>
      </c>
      <c r="W439" s="28">
        <f>RATE(U439,V439,-F439,H439)</f>
        <v>9.8333791660807052E-2</v>
      </c>
      <c r="X439" s="27">
        <f>W439*AD439</f>
        <v>9.8333791660807052E-2</v>
      </c>
      <c r="Y439" s="5">
        <f>DURATION(N439,O439,M439,D439,AD439)</f>
        <v>6.831497511925706</v>
      </c>
      <c r="Z439" s="5">
        <f>Y439/(1+C439)</f>
        <v>6.2198737431138262</v>
      </c>
      <c r="AA439" s="5">
        <f>-Z439*F439</f>
        <v>-6118.489801101071</v>
      </c>
      <c r="AB439" t="s">
        <v>64</v>
      </c>
      <c r="AC439" t="s">
        <v>62</v>
      </c>
      <c r="AD439">
        <f>_xlfn.SWITCH(PROPER(TRIM(S439)),
   "Annual",1,
   "Semi-Annual",2,
   "Quarterly",4,
   "Monthly",12,
   "")</f>
        <v>1</v>
      </c>
    </row>
    <row r="440" spans="1:30" x14ac:dyDescent="0.35">
      <c r="C440" s="28"/>
      <c r="D440" s="27"/>
      <c r="I440" s="22"/>
      <c r="K440" s="22"/>
      <c r="M440" s="22"/>
      <c r="N440" s="21"/>
      <c r="O440" s="21"/>
      <c r="P440" s="5"/>
      <c r="Q440" s="6"/>
      <c r="R440" s="5"/>
      <c r="W440" s="28"/>
      <c r="Y440" s="33"/>
      <c r="Z440" s="33"/>
      <c r="AA440" s="33"/>
    </row>
    <row r="441" spans="1:30" x14ac:dyDescent="0.35">
      <c r="A441" t="s">
        <v>1734</v>
      </c>
      <c r="B441" t="s">
        <v>119</v>
      </c>
      <c r="C441" s="36">
        <f>RATE(U441,V441,-F441,H441)</f>
        <v>0.10147399599713351</v>
      </c>
      <c r="D441" s="3">
        <f>C441*AD441</f>
        <v>0.10147399599713351</v>
      </c>
      <c r="F441">
        <v>991</v>
      </c>
      <c r="G441" t="s">
        <v>76</v>
      </c>
      <c r="H441">
        <v>1000</v>
      </c>
      <c r="I441" s="22"/>
      <c r="J441">
        <v>170</v>
      </c>
      <c r="K441" s="22"/>
      <c r="L441">
        <v>11.009053783217899</v>
      </c>
      <c r="M441" s="22">
        <v>0.1</v>
      </c>
      <c r="N441" s="21">
        <v>42570</v>
      </c>
      <c r="O441" s="21">
        <v>46222</v>
      </c>
      <c r="P441">
        <f>ROUND(YEARFRAC(N441,O441),0)</f>
        <v>10</v>
      </c>
      <c r="Q441" s="6">
        <f>(M441*H441)/F441</f>
        <v>0.10090817356205853</v>
      </c>
      <c r="R441" s="5">
        <f>IF(S441="Quarterly",4,IF(S441="Semi-annual",2,IF(S441="Annual",1,IF(S441="Pays at maturity",0,IF(S441="Monthly",12,0)))))</f>
        <v>1</v>
      </c>
      <c r="S441" t="s">
        <v>93</v>
      </c>
      <c r="U441">
        <f>R441*P441</f>
        <v>10</v>
      </c>
      <c r="V441">
        <f>(H441*M441)/AD441</f>
        <v>100</v>
      </c>
      <c r="W441" s="28">
        <f>RATE(U441,V441,-F441,H441)</f>
        <v>0.10147399599713351</v>
      </c>
      <c r="X441" s="27">
        <f>W441*AD441</f>
        <v>0.10147399599713351</v>
      </c>
      <c r="Y441" s="5">
        <f>DURATION(N441,O441,M441,D441,AD441)</f>
        <v>6.7436952287538938</v>
      </c>
      <c r="Z441" s="5">
        <f>Y441/(1+C441)</f>
        <v>6.122427994906058</v>
      </c>
      <c r="AA441" s="5">
        <f>-Z441*F441</f>
        <v>-6067.3261429519034</v>
      </c>
      <c r="AB441" t="s">
        <v>64</v>
      </c>
      <c r="AC441" t="s">
        <v>62</v>
      </c>
      <c r="AD441">
        <f>_xlfn.SWITCH(PROPER(TRIM(S441)),
   "Annual",1,
   "Semi-Annual",2,
   "Quarterly",4,
   "Monthly",12,
   "")</f>
        <v>1</v>
      </c>
    </row>
    <row r="442" spans="1:30" x14ac:dyDescent="0.35">
      <c r="A442" t="s">
        <v>1733</v>
      </c>
      <c r="B442" t="s">
        <v>1254</v>
      </c>
      <c r="C442" s="36">
        <f>RATE(U442,V442,-F442,H442)</f>
        <v>0.11572900198590097</v>
      </c>
      <c r="D442" s="3">
        <f>C442*AD442</f>
        <v>0.11572900198590097</v>
      </c>
      <c r="F442">
        <v>9987.61</v>
      </c>
      <c r="G442" t="s">
        <v>76</v>
      </c>
      <c r="H442">
        <v>10000</v>
      </c>
      <c r="I442" s="22"/>
      <c r="J442">
        <v>9</v>
      </c>
      <c r="K442" s="22"/>
      <c r="L442">
        <v>11.639347947687201</v>
      </c>
      <c r="M442" s="22">
        <v>0.115</v>
      </c>
      <c r="N442" s="21">
        <v>45677</v>
      </c>
      <c r="O442" s="21">
        <v>46223</v>
      </c>
      <c r="P442">
        <f>ROUND(YEARFRAC(N442,O442),0)</f>
        <v>2</v>
      </c>
      <c r="Q442" s="6">
        <f>(M442*H442)/F442</f>
        <v>0.11514266175791806</v>
      </c>
      <c r="R442" s="5">
        <f>IF(S442="Quarterly",4,IF(S442="Semi-annual",2,IF(S442="Annual",1,IF(S442="Pays at maturity",0,IF(S442="Monthly",12,0)))))</f>
        <v>1</v>
      </c>
      <c r="S442" t="s">
        <v>93</v>
      </c>
      <c r="U442">
        <f>R442*P442</f>
        <v>2</v>
      </c>
      <c r="V442">
        <f>(H442*M442)/AD442</f>
        <v>1150</v>
      </c>
      <c r="W442" s="28">
        <f>RATE(U442,V442,-F442,H442)</f>
        <v>0.11572900198590097</v>
      </c>
      <c r="X442" s="27">
        <f>W442*AD442</f>
        <v>0.11572900198590097</v>
      </c>
      <c r="Y442" s="5">
        <f>DURATION(N442,O442,M442,D442,AD442)</f>
        <v>1.3968005119944231</v>
      </c>
      <c r="Z442" s="5">
        <f>Y442/(1+C442)</f>
        <v>1.2519173647975801</v>
      </c>
      <c r="AA442" s="5">
        <f>-Z442*F442</f>
        <v>-12503.662391825959</v>
      </c>
      <c r="AB442" t="s">
        <v>64</v>
      </c>
      <c r="AC442" t="s">
        <v>62</v>
      </c>
      <c r="AD442">
        <f>_xlfn.SWITCH(PROPER(TRIM(S442)),
   "Annual",1,
   "Semi-Annual",2,
   "Quarterly",4,
   "Monthly",12,
   "")</f>
        <v>1</v>
      </c>
    </row>
    <row r="443" spans="1:30" x14ac:dyDescent="0.35">
      <c r="C443" s="28"/>
      <c r="D443" s="27"/>
      <c r="I443" s="22"/>
      <c r="K443" s="22"/>
      <c r="M443" s="22"/>
      <c r="N443" s="21"/>
      <c r="O443" s="21"/>
      <c r="P443" s="5"/>
      <c r="Q443" s="6"/>
      <c r="R443" s="5"/>
      <c r="W443" s="28"/>
      <c r="Y443" s="33"/>
      <c r="Z443" s="33"/>
      <c r="AA443" s="33"/>
    </row>
    <row r="444" spans="1:30" x14ac:dyDescent="0.35">
      <c r="C444" s="28"/>
      <c r="D444" s="27"/>
      <c r="I444" s="22"/>
      <c r="K444" s="22"/>
      <c r="M444" s="22"/>
      <c r="N444" s="21"/>
      <c r="O444" s="21"/>
      <c r="P444" s="5"/>
      <c r="Q444" s="6"/>
      <c r="R444" s="5"/>
      <c r="W444" s="28"/>
      <c r="Y444" s="33"/>
      <c r="Z444" s="33"/>
      <c r="AA444" s="33"/>
    </row>
    <row r="445" spans="1:30" x14ac:dyDescent="0.35">
      <c r="C445" s="28"/>
      <c r="D445" s="27"/>
      <c r="I445" s="22"/>
      <c r="K445" s="22"/>
      <c r="M445" s="22"/>
      <c r="N445" s="21"/>
      <c r="O445" s="21"/>
      <c r="P445" s="5"/>
      <c r="Q445" s="6"/>
      <c r="R445" s="5"/>
      <c r="W445" s="28"/>
      <c r="Y445" s="33"/>
      <c r="Z445" s="33"/>
      <c r="AA445" s="33"/>
    </row>
    <row r="446" spans="1:30" x14ac:dyDescent="0.35">
      <c r="A446" t="s">
        <v>1729</v>
      </c>
      <c r="B446" t="s">
        <v>122</v>
      </c>
      <c r="C446" s="36">
        <f>RATE(U446,V446,-F446,H446)</f>
        <v>0.10540579833708794</v>
      </c>
      <c r="D446" s="3">
        <f>C446*AD446</f>
        <v>0.10540579833708794</v>
      </c>
      <c r="F446">
        <v>976.83</v>
      </c>
      <c r="G446" t="s">
        <v>76</v>
      </c>
      <c r="H446">
        <v>1000</v>
      </c>
      <c r="I446" s="22"/>
      <c r="J446">
        <v>39</v>
      </c>
      <c r="K446" s="22"/>
      <c r="L446">
        <v>12.2127349080396</v>
      </c>
      <c r="M446" s="22">
        <v>9.6000000000000002E-2</v>
      </c>
      <c r="N446" s="21">
        <v>45128</v>
      </c>
      <c r="O446" s="21">
        <v>46224</v>
      </c>
      <c r="P446">
        <f>ROUND(YEARFRAC(N446,O446),0)</f>
        <v>3</v>
      </c>
      <c r="Q446" s="6">
        <f>(M446*H446)/F446</f>
        <v>9.8277079942262216E-2</v>
      </c>
      <c r="R446" s="5">
        <f>IF(S446="Quarterly",4,IF(S446="Semi-annual",2,IF(S446="Annual",1,IF(S446="Pays at maturity",0,IF(S446="Monthly",12,0)))))</f>
        <v>1</v>
      </c>
      <c r="S446" t="s">
        <v>93</v>
      </c>
      <c r="U446">
        <f>R446*P446</f>
        <v>3</v>
      </c>
      <c r="V446">
        <f>(H446*M446)/AD446</f>
        <v>96</v>
      </c>
      <c r="W446" s="28">
        <f>RATE(U446,V446,-F446,H446)</f>
        <v>0.10540579833708794</v>
      </c>
      <c r="X446" s="27">
        <f>W446*AD446</f>
        <v>0.10540579833708794</v>
      </c>
      <c r="Y446" s="5">
        <f>DURATION(N446,O446,M446,D446,AD446)</f>
        <v>2.7417599540808326</v>
      </c>
      <c r="Z446" s="5">
        <f>Y446/(1+C446)</f>
        <v>2.4803198591914266</v>
      </c>
      <c r="AA446" s="5">
        <f>-Z446*F446</f>
        <v>-2422.8508480539613</v>
      </c>
      <c r="AB446" t="s">
        <v>64</v>
      </c>
      <c r="AC446" t="s">
        <v>62</v>
      </c>
      <c r="AD446">
        <f>_xlfn.SWITCH(PROPER(TRIM(S446)),
   "Annual",1,
   "Semi-Annual",2,
   "Quarterly",4,
   "Monthly",12,
   "")</f>
        <v>1</v>
      </c>
    </row>
    <row r="447" spans="1:30" x14ac:dyDescent="0.35">
      <c r="A447" t="s">
        <v>1728</v>
      </c>
      <c r="B447" t="s">
        <v>483</v>
      </c>
      <c r="C447" s="36">
        <f>RATE(U447,V447,-F447,H447)</f>
        <v>9.0000000000000108E-2</v>
      </c>
      <c r="D447" s="3">
        <f>C447*AD447</f>
        <v>9.0000000000000108E-2</v>
      </c>
      <c r="F447">
        <v>1000</v>
      </c>
      <c r="G447" t="s">
        <v>76</v>
      </c>
      <c r="H447">
        <v>1000</v>
      </c>
      <c r="I447" s="22"/>
      <c r="J447">
        <v>20</v>
      </c>
      <c r="K447" s="22"/>
      <c r="L447">
        <v>9</v>
      </c>
      <c r="M447" s="22">
        <v>0.09</v>
      </c>
      <c r="N447" s="21">
        <v>45768</v>
      </c>
      <c r="O447" s="21">
        <v>46224</v>
      </c>
      <c r="P447">
        <f>ROUND(YEARFRAC(N447,O447),0)</f>
        <v>1</v>
      </c>
      <c r="Q447" s="6">
        <f>(M447*H447)/F447</f>
        <v>0.09</v>
      </c>
      <c r="R447" s="5">
        <f>IF(S447="Quarterly",4,IF(S447="Semi-annual",2,IF(S447="Annual",1,IF(S447="Pays at maturity",0,IF(S447="Monthly",12,0)))))</f>
        <v>1</v>
      </c>
      <c r="S447" t="s">
        <v>93</v>
      </c>
      <c r="U447">
        <f>R447*P447</f>
        <v>1</v>
      </c>
      <c r="V447">
        <f>(H447*M447)/AD447</f>
        <v>90</v>
      </c>
      <c r="W447" s="28">
        <f>RATE(U447,V447,-F447,H447)</f>
        <v>9.0000000000000108E-2</v>
      </c>
      <c r="X447" s="27">
        <f>W447*AD447</f>
        <v>9.0000000000000108E-2</v>
      </c>
      <c r="Y447" s="5">
        <f>DURATION(N447,O447,M447,D447,AD447)</f>
        <v>1.1674311926605505</v>
      </c>
      <c r="Z447" s="5">
        <f>Y447/(1+C447)</f>
        <v>1.0710377914316975</v>
      </c>
      <c r="AA447" s="5">
        <f>-Z447*F447</f>
        <v>-1071.0377914316975</v>
      </c>
      <c r="AB447" t="s">
        <v>64</v>
      </c>
      <c r="AC447" t="s">
        <v>62</v>
      </c>
      <c r="AD447">
        <f>_xlfn.SWITCH(PROPER(TRIM(S447)),
   "Annual",1,
   "Semi-Annual",2,
   "Quarterly",4,
   "Monthly",12,
   "")</f>
        <v>1</v>
      </c>
    </row>
    <row r="448" spans="1:30" x14ac:dyDescent="0.35">
      <c r="A448" t="s">
        <v>1727</v>
      </c>
      <c r="B448" t="s">
        <v>122</v>
      </c>
      <c r="C448" s="36">
        <f>RATE(U448,V448,-F448,H448)</f>
        <v>0.10004290352939106</v>
      </c>
      <c r="D448" s="3">
        <f>C448*AD448</f>
        <v>0.10004290352939106</v>
      </c>
      <c r="F448">
        <v>980</v>
      </c>
      <c r="G448" t="s">
        <v>76</v>
      </c>
      <c r="H448">
        <v>1000</v>
      </c>
      <c r="I448" s="22"/>
      <c r="J448">
        <v>17</v>
      </c>
      <c r="K448" s="22"/>
      <c r="L448">
        <v>11.439815595659701</v>
      </c>
      <c r="M448" s="22">
        <v>9.1999999999999998E-2</v>
      </c>
      <c r="N448" s="21">
        <v>45128</v>
      </c>
      <c r="O448" s="21">
        <v>46224</v>
      </c>
      <c r="P448">
        <f>ROUND(YEARFRAC(N448,O448),0)</f>
        <v>3</v>
      </c>
      <c r="Q448" s="6">
        <f>(M448*H448)/F448</f>
        <v>9.3877551020408165E-2</v>
      </c>
      <c r="R448" s="5">
        <f>IF(S448="Quarterly",4,IF(S448="Semi-annual",2,IF(S448="Annual",1,IF(S448="Pays at maturity",0,IF(S448="Monthly",12,0)))))</f>
        <v>1</v>
      </c>
      <c r="S448" t="s">
        <v>93</v>
      </c>
      <c r="U448">
        <f>R448*P448</f>
        <v>3</v>
      </c>
      <c r="V448">
        <f>(H448*M448)/AD448</f>
        <v>92</v>
      </c>
      <c r="W448" s="28">
        <f>RATE(U448,V448,-F448,H448)</f>
        <v>0.10004290352939106</v>
      </c>
      <c r="X448" s="27">
        <f>W448*AD448</f>
        <v>0.10004290352939106</v>
      </c>
      <c r="Y448" s="5">
        <f>DURATION(N448,O448,M448,D448,AD448)</f>
        <v>2.7517414995041714</v>
      </c>
      <c r="Z448" s="5">
        <f>Y448/(1+C448)</f>
        <v>2.5014856154023177</v>
      </c>
      <c r="AA448" s="5">
        <f>-Z448*F448</f>
        <v>-2451.4559030942714</v>
      </c>
      <c r="AB448" t="s">
        <v>64</v>
      </c>
      <c r="AC448" t="s">
        <v>62</v>
      </c>
      <c r="AD448">
        <f>_xlfn.SWITCH(PROPER(TRIM(S448)),
   "Annual",1,
   "Semi-Annual",2,
   "Quarterly",4,
   "Monthly",12,
   "")</f>
        <v>1</v>
      </c>
    </row>
    <row r="449" spans="1:30" x14ac:dyDescent="0.35">
      <c r="C449" s="28"/>
      <c r="D449" s="27"/>
      <c r="I449" s="22"/>
      <c r="K449" s="22"/>
      <c r="M449" s="22"/>
      <c r="N449" s="21"/>
      <c r="O449" s="21"/>
      <c r="P449" s="5"/>
      <c r="Q449" s="6"/>
      <c r="R449" s="5"/>
      <c r="W449" s="28"/>
      <c r="Y449" s="33"/>
      <c r="Z449" s="33"/>
      <c r="AA449" s="33"/>
    </row>
    <row r="450" spans="1:30" x14ac:dyDescent="0.35">
      <c r="A450" t="s">
        <v>1725</v>
      </c>
      <c r="B450" t="s">
        <v>1531</v>
      </c>
      <c r="C450" s="36">
        <f>RATE(U450,V450,-F450,H450)</f>
        <v>0.11471191946900325</v>
      </c>
      <c r="D450" s="3">
        <f>C450*AD450</f>
        <v>0.11471191946900325</v>
      </c>
      <c r="F450">
        <v>99113</v>
      </c>
      <c r="G450" t="s">
        <v>76</v>
      </c>
      <c r="H450">
        <v>100000</v>
      </c>
      <c r="I450" s="22"/>
      <c r="J450">
        <v>1</v>
      </c>
      <c r="K450" s="22"/>
      <c r="L450">
        <v>11.9404886369419</v>
      </c>
      <c r="M450" s="22">
        <v>0.10949999999999999</v>
      </c>
      <c r="N450" s="21">
        <v>45680</v>
      </c>
      <c r="O450" s="21">
        <v>46226</v>
      </c>
      <c r="P450">
        <f>ROUND(YEARFRAC(N450,O450),0)</f>
        <v>2</v>
      </c>
      <c r="Q450" s="6">
        <f>(M450*H450)/F450</f>
        <v>0.11047995722054622</v>
      </c>
      <c r="R450" s="5">
        <f>IF(S450="Quarterly",4,IF(S450="Semi-annual",2,IF(S450="Annual",1,IF(S450="Pays at maturity",0,IF(S450="Monthly",12,0)))))</f>
        <v>1</v>
      </c>
      <c r="S450" t="s">
        <v>93</v>
      </c>
      <c r="U450">
        <f>R450*P450</f>
        <v>2</v>
      </c>
      <c r="V450">
        <f>(H450*M450)/AD450</f>
        <v>10949.999999999998</v>
      </c>
      <c r="W450" s="28">
        <f>RATE(U450,V450,-F450,H450)</f>
        <v>0.11471191946900325</v>
      </c>
      <c r="X450" s="27">
        <f>W450*AD450</f>
        <v>0.11471191946900325</v>
      </c>
      <c r="Y450" s="5">
        <f>DURATION(N450,O450,M450,D450,AD450)</f>
        <v>1.4008892295031943</v>
      </c>
      <c r="Z450" s="5">
        <f>Y450/(1+C450)</f>
        <v>1.2567275948484633</v>
      </c>
      <c r="AA450" s="5">
        <f>-Z450*F450</f>
        <v>-124558.04210821574</v>
      </c>
      <c r="AB450" t="s">
        <v>64</v>
      </c>
      <c r="AC450" t="s">
        <v>62</v>
      </c>
      <c r="AD450">
        <f>_xlfn.SWITCH(PROPER(TRIM(S450)),
   "Annual",1,
   "Semi-Annual",2,
   "Quarterly",4,
   "Monthly",12,
   "")</f>
        <v>1</v>
      </c>
    </row>
    <row r="451" spans="1:30" x14ac:dyDescent="0.35">
      <c r="A451" t="s">
        <v>1724</v>
      </c>
      <c r="B451" t="s">
        <v>304</v>
      </c>
      <c r="C451" s="36">
        <f>RATE(U451,V451,-F451,H451)</f>
        <v>9.3994056781576463E-2</v>
      </c>
      <c r="D451" s="3">
        <f>C451*AD451</f>
        <v>9.3994056781576463E-2</v>
      </c>
      <c r="F451">
        <v>975</v>
      </c>
      <c r="G451" t="s">
        <v>76</v>
      </c>
      <c r="H451">
        <v>1000</v>
      </c>
      <c r="I451" s="22"/>
      <c r="J451">
        <v>200</v>
      </c>
      <c r="K451" s="22"/>
      <c r="L451">
        <v>11.5038115038115</v>
      </c>
      <c r="M451" s="22">
        <v>8.7499999999999994E-2</v>
      </c>
      <c r="N451" s="21">
        <v>44400</v>
      </c>
      <c r="O451" s="21">
        <v>46226</v>
      </c>
      <c r="P451">
        <f>ROUND(YEARFRAC(N451,O451),0)</f>
        <v>5</v>
      </c>
      <c r="Q451" s="6">
        <f>(M451*H451)/F451</f>
        <v>8.9743589743589744E-2</v>
      </c>
      <c r="R451" s="5">
        <f>IF(S451="Quarterly",4,IF(S451="Semi-annual",2,IF(S451="Annual",1,IF(S451="Pays at maturity",0,IF(S451="Monthly",12,0)))))</f>
        <v>1</v>
      </c>
      <c r="S451" t="s">
        <v>93</v>
      </c>
      <c r="U451">
        <f>R451*P451</f>
        <v>5</v>
      </c>
      <c r="V451">
        <f>(H451*M451)/AD451</f>
        <v>87.5</v>
      </c>
      <c r="W451" s="28">
        <f>RATE(U451,V451,-F451,H451)</f>
        <v>9.3994056781576463E-2</v>
      </c>
      <c r="X451" s="27">
        <f>W451*AD451</f>
        <v>9.3994056781576463E-2</v>
      </c>
      <c r="Y451" s="5">
        <f>DURATION(N451,O451,M451,D451,AD451)</f>
        <v>4.2471757398476813</v>
      </c>
      <c r="Z451" s="5">
        <f>Y451/(1+C451)</f>
        <v>3.8822658254126692</v>
      </c>
      <c r="AA451" s="5">
        <f>-Z451*F451</f>
        <v>-3785.2091797773523</v>
      </c>
      <c r="AB451" t="s">
        <v>64</v>
      </c>
      <c r="AC451" t="s">
        <v>62</v>
      </c>
      <c r="AD451">
        <f>_xlfn.SWITCH(PROPER(TRIM(S451)),
   "Annual",1,
   "Semi-Annual",2,
   "Quarterly",4,
   "Monthly",12,
   "")</f>
        <v>1</v>
      </c>
    </row>
    <row r="452" spans="1:30" x14ac:dyDescent="0.35">
      <c r="A452" t="s">
        <v>1723</v>
      </c>
      <c r="B452" t="s">
        <v>1356</v>
      </c>
      <c r="C452" s="36">
        <f>RATE(U452,V452,-F452,H452)</f>
        <v>2.2975583629774154E-2</v>
      </c>
      <c r="D452" s="3">
        <f>C452*AD452</f>
        <v>9.1902334519096615E-2</v>
      </c>
      <c r="F452">
        <v>101373.74</v>
      </c>
      <c r="G452" t="s">
        <v>76</v>
      </c>
      <c r="H452">
        <v>100000</v>
      </c>
      <c r="I452" s="22"/>
      <c r="J452">
        <v>1</v>
      </c>
      <c r="K452" s="22"/>
      <c r="M452" s="22">
        <v>9.9499999999999991E-2</v>
      </c>
      <c r="N452" s="21">
        <v>45498</v>
      </c>
      <c r="O452" s="21">
        <v>46228</v>
      </c>
      <c r="P452">
        <f>ROUND(YEARFRAC(N452,O452),0)</f>
        <v>2</v>
      </c>
      <c r="Q452" s="6">
        <f>(M452*H452)/F452</f>
        <v>9.8151651502647527E-2</v>
      </c>
      <c r="R452" s="5">
        <f>IF(S452="Quarterly",4,IF(S452="Semi-annual",2,IF(S452="Annual",1,IF(S452="Pays at maturity",0,IF(S452="Monthly",12,0)))))</f>
        <v>4</v>
      </c>
      <c r="S452" t="s">
        <v>105</v>
      </c>
      <c r="U452">
        <f>R452*P452</f>
        <v>8</v>
      </c>
      <c r="V452">
        <f>(H452*M452)/AD452</f>
        <v>2487.5</v>
      </c>
      <c r="W452" s="28">
        <f>RATE(U452,V452,-F452,H452)</f>
        <v>2.2975583629774154E-2</v>
      </c>
      <c r="X452" s="27">
        <f>W452*AD452</f>
        <v>9.1902334519096615E-2</v>
      </c>
      <c r="Y452" s="5">
        <f>DURATION(N452,O452,M452,D452,AD452)</f>
        <v>1.839426665508491</v>
      </c>
      <c r="Z452" s="5">
        <f>Y452/(1+C452)</f>
        <v>1.7981139481176502</v>
      </c>
      <c r="AA452" s="5">
        <f>-Z452*F452</f>
        <v>-182281.53586685218</v>
      </c>
      <c r="AB452" t="s">
        <v>64</v>
      </c>
      <c r="AC452" t="s">
        <v>62</v>
      </c>
      <c r="AD452">
        <f>_xlfn.SWITCH(PROPER(TRIM(S452)),
   "Annual",1,
   "Semi-Annual",2,
   "Quarterly",4,
   "Monthly",12,
   "")</f>
        <v>4</v>
      </c>
    </row>
    <row r="453" spans="1:30" x14ac:dyDescent="0.35">
      <c r="A453" t="s">
        <v>1722</v>
      </c>
      <c r="B453" t="s">
        <v>122</v>
      </c>
      <c r="C453" s="36">
        <f>RATE(U453,V453,-F453,H453)</f>
        <v>6.4693706984567945E-2</v>
      </c>
      <c r="D453" s="3">
        <f>C453*AD453</f>
        <v>6.4693706984567945E-2</v>
      </c>
      <c r="F453">
        <v>1055.2</v>
      </c>
      <c r="G453" t="s">
        <v>76</v>
      </c>
      <c r="H453">
        <v>1000</v>
      </c>
      <c r="I453" s="22"/>
      <c r="J453">
        <v>30</v>
      </c>
      <c r="K453" s="22"/>
      <c r="L453">
        <v>4.1071324429929401</v>
      </c>
      <c r="M453" s="22">
        <v>9.5000000000000001E-2</v>
      </c>
      <c r="N453" s="21">
        <v>45499</v>
      </c>
      <c r="O453" s="21">
        <v>46229</v>
      </c>
      <c r="P453">
        <f>ROUND(YEARFRAC(N453,O453),0)</f>
        <v>2</v>
      </c>
      <c r="Q453" s="6">
        <f>(M453*H453)/F453</f>
        <v>9.0030326004548897E-2</v>
      </c>
      <c r="R453" s="5">
        <f>IF(S453="Quarterly",4,IF(S453="Semi-annual",2,IF(S453="Annual",1,IF(S453="Pays at maturity",0,IF(S453="Monthly",12,0)))))</f>
        <v>1</v>
      </c>
      <c r="S453" t="s">
        <v>93</v>
      </c>
      <c r="U453">
        <f>R453*P453</f>
        <v>2</v>
      </c>
      <c r="V453">
        <f>(H453*M453)/AD453</f>
        <v>95</v>
      </c>
      <c r="W453" s="28">
        <f>RATE(U453,V453,-F453,H453)</f>
        <v>6.4693706984567945E-2</v>
      </c>
      <c r="X453" s="27">
        <f>W453*AD453</f>
        <v>6.4693706984567945E-2</v>
      </c>
      <c r="Y453" s="5">
        <f>DURATION(N453,O453,M453,D453,AD453)</f>
        <v>1.9154401632939713</v>
      </c>
      <c r="Z453" s="5">
        <f>Y453/(1+C453)</f>
        <v>1.7990527705088939</v>
      </c>
      <c r="AA453" s="5">
        <f>-Z453*F453</f>
        <v>-1898.3604834409848</v>
      </c>
      <c r="AB453" t="s">
        <v>64</v>
      </c>
      <c r="AC453" t="s">
        <v>62</v>
      </c>
      <c r="AD453">
        <f>_xlfn.SWITCH(PROPER(TRIM(S453)),
   "Annual",1,
   "Semi-Annual",2,
   "Quarterly",4,
   "Monthly",12,
   "")</f>
        <v>1</v>
      </c>
    </row>
    <row r="454" spans="1:30" x14ac:dyDescent="0.35">
      <c r="C454" s="28"/>
      <c r="D454" s="27"/>
      <c r="I454" s="22"/>
      <c r="K454" s="22"/>
      <c r="M454" s="22"/>
      <c r="N454" s="21"/>
      <c r="O454" s="21"/>
      <c r="P454" s="5"/>
      <c r="Q454" s="6"/>
      <c r="R454" s="5"/>
      <c r="W454" s="28"/>
      <c r="Y454" s="33"/>
      <c r="Z454" s="33"/>
      <c r="AA454" s="33"/>
    </row>
    <row r="455" spans="1:30" x14ac:dyDescent="0.35">
      <c r="A455" t="s">
        <v>1720</v>
      </c>
      <c r="B455" t="s">
        <v>128</v>
      </c>
      <c r="C455" s="36">
        <f>RATE(U455,V455,-F455,H455)</f>
        <v>0.28174816423495397</v>
      </c>
      <c r="D455" s="3">
        <f>C455*AD455</f>
        <v>0.28174816423495397</v>
      </c>
      <c r="F455">
        <v>643</v>
      </c>
      <c r="G455" t="s">
        <v>76</v>
      </c>
      <c r="H455">
        <v>1000</v>
      </c>
      <c r="I455" s="22"/>
      <c r="J455">
        <v>10</v>
      </c>
      <c r="K455" s="22"/>
      <c r="L455">
        <v>48.669298560433802</v>
      </c>
      <c r="M455" s="22">
        <v>9.0200000000000002E-2</v>
      </c>
      <c r="N455" s="21">
        <v>45134</v>
      </c>
      <c r="O455" s="21">
        <v>46230</v>
      </c>
      <c r="P455">
        <f>ROUND(YEARFRAC(N455,O455),0)</f>
        <v>3</v>
      </c>
      <c r="Q455" s="6">
        <f>(M455*H455)/F455</f>
        <v>0.14027993779160186</v>
      </c>
      <c r="R455" s="5">
        <f>IF(S455="Quarterly",4,IF(S455="Semi-annual",2,IF(S455="Annual",1,IF(S455="Pays at maturity",0,IF(S455="Monthly",12,0)))))</f>
        <v>1</v>
      </c>
      <c r="S455" t="s">
        <v>93</v>
      </c>
      <c r="U455">
        <f>R455*P455</f>
        <v>3</v>
      </c>
      <c r="V455">
        <f>(H455*M455)/AD455</f>
        <v>90.2</v>
      </c>
      <c r="W455" s="28">
        <f>RATE(U455,V455,-F455,H455)</f>
        <v>0.28174816423495397</v>
      </c>
      <c r="X455" s="27">
        <f>W455*AD455</f>
        <v>0.28174816423495397</v>
      </c>
      <c r="Y455" s="5">
        <f>DURATION(N455,O455,M455,D455,AD455)</f>
        <v>2.6957248591810918</v>
      </c>
      <c r="Z455" s="5">
        <f>Y455/(1+C455)</f>
        <v>2.1031626448945282</v>
      </c>
      <c r="AA455" s="5">
        <f>-Z455*F455</f>
        <v>-1352.3335806671816</v>
      </c>
      <c r="AB455" t="s">
        <v>64</v>
      </c>
      <c r="AC455" t="s">
        <v>62</v>
      </c>
      <c r="AD455">
        <f>_xlfn.SWITCH(PROPER(TRIM(S455)),
   "Annual",1,
   "Semi-Annual",2,
   "Quarterly",4,
   "Monthly",12,
   "")</f>
        <v>1</v>
      </c>
    </row>
    <row r="456" spans="1:30" x14ac:dyDescent="0.35">
      <c r="C456" s="28"/>
      <c r="D456" s="27"/>
      <c r="I456" s="22"/>
      <c r="K456" s="22"/>
      <c r="M456" s="22"/>
      <c r="N456" s="21"/>
      <c r="O456" s="21"/>
      <c r="P456" s="5"/>
      <c r="Q456" s="6"/>
      <c r="R456" s="5"/>
      <c r="W456" s="28"/>
      <c r="Y456" s="33"/>
      <c r="Z456" s="33"/>
      <c r="AA456" s="33"/>
    </row>
    <row r="457" spans="1:30" x14ac:dyDescent="0.35">
      <c r="A457" t="s">
        <v>1718</v>
      </c>
      <c r="B457" t="s">
        <v>128</v>
      </c>
      <c r="C457" s="36">
        <f>RATE(U457,V457,-F457,H457)</f>
        <v>5.0181811887188059E-2</v>
      </c>
      <c r="D457" s="3">
        <f>C457*AD457</f>
        <v>0.60218174264625668</v>
      </c>
      <c r="F457">
        <v>302</v>
      </c>
      <c r="G457" t="s">
        <v>76</v>
      </c>
      <c r="H457">
        <v>1000</v>
      </c>
      <c r="I457" s="22"/>
      <c r="J457">
        <v>50</v>
      </c>
      <c r="K457" s="22"/>
      <c r="M457" s="22">
        <v>9.4800000000000009E-2</v>
      </c>
      <c r="N457" s="21">
        <v>45134</v>
      </c>
      <c r="O457" s="21">
        <v>46230</v>
      </c>
      <c r="P457">
        <f>ROUND(YEARFRAC(N457,O457),0)</f>
        <v>3</v>
      </c>
      <c r="Q457" s="6">
        <f>(M457*H457)/F457</f>
        <v>0.31390728476821195</v>
      </c>
      <c r="R457" s="5">
        <f>IF(S457="Quarterly",4,IF(S457="Semi-annual",2,IF(S457="Annual",1,IF(S457="Pays at maturity",0,IF(S457="Monthly",12,0)))))</f>
        <v>12</v>
      </c>
      <c r="S457" t="s">
        <v>1717</v>
      </c>
      <c r="U457">
        <f>R457*P457</f>
        <v>36</v>
      </c>
      <c r="V457">
        <f>(H457*M457)/AD457</f>
        <v>7.9000000000000012</v>
      </c>
      <c r="W457" s="28">
        <f>RATE(U457,V457,-F457,H457)</f>
        <v>5.0181811887188059E-2</v>
      </c>
      <c r="X457" s="27">
        <f>W457*AD457</f>
        <v>0.60218174264625668</v>
      </c>
      <c r="Y457" s="5" t="e">
        <f>DURATION(N457,O457,M457,D457,AD457)</f>
        <v>#NUM!</v>
      </c>
      <c r="Z457" s="5" t="e">
        <f>Y457/(1+C457)</f>
        <v>#NUM!</v>
      </c>
      <c r="AA457" s="5" t="e">
        <f>-Z457*F457</f>
        <v>#NUM!</v>
      </c>
      <c r="AB457" t="s">
        <v>64</v>
      </c>
      <c r="AC457" t="s">
        <v>62</v>
      </c>
      <c r="AD457">
        <f>_xlfn.SWITCH(PROPER(TRIM(S457)),
   "Annual",1,
   "Semi-Annual",2,
   "Quarterly",4,
   "Monthly",12,
   "")</f>
        <v>12</v>
      </c>
    </row>
    <row r="458" spans="1:30" x14ac:dyDescent="0.35">
      <c r="A458" t="s">
        <v>1716</v>
      </c>
      <c r="B458" t="s">
        <v>128</v>
      </c>
      <c r="C458" s="36">
        <f>RATE(U458,V458,-F458,H458)</f>
        <v>0.73241746282189224</v>
      </c>
      <c r="D458" s="3">
        <f>C458*AD458</f>
        <v>0.73241746282189224</v>
      </c>
      <c r="F458">
        <v>301.5</v>
      </c>
      <c r="G458" t="s">
        <v>76</v>
      </c>
      <c r="H458">
        <v>1000</v>
      </c>
      <c r="I458" s="22"/>
      <c r="J458">
        <v>10</v>
      </c>
      <c r="K458" s="22"/>
      <c r="M458" s="22">
        <v>9.9000000000000005E-2</v>
      </c>
      <c r="N458" s="21">
        <v>45134</v>
      </c>
      <c r="O458" s="21">
        <v>46230</v>
      </c>
      <c r="P458">
        <f>ROUND(YEARFRAC(N458,O458),0)</f>
        <v>3</v>
      </c>
      <c r="Q458" s="6">
        <f>(M458*H458)/F458</f>
        <v>0.32835820895522388</v>
      </c>
      <c r="R458" s="5">
        <f>IF(S458="Quarterly",4,IF(S458="Semi-annual",2,IF(S458="Annual",1,IF(S458="Pays at maturity",0,IF(S458="Monthly",12,0)))))</f>
        <v>1</v>
      </c>
      <c r="S458" t="s">
        <v>93</v>
      </c>
      <c r="U458">
        <f>R458*P458</f>
        <v>3</v>
      </c>
      <c r="V458">
        <f>(H458*M458)/AD458</f>
        <v>99</v>
      </c>
      <c r="W458" s="28">
        <f>RATE(U458,V458,-F458,H458)</f>
        <v>0.73241746282189224</v>
      </c>
      <c r="X458" s="27">
        <f>W458*AD458</f>
        <v>0.73241746282189224</v>
      </c>
      <c r="Y458" s="5">
        <f>DURATION(N458,O458,M458,D458,AD458)</f>
        <v>2.5115184339369581</v>
      </c>
      <c r="Z458" s="5">
        <f>Y458/(1+C458)</f>
        <v>1.449718955064103</v>
      </c>
      <c r="AA458" s="5">
        <f>-Z458*F458</f>
        <v>-437.09026495182707</v>
      </c>
      <c r="AB458" t="s">
        <v>64</v>
      </c>
      <c r="AC458" t="s">
        <v>62</v>
      </c>
      <c r="AD458">
        <f>_xlfn.SWITCH(PROPER(TRIM(S458)),
   "Annual",1,
   "Semi-Annual",2,
   "Quarterly",4,
   "Monthly",12,
   "")</f>
        <v>1</v>
      </c>
    </row>
    <row r="459" spans="1:30" x14ac:dyDescent="0.35">
      <c r="A459" t="s">
        <v>1715</v>
      </c>
      <c r="B459" t="s">
        <v>1714</v>
      </c>
      <c r="C459" s="36">
        <f>RATE(U459,V459,-F459,H459)</f>
        <v>1.9344334919564339E-2</v>
      </c>
      <c r="D459" s="3">
        <f>C459*AD459</f>
        <v>3.8688669839128678E-2</v>
      </c>
      <c r="F459">
        <v>990.22</v>
      </c>
      <c r="G459" t="s">
        <v>66</v>
      </c>
      <c r="H459">
        <v>1000</v>
      </c>
      <c r="I459" s="22"/>
      <c r="J459">
        <v>1830000</v>
      </c>
      <c r="K459" s="22"/>
      <c r="M459" s="22">
        <v>3.7499999999999999E-2</v>
      </c>
      <c r="N459" s="21">
        <v>42578</v>
      </c>
      <c r="O459" s="21">
        <v>46230</v>
      </c>
      <c r="P459">
        <f>ROUND(YEARFRAC(N459,O459),0)</f>
        <v>10</v>
      </c>
      <c r="Q459" s="6">
        <f>(M459*H459)/F459</f>
        <v>3.7870372240512207E-2</v>
      </c>
      <c r="R459" s="5">
        <f>IF(S459="Quarterly",4,IF(S459="Semi-annual",2,IF(S459="Annual",1,IF(S459="Pays at maturity",0,IF(S459="Monthly",12,0)))))</f>
        <v>2</v>
      </c>
      <c r="S459" t="s">
        <v>65</v>
      </c>
      <c r="U459">
        <f>R459*P459</f>
        <v>20</v>
      </c>
      <c r="V459">
        <f>(H459*M459)/AD459</f>
        <v>18.75</v>
      </c>
      <c r="W459" s="28">
        <f>RATE(U459,V459,-F459,H459)</f>
        <v>1.9344334919564339E-2</v>
      </c>
      <c r="X459" s="27">
        <f>W459*AD459</f>
        <v>3.8688669839128678E-2</v>
      </c>
      <c r="Y459" s="5">
        <f>DURATION(N459,O459,M459,D459,AD459)</f>
        <v>8.4209628417575892</v>
      </c>
      <c r="Z459" s="5">
        <f>Y459/(1+C459)</f>
        <v>8.2611562680848962</v>
      </c>
      <c r="AA459" s="5">
        <f>-Z459*F459</f>
        <v>-8180.3621597830261</v>
      </c>
      <c r="AB459" t="s">
        <v>64</v>
      </c>
      <c r="AC459" t="s">
        <v>62</v>
      </c>
      <c r="AD459">
        <f>_xlfn.SWITCH(PROPER(TRIM(S459)),
   "Annual",1,
   "Semi-Annual",2,
   "Quarterly",4,
   "Monthly",12,
   "")</f>
        <v>2</v>
      </c>
    </row>
    <row r="460" spans="1:30" x14ac:dyDescent="0.35">
      <c r="C460" s="28"/>
      <c r="D460" s="27"/>
      <c r="I460" s="22"/>
      <c r="K460" s="22"/>
      <c r="M460" s="22"/>
      <c r="N460" s="21"/>
      <c r="O460" s="21"/>
      <c r="P460" s="5"/>
      <c r="Q460" s="6"/>
      <c r="R460" s="5"/>
      <c r="W460" s="28"/>
      <c r="Y460" s="33"/>
      <c r="Z460" s="33"/>
      <c r="AA460" s="33"/>
    </row>
    <row r="461" spans="1:30" x14ac:dyDescent="0.35">
      <c r="A461" t="s">
        <v>1712</v>
      </c>
      <c r="B461" t="s">
        <v>1019</v>
      </c>
      <c r="C461" s="36">
        <f>RATE(U461,V461,-F461,H461)</f>
        <v>0.11106930691224194</v>
      </c>
      <c r="D461" s="3">
        <f>C461*AD461</f>
        <v>0.11106930691224194</v>
      </c>
      <c r="F461">
        <v>97300</v>
      </c>
      <c r="G461" t="s">
        <v>76</v>
      </c>
      <c r="H461">
        <v>100000</v>
      </c>
      <c r="I461" s="22"/>
      <c r="J461">
        <v>3</v>
      </c>
      <c r="K461" s="22"/>
      <c r="L461">
        <v>12.029822508774901</v>
      </c>
      <c r="M461" s="22">
        <v>0.1</v>
      </c>
      <c r="N461" s="21">
        <v>45135</v>
      </c>
      <c r="O461" s="21">
        <v>46231</v>
      </c>
      <c r="P461">
        <f>ROUND(YEARFRAC(N461,O461),0)</f>
        <v>3</v>
      </c>
      <c r="Q461" s="6">
        <f>(M461*H461)/F461</f>
        <v>0.10277492291880781</v>
      </c>
      <c r="R461" s="5">
        <f>IF(S461="Quarterly",4,IF(S461="Semi-annual",2,IF(S461="Annual",1,IF(S461="Pays at maturity",0,IF(S461="Monthly",12,0)))))</f>
        <v>1</v>
      </c>
      <c r="S461" t="s">
        <v>93</v>
      </c>
      <c r="U461">
        <f>R461*P461</f>
        <v>3</v>
      </c>
      <c r="V461">
        <f>(H461*M461)/AD461</f>
        <v>10000</v>
      </c>
      <c r="W461" s="28">
        <f>RATE(U461,V461,-F461,H461)</f>
        <v>0.11106930691224194</v>
      </c>
      <c r="X461" s="27">
        <f>W461*AD461</f>
        <v>0.11106930691224194</v>
      </c>
      <c r="Y461" s="5">
        <f>DURATION(N461,O461,M461,D461,AD461)</f>
        <v>2.7317442261755227</v>
      </c>
      <c r="Z461" s="5">
        <f>Y461/(1+C461)</f>
        <v>2.4586623077252283</v>
      </c>
      <c r="AA461" s="5">
        <f>-Z461*F461</f>
        <v>-239227.84254166472</v>
      </c>
      <c r="AB461" t="s">
        <v>64</v>
      </c>
      <c r="AC461" t="s">
        <v>62</v>
      </c>
      <c r="AD461">
        <f>_xlfn.SWITCH(PROPER(TRIM(S461)),
   "Annual",1,
   "Semi-Annual",2,
   "Quarterly",4,
   "Monthly",12,
   "")</f>
        <v>1</v>
      </c>
    </row>
    <row r="462" spans="1:30" x14ac:dyDescent="0.35">
      <c r="A462" t="s">
        <v>1711</v>
      </c>
      <c r="B462" t="s">
        <v>1710</v>
      </c>
      <c r="C462" s="36">
        <f>RATE(U462,V462,-F462,H462)</f>
        <v>3.8232673805079817E-2</v>
      </c>
      <c r="D462" s="3">
        <f>C462*AD462</f>
        <v>7.6465347610159634E-2</v>
      </c>
      <c r="F462">
        <v>1008</v>
      </c>
      <c r="G462" t="s">
        <v>66</v>
      </c>
      <c r="H462">
        <v>1000</v>
      </c>
      <c r="I462" s="22"/>
      <c r="J462">
        <v>750000</v>
      </c>
      <c r="K462" s="22"/>
      <c r="M462" s="22">
        <v>7.9500000000000001E-2</v>
      </c>
      <c r="N462" s="21">
        <v>45044</v>
      </c>
      <c r="O462" s="21">
        <v>46231</v>
      </c>
      <c r="P462">
        <f>ROUND(YEARFRAC(N462,O462),0)</f>
        <v>3</v>
      </c>
      <c r="Q462" s="6">
        <f>(M462*H462)/F462</f>
        <v>7.8869047619047616E-2</v>
      </c>
      <c r="R462" s="5">
        <f>IF(S462="Quarterly",4,IF(S462="Semi-annual",2,IF(S462="Annual",1,IF(S462="Pays at maturity",0,IF(S462="Monthly",12,0)))))</f>
        <v>2</v>
      </c>
      <c r="S462" t="s">
        <v>65</v>
      </c>
      <c r="U462">
        <f>R462*P462</f>
        <v>6</v>
      </c>
      <c r="V462">
        <f>(H462*M462)/AD462</f>
        <v>39.75</v>
      </c>
      <c r="W462" s="28">
        <f>RATE(U462,V462,-F462,H462)</f>
        <v>3.8232673805079817E-2</v>
      </c>
      <c r="X462" s="27">
        <f>W462*AD462</f>
        <v>7.6465347610159634E-2</v>
      </c>
      <c r="Y462" s="5">
        <f>DURATION(N462,O462,M462,D462,AD462)</f>
        <v>2.8752145103104931</v>
      </c>
      <c r="Z462" s="5">
        <f>Y462/(1+C462)</f>
        <v>2.7693354128154635</v>
      </c>
      <c r="AA462" s="5">
        <f>-Z462*F462</f>
        <v>-2791.4900961179874</v>
      </c>
      <c r="AB462" t="s">
        <v>69</v>
      </c>
      <c r="AC462" t="s">
        <v>62</v>
      </c>
      <c r="AD462">
        <f>_xlfn.SWITCH(PROPER(TRIM(S462)),
   "Annual",1,
   "Semi-Annual",2,
   "Quarterly",4,
   "Monthly",12,
   "")</f>
        <v>2</v>
      </c>
    </row>
    <row r="463" spans="1:30" x14ac:dyDescent="0.35">
      <c r="C463" s="28"/>
      <c r="D463" s="27"/>
      <c r="I463" s="22"/>
      <c r="K463" s="22"/>
      <c r="M463" s="22"/>
      <c r="N463" s="21"/>
      <c r="O463" s="21"/>
      <c r="P463" s="5"/>
      <c r="Q463" s="6"/>
      <c r="R463" s="5"/>
      <c r="W463" s="28"/>
      <c r="Y463" s="33"/>
      <c r="Z463" s="33"/>
      <c r="AA463" s="33"/>
    </row>
    <row r="464" spans="1:30" x14ac:dyDescent="0.35">
      <c r="A464" t="s">
        <v>1708</v>
      </c>
      <c r="B464" t="s">
        <v>326</v>
      </c>
      <c r="C464" s="36">
        <f>RATE(U464,V464,-F464,H464)</f>
        <v>0.11414036442345736</v>
      </c>
      <c r="D464" s="3">
        <f>C464*AD464</f>
        <v>0.11414036442345736</v>
      </c>
      <c r="F464">
        <v>994</v>
      </c>
      <c r="G464" t="s">
        <v>76</v>
      </c>
      <c r="H464">
        <v>1000</v>
      </c>
      <c r="I464" s="22"/>
      <c r="J464">
        <v>15</v>
      </c>
      <c r="K464" s="22"/>
      <c r="L464">
        <v>11.8232329758366</v>
      </c>
      <c r="M464" s="22">
        <v>0.1125</v>
      </c>
      <c r="N464" s="21">
        <v>44407</v>
      </c>
      <c r="O464" s="21">
        <v>46232</v>
      </c>
      <c r="P464">
        <f>ROUND(YEARFRAC(N464,O464),0)</f>
        <v>5</v>
      </c>
      <c r="Q464" s="6">
        <f>(M464*H464)/F464</f>
        <v>0.11317907444668009</v>
      </c>
      <c r="R464" s="5">
        <f>IF(S464="Quarterly",4,IF(S464="Semi-annual",2,IF(S464="Annual",1,IF(S464="Pays at maturity",0,IF(S464="Monthly",12,0)))))</f>
        <v>1</v>
      </c>
      <c r="S464" t="s">
        <v>93</v>
      </c>
      <c r="U464">
        <f>R464*P464</f>
        <v>5</v>
      </c>
      <c r="V464">
        <f>(H464*M464)/AD464</f>
        <v>112.5</v>
      </c>
      <c r="W464" s="28">
        <f>RATE(U464,V464,-F464,H464)</f>
        <v>0.11414036442345736</v>
      </c>
      <c r="X464" s="27">
        <f>W464*AD464</f>
        <v>0.11414036442345736</v>
      </c>
      <c r="Y464" s="5">
        <f>DURATION(N464,O464,M464,D464,AD464)</f>
        <v>4.0802284705266292</v>
      </c>
      <c r="Z464" s="5">
        <f>Y464/(1+C464)</f>
        <v>3.6622212073234204</v>
      </c>
      <c r="AA464" s="5">
        <f>-Z464*F464</f>
        <v>-3640.2478800794797</v>
      </c>
      <c r="AB464" t="s">
        <v>64</v>
      </c>
      <c r="AC464" t="s">
        <v>62</v>
      </c>
      <c r="AD464">
        <f>_xlfn.SWITCH(PROPER(TRIM(S464)),
   "Annual",1,
   "Semi-Annual",2,
   "Quarterly",4,
   "Monthly",12,
   "")</f>
        <v>1</v>
      </c>
    </row>
    <row r="465" spans="1:30" x14ac:dyDescent="0.35">
      <c r="A465" t="s">
        <v>1707</v>
      </c>
      <c r="B465" t="s">
        <v>326</v>
      </c>
      <c r="C465" s="36">
        <f>RATE(U465,V465,-F465,H465)</f>
        <v>0.12140260871861371</v>
      </c>
      <c r="D465" s="3">
        <f>C465*AD465</f>
        <v>0.12140260871861371</v>
      </c>
      <c r="F465">
        <v>977</v>
      </c>
      <c r="G465" t="s">
        <v>76</v>
      </c>
      <c r="H465">
        <v>1000</v>
      </c>
      <c r="I465" s="22"/>
      <c r="J465">
        <v>31</v>
      </c>
      <c r="K465" s="22"/>
      <c r="L465">
        <v>12.4167891581563</v>
      </c>
      <c r="M465" s="22">
        <v>0.115</v>
      </c>
      <c r="N465" s="21">
        <v>44407</v>
      </c>
      <c r="O465" s="21">
        <v>46232</v>
      </c>
      <c r="P465">
        <f>ROUND(YEARFRAC(N465,O465),0)</f>
        <v>5</v>
      </c>
      <c r="Q465" s="6">
        <f>(M465*H465)/F465</f>
        <v>0.11770726714431934</v>
      </c>
      <c r="R465" s="5">
        <f>IF(S465="Quarterly",4,IF(S465="Semi-annual",2,IF(S465="Annual",1,IF(S465="Pays at maturity",0,IF(S465="Monthly",12,0)))))</f>
        <v>1</v>
      </c>
      <c r="S465" t="s">
        <v>93</v>
      </c>
      <c r="U465">
        <f>R465*P465</f>
        <v>5</v>
      </c>
      <c r="V465">
        <f>(H465*M465)/AD465</f>
        <v>115</v>
      </c>
      <c r="W465" s="28">
        <f>RATE(U465,V465,-F465,H465)</f>
        <v>0.12140260871861371</v>
      </c>
      <c r="X465" s="27">
        <f>W465*AD465</f>
        <v>0.12140260871861371</v>
      </c>
      <c r="Y465" s="5">
        <f>DURATION(N465,O465,M465,D465,AD465)</f>
        <v>4.0551951427106463</v>
      </c>
      <c r="Z465" s="5">
        <f>Y465/(1+C465)</f>
        <v>3.616181299367915</v>
      </c>
      <c r="AA465" s="5">
        <f>-Z465*F465</f>
        <v>-3533.0091294824529</v>
      </c>
      <c r="AB465" t="s">
        <v>64</v>
      </c>
      <c r="AC465" t="s">
        <v>62</v>
      </c>
      <c r="AD465">
        <f>_xlfn.SWITCH(PROPER(TRIM(S465)),
   "Annual",1,
   "Semi-Annual",2,
   "Quarterly",4,
   "Monthly",12,
   "")</f>
        <v>1</v>
      </c>
    </row>
    <row r="466" spans="1:30" x14ac:dyDescent="0.35">
      <c r="A466" t="s">
        <v>1706</v>
      </c>
      <c r="B466" t="s">
        <v>1254</v>
      </c>
      <c r="C466" s="36">
        <f>RATE(U466,V466,-F466,H466)</f>
        <v>0.11340896931914514</v>
      </c>
      <c r="D466" s="3">
        <f>C466*AD466</f>
        <v>0.11340896931914514</v>
      </c>
      <c r="F466">
        <v>100697.44</v>
      </c>
      <c r="G466" t="s">
        <v>76</v>
      </c>
      <c r="H466">
        <v>100000</v>
      </c>
      <c r="I466" s="22"/>
      <c r="J466">
        <v>300</v>
      </c>
      <c r="K466" s="22"/>
      <c r="L466">
        <v>11.3194437269195</v>
      </c>
      <c r="M466" s="22">
        <v>0.11749999999999999</v>
      </c>
      <c r="N466" s="21">
        <v>45504</v>
      </c>
      <c r="O466" s="21">
        <v>46234</v>
      </c>
      <c r="P466">
        <f>ROUND(YEARFRAC(N466,O466),0)</f>
        <v>2</v>
      </c>
      <c r="Q466" s="6">
        <f>(M466*H466)/F466</f>
        <v>0.11668618387915324</v>
      </c>
      <c r="R466" s="5">
        <f>IF(S466="Quarterly",4,IF(S466="Semi-annual",2,IF(S466="Annual",1,IF(S466="Pays at maturity",0,IF(S466="Monthly",12,0)))))</f>
        <v>1</v>
      </c>
      <c r="S466" t="s">
        <v>93</v>
      </c>
      <c r="U466">
        <f>R466*P466</f>
        <v>2</v>
      </c>
      <c r="V466">
        <f>(H466*M466)/AD466</f>
        <v>11750</v>
      </c>
      <c r="W466" s="28">
        <f>RATE(U466,V466,-F466,H466)</f>
        <v>0.11340896931914514</v>
      </c>
      <c r="X466" s="27">
        <f>W466*AD466</f>
        <v>0.11340896931914514</v>
      </c>
      <c r="Y466" s="5">
        <f>DURATION(N466,O466,M466,D466,AD466)</f>
        <v>1.8951991702110076</v>
      </c>
      <c r="Z466" s="5">
        <f>Y466/(1+C466)</f>
        <v>1.7021590650288463</v>
      </c>
      <c r="AA466" s="5">
        <f>-Z466*F466</f>
        <v>-171403.06032119834</v>
      </c>
      <c r="AB466" t="s">
        <v>64</v>
      </c>
      <c r="AC466" t="s">
        <v>62</v>
      </c>
      <c r="AD466">
        <f>_xlfn.SWITCH(PROPER(TRIM(S466)),
   "Annual",1,
   "Semi-Annual",2,
   "Quarterly",4,
   "Monthly",12,
   "")</f>
        <v>1</v>
      </c>
    </row>
    <row r="467" spans="1:30" x14ac:dyDescent="0.35">
      <c r="A467" t="s">
        <v>1705</v>
      </c>
      <c r="B467" t="s">
        <v>1704</v>
      </c>
      <c r="C467" s="36">
        <f>RATE(U467,V467,-F467,H467)</f>
        <v>0.43591429791493491</v>
      </c>
      <c r="D467" s="3">
        <f>C467*AD467</f>
        <v>0.43591429791493491</v>
      </c>
      <c r="F467">
        <v>50107.74</v>
      </c>
      <c r="G467" t="s">
        <v>76</v>
      </c>
      <c r="H467">
        <v>100000</v>
      </c>
      <c r="I467" s="22"/>
      <c r="J467">
        <v>3</v>
      </c>
      <c r="K467" s="22"/>
      <c r="L467">
        <v>118.368538938961</v>
      </c>
      <c r="M467" s="22">
        <v>0.1075</v>
      </c>
      <c r="N467" s="21">
        <v>45139</v>
      </c>
      <c r="O467" s="21">
        <v>46235</v>
      </c>
      <c r="P467">
        <f>ROUND(YEARFRAC(N467,O467),0)</f>
        <v>3</v>
      </c>
      <c r="Q467" s="6">
        <f>(M467*H467)/F467</f>
        <v>0.21453771413358497</v>
      </c>
      <c r="R467" s="5">
        <f>IF(S467="Quarterly",4,IF(S467="Semi-annual",2,IF(S467="Annual",1,IF(S467="Pays at maturity",0,IF(S467="Monthly",12,0)))))</f>
        <v>1</v>
      </c>
      <c r="S467" t="s">
        <v>93</v>
      </c>
      <c r="U467">
        <f>R467*P467</f>
        <v>3</v>
      </c>
      <c r="V467">
        <f>(H467*M467)/AD467</f>
        <v>10750</v>
      </c>
      <c r="W467" s="28">
        <f>RATE(U467,V467,-F467,H467)</f>
        <v>0.43591429791493491</v>
      </c>
      <c r="X467" s="27">
        <f>W467*AD467</f>
        <v>0.43591429791493491</v>
      </c>
      <c r="Y467" s="5">
        <f>DURATION(N467,O467,M467,D467,AD467)</f>
        <v>2.5971320375129787</v>
      </c>
      <c r="Z467" s="5">
        <f>Y467/(1+C467)</f>
        <v>1.8086957148377358</v>
      </c>
      <c r="AA467" s="5">
        <f>-Z467*F467</f>
        <v>-90629.654618203407</v>
      </c>
      <c r="AB467" t="s">
        <v>79</v>
      </c>
      <c r="AC467" t="s">
        <v>62</v>
      </c>
      <c r="AD467">
        <f>_xlfn.SWITCH(PROPER(TRIM(S467)),
   "Annual",1,
   "Semi-Annual",2,
   "Quarterly",4,
   "Monthly",12,
   "")</f>
        <v>1</v>
      </c>
    </row>
    <row r="468" spans="1:30" x14ac:dyDescent="0.35">
      <c r="A468" t="s">
        <v>1703</v>
      </c>
      <c r="B468" t="s">
        <v>417</v>
      </c>
      <c r="C468" s="36">
        <f>RATE(U468,V468,-F468,H468)</f>
        <v>0.1051314137868324</v>
      </c>
      <c r="D468" s="3">
        <f>C468*AD468</f>
        <v>0.1051314137868324</v>
      </c>
      <c r="F468">
        <v>10175</v>
      </c>
      <c r="G468" t="s">
        <v>76</v>
      </c>
      <c r="H468">
        <v>10000</v>
      </c>
      <c r="I468" s="22"/>
      <c r="J468">
        <v>70</v>
      </c>
      <c r="K468" s="22"/>
      <c r="L468">
        <v>8.8910728910728896</v>
      </c>
      <c r="M468" s="22">
        <v>0.1075</v>
      </c>
      <c r="N468" s="21">
        <v>40756</v>
      </c>
      <c r="O468" s="21">
        <v>46235</v>
      </c>
      <c r="P468">
        <f>ROUND(YEARFRAC(N468,O468),0)</f>
        <v>15</v>
      </c>
      <c r="Q468" s="6">
        <f>(M468*H468)/F468</f>
        <v>0.10565110565110565</v>
      </c>
      <c r="R468" s="5">
        <f>IF(S468="Quarterly",4,IF(S468="Semi-annual",2,IF(S468="Annual",1,IF(S468="Pays at maturity",0,IF(S468="Monthly",12,0)))))</f>
        <v>1</v>
      </c>
      <c r="S468" t="s">
        <v>93</v>
      </c>
      <c r="U468">
        <f>R468*P468</f>
        <v>15</v>
      </c>
      <c r="V468">
        <f>(H468*M468)/AD468</f>
        <v>1075</v>
      </c>
      <c r="W468" s="28">
        <f>RATE(U468,V468,-F468,H468)</f>
        <v>0.1051314137868324</v>
      </c>
      <c r="X468" s="27">
        <f>W468*AD468</f>
        <v>0.1051314137868324</v>
      </c>
      <c r="Y468" s="5">
        <f>DURATION(N468,O468,M468,D468,AD468)</f>
        <v>8.1313372668621646</v>
      </c>
      <c r="Z468" s="5">
        <f>Y468/(1+C468)</f>
        <v>7.3578012220278897</v>
      </c>
      <c r="AA468" s="5">
        <f>-Z468*F468</f>
        <v>-74865.62743413377</v>
      </c>
      <c r="AB468" t="s">
        <v>69</v>
      </c>
      <c r="AC468" t="s">
        <v>62</v>
      </c>
      <c r="AD468">
        <f>_xlfn.SWITCH(PROPER(TRIM(S468)),
   "Annual",1,
   "Semi-Annual",2,
   "Quarterly",4,
   "Monthly",12,
   "")</f>
        <v>1</v>
      </c>
    </row>
    <row r="469" spans="1:30" x14ac:dyDescent="0.35">
      <c r="C469" s="28"/>
      <c r="D469" s="27"/>
      <c r="I469" s="22"/>
      <c r="K469" s="22"/>
      <c r="M469" s="22"/>
      <c r="N469" s="21"/>
      <c r="O469" s="21"/>
      <c r="P469" s="5"/>
      <c r="Q469" s="6"/>
      <c r="R469" s="5"/>
      <c r="W469" s="28"/>
      <c r="Y469" s="33"/>
      <c r="Z469" s="33"/>
      <c r="AA469" s="33"/>
    </row>
    <row r="470" spans="1:30" x14ac:dyDescent="0.35">
      <c r="A470" t="s">
        <v>1701</v>
      </c>
      <c r="B470" t="s">
        <v>94</v>
      </c>
      <c r="C470" s="36">
        <f t="shared" ref="C470:C475" si="260">RATE(U470,V470,-F470,H470)</f>
        <v>7.5000000000135972E-2</v>
      </c>
      <c r="D470" s="3">
        <f t="shared" ref="D470:D475" si="261">C470*AD470</f>
        <v>7.5000000000135972E-2</v>
      </c>
      <c r="F470">
        <v>1000</v>
      </c>
      <c r="G470" t="s">
        <v>76</v>
      </c>
      <c r="H470">
        <v>1000</v>
      </c>
      <c r="I470" s="22"/>
      <c r="J470">
        <v>20</v>
      </c>
      <c r="K470" s="22"/>
      <c r="L470">
        <v>7.5</v>
      </c>
      <c r="M470" s="22">
        <v>7.4999999999999997E-2</v>
      </c>
      <c r="N470" s="21">
        <v>45139</v>
      </c>
      <c r="O470" s="21">
        <v>46235</v>
      </c>
      <c r="P470">
        <f t="shared" ref="P470:P475" si="262">ROUND(YEARFRAC(N470,O470),0)</f>
        <v>3</v>
      </c>
      <c r="Q470" s="6">
        <f t="shared" ref="Q470:Q475" si="263">(M470*H470)/F470</f>
        <v>7.4999999999999997E-2</v>
      </c>
      <c r="R470" s="5">
        <f t="shared" ref="R470:R475" si="264">IF(S470="Quarterly",4,IF(S470="Semi-annual",2,IF(S470="Annual",1,IF(S470="Pays at maturity",0,IF(S470="Monthly",12,0)))))</f>
        <v>1</v>
      </c>
      <c r="S470" t="s">
        <v>93</v>
      </c>
      <c r="U470">
        <f t="shared" ref="U470:U475" si="265">R470*P470</f>
        <v>3</v>
      </c>
      <c r="V470">
        <f t="shared" ref="V470:V475" si="266">(H470*M470)/AD470</f>
        <v>75</v>
      </c>
      <c r="W470" s="28">
        <f t="shared" ref="W470:W475" si="267">RATE(U470,V470,-F470,H470)</f>
        <v>7.5000000000135972E-2</v>
      </c>
      <c r="X470" s="27">
        <f t="shared" ref="X470:X475" si="268">W470*AD470</f>
        <v>7.5000000000135972E-2</v>
      </c>
      <c r="Y470" s="5">
        <f t="shared" ref="Y470:Y475" si="269">DURATION(N470,O470,M470,D470,AD470)</f>
        <v>2.7955651703623201</v>
      </c>
      <c r="Z470" s="5">
        <f t="shared" ref="Z470:Z475" si="270">Y470/(1+C470)</f>
        <v>2.6005257398715966</v>
      </c>
      <c r="AA470" s="5">
        <f t="shared" ref="AA470:AA475" si="271">-Z470*F470</f>
        <v>-2600.5257398715967</v>
      </c>
      <c r="AB470" t="s">
        <v>64</v>
      </c>
      <c r="AC470" t="s">
        <v>62</v>
      </c>
      <c r="AD470">
        <f t="shared" ref="AD470:AD475" si="272">_xlfn.SWITCH(PROPER(TRIM(S470)),
   "Annual",1,
   "Semi-Annual",2,
   "Quarterly",4,
   "Monthly",12,
   "")</f>
        <v>1</v>
      </c>
    </row>
    <row r="471" spans="1:30" x14ac:dyDescent="0.35">
      <c r="A471" t="s">
        <v>1700</v>
      </c>
      <c r="B471" t="s">
        <v>94</v>
      </c>
      <c r="C471" s="36">
        <f t="shared" si="260"/>
        <v>9.2088156038545352E-2</v>
      </c>
      <c r="D471" s="3">
        <f t="shared" si="261"/>
        <v>9.2088156038545352E-2</v>
      </c>
      <c r="F471">
        <v>1020000</v>
      </c>
      <c r="G471" t="s">
        <v>76</v>
      </c>
      <c r="H471">
        <v>1000000</v>
      </c>
      <c r="I471" s="22"/>
      <c r="J471">
        <v>4</v>
      </c>
      <c r="K471" s="22"/>
      <c r="L471">
        <v>8.0511144628791698</v>
      </c>
      <c r="M471" s="22">
        <v>9.4600000000000004E-2</v>
      </c>
      <c r="N471" s="21">
        <v>40756</v>
      </c>
      <c r="O471" s="21">
        <v>46235</v>
      </c>
      <c r="P471">
        <f t="shared" si="262"/>
        <v>15</v>
      </c>
      <c r="Q471" s="6">
        <f t="shared" si="263"/>
        <v>9.2745098039215684E-2</v>
      </c>
      <c r="R471" s="5">
        <f t="shared" si="264"/>
        <v>1</v>
      </c>
      <c r="S471" t="s">
        <v>93</v>
      </c>
      <c r="U471">
        <f t="shared" si="265"/>
        <v>15</v>
      </c>
      <c r="V471">
        <f t="shared" si="266"/>
        <v>94600</v>
      </c>
      <c r="W471" s="28">
        <f t="shared" si="267"/>
        <v>9.2088156038545352E-2</v>
      </c>
      <c r="X471" s="27">
        <f t="shared" si="268"/>
        <v>9.2088156038545352E-2</v>
      </c>
      <c r="Y471" s="5">
        <f t="shared" si="269"/>
        <v>8.650534321814348</v>
      </c>
      <c r="Z471" s="5">
        <f t="shared" si="270"/>
        <v>7.9210952650502202</v>
      </c>
      <c r="AA471" s="5">
        <f t="shared" si="271"/>
        <v>-8079517.170351225</v>
      </c>
      <c r="AB471" t="s">
        <v>64</v>
      </c>
      <c r="AC471" t="s">
        <v>62</v>
      </c>
      <c r="AD471">
        <f t="shared" si="272"/>
        <v>1</v>
      </c>
    </row>
    <row r="472" spans="1:30" x14ac:dyDescent="0.35">
      <c r="A472" t="s">
        <v>1699</v>
      </c>
      <c r="B472" t="s">
        <v>98</v>
      </c>
      <c r="C472" s="36">
        <f t="shared" si="260"/>
        <v>2.0801197635804687E-2</v>
      </c>
      <c r="D472" s="3">
        <f t="shared" si="261"/>
        <v>4.1602395271609374E-2</v>
      </c>
      <c r="F472">
        <v>987</v>
      </c>
      <c r="G472" t="s">
        <v>66</v>
      </c>
      <c r="H472">
        <v>1000</v>
      </c>
      <c r="I472" s="22"/>
      <c r="J472">
        <v>0</v>
      </c>
      <c r="K472" s="22"/>
      <c r="M472" s="22">
        <v>0.04</v>
      </c>
      <c r="N472" s="21">
        <v>42585</v>
      </c>
      <c r="O472" s="21">
        <v>46237</v>
      </c>
      <c r="P472">
        <f t="shared" si="262"/>
        <v>10</v>
      </c>
      <c r="Q472" s="6">
        <f t="shared" si="263"/>
        <v>4.0526849037487336E-2</v>
      </c>
      <c r="R472" s="5">
        <f t="shared" si="264"/>
        <v>2</v>
      </c>
      <c r="S472" t="s">
        <v>65</v>
      </c>
      <c r="U472">
        <f t="shared" si="265"/>
        <v>20</v>
      </c>
      <c r="V472">
        <f t="shared" si="266"/>
        <v>20</v>
      </c>
      <c r="W472" s="28">
        <f t="shared" si="267"/>
        <v>2.0801197635804687E-2</v>
      </c>
      <c r="X472" s="27">
        <f t="shared" si="268"/>
        <v>4.1602395271609374E-2</v>
      </c>
      <c r="Y472" s="5">
        <f t="shared" si="269"/>
        <v>8.3260372575174308</v>
      </c>
      <c r="Z472" s="5">
        <f t="shared" si="270"/>
        <v>8.1563748914095076</v>
      </c>
      <c r="AA472" s="5">
        <f t="shared" si="271"/>
        <v>-8050.3420178211836</v>
      </c>
      <c r="AB472" t="s">
        <v>69</v>
      </c>
      <c r="AC472" t="s">
        <v>62</v>
      </c>
      <c r="AD472">
        <f t="shared" si="272"/>
        <v>2</v>
      </c>
    </row>
    <row r="473" spans="1:30" x14ac:dyDescent="0.35">
      <c r="A473" t="s">
        <v>1698</v>
      </c>
      <c r="B473" t="s">
        <v>98</v>
      </c>
      <c r="C473" s="36">
        <f t="shared" si="260"/>
        <v>2.0947858138416212E-2</v>
      </c>
      <c r="D473" s="3">
        <f t="shared" si="261"/>
        <v>4.1895716276832425E-2</v>
      </c>
      <c r="F473">
        <v>984.64200000000005</v>
      </c>
      <c r="G473" t="s">
        <v>66</v>
      </c>
      <c r="H473">
        <v>1000</v>
      </c>
      <c r="I473" s="22"/>
      <c r="J473">
        <v>1200000</v>
      </c>
      <c r="K473" s="22"/>
      <c r="M473" s="22">
        <v>0.04</v>
      </c>
      <c r="N473" s="21">
        <v>42585</v>
      </c>
      <c r="O473" s="21">
        <v>46237</v>
      </c>
      <c r="P473">
        <f t="shared" si="262"/>
        <v>10</v>
      </c>
      <c r="Q473" s="6">
        <f t="shared" si="263"/>
        <v>4.0623901885152164E-2</v>
      </c>
      <c r="R473" s="5">
        <f t="shared" si="264"/>
        <v>2</v>
      </c>
      <c r="S473" t="s">
        <v>65</v>
      </c>
      <c r="U473">
        <f t="shared" si="265"/>
        <v>20</v>
      </c>
      <c r="V473">
        <f t="shared" si="266"/>
        <v>20</v>
      </c>
      <c r="W473" s="28">
        <f t="shared" si="267"/>
        <v>2.0947858138416212E-2</v>
      </c>
      <c r="X473" s="27">
        <f t="shared" si="268"/>
        <v>4.1895716276832425E-2</v>
      </c>
      <c r="Y473" s="5">
        <f t="shared" si="269"/>
        <v>8.3236134691206605</v>
      </c>
      <c r="Z473" s="5">
        <f t="shared" si="270"/>
        <v>8.1528291604409997</v>
      </c>
      <c r="AA473" s="5">
        <f t="shared" si="271"/>
        <v>-8027.6180101949476</v>
      </c>
      <c r="AB473" t="s">
        <v>69</v>
      </c>
      <c r="AC473" t="s">
        <v>62</v>
      </c>
      <c r="AD473">
        <f t="shared" si="272"/>
        <v>2</v>
      </c>
    </row>
    <row r="474" spans="1:30" x14ac:dyDescent="0.35">
      <c r="A474" t="s">
        <v>1697</v>
      </c>
      <c r="B474" t="s">
        <v>1696</v>
      </c>
      <c r="C474" s="36">
        <f t="shared" si="260"/>
        <v>5.4250000000001346E-2</v>
      </c>
      <c r="D474" s="3">
        <f t="shared" si="261"/>
        <v>0.10850000000000269</v>
      </c>
      <c r="F474">
        <v>1000000</v>
      </c>
      <c r="G474" t="s">
        <v>76</v>
      </c>
      <c r="H474">
        <v>1000000</v>
      </c>
      <c r="I474" s="22"/>
      <c r="J474">
        <v>3</v>
      </c>
      <c r="K474" s="22"/>
      <c r="M474" s="22">
        <v>0.1085</v>
      </c>
      <c r="N474" s="21">
        <v>40759</v>
      </c>
      <c r="O474" s="21">
        <v>46238</v>
      </c>
      <c r="P474">
        <f t="shared" si="262"/>
        <v>15</v>
      </c>
      <c r="Q474" s="6">
        <f t="shared" si="263"/>
        <v>0.1085</v>
      </c>
      <c r="R474" s="5">
        <f t="shared" si="264"/>
        <v>2</v>
      </c>
      <c r="S474" t="s">
        <v>65</v>
      </c>
      <c r="U474">
        <f t="shared" si="265"/>
        <v>30</v>
      </c>
      <c r="V474">
        <f t="shared" si="266"/>
        <v>54250</v>
      </c>
      <c r="W474" s="28">
        <f t="shared" si="267"/>
        <v>5.4250000000001346E-2</v>
      </c>
      <c r="X474" s="27">
        <f t="shared" si="268"/>
        <v>0.10850000000000269</v>
      </c>
      <c r="Y474" s="5">
        <f t="shared" si="269"/>
        <v>7.7249739796251706</v>
      </c>
      <c r="Z474" s="5">
        <f t="shared" si="270"/>
        <v>7.3274593119517775</v>
      </c>
      <c r="AA474" s="5">
        <f t="shared" si="271"/>
        <v>-7327459.3119517779</v>
      </c>
      <c r="AB474" t="s">
        <v>64</v>
      </c>
      <c r="AC474" t="s">
        <v>62</v>
      </c>
      <c r="AD474">
        <f t="shared" si="272"/>
        <v>2</v>
      </c>
    </row>
    <row r="475" spans="1:30" x14ac:dyDescent="0.35">
      <c r="A475" t="s">
        <v>1695</v>
      </c>
      <c r="B475" t="s">
        <v>316</v>
      </c>
      <c r="C475" s="36">
        <f t="shared" si="260"/>
        <v>0.11001843838625122</v>
      </c>
      <c r="D475" s="3">
        <f t="shared" si="261"/>
        <v>0.11001843838625122</v>
      </c>
      <c r="F475">
        <v>970</v>
      </c>
      <c r="G475" t="s">
        <v>76</v>
      </c>
      <c r="H475">
        <v>1000</v>
      </c>
      <c r="I475" s="22"/>
      <c r="J475">
        <v>10</v>
      </c>
      <c r="K475" s="22"/>
      <c r="L475">
        <v>12.3653205177893</v>
      </c>
      <c r="M475" s="22">
        <v>9.2499999999999999E-2</v>
      </c>
      <c r="N475" s="21">
        <v>45511</v>
      </c>
      <c r="O475" s="21">
        <v>46240</v>
      </c>
      <c r="P475">
        <f t="shared" si="262"/>
        <v>2</v>
      </c>
      <c r="Q475" s="6">
        <f t="shared" si="263"/>
        <v>9.5360824742268036E-2</v>
      </c>
      <c r="R475" s="5">
        <f t="shared" si="264"/>
        <v>1</v>
      </c>
      <c r="S475" t="s">
        <v>93</v>
      </c>
      <c r="U475">
        <f t="shared" si="265"/>
        <v>2</v>
      </c>
      <c r="V475">
        <f t="shared" si="266"/>
        <v>92.5</v>
      </c>
      <c r="W475" s="28">
        <f t="shared" si="267"/>
        <v>0.11001843838625122</v>
      </c>
      <c r="X475" s="27">
        <f t="shared" si="268"/>
        <v>0.11001843838625122</v>
      </c>
      <c r="Y475" s="5">
        <f t="shared" si="269"/>
        <v>1.9113129963530522</v>
      </c>
      <c r="Z475" s="5">
        <f t="shared" si="270"/>
        <v>1.7218749979790657</v>
      </c>
      <c r="AA475" s="5">
        <f t="shared" si="271"/>
        <v>-1670.2187480396938</v>
      </c>
      <c r="AB475" t="s">
        <v>64</v>
      </c>
      <c r="AC475" t="s">
        <v>62</v>
      </c>
      <c r="AD475">
        <f t="shared" si="272"/>
        <v>1</v>
      </c>
    </row>
    <row r="476" spans="1:30" x14ac:dyDescent="0.35">
      <c r="C476" s="28"/>
      <c r="D476" s="27"/>
      <c r="I476" s="22"/>
      <c r="K476" s="22"/>
      <c r="M476" s="22"/>
      <c r="N476" s="21"/>
      <c r="O476" s="21"/>
      <c r="P476" s="5"/>
      <c r="Q476" s="6"/>
      <c r="R476" s="5"/>
      <c r="W476" s="28"/>
      <c r="Y476" s="33"/>
      <c r="Z476" s="33"/>
      <c r="AA476" s="33"/>
    </row>
    <row r="477" spans="1:30" x14ac:dyDescent="0.35">
      <c r="A477" t="s">
        <v>1693</v>
      </c>
      <c r="B477" t="s">
        <v>326</v>
      </c>
      <c r="C477" s="36">
        <f t="shared" ref="C477:C482" si="273">RATE(U477,V477,-F477,H477)</f>
        <v>0.10580684204928947</v>
      </c>
      <c r="D477" s="3">
        <f t="shared" ref="D477:D482" si="274">C477*AD477</f>
        <v>0.10580684204928947</v>
      </c>
      <c r="F477">
        <v>990</v>
      </c>
      <c r="G477" t="s">
        <v>76</v>
      </c>
      <c r="H477">
        <v>1000</v>
      </c>
      <c r="I477" s="22"/>
      <c r="J477">
        <v>100</v>
      </c>
      <c r="K477" s="22"/>
      <c r="L477">
        <v>11.034394578698301</v>
      </c>
      <c r="M477" s="22">
        <v>0.1</v>
      </c>
      <c r="N477" s="21">
        <v>45512</v>
      </c>
      <c r="O477" s="21">
        <v>46241</v>
      </c>
      <c r="P477">
        <f t="shared" ref="P477:P482" si="275">ROUND(YEARFRAC(N477,O477),0)</f>
        <v>2</v>
      </c>
      <c r="Q477" s="6">
        <f t="shared" ref="Q477:Q482" si="276">(M477*H477)/F477</f>
        <v>0.10101010101010101</v>
      </c>
      <c r="R477" s="5">
        <f t="shared" ref="R477:R482" si="277">IF(S477="Quarterly",4,IF(S477="Semi-annual",2,IF(S477="Annual",1,IF(S477="Pays at maturity",0,IF(S477="Monthly",12,0)))))</f>
        <v>1</v>
      </c>
      <c r="S477" t="s">
        <v>93</v>
      </c>
      <c r="U477">
        <f t="shared" ref="U477:U482" si="278">R477*P477</f>
        <v>2</v>
      </c>
      <c r="V477">
        <f t="shared" ref="V477:V482" si="279">(H477*M477)/AD477</f>
        <v>100</v>
      </c>
      <c r="W477" s="28">
        <f t="shared" ref="W477:W482" si="280">RATE(U477,V477,-F477,H477)</f>
        <v>0.10580684204928947</v>
      </c>
      <c r="X477" s="27">
        <f t="shared" ref="X477:X482" si="281">W477*AD477</f>
        <v>0.10580684204928947</v>
      </c>
      <c r="Y477" s="5">
        <f t="shared" ref="Y477:Y482" si="282">DURATION(N477,O477,M477,D477,AD477)</f>
        <v>1.9058770639459237</v>
      </c>
      <c r="Z477" s="5">
        <f t="shared" ref="Z477:Z482" si="283">Y477/(1+C477)</f>
        <v>1.7235171564085625</v>
      </c>
      <c r="AA477" s="5">
        <f t="shared" ref="AA477:AA482" si="284">-Z477*F477</f>
        <v>-1706.2819848444769</v>
      </c>
      <c r="AB477" t="s">
        <v>64</v>
      </c>
      <c r="AC477" t="s">
        <v>62</v>
      </c>
      <c r="AD477">
        <f t="shared" ref="AD477:AD482" si="285">_xlfn.SWITCH(PROPER(TRIM(S477)),
   "Annual",1,
   "Semi-Annual",2,
   "Quarterly",4,
   "Monthly",12,
   "")</f>
        <v>1</v>
      </c>
    </row>
    <row r="478" spans="1:30" x14ac:dyDescent="0.35">
      <c r="A478" t="s">
        <v>1692</v>
      </c>
      <c r="B478" t="s">
        <v>478</v>
      </c>
      <c r="C478" s="36">
        <f t="shared" si="273"/>
        <v>9.7702342399777528E-2</v>
      </c>
      <c r="D478" s="3">
        <f t="shared" si="274"/>
        <v>9.7702342399777528E-2</v>
      </c>
      <c r="F478">
        <v>1004</v>
      </c>
      <c r="G478" t="s">
        <v>76</v>
      </c>
      <c r="H478">
        <v>1000</v>
      </c>
      <c r="I478" s="22"/>
      <c r="J478">
        <v>142</v>
      </c>
      <c r="K478" s="22"/>
      <c r="L478">
        <v>9.5784839644048407</v>
      </c>
      <c r="M478" s="22">
        <v>0.1</v>
      </c>
      <c r="N478" s="21">
        <v>45511</v>
      </c>
      <c r="O478" s="21">
        <v>46241</v>
      </c>
      <c r="P478">
        <f t="shared" si="275"/>
        <v>2</v>
      </c>
      <c r="Q478" s="6">
        <f t="shared" si="276"/>
        <v>9.9601593625498003E-2</v>
      </c>
      <c r="R478" s="5">
        <f t="shared" si="277"/>
        <v>1</v>
      </c>
      <c r="S478" t="s">
        <v>93</v>
      </c>
      <c r="U478">
        <f t="shared" si="278"/>
        <v>2</v>
      </c>
      <c r="V478">
        <f t="shared" si="279"/>
        <v>100</v>
      </c>
      <c r="W478" s="28">
        <f t="shared" si="280"/>
        <v>9.7702342399777528E-2</v>
      </c>
      <c r="X478" s="27">
        <f t="shared" si="281"/>
        <v>9.7702342399777528E-2</v>
      </c>
      <c r="Y478" s="5">
        <f t="shared" si="282"/>
        <v>1.9092635682932473</v>
      </c>
      <c r="Z478" s="5">
        <f t="shared" si="283"/>
        <v>1.7393272242812645</v>
      </c>
      <c r="AA478" s="5">
        <f t="shared" si="284"/>
        <v>-1746.2845331783897</v>
      </c>
      <c r="AB478" t="s">
        <v>64</v>
      </c>
      <c r="AC478" t="s">
        <v>62</v>
      </c>
      <c r="AD478">
        <f t="shared" si="285"/>
        <v>1</v>
      </c>
    </row>
    <row r="479" spans="1:30" x14ac:dyDescent="0.35">
      <c r="A479" t="s">
        <v>1691</v>
      </c>
      <c r="B479" t="s">
        <v>598</v>
      </c>
      <c r="C479" s="36">
        <f t="shared" si="273"/>
        <v>0.11407840388852128</v>
      </c>
      <c r="D479" s="3">
        <f t="shared" si="274"/>
        <v>0.11407840388852128</v>
      </c>
      <c r="F479">
        <v>9763.61</v>
      </c>
      <c r="G479" t="s">
        <v>76</v>
      </c>
      <c r="H479">
        <v>10000</v>
      </c>
      <c r="I479" s="22"/>
      <c r="J479">
        <v>1</v>
      </c>
      <c r="K479" s="22"/>
      <c r="L479">
        <v>12.546095233069799</v>
      </c>
      <c r="M479" s="22">
        <v>0.1002</v>
      </c>
      <c r="N479" s="21">
        <v>45695</v>
      </c>
      <c r="O479" s="21">
        <v>46241</v>
      </c>
      <c r="P479">
        <f t="shared" si="275"/>
        <v>2</v>
      </c>
      <c r="Q479" s="6">
        <f t="shared" si="276"/>
        <v>0.10262597543326699</v>
      </c>
      <c r="R479" s="5">
        <f t="shared" si="277"/>
        <v>1</v>
      </c>
      <c r="S479" t="s">
        <v>93</v>
      </c>
      <c r="U479">
        <f t="shared" si="278"/>
        <v>2</v>
      </c>
      <c r="V479">
        <f t="shared" si="279"/>
        <v>1002</v>
      </c>
      <c r="W479" s="28">
        <f t="shared" si="280"/>
        <v>0.11407840388852128</v>
      </c>
      <c r="X479" s="27">
        <f t="shared" si="281"/>
        <v>0.11407840388852128</v>
      </c>
      <c r="Y479" s="5">
        <f t="shared" si="282"/>
        <v>1.4078826274030027</v>
      </c>
      <c r="Z479" s="5">
        <f t="shared" si="283"/>
        <v>1.263719521434939</v>
      </c>
      <c r="AA479" s="5">
        <f t="shared" si="284"/>
        <v>-12338.464556677385</v>
      </c>
      <c r="AB479" t="s">
        <v>64</v>
      </c>
      <c r="AC479" t="s">
        <v>62</v>
      </c>
      <c r="AD479">
        <f t="shared" si="285"/>
        <v>1</v>
      </c>
    </row>
    <row r="480" spans="1:30" x14ac:dyDescent="0.35">
      <c r="A480" t="s">
        <v>1690</v>
      </c>
      <c r="B480" t="s">
        <v>591</v>
      </c>
      <c r="C480" s="36">
        <f t="shared" si="273"/>
        <v>0.10253913552240047</v>
      </c>
      <c r="D480" s="3">
        <f t="shared" si="274"/>
        <v>0.10253913552240047</v>
      </c>
      <c r="F480">
        <v>99000</v>
      </c>
      <c r="G480" t="s">
        <v>76</v>
      </c>
      <c r="H480">
        <v>100000</v>
      </c>
      <c r="I480" s="22"/>
      <c r="J480">
        <v>2</v>
      </c>
      <c r="K480" s="22"/>
      <c r="L480">
        <v>10.8487312145848</v>
      </c>
      <c r="M480" s="22">
        <v>9.849999999999999E-2</v>
      </c>
      <c r="N480" s="21">
        <v>45145</v>
      </c>
      <c r="O480" s="21">
        <v>46241</v>
      </c>
      <c r="P480">
        <f t="shared" si="275"/>
        <v>3</v>
      </c>
      <c r="Q480" s="6">
        <f t="shared" si="276"/>
        <v>9.9494949494949483E-2</v>
      </c>
      <c r="R480" s="5">
        <f t="shared" si="277"/>
        <v>1</v>
      </c>
      <c r="S480" t="s">
        <v>93</v>
      </c>
      <c r="U480">
        <f t="shared" si="278"/>
        <v>3</v>
      </c>
      <c r="V480">
        <f t="shared" si="279"/>
        <v>9849.9999999999982</v>
      </c>
      <c r="W480" s="28">
        <f t="shared" si="280"/>
        <v>0.10253913552240047</v>
      </c>
      <c r="X480" s="27">
        <f t="shared" si="281"/>
        <v>0.10253913552240047</v>
      </c>
      <c r="Y480" s="5">
        <f t="shared" si="282"/>
        <v>2.7376677720487961</v>
      </c>
      <c r="Z480" s="5">
        <f t="shared" si="283"/>
        <v>2.4830572302103775</v>
      </c>
      <c r="AA480" s="5">
        <f t="shared" si="284"/>
        <v>-245822.66579082736</v>
      </c>
      <c r="AB480" t="s">
        <v>64</v>
      </c>
      <c r="AC480" t="s">
        <v>62</v>
      </c>
      <c r="AD480">
        <f t="shared" si="285"/>
        <v>1</v>
      </c>
    </row>
    <row r="481" spans="1:30" x14ac:dyDescent="0.35">
      <c r="A481" t="s">
        <v>1689</v>
      </c>
      <c r="B481" t="s">
        <v>326</v>
      </c>
      <c r="C481" s="36">
        <f t="shared" si="273"/>
        <v>0.19877092969042406</v>
      </c>
      <c r="D481" s="3">
        <f t="shared" si="274"/>
        <v>0.19877092969042406</v>
      </c>
      <c r="F481">
        <v>852.7</v>
      </c>
      <c r="G481" t="s">
        <v>76</v>
      </c>
      <c r="H481">
        <v>1000</v>
      </c>
      <c r="I481" s="22"/>
      <c r="J481">
        <v>100</v>
      </c>
      <c r="K481" s="22"/>
      <c r="L481">
        <v>27.2506088928093</v>
      </c>
      <c r="M481" s="22">
        <v>0.10249999999999999</v>
      </c>
      <c r="N481" s="21">
        <v>45512</v>
      </c>
      <c r="O481" s="21">
        <v>46241</v>
      </c>
      <c r="P481">
        <f t="shared" si="275"/>
        <v>2</v>
      </c>
      <c r="Q481" s="6">
        <f t="shared" si="276"/>
        <v>0.12020640318986747</v>
      </c>
      <c r="R481" s="5">
        <f t="shared" si="277"/>
        <v>1</v>
      </c>
      <c r="S481" t="s">
        <v>93</v>
      </c>
      <c r="U481">
        <f t="shared" si="278"/>
        <v>2</v>
      </c>
      <c r="V481">
        <f t="shared" si="279"/>
        <v>102.5</v>
      </c>
      <c r="W481" s="28">
        <f t="shared" si="280"/>
        <v>0.19877092969042406</v>
      </c>
      <c r="X481" s="27">
        <f t="shared" si="281"/>
        <v>0.19877092969042406</v>
      </c>
      <c r="Y481" s="5">
        <f t="shared" si="282"/>
        <v>1.896947515676819</v>
      </c>
      <c r="Z481" s="5">
        <f t="shared" si="283"/>
        <v>1.582410341037128</v>
      </c>
      <c r="AA481" s="5">
        <f t="shared" si="284"/>
        <v>-1349.3212978023591</v>
      </c>
      <c r="AB481" t="s">
        <v>64</v>
      </c>
      <c r="AC481" t="s">
        <v>62</v>
      </c>
      <c r="AD481">
        <f t="shared" si="285"/>
        <v>1</v>
      </c>
    </row>
    <row r="482" spans="1:30" x14ac:dyDescent="0.35">
      <c r="A482" t="s">
        <v>1688</v>
      </c>
      <c r="B482" t="s">
        <v>316</v>
      </c>
      <c r="C482" s="36">
        <f t="shared" si="273"/>
        <v>9.8142029200094474E-2</v>
      </c>
      <c r="D482" s="3">
        <f t="shared" si="274"/>
        <v>9.8142029200094474E-2</v>
      </c>
      <c r="F482">
        <v>990</v>
      </c>
      <c r="G482" t="s">
        <v>76</v>
      </c>
      <c r="H482">
        <v>1000</v>
      </c>
      <c r="I482" s="22"/>
      <c r="J482">
        <v>600</v>
      </c>
      <c r="K482" s="22"/>
      <c r="L482">
        <v>10.5461834843278</v>
      </c>
      <c r="M482" s="22">
        <v>9.5000000000000001E-2</v>
      </c>
      <c r="N482" s="21">
        <v>44784</v>
      </c>
      <c r="O482" s="21">
        <v>46244</v>
      </c>
      <c r="P482">
        <f t="shared" si="275"/>
        <v>4</v>
      </c>
      <c r="Q482" s="6">
        <f t="shared" si="276"/>
        <v>9.5959595959595953E-2</v>
      </c>
      <c r="R482" s="5">
        <f t="shared" si="277"/>
        <v>1</v>
      </c>
      <c r="S482" t="s">
        <v>93</v>
      </c>
      <c r="U482">
        <f t="shared" si="278"/>
        <v>4</v>
      </c>
      <c r="V482">
        <f t="shared" si="279"/>
        <v>95</v>
      </c>
      <c r="W482" s="28">
        <f t="shared" si="280"/>
        <v>9.8142029200094474E-2</v>
      </c>
      <c r="X482" s="27">
        <f t="shared" si="281"/>
        <v>9.8142029200094474E-2</v>
      </c>
      <c r="Y482" s="5">
        <f t="shared" si="282"/>
        <v>3.5034609466655113</v>
      </c>
      <c r="Z482" s="5">
        <f t="shared" si="283"/>
        <v>3.1903532088809063</v>
      </c>
      <c r="AA482" s="5">
        <f t="shared" si="284"/>
        <v>-3158.4496767920973</v>
      </c>
      <c r="AB482" t="s">
        <v>64</v>
      </c>
      <c r="AC482" t="s">
        <v>62</v>
      </c>
      <c r="AD482">
        <f t="shared" si="285"/>
        <v>1</v>
      </c>
    </row>
    <row r="483" spans="1:30" x14ac:dyDescent="0.35">
      <c r="C483" s="28"/>
      <c r="D483" s="27"/>
      <c r="I483" s="22"/>
      <c r="K483" s="22"/>
      <c r="M483" s="22"/>
      <c r="N483" s="21"/>
      <c r="O483" s="21"/>
      <c r="P483" s="5"/>
      <c r="Q483" s="6"/>
      <c r="R483" s="5"/>
      <c r="W483" s="28"/>
      <c r="Y483" s="33"/>
      <c r="Z483" s="33"/>
      <c r="AA483" s="33"/>
    </row>
    <row r="484" spans="1:30" x14ac:dyDescent="0.35">
      <c r="A484" t="s">
        <v>1686</v>
      </c>
      <c r="B484" t="s">
        <v>1495</v>
      </c>
      <c r="C484" s="36">
        <f>RATE(U484,V484,-F484,H484)</f>
        <v>5.0083353984590823E-2</v>
      </c>
      <c r="D484" s="3">
        <f>C484*AD484</f>
        <v>0.20033341593836329</v>
      </c>
      <c r="F484">
        <v>85005</v>
      </c>
      <c r="G484" t="s">
        <v>76</v>
      </c>
      <c r="H484">
        <v>100000</v>
      </c>
      <c r="I484" s="22"/>
      <c r="J484">
        <v>1</v>
      </c>
      <c r="K484" s="22"/>
      <c r="M484" s="22">
        <v>0.1075</v>
      </c>
      <c r="N484" s="21">
        <v>45701</v>
      </c>
      <c r="O484" s="21">
        <v>46247</v>
      </c>
      <c r="P484">
        <f>ROUND(YEARFRAC(N484,O484),0)</f>
        <v>2</v>
      </c>
      <c r="Q484" s="6">
        <f>(M484*H484)/F484</f>
        <v>0.12646314922651608</v>
      </c>
      <c r="R484" s="5">
        <f>IF(S484="Quarterly",4,IF(S484="Semi-annual",2,IF(S484="Annual",1,IF(S484="Pays at maturity",0,IF(S484="Monthly",12,0)))))</f>
        <v>4</v>
      </c>
      <c r="S484" t="s">
        <v>105</v>
      </c>
      <c r="U484">
        <f>R484*P484</f>
        <v>8</v>
      </c>
      <c r="V484">
        <f>(H484*M484)/AD484</f>
        <v>2687.5</v>
      </c>
      <c r="W484" s="28">
        <f>RATE(U484,V484,-F484,H484)</f>
        <v>5.0083353984590823E-2</v>
      </c>
      <c r="X484" s="27">
        <f>W484*AD484</f>
        <v>0.20033341593836329</v>
      </c>
      <c r="Y484" s="5">
        <f>DURATION(N484,O484,M484,D484,AD484)</f>
        <v>1.3978893050913874</v>
      </c>
      <c r="Z484" s="5">
        <f>Y484/(1+C484)</f>
        <v>1.3312174693437722</v>
      </c>
      <c r="AA484" s="5">
        <f>-Z484*F484</f>
        <v>-113160.14098156735</v>
      </c>
      <c r="AB484" t="s">
        <v>69</v>
      </c>
      <c r="AC484" t="s">
        <v>62</v>
      </c>
      <c r="AD484">
        <f>_xlfn.SWITCH(PROPER(TRIM(S484)),
   "Annual",1,
   "Semi-Annual",2,
   "Quarterly",4,
   "Monthly",12,
   "")</f>
        <v>4</v>
      </c>
    </row>
    <row r="485" spans="1:30" x14ac:dyDescent="0.35">
      <c r="A485" t="s">
        <v>1685</v>
      </c>
      <c r="B485" t="s">
        <v>353</v>
      </c>
      <c r="C485" s="36">
        <f>RATE(U485,V485,-F485,H485)</f>
        <v>0.11946045839503153</v>
      </c>
      <c r="D485" s="3">
        <f>C485*AD485</f>
        <v>0.11946045839503153</v>
      </c>
      <c r="F485">
        <v>984</v>
      </c>
      <c r="G485" t="s">
        <v>76</v>
      </c>
      <c r="H485">
        <v>1000</v>
      </c>
      <c r="I485" s="22"/>
      <c r="J485">
        <v>11</v>
      </c>
      <c r="K485" s="22"/>
      <c r="L485">
        <v>12.120918828235901</v>
      </c>
      <c r="M485" s="22">
        <v>0.11</v>
      </c>
      <c r="N485" s="21">
        <v>45518</v>
      </c>
      <c r="O485" s="21">
        <v>46247</v>
      </c>
      <c r="P485">
        <f>ROUND(YEARFRAC(N485,O485),0)</f>
        <v>2</v>
      </c>
      <c r="Q485" s="6">
        <f>(M485*H485)/F485</f>
        <v>0.11178861788617886</v>
      </c>
      <c r="R485" s="5">
        <f>IF(S485="Quarterly",4,IF(S485="Semi-annual",2,IF(S485="Annual",1,IF(S485="Pays at maturity",0,IF(S485="Monthly",12,0)))))</f>
        <v>1</v>
      </c>
      <c r="S485" t="s">
        <v>93</v>
      </c>
      <c r="U485">
        <f>R485*P485</f>
        <v>2</v>
      </c>
      <c r="V485">
        <f>(H485*M485)/AD485</f>
        <v>110</v>
      </c>
      <c r="W485" s="28">
        <f>RATE(U485,V485,-F485,H485)</f>
        <v>0.11946045839503153</v>
      </c>
      <c r="X485" s="27">
        <f>W485*AD485</f>
        <v>0.11946045839503153</v>
      </c>
      <c r="Y485" s="5">
        <f>DURATION(N485,O485,M485,D485,AD485)</f>
        <v>1.897362850640264</v>
      </c>
      <c r="Z485" s="5">
        <f>Y485/(1+C485)</f>
        <v>1.694890459427669</v>
      </c>
      <c r="AA485" s="5">
        <f>-Z485*F485</f>
        <v>-1667.7722120768262</v>
      </c>
      <c r="AB485" t="s">
        <v>64</v>
      </c>
      <c r="AC485" t="s">
        <v>62</v>
      </c>
      <c r="AD485">
        <f>_xlfn.SWITCH(PROPER(TRIM(S485)),
   "Annual",1,
   "Semi-Annual",2,
   "Quarterly",4,
   "Monthly",12,
   "")</f>
        <v>1</v>
      </c>
    </row>
    <row r="486" spans="1:30" x14ac:dyDescent="0.35">
      <c r="C486" s="28"/>
      <c r="D486" s="27"/>
      <c r="I486" s="22"/>
      <c r="K486" s="22"/>
      <c r="M486" s="22"/>
      <c r="N486" s="21"/>
      <c r="O486" s="21"/>
      <c r="P486" s="5"/>
      <c r="Q486" s="6"/>
      <c r="R486" s="5"/>
      <c r="W486" s="28"/>
      <c r="Y486" s="33"/>
      <c r="Z486" s="33"/>
      <c r="AA486" s="33"/>
    </row>
    <row r="487" spans="1:30" x14ac:dyDescent="0.35">
      <c r="C487" s="28"/>
      <c r="D487" s="27"/>
      <c r="I487" s="22"/>
      <c r="K487" s="22"/>
      <c r="M487" s="22"/>
      <c r="N487" s="21"/>
      <c r="O487" s="21"/>
      <c r="P487" s="5"/>
      <c r="Q487" s="6"/>
      <c r="R487" s="5"/>
      <c r="W487" s="28"/>
      <c r="Y487" s="33"/>
      <c r="Z487" s="33"/>
      <c r="AA487" s="33"/>
    </row>
    <row r="488" spans="1:30" x14ac:dyDescent="0.35">
      <c r="A488" t="s">
        <v>1682</v>
      </c>
      <c r="B488" t="s">
        <v>568</v>
      </c>
      <c r="C488" s="36" t="e">
        <f t="shared" ref="C488:C495" si="286">RATE(U488,V488,-F488,H488)</f>
        <v>#VALUE!</v>
      </c>
      <c r="D488" s="3" t="e">
        <f t="shared" ref="D488:D495" si="287">C488*AD488</f>
        <v>#VALUE!</v>
      </c>
      <c r="F488">
        <v>196682</v>
      </c>
      <c r="G488" t="s">
        <v>76</v>
      </c>
      <c r="H488">
        <v>100000</v>
      </c>
      <c r="I488" s="22"/>
      <c r="J488">
        <v>10</v>
      </c>
      <c r="K488" s="22"/>
      <c r="L488">
        <v>-22.137501871313301</v>
      </c>
      <c r="M488" s="22">
        <v>0.05</v>
      </c>
      <c r="N488" s="21">
        <v>42604</v>
      </c>
      <c r="O488" s="21">
        <v>46251</v>
      </c>
      <c r="P488">
        <f t="shared" ref="P488:P495" si="288">ROUND(YEARFRAC(N488,O488),0)</f>
        <v>10</v>
      </c>
      <c r="Q488" s="6">
        <f t="shared" ref="Q488:Q495" si="289">(M488*H488)/F488</f>
        <v>2.5421746779064683E-2</v>
      </c>
      <c r="R488" s="5">
        <f t="shared" ref="R488:R495" si="290">IF(S488="Quarterly",4,IF(S488="Semi-annual",2,IF(S488="Annual",1,IF(S488="Pays at maturity",0,IF(S488="Monthly",12,0)))))</f>
        <v>0</v>
      </c>
      <c r="S488" t="s">
        <v>782</v>
      </c>
      <c r="U488">
        <f t="shared" ref="U488:U495" si="291">R488*P488</f>
        <v>0</v>
      </c>
      <c r="V488" t="e">
        <f t="shared" ref="V488:V495" si="292">(H488*M488)/AD488</f>
        <v>#VALUE!</v>
      </c>
      <c r="W488" s="28" t="e">
        <f t="shared" ref="W488:W495" si="293">RATE(U488,V488,-F488,H488)</f>
        <v>#VALUE!</v>
      </c>
      <c r="X488" s="27" t="e">
        <f t="shared" ref="X488:X495" si="294">W488*AD488</f>
        <v>#VALUE!</v>
      </c>
      <c r="Y488" s="5" t="e">
        <f t="shared" ref="Y488:Y495" si="295">DURATION(N488,O488,M488,D488,AD488)</f>
        <v>#VALUE!</v>
      </c>
      <c r="Z488" s="5" t="e">
        <f t="shared" ref="Z488:Z495" si="296">Y488/(1+C488)</f>
        <v>#VALUE!</v>
      </c>
      <c r="AA488" s="5" t="e">
        <f t="shared" ref="AA488:AA495" si="297">-Z488*F488</f>
        <v>#VALUE!</v>
      </c>
      <c r="AB488" t="s">
        <v>64</v>
      </c>
      <c r="AC488" t="s">
        <v>62</v>
      </c>
      <c r="AD488" t="str">
        <f t="shared" ref="AD488:AD495" si="298">_xlfn.SWITCH(PROPER(TRIM(S488)),
   "Annual",1,
   "Semi-Annual",2,
   "Quarterly",4,
   "Monthly",12,
   "")</f>
        <v/>
      </c>
    </row>
    <row r="489" spans="1:30" x14ac:dyDescent="0.35">
      <c r="A489" t="s">
        <v>1681</v>
      </c>
      <c r="B489" t="s">
        <v>1680</v>
      </c>
      <c r="C489" s="36">
        <f t="shared" si="286"/>
        <v>8.7458138024251508E-2</v>
      </c>
      <c r="D489" s="3">
        <f t="shared" si="287"/>
        <v>8.7458138024251508E-2</v>
      </c>
      <c r="F489">
        <v>1022987</v>
      </c>
      <c r="G489" t="s">
        <v>76</v>
      </c>
      <c r="H489">
        <v>1000000</v>
      </c>
      <c r="I489" s="22"/>
      <c r="J489">
        <v>1</v>
      </c>
      <c r="K489" s="22"/>
      <c r="L489">
        <v>7.1392613203712303</v>
      </c>
      <c r="M489" s="22">
        <v>9.0999999999999998E-2</v>
      </c>
      <c r="N489" s="21">
        <v>42598</v>
      </c>
      <c r="O489" s="21">
        <v>46251</v>
      </c>
      <c r="P489">
        <f t="shared" si="288"/>
        <v>10</v>
      </c>
      <c r="Q489" s="6">
        <f t="shared" si="289"/>
        <v>8.895518711381474E-2</v>
      </c>
      <c r="R489" s="5">
        <f t="shared" si="290"/>
        <v>1</v>
      </c>
      <c r="S489" t="s">
        <v>93</v>
      </c>
      <c r="U489">
        <f t="shared" si="291"/>
        <v>10</v>
      </c>
      <c r="V489">
        <f t="shared" si="292"/>
        <v>91000</v>
      </c>
      <c r="W489" s="28">
        <f t="shared" si="293"/>
        <v>8.7458138024251508E-2</v>
      </c>
      <c r="X489" s="27">
        <f t="shared" si="294"/>
        <v>8.7458138024251508E-2</v>
      </c>
      <c r="Y489" s="5">
        <f t="shared" si="295"/>
        <v>6.4376945315868417</v>
      </c>
      <c r="Z489" s="5">
        <f t="shared" si="296"/>
        <v>5.9199469905877651</v>
      </c>
      <c r="AA489" s="5">
        <f t="shared" si="297"/>
        <v>-6056028.8120604064</v>
      </c>
      <c r="AB489" t="s">
        <v>64</v>
      </c>
      <c r="AC489" t="s">
        <v>62</v>
      </c>
      <c r="AD489">
        <f t="shared" si="298"/>
        <v>1</v>
      </c>
    </row>
    <row r="490" spans="1:30" x14ac:dyDescent="0.35">
      <c r="A490" t="s">
        <v>1679</v>
      </c>
      <c r="B490" t="s">
        <v>1678</v>
      </c>
      <c r="C490" s="36">
        <f t="shared" si="286"/>
        <v>2.8143436181687496E-2</v>
      </c>
      <c r="D490" s="3">
        <f t="shared" si="287"/>
        <v>0.11257374472674998</v>
      </c>
      <c r="F490">
        <v>98723.29</v>
      </c>
      <c r="G490" t="s">
        <v>76</v>
      </c>
      <c r="H490">
        <v>100000</v>
      </c>
      <c r="I490" s="22"/>
      <c r="J490">
        <v>10</v>
      </c>
      <c r="K490" s="22"/>
      <c r="M490" s="22">
        <v>0.1075</v>
      </c>
      <c r="N490" s="21">
        <v>45156</v>
      </c>
      <c r="O490" s="21">
        <v>46252</v>
      </c>
      <c r="P490">
        <f t="shared" si="288"/>
        <v>3</v>
      </c>
      <c r="Q490" s="6">
        <f t="shared" si="289"/>
        <v>0.10889021222854305</v>
      </c>
      <c r="R490" s="5">
        <f t="shared" si="290"/>
        <v>4</v>
      </c>
      <c r="S490" t="s">
        <v>105</v>
      </c>
      <c r="U490">
        <f t="shared" si="291"/>
        <v>12</v>
      </c>
      <c r="V490">
        <f t="shared" si="292"/>
        <v>2687.5</v>
      </c>
      <c r="W490" s="28">
        <f t="shared" si="293"/>
        <v>2.8143436181687496E-2</v>
      </c>
      <c r="X490" s="27">
        <f t="shared" si="294"/>
        <v>0.11257374472674998</v>
      </c>
      <c r="Y490" s="5">
        <f t="shared" si="295"/>
        <v>2.6006343726001084</v>
      </c>
      <c r="Z490" s="5">
        <f t="shared" si="296"/>
        <v>2.5294470412205596</v>
      </c>
      <c r="AA490" s="5">
        <f t="shared" si="297"/>
        <v>-249715.33379005926</v>
      </c>
      <c r="AB490" t="s">
        <v>64</v>
      </c>
      <c r="AC490" t="s">
        <v>62</v>
      </c>
      <c r="AD490">
        <f t="shared" si="298"/>
        <v>4</v>
      </c>
    </row>
    <row r="491" spans="1:30" x14ac:dyDescent="0.35">
      <c r="A491" t="s">
        <v>1677</v>
      </c>
      <c r="B491" t="s">
        <v>465</v>
      </c>
      <c r="C491" s="36">
        <f t="shared" si="286"/>
        <v>0.13070103980080769</v>
      </c>
      <c r="D491" s="3">
        <f t="shared" si="287"/>
        <v>0.13070103980080769</v>
      </c>
      <c r="F491">
        <v>9655</v>
      </c>
      <c r="G491" t="s">
        <v>76</v>
      </c>
      <c r="H491">
        <v>10000</v>
      </c>
      <c r="I491" s="22"/>
      <c r="J491">
        <v>3</v>
      </c>
      <c r="K491" s="22"/>
      <c r="L491">
        <v>14.728729399579599</v>
      </c>
      <c r="M491" s="22">
        <v>0.11</v>
      </c>
      <c r="N491" s="21">
        <v>45706</v>
      </c>
      <c r="O491" s="21">
        <v>46252</v>
      </c>
      <c r="P491">
        <f t="shared" si="288"/>
        <v>2</v>
      </c>
      <c r="Q491" s="6">
        <f t="shared" si="289"/>
        <v>0.11393060590367685</v>
      </c>
      <c r="R491" s="5">
        <f t="shared" si="290"/>
        <v>1</v>
      </c>
      <c r="S491" t="s">
        <v>93</v>
      </c>
      <c r="U491">
        <f t="shared" si="291"/>
        <v>2</v>
      </c>
      <c r="V491">
        <f t="shared" si="292"/>
        <v>1100</v>
      </c>
      <c r="W491" s="28">
        <f t="shared" si="293"/>
        <v>0.13070103980080769</v>
      </c>
      <c r="X491" s="27">
        <f t="shared" si="294"/>
        <v>0.13070103980080769</v>
      </c>
      <c r="Y491" s="5">
        <f t="shared" si="295"/>
        <v>1.399238966010194</v>
      </c>
      <c r="Z491" s="5">
        <f t="shared" si="296"/>
        <v>1.2374968420093555</v>
      </c>
      <c r="AA491" s="5">
        <f t="shared" si="297"/>
        <v>-11948.032009600327</v>
      </c>
      <c r="AB491" t="s">
        <v>64</v>
      </c>
      <c r="AC491" t="s">
        <v>62</v>
      </c>
      <c r="AD491">
        <f t="shared" si="298"/>
        <v>1</v>
      </c>
    </row>
    <row r="492" spans="1:30" x14ac:dyDescent="0.35">
      <c r="A492" t="s">
        <v>1676</v>
      </c>
      <c r="B492" t="s">
        <v>225</v>
      </c>
      <c r="C492" s="36">
        <f t="shared" si="286"/>
        <v>0.12460465603586542</v>
      </c>
      <c r="D492" s="3">
        <f t="shared" si="287"/>
        <v>0.12460465603586542</v>
      </c>
      <c r="F492">
        <v>890000</v>
      </c>
      <c r="G492" t="s">
        <v>76</v>
      </c>
      <c r="H492">
        <v>1000000</v>
      </c>
      <c r="I492" s="22"/>
      <c r="J492">
        <v>1</v>
      </c>
      <c r="K492" s="22"/>
      <c r="L492">
        <v>18.2666217471272</v>
      </c>
      <c r="M492" s="22">
        <v>9.7500000000000003E-2</v>
      </c>
      <c r="N492" s="21">
        <v>44243</v>
      </c>
      <c r="O492" s="21">
        <v>46252</v>
      </c>
      <c r="P492">
        <f t="shared" si="288"/>
        <v>6</v>
      </c>
      <c r="Q492" s="6">
        <f t="shared" si="289"/>
        <v>0.10955056179775281</v>
      </c>
      <c r="R492" s="5">
        <f t="shared" si="290"/>
        <v>1</v>
      </c>
      <c r="S492" t="s">
        <v>93</v>
      </c>
      <c r="U492">
        <f t="shared" si="291"/>
        <v>6</v>
      </c>
      <c r="V492">
        <f t="shared" si="292"/>
        <v>97500</v>
      </c>
      <c r="W492" s="28">
        <f t="shared" si="293"/>
        <v>0.12460465603586542</v>
      </c>
      <c r="X492" s="27">
        <f t="shared" si="294"/>
        <v>0.12460465603586542</v>
      </c>
      <c r="Y492" s="5">
        <f t="shared" si="295"/>
        <v>4.2430736573512577</v>
      </c>
      <c r="Z492" s="5">
        <f t="shared" si="296"/>
        <v>3.7729469059000054</v>
      </c>
      <c r="AA492" s="5">
        <f t="shared" si="297"/>
        <v>-3357922.7462510047</v>
      </c>
      <c r="AB492" t="s">
        <v>64</v>
      </c>
      <c r="AC492" t="s">
        <v>62</v>
      </c>
      <c r="AD492">
        <f t="shared" si="298"/>
        <v>1</v>
      </c>
    </row>
    <row r="493" spans="1:30" x14ac:dyDescent="0.35">
      <c r="A493" t="s">
        <v>1675</v>
      </c>
      <c r="B493" t="s">
        <v>1674</v>
      </c>
      <c r="C493" s="36">
        <f t="shared" si="286"/>
        <v>6.8460844694540654E-2</v>
      </c>
      <c r="D493" s="3">
        <f t="shared" si="287"/>
        <v>6.8460844694540654E-2</v>
      </c>
      <c r="F493">
        <v>103321</v>
      </c>
      <c r="G493" t="s">
        <v>76</v>
      </c>
      <c r="H493">
        <v>100000</v>
      </c>
      <c r="I493" s="22"/>
      <c r="J493">
        <v>3</v>
      </c>
      <c r="K493" s="22"/>
      <c r="L493">
        <v>6.7509368995835199</v>
      </c>
      <c r="M493" s="22">
        <v>8.1079999999999999E-2</v>
      </c>
      <c r="N493" s="21">
        <v>45034</v>
      </c>
      <c r="O493" s="21">
        <v>46252</v>
      </c>
      <c r="P493">
        <f t="shared" si="288"/>
        <v>3</v>
      </c>
      <c r="Q493" s="6">
        <f t="shared" si="289"/>
        <v>7.8473882366605047E-2</v>
      </c>
      <c r="R493" s="5">
        <f t="shared" si="290"/>
        <v>1</v>
      </c>
      <c r="S493" t="s">
        <v>93</v>
      </c>
      <c r="U493">
        <f t="shared" si="291"/>
        <v>3</v>
      </c>
      <c r="V493">
        <f t="shared" si="292"/>
        <v>8108</v>
      </c>
      <c r="W493" s="28">
        <f t="shared" si="293"/>
        <v>6.8460844694540654E-2</v>
      </c>
      <c r="X493" s="27">
        <f t="shared" si="294"/>
        <v>6.8460844694540654E-2</v>
      </c>
      <c r="Y493" s="5">
        <f t="shared" si="295"/>
        <v>2.9151008186072485</v>
      </c>
      <c r="Z493" s="5">
        <f t="shared" si="296"/>
        <v>2.7283178724632053</v>
      </c>
      <c r="AA493" s="5">
        <f t="shared" si="297"/>
        <v>-281892.53090077086</v>
      </c>
      <c r="AB493" t="s">
        <v>64</v>
      </c>
      <c r="AC493" t="s">
        <v>62</v>
      </c>
      <c r="AD493">
        <f t="shared" si="298"/>
        <v>1</v>
      </c>
    </row>
    <row r="494" spans="1:30" x14ac:dyDescent="0.35">
      <c r="A494" t="s">
        <v>1673</v>
      </c>
      <c r="B494" t="s">
        <v>1672</v>
      </c>
      <c r="C494" s="36">
        <f t="shared" si="286"/>
        <v>2.4189843105190956E-2</v>
      </c>
      <c r="D494" s="3">
        <f t="shared" si="287"/>
        <v>4.8379686210381911E-2</v>
      </c>
      <c r="F494">
        <v>944.5</v>
      </c>
      <c r="G494" t="s">
        <v>66</v>
      </c>
      <c r="H494">
        <v>1000</v>
      </c>
      <c r="I494" s="22"/>
      <c r="J494">
        <v>279190</v>
      </c>
      <c r="K494" s="22"/>
      <c r="M494" s="22">
        <v>3.5750000000000004E-2</v>
      </c>
      <c r="N494" s="21">
        <v>44427</v>
      </c>
      <c r="O494" s="21">
        <v>46253</v>
      </c>
      <c r="P494">
        <f t="shared" si="288"/>
        <v>5</v>
      </c>
      <c r="Q494" s="6">
        <f t="shared" si="289"/>
        <v>3.7850714663843314E-2</v>
      </c>
      <c r="R494" s="5">
        <f t="shared" si="290"/>
        <v>2</v>
      </c>
      <c r="S494" t="s">
        <v>65</v>
      </c>
      <c r="U494">
        <f t="shared" si="291"/>
        <v>10</v>
      </c>
      <c r="V494">
        <f t="shared" si="292"/>
        <v>17.875000000000004</v>
      </c>
      <c r="W494" s="28">
        <f t="shared" si="293"/>
        <v>2.4189843105190956E-2</v>
      </c>
      <c r="X494" s="27">
        <f t="shared" si="294"/>
        <v>4.8379686210381911E-2</v>
      </c>
      <c r="Y494" s="5">
        <f t="shared" si="295"/>
        <v>4.6093703599711517</v>
      </c>
      <c r="Z494" s="5">
        <f t="shared" si="296"/>
        <v>4.5005038772853165</v>
      </c>
      <c r="AA494" s="5">
        <f t="shared" si="297"/>
        <v>-4250.7259120959816</v>
      </c>
      <c r="AB494" t="s">
        <v>69</v>
      </c>
      <c r="AC494" t="s">
        <v>62</v>
      </c>
      <c r="AD494">
        <f t="shared" si="298"/>
        <v>2</v>
      </c>
    </row>
    <row r="495" spans="1:30" x14ac:dyDescent="0.35">
      <c r="A495" t="s">
        <v>1671</v>
      </c>
      <c r="B495" t="s">
        <v>316</v>
      </c>
      <c r="C495" s="36">
        <f t="shared" si="286"/>
        <v>0.10353902382177528</v>
      </c>
      <c r="D495" s="3">
        <f t="shared" si="287"/>
        <v>0.10353902382177528</v>
      </c>
      <c r="F495">
        <v>995</v>
      </c>
      <c r="G495" t="s">
        <v>76</v>
      </c>
      <c r="H495">
        <v>1000</v>
      </c>
      <c r="I495" s="22"/>
      <c r="J495">
        <v>192</v>
      </c>
      <c r="K495" s="22"/>
      <c r="L495">
        <v>10.5894464473071</v>
      </c>
      <c r="M495" s="22">
        <v>0.10249999999999999</v>
      </c>
      <c r="N495" s="21">
        <v>43698</v>
      </c>
      <c r="O495" s="21">
        <v>46254</v>
      </c>
      <c r="P495">
        <f t="shared" si="288"/>
        <v>7</v>
      </c>
      <c r="Q495" s="6">
        <f t="shared" si="289"/>
        <v>0.10301507537688442</v>
      </c>
      <c r="R495" s="5">
        <f t="shared" si="290"/>
        <v>1</v>
      </c>
      <c r="S495" t="s">
        <v>93</v>
      </c>
      <c r="U495">
        <f t="shared" si="291"/>
        <v>7</v>
      </c>
      <c r="V495">
        <f t="shared" si="292"/>
        <v>102.5</v>
      </c>
      <c r="W495" s="28">
        <f t="shared" si="293"/>
        <v>0.10353902382177528</v>
      </c>
      <c r="X495" s="27">
        <f t="shared" si="294"/>
        <v>0.10353902382177528</v>
      </c>
      <c r="Y495" s="5">
        <f t="shared" si="295"/>
        <v>5.3162326093073276</v>
      </c>
      <c r="Z495" s="5">
        <f t="shared" si="296"/>
        <v>4.817439614320258</v>
      </c>
      <c r="AA495" s="5">
        <f t="shared" si="297"/>
        <v>-4793.3524162486565</v>
      </c>
      <c r="AB495" t="s">
        <v>64</v>
      </c>
      <c r="AC495" t="s">
        <v>62</v>
      </c>
      <c r="AD495">
        <f t="shared" si="298"/>
        <v>1</v>
      </c>
    </row>
    <row r="496" spans="1:30" x14ac:dyDescent="0.35">
      <c r="C496" s="28"/>
      <c r="D496" s="27"/>
      <c r="I496" s="22"/>
      <c r="K496" s="22"/>
      <c r="M496" s="22"/>
      <c r="N496" s="21"/>
      <c r="O496" s="21"/>
      <c r="P496" s="5"/>
      <c r="Q496" s="6"/>
      <c r="R496" s="5"/>
      <c r="W496" s="28"/>
      <c r="Y496" s="33"/>
      <c r="Z496" s="33"/>
      <c r="AA496" s="33"/>
    </row>
    <row r="497" spans="1:30" x14ac:dyDescent="0.35">
      <c r="A497" t="s">
        <v>1669</v>
      </c>
      <c r="B497" t="s">
        <v>634</v>
      </c>
      <c r="C497" s="36">
        <f>RATE(U497,V497,-F497,H497)</f>
        <v>0.13257456738696366</v>
      </c>
      <c r="D497" s="3">
        <f>C497*AD497</f>
        <v>0.13257456738696366</v>
      </c>
      <c r="F497">
        <v>95000</v>
      </c>
      <c r="G497" t="s">
        <v>76</v>
      </c>
      <c r="H497">
        <v>100000</v>
      </c>
      <c r="I497" s="22"/>
      <c r="J497">
        <v>2</v>
      </c>
      <c r="K497" s="22"/>
      <c r="L497">
        <v>15.145602100489301</v>
      </c>
      <c r="M497" s="22">
        <v>0.10249999999999999</v>
      </c>
      <c r="N497" s="21">
        <v>45526</v>
      </c>
      <c r="O497" s="21">
        <v>46255</v>
      </c>
      <c r="P497">
        <f>ROUND(YEARFRAC(N497,O497),0)</f>
        <v>2</v>
      </c>
      <c r="Q497" s="6">
        <f>(M497*H497)/F497</f>
        <v>0.10789473684210527</v>
      </c>
      <c r="R497" s="5">
        <f>IF(S497="Quarterly",4,IF(S497="Semi-annual",2,IF(S497="Annual",1,IF(S497="Pays at maturity",0,IF(S497="Monthly",12,0)))))</f>
        <v>1</v>
      </c>
      <c r="S497" t="s">
        <v>93</v>
      </c>
      <c r="U497">
        <f>R497*P497</f>
        <v>2</v>
      </c>
      <c r="V497">
        <f>(H497*M497)/AD497</f>
        <v>10250</v>
      </c>
      <c r="W497" s="28">
        <f>RATE(U497,V497,-F497,H497)</f>
        <v>0.13257456738696366</v>
      </c>
      <c r="X497" s="27">
        <f>W497*AD497</f>
        <v>0.13257456738696366</v>
      </c>
      <c r="Y497" s="5">
        <f>DURATION(N497,O497,M497,D497,AD497)</f>
        <v>1.9019572039629498</v>
      </c>
      <c r="Z497" s="5">
        <f>Y497/(1+C497)</f>
        <v>1.6793218378115966</v>
      </c>
      <c r="AA497" s="5">
        <f>-Z497*F497</f>
        <v>-159535.57459210168</v>
      </c>
      <c r="AB497" t="s">
        <v>64</v>
      </c>
      <c r="AC497" t="s">
        <v>62</v>
      </c>
      <c r="AD497">
        <f>_xlfn.SWITCH(PROPER(TRIM(S497)),
   "Annual",1,
   "Semi-Annual",2,
   "Quarterly",4,
   "Monthly",12,
   "")</f>
        <v>1</v>
      </c>
    </row>
    <row r="498" spans="1:30" x14ac:dyDescent="0.35">
      <c r="A498" t="s">
        <v>1668</v>
      </c>
      <c r="B498" t="s">
        <v>1114</v>
      </c>
      <c r="C498" s="36">
        <f>RATE(U498,V498,-F498,H498)</f>
        <v>2.249660598834682E-2</v>
      </c>
      <c r="D498" s="3">
        <f>C498*AD498</f>
        <v>8.9986423953387282E-2</v>
      </c>
      <c r="F498">
        <v>101633.1</v>
      </c>
      <c r="G498" t="s">
        <v>76</v>
      </c>
      <c r="H498">
        <v>100000</v>
      </c>
      <c r="I498" s="22"/>
      <c r="J498">
        <v>1</v>
      </c>
      <c r="K498" s="22"/>
      <c r="M498" s="22">
        <v>9.9000000000000005E-2</v>
      </c>
      <c r="N498" s="21">
        <v>45526</v>
      </c>
      <c r="O498" s="21">
        <v>46255</v>
      </c>
      <c r="P498">
        <f>ROUND(YEARFRAC(N498,O498),0)</f>
        <v>2</v>
      </c>
      <c r="Q498" s="6">
        <f>(M498*H498)/F498</f>
        <v>9.7409210188413017E-2</v>
      </c>
      <c r="R498" s="5">
        <f>IF(S498="Quarterly",4,IF(S498="Semi-annual",2,IF(S498="Annual",1,IF(S498="Pays at maturity",0,IF(S498="Monthly",12,0)))))</f>
        <v>4</v>
      </c>
      <c r="S498" t="s">
        <v>105</v>
      </c>
      <c r="U498">
        <f>R498*P498</f>
        <v>8</v>
      </c>
      <c r="V498">
        <f>(H498*M498)/AD498</f>
        <v>2475</v>
      </c>
      <c r="W498" s="28">
        <f>RATE(U498,V498,-F498,H498)</f>
        <v>2.249660598834682E-2</v>
      </c>
      <c r="X498" s="27">
        <f>W498*AD498</f>
        <v>8.9986423953387282E-2</v>
      </c>
      <c r="Y498" s="5">
        <f>DURATION(N498,O498,M498,D498,AD498)</f>
        <v>1.8376444292347196</v>
      </c>
      <c r="Z498" s="5">
        <f>Y498/(1+C498)</f>
        <v>1.7972132312932712</v>
      </c>
      <c r="AA498" s="5">
        <f>-Z498*F498</f>
        <v>-182656.35205735217</v>
      </c>
      <c r="AB498" t="s">
        <v>64</v>
      </c>
      <c r="AC498" t="s">
        <v>62</v>
      </c>
      <c r="AD498">
        <f>_xlfn.SWITCH(PROPER(TRIM(S498)),
   "Annual",1,
   "Semi-Annual",2,
   "Quarterly",4,
   "Monthly",12,
   "")</f>
        <v>4</v>
      </c>
    </row>
    <row r="499" spans="1:30" x14ac:dyDescent="0.35">
      <c r="A499" t="s">
        <v>1667</v>
      </c>
      <c r="B499" t="s">
        <v>261</v>
      </c>
      <c r="C499" s="36">
        <f>RATE(U499,V499,-F499,H499)</f>
        <v>8.4329816488070961E-2</v>
      </c>
      <c r="D499" s="3">
        <f>C499*AD499</f>
        <v>8.4329816488070961E-2</v>
      </c>
      <c r="F499">
        <v>1065</v>
      </c>
      <c r="G499" t="s">
        <v>76</v>
      </c>
      <c r="H499">
        <v>1000</v>
      </c>
      <c r="I499" s="22"/>
      <c r="J499">
        <v>20</v>
      </c>
      <c r="K499" s="22"/>
      <c r="L499">
        <v>3.6612831020351901</v>
      </c>
      <c r="M499" s="22">
        <v>9.6999999999999989E-2</v>
      </c>
      <c r="N499" s="21">
        <v>43699</v>
      </c>
      <c r="O499" s="21">
        <v>46256</v>
      </c>
      <c r="P499">
        <f>ROUND(YEARFRAC(N499,O499),0)</f>
        <v>7</v>
      </c>
      <c r="Q499" s="6">
        <f>(M499*H499)/F499</f>
        <v>9.1079812206572755E-2</v>
      </c>
      <c r="R499" s="5">
        <f>IF(S499="Quarterly",4,IF(S499="Semi-annual",2,IF(S499="Annual",1,IF(S499="Pays at maturity",0,IF(S499="Monthly",12,0)))))</f>
        <v>1</v>
      </c>
      <c r="S499" t="s">
        <v>93</v>
      </c>
      <c r="U499">
        <f>R499*P499</f>
        <v>7</v>
      </c>
      <c r="V499">
        <f>(H499*M499)/AD499</f>
        <v>96.999999999999986</v>
      </c>
      <c r="W499" s="28">
        <f>RATE(U499,V499,-F499,H499)</f>
        <v>8.4329816488070961E-2</v>
      </c>
      <c r="X499" s="27">
        <f>W499*AD499</f>
        <v>8.4329816488070961E-2</v>
      </c>
      <c r="Y499" s="5">
        <f>DURATION(N499,O499,M499,D499,AD499)</f>
        <v>5.4477404112134211</v>
      </c>
      <c r="Z499" s="5">
        <f>Y499/(1+C499)</f>
        <v>5.0240621703621233</v>
      </c>
      <c r="AA499" s="5">
        <f>-Z499*F499</f>
        <v>-5350.6262114356614</v>
      </c>
      <c r="AB499" t="s">
        <v>64</v>
      </c>
      <c r="AC499" t="s">
        <v>62</v>
      </c>
      <c r="AD499">
        <f>_xlfn.SWITCH(PROPER(TRIM(S499)),
   "Annual",1,
   "Semi-Annual",2,
   "Quarterly",4,
   "Monthly",12,
   "")</f>
        <v>1</v>
      </c>
    </row>
    <row r="500" spans="1:30" x14ac:dyDescent="0.35">
      <c r="C500" s="28"/>
      <c r="D500" s="27"/>
      <c r="I500" s="22"/>
      <c r="K500" s="22"/>
      <c r="M500" s="22"/>
      <c r="N500" s="21"/>
      <c r="O500" s="21"/>
      <c r="P500" s="5"/>
      <c r="Q500" s="6"/>
      <c r="R500" s="5"/>
      <c r="W500" s="28"/>
      <c r="Y500" s="33"/>
      <c r="Z500" s="33"/>
      <c r="AA500" s="33"/>
    </row>
    <row r="501" spans="1:30" x14ac:dyDescent="0.35">
      <c r="A501" t="s">
        <v>1665</v>
      </c>
      <c r="B501" t="s">
        <v>261</v>
      </c>
      <c r="C501" s="36">
        <f>RATE(U501,V501,-F501,H501)</f>
        <v>9.1407140983713428E-2</v>
      </c>
      <c r="D501" s="3">
        <f>C501*AD501</f>
        <v>9.1407140983713428E-2</v>
      </c>
      <c r="F501">
        <v>1008.48</v>
      </c>
      <c r="G501" t="s">
        <v>76</v>
      </c>
      <c r="H501">
        <v>1000</v>
      </c>
      <c r="I501" s="22"/>
      <c r="J501">
        <v>20</v>
      </c>
      <c r="K501" s="22"/>
      <c r="L501">
        <v>8.4849575357657994</v>
      </c>
      <c r="M501" s="22">
        <v>9.3100000000000002E-2</v>
      </c>
      <c r="N501" s="21">
        <v>43699</v>
      </c>
      <c r="O501" s="21">
        <v>46256</v>
      </c>
      <c r="P501">
        <f>ROUND(YEARFRAC(N501,O501),0)</f>
        <v>7</v>
      </c>
      <c r="Q501" s="6">
        <f>(M501*H501)/F501</f>
        <v>9.2317150563223871E-2</v>
      </c>
      <c r="R501" s="5">
        <f>IF(S501="Quarterly",4,IF(S501="Semi-annual",2,IF(S501="Annual",1,IF(S501="Pays at maturity",0,IF(S501="Monthly",12,0)))))</f>
        <v>1</v>
      </c>
      <c r="S501" t="s">
        <v>93</v>
      </c>
      <c r="U501">
        <f>R501*P501</f>
        <v>7</v>
      </c>
      <c r="V501">
        <f>(H501*M501)/AD501</f>
        <v>93.100000000000009</v>
      </c>
      <c r="W501" s="28">
        <f>RATE(U501,V501,-F501,H501)</f>
        <v>9.1407140983713428E-2</v>
      </c>
      <c r="X501" s="27">
        <f>W501*AD501</f>
        <v>9.1407140983713428E-2</v>
      </c>
      <c r="Y501" s="5">
        <f>DURATION(N501,O501,M501,D501,AD501)</f>
        <v>5.4519005826181228</v>
      </c>
      <c r="Z501" s="5">
        <f>Y501/(1+C501)</f>
        <v>4.9952949526280213</v>
      </c>
      <c r="AA501" s="5">
        <f>-Z501*F501</f>
        <v>-5037.6550538263073</v>
      </c>
      <c r="AB501" t="s">
        <v>64</v>
      </c>
      <c r="AC501" t="s">
        <v>62</v>
      </c>
      <c r="AD501">
        <f>_xlfn.SWITCH(PROPER(TRIM(S501)),
   "Annual",1,
   "Semi-Annual",2,
   "Quarterly",4,
   "Monthly",12,
   "")</f>
        <v>1</v>
      </c>
    </row>
    <row r="502" spans="1:30" x14ac:dyDescent="0.35">
      <c r="A502" t="s">
        <v>1664</v>
      </c>
      <c r="B502" t="s">
        <v>114</v>
      </c>
      <c r="C502" s="36">
        <f>RATE(U502,V502,-F502,H502)</f>
        <v>8.3364960918090689E-2</v>
      </c>
      <c r="D502" s="3">
        <f>C502*AD502</f>
        <v>8.3364960918090689E-2</v>
      </c>
      <c r="F502">
        <v>950000</v>
      </c>
      <c r="G502" t="s">
        <v>76</v>
      </c>
      <c r="H502">
        <v>1000000</v>
      </c>
      <c r="I502" s="22"/>
      <c r="J502">
        <v>250</v>
      </c>
      <c r="K502" s="22"/>
      <c r="L502">
        <v>8.6102495805731802</v>
      </c>
      <c r="M502" s="22">
        <v>7.5800000000000006E-2</v>
      </c>
      <c r="N502" s="21">
        <v>42605</v>
      </c>
      <c r="O502" s="21">
        <v>46257</v>
      </c>
      <c r="P502">
        <f>ROUND(YEARFRAC(N502,O502),0)</f>
        <v>10</v>
      </c>
      <c r="Q502" s="6">
        <f>(M502*H502)/F502</f>
        <v>7.9789473684210521E-2</v>
      </c>
      <c r="R502" s="5">
        <f>IF(S502="Quarterly",4,IF(S502="Semi-annual",2,IF(S502="Annual",1,IF(S502="Pays at maturity",0,IF(S502="Monthly",12,0)))))</f>
        <v>1</v>
      </c>
      <c r="S502" t="s">
        <v>93</v>
      </c>
      <c r="U502">
        <f>R502*P502</f>
        <v>10</v>
      </c>
      <c r="V502">
        <f>(H502*M502)/AD502</f>
        <v>75800</v>
      </c>
      <c r="W502" s="28">
        <f>RATE(U502,V502,-F502,H502)</f>
        <v>8.3364960918090689E-2</v>
      </c>
      <c r="X502" s="27">
        <f>W502*AD502</f>
        <v>8.3364960918090689E-2</v>
      </c>
      <c r="Y502" s="5">
        <f>DURATION(N502,O502,M502,D502,AD502)</f>
        <v>7.2822021105635377</v>
      </c>
      <c r="Z502" s="5">
        <f>Y502/(1+C502)</f>
        <v>6.7218364754867856</v>
      </c>
      <c r="AA502" s="5">
        <f>-Z502*F502</f>
        <v>-6385744.6517124465</v>
      </c>
      <c r="AB502" t="s">
        <v>64</v>
      </c>
      <c r="AC502" t="s">
        <v>62</v>
      </c>
      <c r="AD502">
        <f>_xlfn.SWITCH(PROPER(TRIM(S502)),
   "Annual",1,
   "Semi-Annual",2,
   "Quarterly",4,
   "Monthly",12,
   "")</f>
        <v>1</v>
      </c>
    </row>
    <row r="503" spans="1:30" x14ac:dyDescent="0.35">
      <c r="C503" s="28"/>
      <c r="D503" s="27"/>
      <c r="I503" s="22"/>
      <c r="K503" s="22"/>
      <c r="M503" s="22"/>
      <c r="N503" s="21"/>
      <c r="O503" s="21"/>
      <c r="P503" s="5"/>
      <c r="Q503" s="6"/>
      <c r="R503" s="5"/>
      <c r="W503" s="28"/>
      <c r="Y503" s="33"/>
      <c r="Z503" s="33"/>
      <c r="AA503" s="33"/>
    </row>
    <row r="504" spans="1:30" x14ac:dyDescent="0.35">
      <c r="A504" t="s">
        <v>1662</v>
      </c>
      <c r="B504" t="s">
        <v>241</v>
      </c>
      <c r="C504" s="36">
        <f>RATE(U504,V504,-F504,H504)</f>
        <v>9.2999999999999958E-2</v>
      </c>
      <c r="D504" s="3">
        <f>C504*AD504</f>
        <v>9.2999999999999958E-2</v>
      </c>
      <c r="F504">
        <v>1000</v>
      </c>
      <c r="G504" t="s">
        <v>76</v>
      </c>
      <c r="H504">
        <v>1000</v>
      </c>
      <c r="I504" s="22"/>
      <c r="J504">
        <v>188</v>
      </c>
      <c r="K504" s="22"/>
      <c r="L504">
        <v>9.3000000000000007</v>
      </c>
      <c r="M504" s="22">
        <v>9.3000000000000013E-2</v>
      </c>
      <c r="N504" s="21">
        <v>45712</v>
      </c>
      <c r="O504" s="21">
        <v>46258</v>
      </c>
      <c r="P504">
        <f>ROUND(YEARFRAC(N504,O504),0)</f>
        <v>2</v>
      </c>
      <c r="Q504" s="6">
        <f>(M504*H504)/F504</f>
        <v>9.3000000000000013E-2</v>
      </c>
      <c r="R504" s="5">
        <f>IF(S504="Quarterly",4,IF(S504="Semi-annual",2,IF(S504="Annual",1,IF(S504="Pays at maturity",0,IF(S504="Monthly",12,0)))))</f>
        <v>1</v>
      </c>
      <c r="S504" t="s">
        <v>93</v>
      </c>
      <c r="U504">
        <f>R504*P504</f>
        <v>2</v>
      </c>
      <c r="V504">
        <f>(H504*M504)/AD504</f>
        <v>93.000000000000014</v>
      </c>
      <c r="W504" s="28">
        <f>RATE(U504,V504,-F504,H504)</f>
        <v>9.2999999999999958E-2</v>
      </c>
      <c r="X504" s="27">
        <f>W504*AD504</f>
        <v>9.2999999999999958E-2</v>
      </c>
      <c r="Y504" s="5">
        <f>DURATION(N504,O504,M504,D504,AD504)</f>
        <v>1.4149130832570906</v>
      </c>
      <c r="Z504" s="5">
        <f>Y504/(1+C504)</f>
        <v>1.2945224915435414</v>
      </c>
      <c r="AA504" s="5">
        <f>-Z504*F504</f>
        <v>-1294.5224915435413</v>
      </c>
      <c r="AB504" t="s">
        <v>64</v>
      </c>
      <c r="AC504" t="s">
        <v>62</v>
      </c>
      <c r="AD504">
        <f>_xlfn.SWITCH(PROPER(TRIM(S504)),
   "Annual",1,
   "Semi-Annual",2,
   "Quarterly",4,
   "Monthly",12,
   "")</f>
        <v>1</v>
      </c>
    </row>
    <row r="505" spans="1:30" x14ac:dyDescent="0.35">
      <c r="A505" t="s">
        <v>1661</v>
      </c>
      <c r="B505" t="s">
        <v>1660</v>
      </c>
      <c r="C505" s="36">
        <f>RATE(U505,V505,-F505,H505)</f>
        <v>0.12203810766650698</v>
      </c>
      <c r="D505" s="3">
        <f>C505*AD505</f>
        <v>0.12203810766650698</v>
      </c>
      <c r="F505">
        <v>97549.55</v>
      </c>
      <c r="G505" t="s">
        <v>76</v>
      </c>
      <c r="H505">
        <v>100000</v>
      </c>
      <c r="I505" s="22"/>
      <c r="J505">
        <v>1</v>
      </c>
      <c r="K505" s="22"/>
      <c r="L505">
        <v>13.0712307066314</v>
      </c>
      <c r="M505" s="22">
        <v>0.1075</v>
      </c>
      <c r="N505" s="21">
        <v>45531</v>
      </c>
      <c r="O505" s="21">
        <v>46261</v>
      </c>
      <c r="P505">
        <f>ROUND(YEARFRAC(N505,O505),0)</f>
        <v>2</v>
      </c>
      <c r="Q505" s="6">
        <f>(M505*H505)/F505</f>
        <v>0.11020040584502952</v>
      </c>
      <c r="R505" s="5">
        <f>IF(S505="Quarterly",4,IF(S505="Semi-annual",2,IF(S505="Annual",1,IF(S505="Pays at maturity",0,IF(S505="Monthly",12,0)))))</f>
        <v>1</v>
      </c>
      <c r="S505" t="s">
        <v>93</v>
      </c>
      <c r="U505">
        <f>R505*P505</f>
        <v>2</v>
      </c>
      <c r="V505">
        <f>(H505*M505)/AD505</f>
        <v>10750</v>
      </c>
      <c r="W505" s="28">
        <f>RATE(U505,V505,-F505,H505)</f>
        <v>0.12203810766650698</v>
      </c>
      <c r="X505" s="27">
        <f>W505*AD505</f>
        <v>0.12203810766650698</v>
      </c>
      <c r="Y505" s="5">
        <f>DURATION(N505,O505,M505,D505,AD505)</f>
        <v>1.9017855052408046</v>
      </c>
      <c r="Z505" s="5">
        <f>Y505/(1+C505)</f>
        <v>1.6949384269986443</v>
      </c>
      <c r="AA505" s="5">
        <f>-Z505*F505</f>
        <v>-165340.48083142561</v>
      </c>
      <c r="AB505" t="s">
        <v>64</v>
      </c>
      <c r="AC505" t="s">
        <v>62</v>
      </c>
      <c r="AD505">
        <f>_xlfn.SWITCH(PROPER(TRIM(S505)),
   "Annual",1,
   "Semi-Annual",2,
   "Quarterly",4,
   "Monthly",12,
   "")</f>
        <v>1</v>
      </c>
    </row>
    <row r="506" spans="1:30" x14ac:dyDescent="0.35">
      <c r="A506" t="s">
        <v>1659</v>
      </c>
      <c r="B506" t="s">
        <v>128</v>
      </c>
      <c r="C506" s="36">
        <f>RATE(U506,V506,-F506,H506)</f>
        <v>6.8694385308947989E-2</v>
      </c>
      <c r="D506" s="3">
        <f>C506*AD506</f>
        <v>6.8694385308947989E-2</v>
      </c>
      <c r="F506">
        <v>104311.9</v>
      </c>
      <c r="G506" t="s">
        <v>76</v>
      </c>
      <c r="H506">
        <v>100000</v>
      </c>
      <c r="I506" s="22"/>
      <c r="J506">
        <v>6</v>
      </c>
      <c r="K506" s="22"/>
      <c r="L506">
        <v>5.3911706032382298</v>
      </c>
      <c r="M506" s="22">
        <v>9.2499999999999999E-2</v>
      </c>
      <c r="N506" s="21">
        <v>45586</v>
      </c>
      <c r="O506" s="21">
        <v>46262</v>
      </c>
      <c r="P506">
        <f>ROUND(YEARFRAC(N506,O506),0)</f>
        <v>2</v>
      </c>
      <c r="Q506" s="6">
        <f>(M506*H506)/F506</f>
        <v>8.8676363866442856E-2</v>
      </c>
      <c r="R506" s="5">
        <f>IF(S506="Quarterly",4,IF(S506="Semi-annual",2,IF(S506="Annual",1,IF(S506="Pays at maturity",0,IF(S506="Monthly",12,0)))))</f>
        <v>1</v>
      </c>
      <c r="S506" t="s">
        <v>93</v>
      </c>
      <c r="U506">
        <f>R506*P506</f>
        <v>2</v>
      </c>
      <c r="V506">
        <f>(H506*M506)/AD506</f>
        <v>9250</v>
      </c>
      <c r="W506" s="28">
        <f>RATE(U506,V506,-F506,H506)</f>
        <v>6.8694385308947989E-2</v>
      </c>
      <c r="X506" s="27">
        <f>W506*AD506</f>
        <v>6.8694385308947989E-2</v>
      </c>
      <c r="Y506" s="5">
        <f>DURATION(N506,O506,M506,D506,AD506)</f>
        <v>1.7698014235595336</v>
      </c>
      <c r="Z506" s="5">
        <f>Y506/(1+C506)</f>
        <v>1.6560407239791977</v>
      </c>
      <c r="AA506" s="5">
        <f>-Z506*F506</f>
        <v>-172744.75439564566</v>
      </c>
      <c r="AB506" t="s">
        <v>64</v>
      </c>
      <c r="AC506" t="s">
        <v>62</v>
      </c>
      <c r="AD506">
        <f>_xlfn.SWITCH(PROPER(TRIM(S506)),
   "Annual",1,
   "Semi-Annual",2,
   "Quarterly",4,
   "Monthly",12,
   "")</f>
        <v>1</v>
      </c>
    </row>
    <row r="507" spans="1:30" x14ac:dyDescent="0.35">
      <c r="C507" s="28"/>
      <c r="D507" s="27"/>
      <c r="I507" s="22"/>
      <c r="K507" s="22"/>
      <c r="M507" s="22"/>
      <c r="N507" s="21"/>
      <c r="O507" s="21"/>
      <c r="P507" s="5"/>
      <c r="Q507" s="6"/>
      <c r="R507" s="5"/>
      <c r="W507" s="28"/>
      <c r="Y507" s="33"/>
      <c r="Z507" s="33"/>
      <c r="AA507" s="33"/>
    </row>
    <row r="508" spans="1:30" x14ac:dyDescent="0.35">
      <c r="A508" t="s">
        <v>1657</v>
      </c>
      <c r="B508" t="s">
        <v>357</v>
      </c>
      <c r="C508" s="36">
        <f t="shared" ref="C508:C514" si="299">RATE(U508,V508,-F508,H508)</f>
        <v>9.9727719744674037E-2</v>
      </c>
      <c r="D508" s="3">
        <f t="shared" ref="D508:D514" si="300">C508*AD508</f>
        <v>9.9727719744674037E-2</v>
      </c>
      <c r="F508">
        <v>1020</v>
      </c>
      <c r="G508" t="s">
        <v>76</v>
      </c>
      <c r="H508">
        <v>1000</v>
      </c>
      <c r="I508" s="22"/>
      <c r="J508">
        <v>3</v>
      </c>
      <c r="K508" s="22"/>
      <c r="L508">
        <v>9.4667346707469093</v>
      </c>
      <c r="M508" s="22">
        <v>0.105</v>
      </c>
      <c r="N508" s="21">
        <v>44406</v>
      </c>
      <c r="O508" s="21">
        <v>46263</v>
      </c>
      <c r="P508">
        <f t="shared" ref="P508:P514" si="301">ROUND(YEARFRAC(N508,O508),0)</f>
        <v>5</v>
      </c>
      <c r="Q508" s="6">
        <f t="shared" ref="Q508:Q514" si="302">(M508*H508)/F508</f>
        <v>0.10294117647058823</v>
      </c>
      <c r="R508" s="5">
        <f t="shared" ref="R508:R514" si="303">IF(S508="Quarterly",4,IF(S508="Semi-annual",2,IF(S508="Annual",1,IF(S508="Pays at maturity",0,IF(S508="Monthly",12,0)))))</f>
        <v>1</v>
      </c>
      <c r="S508" t="s">
        <v>93</v>
      </c>
      <c r="U508">
        <f t="shared" ref="U508:U514" si="304">R508*P508</f>
        <v>5</v>
      </c>
      <c r="V508">
        <f t="shared" ref="V508:V514" si="305">(H508*M508)/AD508</f>
        <v>105</v>
      </c>
      <c r="W508" s="28">
        <f t="shared" ref="W508:W514" si="306">RATE(U508,V508,-F508,H508)</f>
        <v>9.9727719744674037E-2</v>
      </c>
      <c r="X508" s="27">
        <f t="shared" ref="X508:X514" si="307">W508*AD508</f>
        <v>9.9727719744674037E-2</v>
      </c>
      <c r="Y508" s="5">
        <f t="shared" ref="Y508:Y514" si="308">DURATION(N508,O508,M508,D508,AD508)</f>
        <v>3.8415084338090915</v>
      </c>
      <c r="Z508" s="5">
        <f t="shared" ref="Z508:Z514" si="309">Y508/(1+C508)</f>
        <v>3.493145043848656</v>
      </c>
      <c r="AA508" s="5">
        <f t="shared" ref="AA508:AA514" si="310">-Z508*F508</f>
        <v>-3563.0079447256289</v>
      </c>
      <c r="AB508" t="s">
        <v>64</v>
      </c>
      <c r="AC508" t="s">
        <v>62</v>
      </c>
      <c r="AD508">
        <f t="shared" ref="AD508:AD514" si="311">_xlfn.SWITCH(PROPER(TRIM(S508)),
   "Annual",1,
   "Semi-Annual",2,
   "Quarterly",4,
   "Monthly",12,
   "")</f>
        <v>1</v>
      </c>
    </row>
    <row r="509" spans="1:30" x14ac:dyDescent="0.35">
      <c r="A509" t="s">
        <v>1656</v>
      </c>
      <c r="B509" t="s">
        <v>1254</v>
      </c>
      <c r="C509" s="36">
        <f t="shared" si="299"/>
        <v>0.11750000000000009</v>
      </c>
      <c r="D509" s="3">
        <f t="shared" si="300"/>
        <v>0.11750000000000009</v>
      </c>
      <c r="F509">
        <v>100000</v>
      </c>
      <c r="G509" t="s">
        <v>76</v>
      </c>
      <c r="H509">
        <v>100000</v>
      </c>
      <c r="I509" s="22"/>
      <c r="J509">
        <v>14</v>
      </c>
      <c r="K509" s="22"/>
      <c r="L509">
        <v>11.75</v>
      </c>
      <c r="M509" s="22">
        <v>0.11749999999999999</v>
      </c>
      <c r="N509" s="21">
        <v>45533</v>
      </c>
      <c r="O509" s="21">
        <v>46263</v>
      </c>
      <c r="P509">
        <f t="shared" si="301"/>
        <v>2</v>
      </c>
      <c r="Q509" s="6">
        <f t="shared" si="302"/>
        <v>0.11749999999999999</v>
      </c>
      <c r="R509" s="5">
        <f t="shared" si="303"/>
        <v>1</v>
      </c>
      <c r="S509" t="s">
        <v>93</v>
      </c>
      <c r="U509">
        <f t="shared" si="304"/>
        <v>2</v>
      </c>
      <c r="V509">
        <f t="shared" si="305"/>
        <v>11750</v>
      </c>
      <c r="W509" s="28">
        <f t="shared" si="306"/>
        <v>0.11750000000000009</v>
      </c>
      <c r="X509" s="27">
        <f t="shared" si="307"/>
        <v>0.11750000000000009</v>
      </c>
      <c r="Y509" s="5">
        <f t="shared" si="308"/>
        <v>1.8948545861297541</v>
      </c>
      <c r="Z509" s="5">
        <f t="shared" si="309"/>
        <v>1.6956193164472071</v>
      </c>
      <c r="AA509" s="5">
        <f t="shared" si="310"/>
        <v>-169561.93164472069</v>
      </c>
      <c r="AB509" t="s">
        <v>64</v>
      </c>
      <c r="AC509" t="s">
        <v>62</v>
      </c>
      <c r="AD509">
        <f t="shared" si="311"/>
        <v>1</v>
      </c>
    </row>
    <row r="510" spans="1:30" x14ac:dyDescent="0.35">
      <c r="A510" t="s">
        <v>1655</v>
      </c>
      <c r="B510" t="s">
        <v>1654</v>
      </c>
      <c r="C510" s="36">
        <f t="shared" si="299"/>
        <v>2.9703284579634386E-2</v>
      </c>
      <c r="D510" s="3">
        <f t="shared" si="300"/>
        <v>0.11881313831853754</v>
      </c>
      <c r="F510">
        <v>98100</v>
      </c>
      <c r="G510" t="s">
        <v>76</v>
      </c>
      <c r="H510">
        <v>100000</v>
      </c>
      <c r="I510" s="22"/>
      <c r="J510">
        <v>1</v>
      </c>
      <c r="K510" s="22"/>
      <c r="M510" s="22">
        <v>0.10800000000000001</v>
      </c>
      <c r="N510" s="21">
        <v>45534</v>
      </c>
      <c r="O510" s="21">
        <v>46264</v>
      </c>
      <c r="P510">
        <f t="shared" si="301"/>
        <v>2</v>
      </c>
      <c r="Q510" s="6">
        <f t="shared" si="302"/>
        <v>0.11009174311926608</v>
      </c>
      <c r="R510" s="5">
        <f t="shared" si="303"/>
        <v>4</v>
      </c>
      <c r="S510" t="s">
        <v>105</v>
      </c>
      <c r="U510">
        <f t="shared" si="304"/>
        <v>8</v>
      </c>
      <c r="V510">
        <f t="shared" si="305"/>
        <v>2700.0000000000005</v>
      </c>
      <c r="W510" s="28">
        <f t="shared" si="306"/>
        <v>2.9703284579634386E-2</v>
      </c>
      <c r="X510" s="27">
        <f t="shared" si="307"/>
        <v>0.11881313831853754</v>
      </c>
      <c r="Y510" s="5">
        <f t="shared" si="308"/>
        <v>1.823311160563686</v>
      </c>
      <c r="Z510" s="5">
        <f t="shared" si="309"/>
        <v>1.7707151058647286</v>
      </c>
      <c r="AA510" s="5">
        <f t="shared" si="310"/>
        <v>-173707.15188532986</v>
      </c>
      <c r="AB510" t="s">
        <v>64</v>
      </c>
      <c r="AC510" t="s">
        <v>62</v>
      </c>
      <c r="AD510">
        <f t="shared" si="311"/>
        <v>4</v>
      </c>
    </row>
    <row r="511" spans="1:30" x14ac:dyDescent="0.35">
      <c r="A511" t="s">
        <v>1653</v>
      </c>
      <c r="B511" t="s">
        <v>101</v>
      </c>
      <c r="C511" s="36">
        <f t="shared" si="299"/>
        <v>2.1149974346764803E-2</v>
      </c>
      <c r="D511" s="3">
        <f t="shared" si="300"/>
        <v>4.2299948693529606E-2</v>
      </c>
      <c r="F511">
        <v>896.04</v>
      </c>
      <c r="G511" t="s">
        <v>66</v>
      </c>
      <c r="H511">
        <v>1000</v>
      </c>
      <c r="I511" s="22"/>
      <c r="J511">
        <v>200000</v>
      </c>
      <c r="K511" s="22"/>
      <c r="M511" s="22">
        <v>2.2499999999999999E-2</v>
      </c>
      <c r="N511" s="21">
        <v>44256</v>
      </c>
      <c r="O511" s="21">
        <v>46266</v>
      </c>
      <c r="P511">
        <f t="shared" si="301"/>
        <v>6</v>
      </c>
      <c r="Q511" s="6">
        <f t="shared" si="302"/>
        <v>2.5110486139011651E-2</v>
      </c>
      <c r="R511" s="5">
        <f t="shared" si="303"/>
        <v>2</v>
      </c>
      <c r="S511" t="s">
        <v>65</v>
      </c>
      <c r="U511">
        <f t="shared" si="304"/>
        <v>12</v>
      </c>
      <c r="V511">
        <f t="shared" si="305"/>
        <v>11.25</v>
      </c>
      <c r="W511" s="28">
        <f t="shared" si="306"/>
        <v>2.1149974346764803E-2</v>
      </c>
      <c r="X511" s="27">
        <f t="shared" si="307"/>
        <v>4.2299948693529606E-2</v>
      </c>
      <c r="Y511" s="5">
        <f t="shared" si="308"/>
        <v>5.1847551022210112</v>
      </c>
      <c r="Z511" s="5">
        <f t="shared" si="309"/>
        <v>5.0773688806462802</v>
      </c>
      <c r="AA511" s="5">
        <f t="shared" si="310"/>
        <v>-4549.5256118142925</v>
      </c>
      <c r="AB511" t="s">
        <v>64</v>
      </c>
      <c r="AC511" t="s">
        <v>62</v>
      </c>
      <c r="AD511">
        <f t="shared" si="311"/>
        <v>2</v>
      </c>
    </row>
    <row r="512" spans="1:30" x14ac:dyDescent="0.35">
      <c r="A512" t="s">
        <v>1652</v>
      </c>
      <c r="B512" t="s">
        <v>101</v>
      </c>
      <c r="C512" s="36">
        <f t="shared" si="299"/>
        <v>1.8562568375338918E-2</v>
      </c>
      <c r="D512" s="3">
        <f t="shared" si="300"/>
        <v>3.7125136750677835E-2</v>
      </c>
      <c r="F512">
        <v>921.97997999999995</v>
      </c>
      <c r="G512" t="s">
        <v>66</v>
      </c>
      <c r="H512">
        <v>1000</v>
      </c>
      <c r="I512" s="22"/>
      <c r="J512">
        <v>1000000</v>
      </c>
      <c r="K512" s="22"/>
      <c r="M512" s="22">
        <v>2.2499999999999999E-2</v>
      </c>
      <c r="N512" s="21">
        <v>44256</v>
      </c>
      <c r="O512" s="21">
        <v>46266</v>
      </c>
      <c r="P512">
        <f t="shared" si="301"/>
        <v>6</v>
      </c>
      <c r="Q512" s="6">
        <f t="shared" si="302"/>
        <v>2.4404000616152208E-2</v>
      </c>
      <c r="R512" s="5">
        <f t="shared" si="303"/>
        <v>2</v>
      </c>
      <c r="S512" t="s">
        <v>65</v>
      </c>
      <c r="U512">
        <f t="shared" si="304"/>
        <v>12</v>
      </c>
      <c r="V512">
        <f t="shared" si="305"/>
        <v>11.25</v>
      </c>
      <c r="W512" s="28">
        <f t="shared" si="306"/>
        <v>1.8562568375338918E-2</v>
      </c>
      <c r="X512" s="27">
        <f t="shared" si="307"/>
        <v>3.7125136750677835E-2</v>
      </c>
      <c r="Y512" s="5">
        <f t="shared" si="308"/>
        <v>5.1899039912266298</v>
      </c>
      <c r="Z512" s="5">
        <f t="shared" si="309"/>
        <v>5.0953217331604872</v>
      </c>
      <c r="AA512" s="5">
        <f t="shared" si="310"/>
        <v>-4697.7846296328707</v>
      </c>
      <c r="AB512" t="s">
        <v>64</v>
      </c>
      <c r="AC512" t="s">
        <v>62</v>
      </c>
      <c r="AD512">
        <f t="shared" si="311"/>
        <v>2</v>
      </c>
    </row>
    <row r="513" spans="1:30" x14ac:dyDescent="0.35">
      <c r="A513" t="s">
        <v>1651</v>
      </c>
      <c r="B513" t="s">
        <v>1650</v>
      </c>
      <c r="C513" s="36">
        <f t="shared" si="299"/>
        <v>8.7823825565264552E-2</v>
      </c>
      <c r="D513" s="3">
        <f t="shared" si="300"/>
        <v>8.7823825565264552E-2</v>
      </c>
      <c r="F513">
        <v>105000</v>
      </c>
      <c r="G513" t="s">
        <v>76</v>
      </c>
      <c r="H513">
        <v>100000</v>
      </c>
      <c r="I513" s="22"/>
      <c r="J513">
        <v>3</v>
      </c>
      <c r="K513" s="22"/>
      <c r="L513">
        <v>6.0296321918597897</v>
      </c>
      <c r="M513" s="22">
        <v>0.1075</v>
      </c>
      <c r="N513" s="21">
        <v>45173</v>
      </c>
      <c r="O513" s="21">
        <v>46269</v>
      </c>
      <c r="P513">
        <f t="shared" si="301"/>
        <v>3</v>
      </c>
      <c r="Q513" s="6">
        <f t="shared" si="302"/>
        <v>0.10238095238095238</v>
      </c>
      <c r="R513" s="5">
        <f t="shared" si="303"/>
        <v>1</v>
      </c>
      <c r="S513" t="s">
        <v>93</v>
      </c>
      <c r="U513">
        <f t="shared" si="304"/>
        <v>3</v>
      </c>
      <c r="V513">
        <f t="shared" si="305"/>
        <v>10750</v>
      </c>
      <c r="W513" s="28">
        <f t="shared" si="306"/>
        <v>8.7823825565264552E-2</v>
      </c>
      <c r="X513" s="27">
        <f t="shared" si="307"/>
        <v>8.7823825565264552E-2</v>
      </c>
      <c r="Y513" s="5">
        <f t="shared" si="308"/>
        <v>2.725252124995071</v>
      </c>
      <c r="Z513" s="5">
        <f t="shared" si="309"/>
        <v>2.5052329806979099</v>
      </c>
      <c r="AA513" s="5">
        <f t="shared" si="310"/>
        <v>-263049.46297328052</v>
      </c>
      <c r="AB513" t="s">
        <v>64</v>
      </c>
      <c r="AC513" t="s">
        <v>62</v>
      </c>
      <c r="AD513">
        <f t="shared" si="311"/>
        <v>1</v>
      </c>
    </row>
    <row r="514" spans="1:30" x14ac:dyDescent="0.35">
      <c r="A514" t="s">
        <v>1649</v>
      </c>
      <c r="B514" t="s">
        <v>241</v>
      </c>
      <c r="C514" s="36">
        <f t="shared" si="299"/>
        <v>9.5303793644984758E-2</v>
      </c>
      <c r="D514" s="3">
        <f t="shared" si="300"/>
        <v>9.5303793644984758E-2</v>
      </c>
      <c r="F514">
        <v>962.2</v>
      </c>
      <c r="G514" t="s">
        <v>76</v>
      </c>
      <c r="H514">
        <v>1000</v>
      </c>
      <c r="I514" s="22"/>
      <c r="J514">
        <v>6</v>
      </c>
      <c r="K514" s="22"/>
      <c r="L514">
        <v>12.075900311391401</v>
      </c>
      <c r="M514" s="22">
        <v>8.3499999999999991E-2</v>
      </c>
      <c r="N514" s="21">
        <v>44810</v>
      </c>
      <c r="O514" s="21">
        <v>46271</v>
      </c>
      <c r="P514">
        <f t="shared" si="301"/>
        <v>4</v>
      </c>
      <c r="Q514" s="6">
        <f t="shared" si="302"/>
        <v>8.6780295156932016E-2</v>
      </c>
      <c r="R514" s="5">
        <f t="shared" si="303"/>
        <v>1</v>
      </c>
      <c r="S514" t="s">
        <v>93</v>
      </c>
      <c r="U514">
        <f t="shared" si="304"/>
        <v>4</v>
      </c>
      <c r="V514">
        <f t="shared" si="305"/>
        <v>83.499999999999986</v>
      </c>
      <c r="W514" s="28">
        <f t="shared" si="306"/>
        <v>9.5303793644984758E-2</v>
      </c>
      <c r="X514" s="27">
        <f t="shared" si="307"/>
        <v>9.5303793644984758E-2</v>
      </c>
      <c r="Y514" s="5">
        <f t="shared" si="308"/>
        <v>3.5515989962401191</v>
      </c>
      <c r="Z514" s="5">
        <f t="shared" si="309"/>
        <v>3.2425697937382298</v>
      </c>
      <c r="AA514" s="5">
        <f t="shared" si="310"/>
        <v>-3120.000655534925</v>
      </c>
      <c r="AB514" t="s">
        <v>64</v>
      </c>
      <c r="AC514" t="s">
        <v>62</v>
      </c>
      <c r="AD514">
        <f t="shared" si="311"/>
        <v>1</v>
      </c>
    </row>
    <row r="515" spans="1:30" x14ac:dyDescent="0.35">
      <c r="C515" s="28"/>
      <c r="D515" s="27"/>
      <c r="I515" s="22"/>
      <c r="K515" s="22"/>
      <c r="M515" s="22"/>
      <c r="N515" s="21"/>
      <c r="O515" s="21"/>
      <c r="P515" s="5"/>
      <c r="Q515" s="6"/>
      <c r="R515" s="5"/>
      <c r="W515" s="28"/>
      <c r="Y515" s="33"/>
      <c r="Z515" s="33"/>
      <c r="AA515" s="33"/>
    </row>
    <row r="516" spans="1:30" x14ac:dyDescent="0.35">
      <c r="C516" s="28"/>
      <c r="D516" s="27"/>
      <c r="I516" s="22"/>
      <c r="K516" s="22"/>
      <c r="M516" s="22"/>
      <c r="N516" s="21"/>
      <c r="O516" s="21"/>
      <c r="P516" s="5"/>
      <c r="Q516" s="6"/>
      <c r="R516" s="5"/>
      <c r="W516" s="28"/>
      <c r="Y516" s="33"/>
      <c r="Z516" s="33"/>
      <c r="AA516" s="33"/>
    </row>
    <row r="517" spans="1:30" x14ac:dyDescent="0.35">
      <c r="C517" s="28"/>
      <c r="D517" s="27"/>
      <c r="I517" s="22"/>
      <c r="K517" s="22"/>
      <c r="M517" s="22"/>
      <c r="N517" s="21"/>
      <c r="O517" s="21"/>
      <c r="P517" s="5"/>
      <c r="Q517" s="6"/>
      <c r="R517" s="5"/>
      <c r="W517" s="28"/>
      <c r="Y517" s="33"/>
      <c r="Z517" s="33"/>
      <c r="AA517" s="33"/>
    </row>
    <row r="518" spans="1:30" x14ac:dyDescent="0.35">
      <c r="A518" t="s">
        <v>1644</v>
      </c>
      <c r="B518" t="s">
        <v>749</v>
      </c>
      <c r="C518" s="36">
        <f>RATE(U518,V518,-F518,H518)</f>
        <v>4.6518449710238392E-2</v>
      </c>
      <c r="D518" s="3">
        <f>C518*AD518</f>
        <v>4.6518449710238392E-2</v>
      </c>
      <c r="F518">
        <v>1100</v>
      </c>
      <c r="G518" t="s">
        <v>76</v>
      </c>
      <c r="H518">
        <v>1000</v>
      </c>
      <c r="I518" s="22"/>
      <c r="J518">
        <v>65</v>
      </c>
      <c r="K518" s="22"/>
      <c r="L518">
        <v>0.10558499796168</v>
      </c>
      <c r="M518" s="22">
        <v>8.3000000000000004E-2</v>
      </c>
      <c r="N518" s="21">
        <v>45147</v>
      </c>
      <c r="O518" s="21">
        <v>46274</v>
      </c>
      <c r="P518">
        <f>ROUND(YEARFRAC(N518,O518),0)</f>
        <v>3</v>
      </c>
      <c r="Q518" s="6">
        <f>(M518*H518)/F518</f>
        <v>7.5454545454545455E-2</v>
      </c>
      <c r="R518" s="5">
        <f>IF(S518="Quarterly",4,IF(S518="Semi-annual",2,IF(S518="Annual",1,IF(S518="Pays at maturity",0,IF(S518="Monthly",12,0)))))</f>
        <v>1</v>
      </c>
      <c r="S518" t="s">
        <v>93</v>
      </c>
      <c r="U518">
        <f>R518*P518</f>
        <v>3</v>
      </c>
      <c r="V518">
        <f>(H518*M518)/AD518</f>
        <v>83</v>
      </c>
      <c r="W518" s="28">
        <f>RATE(U518,V518,-F518,H518)</f>
        <v>4.6518449710238392E-2</v>
      </c>
      <c r="X518" s="27">
        <f>W518*AD518</f>
        <v>4.6518449710238392E-2</v>
      </c>
      <c r="Y518" s="5">
        <f>DURATION(N518,O518,M518,D518,AD518)</f>
        <v>2.6747057990644443</v>
      </c>
      <c r="Z518" s="5">
        <f>Y518/(1+C518)</f>
        <v>2.5558133254172639</v>
      </c>
      <c r="AA518" s="5">
        <f>-Z518*F518</f>
        <v>-2811.3946579589901</v>
      </c>
      <c r="AB518" t="s">
        <v>64</v>
      </c>
      <c r="AC518" t="s">
        <v>62</v>
      </c>
      <c r="AD518">
        <f>_xlfn.SWITCH(PROPER(TRIM(S518)),
   "Annual",1,
   "Semi-Annual",2,
   "Quarterly",4,
   "Monthly",12,
   "")</f>
        <v>1</v>
      </c>
    </row>
    <row r="519" spans="1:30" x14ac:dyDescent="0.35">
      <c r="A519" t="s">
        <v>1643</v>
      </c>
      <c r="B519" t="s">
        <v>122</v>
      </c>
      <c r="C519" s="36">
        <f>RATE(U519,V519,-F519,H519)</f>
        <v>9.5410677560782059E-2</v>
      </c>
      <c r="D519" s="3">
        <f>C519*AD519</f>
        <v>9.5410677560782059E-2</v>
      </c>
      <c r="F519">
        <v>985</v>
      </c>
      <c r="G519" t="s">
        <v>76</v>
      </c>
      <c r="H519">
        <v>1000</v>
      </c>
      <c r="I519" s="22"/>
      <c r="J519">
        <v>404</v>
      </c>
      <c r="K519" s="22"/>
      <c r="L519">
        <v>10.6287077242982</v>
      </c>
      <c r="M519" s="22">
        <v>9.1499999999999998E-2</v>
      </c>
      <c r="N519" s="21">
        <v>44449</v>
      </c>
      <c r="O519" s="21">
        <v>46275</v>
      </c>
      <c r="P519">
        <f>ROUND(YEARFRAC(N519,O519),0)</f>
        <v>5</v>
      </c>
      <c r="Q519" s="6">
        <f>(M519*H519)/F519</f>
        <v>9.289340101522843E-2</v>
      </c>
      <c r="R519" s="5">
        <f>IF(S519="Quarterly",4,IF(S519="Semi-annual",2,IF(S519="Annual",1,IF(S519="Pays at maturity",0,IF(S519="Monthly",12,0)))))</f>
        <v>1</v>
      </c>
      <c r="S519" t="s">
        <v>93</v>
      </c>
      <c r="U519">
        <f>R519*P519</f>
        <v>5</v>
      </c>
      <c r="V519">
        <f>(H519*M519)/AD519</f>
        <v>91.5</v>
      </c>
      <c r="W519" s="28">
        <f>RATE(U519,V519,-F519,H519)</f>
        <v>9.5410677560782059E-2</v>
      </c>
      <c r="X519" s="27">
        <f>W519*AD519</f>
        <v>9.5410677560782059E-2</v>
      </c>
      <c r="Y519" s="5">
        <f>DURATION(N519,O519,M519,D519,AD519)</f>
        <v>4.2226789327586172</v>
      </c>
      <c r="Z519" s="5">
        <f>Y519/(1+C519)</f>
        <v>3.8548820266765285</v>
      </c>
      <c r="AA519" s="5">
        <f>-Z519*F519</f>
        <v>-3797.0587962763807</v>
      </c>
      <c r="AB519" t="s">
        <v>64</v>
      </c>
      <c r="AC519" t="s">
        <v>62</v>
      </c>
      <c r="AD519">
        <f>_xlfn.SWITCH(PROPER(TRIM(S519)),
   "Annual",1,
   "Semi-Annual",2,
   "Quarterly",4,
   "Monthly",12,
   "")</f>
        <v>1</v>
      </c>
    </row>
    <row r="520" spans="1:30" x14ac:dyDescent="0.35">
      <c r="C520" s="28"/>
      <c r="D520" s="27"/>
      <c r="I520" s="22"/>
      <c r="K520" s="22"/>
      <c r="M520" s="22"/>
      <c r="N520" s="21"/>
      <c r="O520" s="21"/>
      <c r="P520" s="5"/>
      <c r="Q520" s="6"/>
      <c r="R520" s="5"/>
      <c r="W520" s="28"/>
      <c r="Y520" s="33"/>
      <c r="Z520" s="33"/>
      <c r="AA520" s="33"/>
    </row>
    <row r="521" spans="1:30" x14ac:dyDescent="0.35">
      <c r="A521" t="s">
        <v>1641</v>
      </c>
      <c r="B521" t="s">
        <v>122</v>
      </c>
      <c r="C521" s="36">
        <f>RATE(U521,V521,-F521,H521)</f>
        <v>8.0838494303044267E-2</v>
      </c>
      <c r="D521" s="3">
        <f>C521*AD521</f>
        <v>8.0838494303044267E-2</v>
      </c>
      <c r="F521">
        <v>1058.4100000000001</v>
      </c>
      <c r="G521" t="s">
        <v>76</v>
      </c>
      <c r="H521">
        <v>1000</v>
      </c>
      <c r="I521" s="22"/>
      <c r="J521">
        <v>251</v>
      </c>
      <c r="K521" s="22"/>
      <c r="L521">
        <v>4.1692113072996504</v>
      </c>
      <c r="M521" s="22">
        <v>9.5500000000000002E-2</v>
      </c>
      <c r="N521" s="21">
        <v>44449</v>
      </c>
      <c r="O521" s="21">
        <v>46275</v>
      </c>
      <c r="P521">
        <f>ROUND(YEARFRAC(N521,O521),0)</f>
        <v>5</v>
      </c>
      <c r="Q521" s="6">
        <f>(M521*H521)/F521</f>
        <v>9.02296841488648E-2</v>
      </c>
      <c r="R521" s="5">
        <f>IF(S521="Quarterly",4,IF(S521="Semi-annual",2,IF(S521="Annual",1,IF(S521="Pays at maturity",0,IF(S521="Monthly",12,0)))))</f>
        <v>1</v>
      </c>
      <c r="S521" t="s">
        <v>93</v>
      </c>
      <c r="U521">
        <f>R521*P521</f>
        <v>5</v>
      </c>
      <c r="V521">
        <f>(H521*M521)/AD521</f>
        <v>95.5</v>
      </c>
      <c r="W521" s="28">
        <f>RATE(U521,V521,-F521,H521)</f>
        <v>8.0838494303044267E-2</v>
      </c>
      <c r="X521" s="27">
        <f>W521*AD521</f>
        <v>8.0838494303044267E-2</v>
      </c>
      <c r="Y521" s="5">
        <f>DURATION(N521,O521,M521,D521,AD521)</f>
        <v>4.2253256725915174</v>
      </c>
      <c r="Z521" s="5">
        <f>Y521/(1+C521)</f>
        <v>3.909303466579555</v>
      </c>
      <c r="AA521" s="5">
        <f>-Z521*F521</f>
        <v>-4137.6458820624675</v>
      </c>
      <c r="AB521" t="s">
        <v>64</v>
      </c>
      <c r="AC521" t="s">
        <v>62</v>
      </c>
      <c r="AD521">
        <f>_xlfn.SWITCH(PROPER(TRIM(S521)),
   "Annual",1,
   "Semi-Annual",2,
   "Quarterly",4,
   "Monthly",12,
   "")</f>
        <v>1</v>
      </c>
    </row>
    <row r="522" spans="1:30" x14ac:dyDescent="0.35">
      <c r="A522" t="s">
        <v>1640</v>
      </c>
      <c r="B522" t="s">
        <v>882</v>
      </c>
      <c r="C522" s="36">
        <f>RATE(U522,V522,-F522,H522)</f>
        <v>0.10847669918321105</v>
      </c>
      <c r="D522" s="3">
        <f>C522*AD522</f>
        <v>0.10847669918321105</v>
      </c>
      <c r="F522">
        <v>9957.5</v>
      </c>
      <c r="G522" t="s">
        <v>76</v>
      </c>
      <c r="H522">
        <v>10000</v>
      </c>
      <c r="I522" s="22"/>
      <c r="J522">
        <v>20</v>
      </c>
      <c r="K522" s="22"/>
      <c r="L522">
        <v>11.0161639348182</v>
      </c>
      <c r="M522" s="22">
        <v>0.106</v>
      </c>
      <c r="N522" s="21">
        <v>45726</v>
      </c>
      <c r="O522" s="21">
        <v>46275</v>
      </c>
      <c r="P522">
        <f>ROUND(YEARFRAC(N522,O522),0)</f>
        <v>2</v>
      </c>
      <c r="Q522" s="6">
        <f>(M522*H522)/F522</f>
        <v>0.10645242279688677</v>
      </c>
      <c r="R522" s="5">
        <f>IF(S522="Quarterly",4,IF(S522="Semi-annual",2,IF(S522="Annual",1,IF(S522="Pays at maturity",0,IF(S522="Monthly",12,0)))))</f>
        <v>1</v>
      </c>
      <c r="S522" t="s">
        <v>93</v>
      </c>
      <c r="U522">
        <f>R522*P522</f>
        <v>2</v>
      </c>
      <c r="V522">
        <f>(H522*M522)/AD522</f>
        <v>1060</v>
      </c>
      <c r="W522" s="28">
        <f>RATE(U522,V522,-F522,H522)</f>
        <v>0.10847669918321105</v>
      </c>
      <c r="X522" s="27">
        <f>W522*AD522</f>
        <v>0.10847669918321105</v>
      </c>
      <c r="Y522" s="5">
        <f>DURATION(N522,O522,M522,D522,AD522)</f>
        <v>1.4039651236013109</v>
      </c>
      <c r="Z522" s="5">
        <f>Y522/(1+C522)</f>
        <v>1.266571615475393</v>
      </c>
      <c r="AA522" s="5">
        <f>-Z522*F522</f>
        <v>-12611.886861096225</v>
      </c>
      <c r="AB522" t="s">
        <v>64</v>
      </c>
      <c r="AC522" t="s">
        <v>62</v>
      </c>
      <c r="AD522">
        <f>_xlfn.SWITCH(PROPER(TRIM(S522)),
   "Annual",1,
   "Semi-Annual",2,
   "Quarterly",4,
   "Monthly",12,
   "")</f>
        <v>1</v>
      </c>
    </row>
    <row r="523" spans="1:30" x14ac:dyDescent="0.35">
      <c r="A523" t="s">
        <v>1639</v>
      </c>
      <c r="B523" t="s">
        <v>326</v>
      </c>
      <c r="C523" s="36">
        <f>RATE(U523,V523,-F523,H523)</f>
        <v>0.17273260909929108</v>
      </c>
      <c r="D523" s="3">
        <f>C523*AD523</f>
        <v>0.17273260909929108</v>
      </c>
      <c r="F523">
        <v>840</v>
      </c>
      <c r="G523" t="s">
        <v>76</v>
      </c>
      <c r="H523">
        <v>1000</v>
      </c>
      <c r="I523" s="22"/>
      <c r="J523">
        <v>100</v>
      </c>
      <c r="K523" s="22"/>
      <c r="L523">
        <v>26.920703486578201</v>
      </c>
      <c r="M523" s="22">
        <v>0.1</v>
      </c>
      <c r="N523" s="21">
        <v>45181</v>
      </c>
      <c r="O523" s="21">
        <v>46276</v>
      </c>
      <c r="P523">
        <f>ROUND(YEARFRAC(N523,O523),0)</f>
        <v>3</v>
      </c>
      <c r="Q523" s="6">
        <f>(M523*H523)/F523</f>
        <v>0.11904761904761904</v>
      </c>
      <c r="R523" s="5">
        <f>IF(S523="Quarterly",4,IF(S523="Semi-annual",2,IF(S523="Annual",1,IF(S523="Pays at maturity",0,IF(S523="Monthly",12,0)))))</f>
        <v>1</v>
      </c>
      <c r="S523" t="s">
        <v>93</v>
      </c>
      <c r="U523">
        <f>R523*P523</f>
        <v>3</v>
      </c>
      <c r="V523">
        <f>(H523*M523)/AD523</f>
        <v>100</v>
      </c>
      <c r="W523" s="28">
        <f>RATE(U523,V523,-F523,H523)</f>
        <v>0.17273260909929108</v>
      </c>
      <c r="X523" s="27">
        <f>W523*AD523</f>
        <v>0.17273260909929108</v>
      </c>
      <c r="Y523" s="5">
        <f>DURATION(N523,O523,M523,D523,AD523)</f>
        <v>2.7076351099151017</v>
      </c>
      <c r="Z523" s="5">
        <f>Y523/(1+C523)</f>
        <v>2.3088256341696525</v>
      </c>
      <c r="AA523" s="5">
        <f>-Z523*F523</f>
        <v>-1939.4135327025081</v>
      </c>
      <c r="AB523" t="s">
        <v>64</v>
      </c>
      <c r="AC523" t="s">
        <v>62</v>
      </c>
      <c r="AD523">
        <f>_xlfn.SWITCH(PROPER(TRIM(S523)),
   "Annual",1,
   "Semi-Annual",2,
   "Quarterly",4,
   "Monthly",12,
   "")</f>
        <v>1</v>
      </c>
    </row>
    <row r="524" spans="1:30" x14ac:dyDescent="0.35">
      <c r="C524" s="28"/>
      <c r="D524" s="27"/>
      <c r="I524" s="22"/>
      <c r="K524" s="22"/>
      <c r="M524" s="22"/>
      <c r="N524" s="21"/>
      <c r="O524" s="21"/>
      <c r="P524" s="5"/>
      <c r="Q524" s="6"/>
      <c r="R524" s="5"/>
      <c r="W524" s="28"/>
      <c r="Y524" s="33"/>
      <c r="Z524" s="33"/>
      <c r="AA524" s="33"/>
    </row>
    <row r="525" spans="1:30" x14ac:dyDescent="0.35">
      <c r="A525" t="s">
        <v>1637</v>
      </c>
      <c r="B525" t="s">
        <v>326</v>
      </c>
      <c r="C525" s="36">
        <f>RATE(U525,V525,-F525,H525)</f>
        <v>0.10977151385002099</v>
      </c>
      <c r="D525" s="3">
        <f>C525*AD525</f>
        <v>0.10977151385002099</v>
      </c>
      <c r="F525">
        <v>970</v>
      </c>
      <c r="G525" t="s">
        <v>76</v>
      </c>
      <c r="H525">
        <v>1000</v>
      </c>
      <c r="I525" s="22"/>
      <c r="J525">
        <v>10</v>
      </c>
      <c r="K525" s="22"/>
      <c r="L525">
        <v>11.4417754303996</v>
      </c>
      <c r="M525" s="22">
        <v>9.7500000000000003E-2</v>
      </c>
      <c r="N525" s="21">
        <v>45181</v>
      </c>
      <c r="O525" s="21">
        <v>46276</v>
      </c>
      <c r="P525">
        <f>ROUND(YEARFRAC(N525,O525),0)</f>
        <v>3</v>
      </c>
      <c r="Q525" s="6">
        <f>(M525*H525)/F525</f>
        <v>0.10051546391752578</v>
      </c>
      <c r="R525" s="5">
        <f>IF(S525="Quarterly",4,IF(S525="Semi-annual",2,IF(S525="Annual",1,IF(S525="Pays at maturity",0,IF(S525="Monthly",12,0)))))</f>
        <v>1</v>
      </c>
      <c r="S525" t="s">
        <v>93</v>
      </c>
      <c r="U525">
        <f>R525*P525</f>
        <v>3</v>
      </c>
      <c r="V525">
        <f>(H525*M525)/AD525</f>
        <v>97.5</v>
      </c>
      <c r="W525" s="28">
        <f>RATE(U525,V525,-F525,H525)</f>
        <v>0.10977151385002099</v>
      </c>
      <c r="X525" s="27">
        <f>W525*AD525</f>
        <v>0.10977151385002099</v>
      </c>
      <c r="Y525" s="5">
        <f>DURATION(N525,O525,M525,D525,AD525)</f>
        <v>2.734461789043189</v>
      </c>
      <c r="Z525" s="5">
        <f>Y525/(1+C525)</f>
        <v>2.4639862844891289</v>
      </c>
      <c r="AA525" s="5">
        <f>-Z525*F525</f>
        <v>-2390.0666959544551</v>
      </c>
      <c r="AB525" t="s">
        <v>64</v>
      </c>
      <c r="AC525" t="s">
        <v>62</v>
      </c>
      <c r="AD525">
        <f>_xlfn.SWITCH(PROPER(TRIM(S525)),
   "Annual",1,
   "Semi-Annual",2,
   "Quarterly",4,
   "Monthly",12,
   "")</f>
        <v>1</v>
      </c>
    </row>
    <row r="526" spans="1:30" x14ac:dyDescent="0.35">
      <c r="A526" t="s">
        <v>1636</v>
      </c>
      <c r="B526" t="s">
        <v>634</v>
      </c>
      <c r="C526" s="36">
        <f>RATE(U526,V526,-F526,H526)</f>
        <v>5.4991327754157882E-2</v>
      </c>
      <c r="D526" s="3">
        <f>C526*AD526</f>
        <v>0.10998265550831576</v>
      </c>
      <c r="F526">
        <v>105000</v>
      </c>
      <c r="G526" t="s">
        <v>76</v>
      </c>
      <c r="H526">
        <v>100000</v>
      </c>
      <c r="I526" s="22"/>
      <c r="J526">
        <v>4</v>
      </c>
      <c r="K526" s="22"/>
      <c r="M526" s="22">
        <v>0.13</v>
      </c>
      <c r="N526" s="21">
        <v>45231</v>
      </c>
      <c r="O526" s="21">
        <v>46276</v>
      </c>
      <c r="P526">
        <f>ROUND(YEARFRAC(N526,O526),0)</f>
        <v>3</v>
      </c>
      <c r="Q526" s="6">
        <f>(M526*H526)/F526</f>
        <v>0.12380952380952381</v>
      </c>
      <c r="R526" s="5">
        <f>IF(S526="Quarterly",4,IF(S526="Semi-annual",2,IF(S526="Annual",1,IF(S526="Pays at maturity",0,IF(S526="Monthly",12,0)))))</f>
        <v>2</v>
      </c>
      <c r="S526" t="s">
        <v>65</v>
      </c>
      <c r="U526">
        <f>R526*P526</f>
        <v>6</v>
      </c>
      <c r="V526">
        <f>(H526*M526)/AD526</f>
        <v>6500</v>
      </c>
      <c r="W526" s="28">
        <f>RATE(U526,V526,-F526,H526)</f>
        <v>5.4991327754157882E-2</v>
      </c>
      <c r="X526" s="27">
        <f>W526*AD526</f>
        <v>0.10998265550831576</v>
      </c>
      <c r="Y526" s="5">
        <f>DURATION(N526,O526,M526,D526,AD526)</f>
        <v>2.4504410935182914</v>
      </c>
      <c r="Z526" s="5">
        <f>Y526/(1+C526)</f>
        <v>2.3227120726525174</v>
      </c>
      <c r="AA526" s="5">
        <f>-Z526*F526</f>
        <v>-243884.76762851432</v>
      </c>
      <c r="AB526" t="s">
        <v>64</v>
      </c>
      <c r="AC526" t="s">
        <v>62</v>
      </c>
      <c r="AD526">
        <f>_xlfn.SWITCH(PROPER(TRIM(S526)),
   "Annual",1,
   "Semi-Annual",2,
   "Quarterly",4,
   "Monthly",12,
   "")</f>
        <v>2</v>
      </c>
    </row>
    <row r="527" spans="1:30" x14ac:dyDescent="0.35">
      <c r="C527" s="28"/>
      <c r="D527" s="27"/>
      <c r="I527" s="22"/>
      <c r="K527" s="22"/>
      <c r="M527" s="22"/>
      <c r="N527" s="21"/>
      <c r="O527" s="21"/>
      <c r="P527" s="5"/>
      <c r="Q527" s="6"/>
      <c r="R527" s="5"/>
      <c r="W527" s="28"/>
      <c r="Y527" s="33"/>
      <c r="Z527" s="33"/>
      <c r="AA527" s="33"/>
    </row>
    <row r="528" spans="1:30" x14ac:dyDescent="0.35">
      <c r="A528" t="s">
        <v>1634</v>
      </c>
      <c r="B528" t="s">
        <v>600</v>
      </c>
      <c r="C528" s="36">
        <f>RATE(U528,V528,-F528,H528)</f>
        <v>5.3069414540637926E-2</v>
      </c>
      <c r="D528" s="3">
        <f>C528*AD528</f>
        <v>5.3069414540637926E-2</v>
      </c>
      <c r="F528">
        <v>1073</v>
      </c>
      <c r="G528" t="s">
        <v>76</v>
      </c>
      <c r="H528">
        <v>1000</v>
      </c>
      <c r="I528" s="22"/>
      <c r="J528">
        <v>75</v>
      </c>
      <c r="K528" s="22"/>
      <c r="L528">
        <v>3.0152165086390901</v>
      </c>
      <c r="M528" s="22">
        <v>9.2499999999999999E-2</v>
      </c>
      <c r="N528" s="21">
        <v>45547</v>
      </c>
      <c r="O528" s="21">
        <v>46277</v>
      </c>
      <c r="P528">
        <f>ROUND(YEARFRAC(N528,O528),0)</f>
        <v>2</v>
      </c>
      <c r="Q528" s="6">
        <f>(M528*H528)/F528</f>
        <v>8.6206896551724144E-2</v>
      </c>
      <c r="R528" s="5">
        <f>IF(S528="Quarterly",4,IF(S528="Semi-annual",2,IF(S528="Annual",1,IF(S528="Pays at maturity",0,IF(S528="Monthly",12,0)))))</f>
        <v>1</v>
      </c>
      <c r="S528" t="s">
        <v>93</v>
      </c>
      <c r="U528">
        <f>R528*P528</f>
        <v>2</v>
      </c>
      <c r="V528">
        <f>(H528*M528)/AD528</f>
        <v>92.5</v>
      </c>
      <c r="W528" s="28">
        <f>RATE(U528,V528,-F528,H528)</f>
        <v>5.3069414540637926E-2</v>
      </c>
      <c r="X528" s="27">
        <f>W528*AD528</f>
        <v>5.3069414540637926E-2</v>
      </c>
      <c r="Y528" s="5">
        <f>DURATION(N528,O528,M528,D528,AD528)</f>
        <v>1.9181374984769133</v>
      </c>
      <c r="Z528" s="5">
        <f>Y528/(1+C528)</f>
        <v>1.8214729931299249</v>
      </c>
      <c r="AA528" s="5">
        <f>-Z528*F528</f>
        <v>-1954.4405216284094</v>
      </c>
      <c r="AB528" t="s">
        <v>64</v>
      </c>
      <c r="AC528" t="s">
        <v>62</v>
      </c>
      <c r="AD528">
        <f>_xlfn.SWITCH(PROPER(TRIM(S528)),
   "Annual",1,
   "Semi-Annual",2,
   "Quarterly",4,
   "Monthly",12,
   "")</f>
        <v>1</v>
      </c>
    </row>
    <row r="529" spans="1:30" x14ac:dyDescent="0.35">
      <c r="A529" t="s">
        <v>1633</v>
      </c>
      <c r="B529" t="s">
        <v>460</v>
      </c>
      <c r="C529" s="36">
        <f>RATE(U529,V529,-F529,H529)</f>
        <v>0.12737176763841174</v>
      </c>
      <c r="D529" s="3">
        <f>C529*AD529</f>
        <v>0.12737176763841174</v>
      </c>
      <c r="F529">
        <v>95000</v>
      </c>
      <c r="G529" t="s">
        <v>76</v>
      </c>
      <c r="H529">
        <v>100000</v>
      </c>
      <c r="I529" s="22"/>
      <c r="J529">
        <v>2</v>
      </c>
      <c r="K529" s="22"/>
      <c r="L529">
        <v>14.403357531760401</v>
      </c>
      <c r="M529" s="22">
        <v>9.7500000000000003E-2</v>
      </c>
      <c r="N529" s="21">
        <v>45548</v>
      </c>
      <c r="O529" s="21">
        <v>46278</v>
      </c>
      <c r="P529">
        <f>ROUND(YEARFRAC(N529,O529),0)</f>
        <v>2</v>
      </c>
      <c r="Q529" s="6">
        <f>(M529*H529)/F529</f>
        <v>0.10263157894736842</v>
      </c>
      <c r="R529" s="5">
        <f>IF(S529="Quarterly",4,IF(S529="Semi-annual",2,IF(S529="Annual",1,IF(S529="Pays at maturity",0,IF(S529="Monthly",12,0)))))</f>
        <v>1</v>
      </c>
      <c r="S529" t="s">
        <v>93</v>
      </c>
      <c r="U529">
        <f>R529*P529</f>
        <v>2</v>
      </c>
      <c r="V529">
        <f>(H529*M529)/AD529</f>
        <v>9750</v>
      </c>
      <c r="W529" s="28">
        <f>RATE(U529,V529,-F529,H529)</f>
        <v>0.12737176763841174</v>
      </c>
      <c r="X529" s="27">
        <f>W529*AD529</f>
        <v>0.12737176763841174</v>
      </c>
      <c r="Y529" s="5">
        <f>DURATION(N529,O529,M529,D529,AD529)</f>
        <v>1.908963855674372</v>
      </c>
      <c r="Z529" s="5">
        <f>Y529/(1+C529)</f>
        <v>1.6932869089610241</v>
      </c>
      <c r="AA529" s="5">
        <f>-Z529*F529</f>
        <v>-160862.25635129728</v>
      </c>
      <c r="AB529" t="s">
        <v>64</v>
      </c>
      <c r="AC529" t="s">
        <v>62</v>
      </c>
      <c r="AD529">
        <f>_xlfn.SWITCH(PROPER(TRIM(S529)),
   "Annual",1,
   "Semi-Annual",2,
   "Quarterly",4,
   "Monthly",12,
   "")</f>
        <v>1</v>
      </c>
    </row>
    <row r="530" spans="1:30" x14ac:dyDescent="0.35">
      <c r="C530" s="28"/>
      <c r="D530" s="27"/>
      <c r="I530" s="22"/>
      <c r="K530" s="22"/>
      <c r="M530" s="22"/>
      <c r="N530" s="21"/>
      <c r="O530" s="21"/>
      <c r="P530" s="5"/>
      <c r="Q530" s="6"/>
      <c r="R530" s="5"/>
      <c r="W530" s="28"/>
      <c r="Y530" s="33"/>
      <c r="Z530" s="33"/>
      <c r="AA530" s="33"/>
    </row>
    <row r="531" spans="1:30" x14ac:dyDescent="0.35">
      <c r="A531" t="s">
        <v>1631</v>
      </c>
      <c r="B531" t="s">
        <v>119</v>
      </c>
      <c r="C531" s="36">
        <f>RATE(U531,V531,-F531,H531)</f>
        <v>7.6787832115249477E-2</v>
      </c>
      <c r="D531" s="3">
        <f>C531*AD531</f>
        <v>7.6787832115249477E-2</v>
      </c>
      <c r="F531">
        <v>1049.8</v>
      </c>
      <c r="G531" t="s">
        <v>76</v>
      </c>
      <c r="H531">
        <v>1000</v>
      </c>
      <c r="I531" s="22"/>
      <c r="J531">
        <v>16</v>
      </c>
      <c r="K531" s="22"/>
      <c r="L531">
        <v>5.2623732728933197</v>
      </c>
      <c r="M531" s="22">
        <v>9.6000000000000002E-2</v>
      </c>
      <c r="N531" s="21">
        <v>45184</v>
      </c>
      <c r="O531" s="21">
        <v>46280</v>
      </c>
      <c r="P531">
        <f>ROUND(YEARFRAC(N531,O531),0)</f>
        <v>3</v>
      </c>
      <c r="Q531" s="6">
        <f>(M531*H531)/F531</f>
        <v>9.1445989712326162E-2</v>
      </c>
      <c r="R531" s="5">
        <f>IF(S531="Quarterly",4,IF(S531="Semi-annual",2,IF(S531="Annual",1,IF(S531="Pays at maturity",0,IF(S531="Monthly",12,0)))))</f>
        <v>1</v>
      </c>
      <c r="S531" t="s">
        <v>93</v>
      </c>
      <c r="U531">
        <f>R531*P531</f>
        <v>3</v>
      </c>
      <c r="V531">
        <f>(H531*M531)/AD531</f>
        <v>96</v>
      </c>
      <c r="W531" s="28">
        <f>RATE(U531,V531,-F531,H531)</f>
        <v>7.6787832115249477E-2</v>
      </c>
      <c r="X531" s="27">
        <f>W531*AD531</f>
        <v>7.6787832115249477E-2</v>
      </c>
      <c r="Y531" s="5">
        <f>DURATION(N531,O531,M531,D531,AD531)</f>
        <v>2.7512817567428769</v>
      </c>
      <c r="Z531" s="5">
        <f>Y531/(1+C531)</f>
        <v>2.5550825099297785</v>
      </c>
      <c r="AA531" s="5">
        <f>-Z531*F531</f>
        <v>-2682.3256189242811</v>
      </c>
      <c r="AB531" t="s">
        <v>64</v>
      </c>
      <c r="AC531" t="s">
        <v>62</v>
      </c>
      <c r="AD531">
        <f>_xlfn.SWITCH(PROPER(TRIM(S531)),
   "Annual",1,
   "Semi-Annual",2,
   "Quarterly",4,
   "Monthly",12,
   "")</f>
        <v>1</v>
      </c>
    </row>
    <row r="532" spans="1:30" x14ac:dyDescent="0.35">
      <c r="A532" t="s">
        <v>1630</v>
      </c>
      <c r="B532" t="s">
        <v>119</v>
      </c>
      <c r="C532" s="36">
        <f>RATE(U532,V532,-F532,H532)</f>
        <v>0.10160135712881296</v>
      </c>
      <c r="D532" s="3">
        <f>C532*AD532</f>
        <v>0.10160135712881296</v>
      </c>
      <c r="F532">
        <v>976.19</v>
      </c>
      <c r="G532" t="s">
        <v>76</v>
      </c>
      <c r="H532">
        <v>1000</v>
      </c>
      <c r="I532" s="22"/>
      <c r="J532">
        <v>423</v>
      </c>
      <c r="K532" s="22"/>
      <c r="L532">
        <v>11.544066606861699</v>
      </c>
      <c r="M532" s="22">
        <v>9.1999999999999998E-2</v>
      </c>
      <c r="N532" s="21">
        <v>45184</v>
      </c>
      <c r="O532" s="21">
        <v>46280</v>
      </c>
      <c r="P532">
        <f>ROUND(YEARFRAC(N532,O532),0)</f>
        <v>3</v>
      </c>
      <c r="Q532" s="6">
        <f>(M532*H532)/F532</f>
        <v>9.4243948411682141E-2</v>
      </c>
      <c r="R532" s="5">
        <f>IF(S532="Quarterly",4,IF(S532="Semi-annual",2,IF(S532="Annual",1,IF(S532="Pays at maturity",0,IF(S532="Monthly",12,0)))))</f>
        <v>1</v>
      </c>
      <c r="S532" t="s">
        <v>93</v>
      </c>
      <c r="U532">
        <f>R532*P532</f>
        <v>3</v>
      </c>
      <c r="V532">
        <f>(H532*M532)/AD532</f>
        <v>92</v>
      </c>
      <c r="W532" s="28">
        <f>RATE(U532,V532,-F532,H532)</f>
        <v>0.10160135712881296</v>
      </c>
      <c r="X532" s="27">
        <f>W532*AD532</f>
        <v>0.10160135712881296</v>
      </c>
      <c r="Y532" s="5">
        <f>DURATION(N532,O532,M532,D532,AD532)</f>
        <v>2.7512351747784374</v>
      </c>
      <c r="Z532" s="5">
        <f>Y532/(1+C532)</f>
        <v>2.4974870963750351</v>
      </c>
      <c r="AA532" s="5">
        <f>-Z532*F532</f>
        <v>-2438.0219286103456</v>
      </c>
      <c r="AB532" t="s">
        <v>64</v>
      </c>
      <c r="AC532" t="s">
        <v>62</v>
      </c>
      <c r="AD532">
        <f>_xlfn.SWITCH(PROPER(TRIM(S532)),
   "Annual",1,
   "Semi-Annual",2,
   "Quarterly",4,
   "Monthly",12,
   "")</f>
        <v>1</v>
      </c>
    </row>
    <row r="533" spans="1:30" x14ac:dyDescent="0.35">
      <c r="A533" t="s">
        <v>1629</v>
      </c>
      <c r="B533" t="s">
        <v>241</v>
      </c>
      <c r="C533" s="36">
        <f>RATE(U533,V533,-F533,H533)</f>
        <v>9.8626934506878677E-2</v>
      </c>
      <c r="D533" s="3">
        <f>C533*AD533</f>
        <v>9.8626934506878677E-2</v>
      </c>
      <c r="F533">
        <v>985</v>
      </c>
      <c r="G533" t="s">
        <v>76</v>
      </c>
      <c r="H533">
        <v>1000</v>
      </c>
      <c r="I533" s="22"/>
      <c r="J533">
        <v>4</v>
      </c>
      <c r="K533" s="22"/>
      <c r="L533">
        <v>10.460478607686699</v>
      </c>
      <c r="M533" s="22">
        <v>0.09</v>
      </c>
      <c r="N533" s="21">
        <v>45551</v>
      </c>
      <c r="O533" s="21">
        <v>46281</v>
      </c>
      <c r="P533">
        <f>ROUND(YEARFRAC(N533,O533),0)</f>
        <v>2</v>
      </c>
      <c r="Q533" s="6">
        <f>(M533*H533)/F533</f>
        <v>9.1370558375634514E-2</v>
      </c>
      <c r="R533" s="5">
        <f>IF(S533="Quarterly",4,IF(S533="Semi-annual",2,IF(S533="Annual",1,IF(S533="Pays at maturity",0,IF(S533="Monthly",12,0)))))</f>
        <v>1</v>
      </c>
      <c r="S533" t="s">
        <v>93</v>
      </c>
      <c r="U533">
        <f>R533*P533</f>
        <v>2</v>
      </c>
      <c r="V533">
        <f>(H533*M533)/AD533</f>
        <v>90</v>
      </c>
      <c r="W533" s="28">
        <f>RATE(U533,V533,-F533,H533)</f>
        <v>9.8626934506878677E-2</v>
      </c>
      <c r="X533" s="27">
        <f>W533*AD533</f>
        <v>9.8626934506878677E-2</v>
      </c>
      <c r="Y533" s="5">
        <f>DURATION(N533,O533,M533,D533,AD533)</f>
        <v>1.9168320423377874</v>
      </c>
      <c r="Z533" s="5">
        <f>Y533/(1+C533)</f>
        <v>1.7447524561175647</v>
      </c>
      <c r="AA533" s="5">
        <f>-Z533*F533</f>
        <v>-1718.5811692758011</v>
      </c>
      <c r="AB533" t="s">
        <v>64</v>
      </c>
      <c r="AC533" t="s">
        <v>62</v>
      </c>
      <c r="AD533">
        <f>_xlfn.SWITCH(PROPER(TRIM(S533)),
   "Annual",1,
   "Semi-Annual",2,
   "Quarterly",4,
   "Monthly",12,
   "")</f>
        <v>1</v>
      </c>
    </row>
    <row r="534" spans="1:30" x14ac:dyDescent="0.35">
      <c r="C534" s="28"/>
      <c r="D534" s="27"/>
      <c r="I534" s="22"/>
      <c r="K534" s="22"/>
      <c r="M534" s="22"/>
      <c r="N534" s="21"/>
      <c r="O534" s="21"/>
      <c r="P534" s="5"/>
      <c r="Q534" s="6"/>
      <c r="R534" s="5"/>
      <c r="W534" s="28"/>
      <c r="Y534" s="33"/>
      <c r="Z534" s="33"/>
      <c r="AA534" s="33"/>
    </row>
    <row r="535" spans="1:30" x14ac:dyDescent="0.35">
      <c r="A535" t="s">
        <v>1627</v>
      </c>
      <c r="B535" t="s">
        <v>1156</v>
      </c>
      <c r="C535" s="36">
        <f>RATE(U535,V535,-F535,H535)</f>
        <v>2.6425593478151242E-2</v>
      </c>
      <c r="D535" s="3">
        <f>C535*AD535</f>
        <v>0.10570237391260497</v>
      </c>
      <c r="F535">
        <v>10192.379999999999</v>
      </c>
      <c r="G535" t="s">
        <v>76</v>
      </c>
      <c r="H535">
        <v>10000</v>
      </c>
      <c r="I535" s="22"/>
      <c r="J535">
        <v>120</v>
      </c>
      <c r="K535" s="22"/>
      <c r="M535" s="22">
        <v>0.11650000000000001</v>
      </c>
      <c r="N535" s="21">
        <v>45551</v>
      </c>
      <c r="O535" s="21">
        <v>46281</v>
      </c>
      <c r="P535">
        <f>ROUND(YEARFRAC(N535,O535),0)</f>
        <v>2</v>
      </c>
      <c r="Q535" s="6">
        <f>(M535*H535)/F535</f>
        <v>0.11430107590180116</v>
      </c>
      <c r="R535" s="5">
        <f>IF(S535="Quarterly",4,IF(S535="Semi-annual",2,IF(S535="Annual",1,IF(S535="Pays at maturity",0,IF(S535="Monthly",12,0)))))</f>
        <v>4</v>
      </c>
      <c r="S535" t="s">
        <v>105</v>
      </c>
      <c r="U535">
        <f>R535*P535</f>
        <v>8</v>
      </c>
      <c r="V535">
        <f>(H535*M535)/AD535</f>
        <v>291.25</v>
      </c>
      <c r="W535" s="28">
        <f>RATE(U535,V535,-F535,H535)</f>
        <v>2.6425593478151242E-2</v>
      </c>
      <c r="X535" s="27">
        <f>W535*AD535</f>
        <v>0.10570237391260497</v>
      </c>
      <c r="Y535" s="5">
        <f>DURATION(N535,O535,M535,D535,AD535)</f>
        <v>1.8148408318845872</v>
      </c>
      <c r="Z535" s="5">
        <f>Y535/(1+C535)</f>
        <v>1.7681172833335224</v>
      </c>
      <c r="AA535" s="5">
        <f>-Z535*F535</f>
        <v>-18021.323236302924</v>
      </c>
      <c r="AB535" t="s">
        <v>64</v>
      </c>
      <c r="AC535" t="s">
        <v>62</v>
      </c>
      <c r="AD535">
        <f>_xlfn.SWITCH(PROPER(TRIM(S535)),
   "Annual",1,
   "Semi-Annual",2,
   "Quarterly",4,
   "Monthly",12,
   "")</f>
        <v>4</v>
      </c>
    </row>
    <row r="536" spans="1:30" x14ac:dyDescent="0.35">
      <c r="A536" t="s">
        <v>1626</v>
      </c>
      <c r="B536" t="s">
        <v>241</v>
      </c>
      <c r="C536" s="36">
        <f>RATE(U536,V536,-F536,H536)</f>
        <v>5.6650019860618323E-2</v>
      </c>
      <c r="D536" s="3">
        <f>C536*AD536</f>
        <v>5.6650019860618323E-2</v>
      </c>
      <c r="F536">
        <v>1068.8</v>
      </c>
      <c r="G536" t="s">
        <v>76</v>
      </c>
      <c r="H536">
        <v>1000</v>
      </c>
      <c r="I536" s="22"/>
      <c r="J536">
        <v>40</v>
      </c>
      <c r="K536" s="22"/>
      <c r="L536">
        <v>3.3811984326278299</v>
      </c>
      <c r="M536" s="22">
        <v>9.4E-2</v>
      </c>
      <c r="N536" s="21">
        <v>45551</v>
      </c>
      <c r="O536" s="21">
        <v>46281</v>
      </c>
      <c r="P536">
        <f>ROUND(YEARFRAC(N536,O536),0)</f>
        <v>2</v>
      </c>
      <c r="Q536" s="6">
        <f>(M536*H536)/F536</f>
        <v>8.7949101796407192E-2</v>
      </c>
      <c r="R536" s="5">
        <f>IF(S536="Quarterly",4,IF(S536="Semi-annual",2,IF(S536="Annual",1,IF(S536="Pays at maturity",0,IF(S536="Monthly",12,0)))))</f>
        <v>1</v>
      </c>
      <c r="S536" t="s">
        <v>93</v>
      </c>
      <c r="U536">
        <f>R536*P536</f>
        <v>2</v>
      </c>
      <c r="V536">
        <f>(H536*M536)/AD536</f>
        <v>94</v>
      </c>
      <c r="W536" s="28">
        <f>RATE(U536,V536,-F536,H536)</f>
        <v>5.6650019860618323E-2</v>
      </c>
      <c r="X536" s="27">
        <f>W536*AD536</f>
        <v>5.6650019860618323E-2</v>
      </c>
      <c r="Y536" s="5">
        <f>DURATION(N536,O536,M536,D536,AD536)</f>
        <v>1.9167661002760195</v>
      </c>
      <c r="Z536" s="5">
        <f>Y536/(1+C536)</f>
        <v>1.8140028053270261</v>
      </c>
      <c r="AA536" s="5">
        <f>-Z536*F536</f>
        <v>-1938.8061983335253</v>
      </c>
      <c r="AB536" t="s">
        <v>64</v>
      </c>
      <c r="AC536" t="s">
        <v>62</v>
      </c>
      <c r="AD536">
        <f>_xlfn.SWITCH(PROPER(TRIM(S536)),
   "Annual",1,
   "Semi-Annual",2,
   "Quarterly",4,
   "Monthly",12,
   "")</f>
        <v>1</v>
      </c>
    </row>
    <row r="537" spans="1:30" x14ac:dyDescent="0.35">
      <c r="A537" t="s">
        <v>1625</v>
      </c>
      <c r="B537" t="s">
        <v>225</v>
      </c>
      <c r="C537" s="36">
        <f>RATE(U537,V537,-F537,H537)</f>
        <v>0.12547781150141335</v>
      </c>
      <c r="D537" s="3">
        <f>C537*AD537</f>
        <v>0.12547781150141335</v>
      </c>
      <c r="F537">
        <v>900500</v>
      </c>
      <c r="G537" t="s">
        <v>76</v>
      </c>
      <c r="H537">
        <v>1000000</v>
      </c>
      <c r="I537" s="22"/>
      <c r="J537">
        <v>1</v>
      </c>
      <c r="K537" s="22"/>
      <c r="L537">
        <v>18.003540935146699</v>
      </c>
      <c r="M537" s="22">
        <v>9.7500000000000003E-2</v>
      </c>
      <c r="N537" s="21">
        <v>44274</v>
      </c>
      <c r="O537" s="21">
        <v>46283</v>
      </c>
      <c r="P537">
        <f>ROUND(YEARFRAC(N537,O537),0)</f>
        <v>5</v>
      </c>
      <c r="Q537" s="6">
        <f>(M537*H537)/F537</f>
        <v>0.10827318156579678</v>
      </c>
      <c r="R537" s="5">
        <f>IF(S537="Quarterly",4,IF(S537="Semi-annual",2,IF(S537="Annual",1,IF(S537="Pays at maturity",0,IF(S537="Monthly",12,0)))))</f>
        <v>1</v>
      </c>
      <c r="S537" t="s">
        <v>93</v>
      </c>
      <c r="U537">
        <f>R537*P537</f>
        <v>5</v>
      </c>
      <c r="V537">
        <f>(H537*M537)/AD537</f>
        <v>97500</v>
      </c>
      <c r="W537" s="28">
        <f>RATE(U537,V537,-F537,H537)</f>
        <v>0.12547781150141335</v>
      </c>
      <c r="X537" s="27">
        <f>W537*AD537</f>
        <v>0.12547781150141335</v>
      </c>
      <c r="Y537" s="5">
        <f>DURATION(N537,O537,M537,D537,AD537)</f>
        <v>4.2322119402467466</v>
      </c>
      <c r="Z537" s="5">
        <f>Y537/(1+C537)</f>
        <v>3.7603690601424464</v>
      </c>
      <c r="AA537" s="5">
        <f>-Z537*F537</f>
        <v>-3386212.3386582732</v>
      </c>
      <c r="AB537" t="s">
        <v>64</v>
      </c>
      <c r="AC537" t="s">
        <v>62</v>
      </c>
      <c r="AD537">
        <f>_xlfn.SWITCH(PROPER(TRIM(S537)),
   "Annual",1,
   "Semi-Annual",2,
   "Quarterly",4,
   "Monthly",12,
   "")</f>
        <v>1</v>
      </c>
    </row>
    <row r="538" spans="1:30" x14ac:dyDescent="0.35">
      <c r="A538" t="s">
        <v>1624</v>
      </c>
      <c r="B538" t="s">
        <v>241</v>
      </c>
      <c r="C538" s="36">
        <f>RATE(U538,V538,-F538,H538)</f>
        <v>8.111336378255439E-2</v>
      </c>
      <c r="D538" s="3">
        <f>C538*AD538</f>
        <v>8.111336378255439E-2</v>
      </c>
      <c r="F538">
        <v>1029.8</v>
      </c>
      <c r="G538" t="s">
        <v>76</v>
      </c>
      <c r="H538">
        <v>1000</v>
      </c>
      <c r="I538" s="22"/>
      <c r="J538">
        <v>4</v>
      </c>
      <c r="K538" s="22"/>
      <c r="L538">
        <v>6.8679610241078501</v>
      </c>
      <c r="M538" s="22">
        <v>9.2699999999999991E-2</v>
      </c>
      <c r="N538" s="21">
        <v>45189</v>
      </c>
      <c r="O538" s="21">
        <v>46285</v>
      </c>
      <c r="P538">
        <f>ROUND(YEARFRAC(N538,O538),0)</f>
        <v>3</v>
      </c>
      <c r="Q538" s="6">
        <f>(M538*H538)/F538</f>
        <v>9.0017479122159641E-2</v>
      </c>
      <c r="R538" s="5">
        <f>IF(S538="Quarterly",4,IF(S538="Semi-annual",2,IF(S538="Annual",1,IF(S538="Pays at maturity",0,IF(S538="Monthly",12,0)))))</f>
        <v>1</v>
      </c>
      <c r="S538" t="s">
        <v>93</v>
      </c>
      <c r="U538">
        <f>R538*P538</f>
        <v>3</v>
      </c>
      <c r="V538">
        <f>(H538*M538)/AD538</f>
        <v>92.699999999999989</v>
      </c>
      <c r="W538" s="28">
        <f>RATE(U538,V538,-F538,H538)</f>
        <v>8.111336378255439E-2</v>
      </c>
      <c r="X538" s="27">
        <f>W538*AD538</f>
        <v>8.111336378255439E-2</v>
      </c>
      <c r="Y538" s="5">
        <f>DURATION(N538,O538,M538,D538,AD538)</f>
        <v>2.7564560305380277</v>
      </c>
      <c r="Z538" s="5">
        <f>Y538/(1+C538)</f>
        <v>2.5496456920057433</v>
      </c>
      <c r="AA538" s="5">
        <f>-Z538*F538</f>
        <v>-2625.6251336275145</v>
      </c>
      <c r="AB538" t="s">
        <v>64</v>
      </c>
      <c r="AC538" t="s">
        <v>62</v>
      </c>
      <c r="AD538">
        <f>_xlfn.SWITCH(PROPER(TRIM(S538)),
   "Annual",1,
   "Semi-Annual",2,
   "Quarterly",4,
   "Monthly",12,
   "")</f>
        <v>1</v>
      </c>
    </row>
    <row r="539" spans="1:30" x14ac:dyDescent="0.35">
      <c r="C539" s="28"/>
      <c r="D539" s="27"/>
      <c r="I539" s="22"/>
      <c r="K539" s="22"/>
      <c r="M539" s="22"/>
      <c r="N539" s="21"/>
      <c r="O539" s="21"/>
      <c r="P539" s="5"/>
      <c r="Q539" s="6"/>
      <c r="R539" s="5"/>
      <c r="W539" s="28"/>
      <c r="Y539" s="33"/>
      <c r="Z539" s="33"/>
      <c r="AA539" s="33"/>
    </row>
    <row r="540" spans="1:30" x14ac:dyDescent="0.35">
      <c r="A540" t="s">
        <v>1622</v>
      </c>
      <c r="B540" t="s">
        <v>241</v>
      </c>
      <c r="C540" s="36">
        <f>RATE(U540,V540,-F540,H540)</f>
        <v>8.703515502880585E-2</v>
      </c>
      <c r="D540" s="3">
        <f>C540*AD540</f>
        <v>8.703515502880585E-2</v>
      </c>
      <c r="F540">
        <v>1005</v>
      </c>
      <c r="G540" t="s">
        <v>76</v>
      </c>
      <c r="H540">
        <v>1000</v>
      </c>
      <c r="I540" s="22"/>
      <c r="J540">
        <v>1</v>
      </c>
      <c r="K540" s="22"/>
      <c r="L540">
        <v>8.4521835268103906</v>
      </c>
      <c r="M540" s="22">
        <v>8.900000000000001E-2</v>
      </c>
      <c r="N540" s="21">
        <v>45189</v>
      </c>
      <c r="O540" s="21">
        <v>46285</v>
      </c>
      <c r="P540">
        <f>ROUND(YEARFRAC(N540,O540),0)</f>
        <v>3</v>
      </c>
      <c r="Q540" s="6">
        <f>(M540*H540)/F540</f>
        <v>8.8557213930348266E-2</v>
      </c>
      <c r="R540" s="5">
        <f>IF(S540="Quarterly",4,IF(S540="Semi-annual",2,IF(S540="Annual",1,IF(S540="Pays at maturity",0,IF(S540="Monthly",12,0)))))</f>
        <v>1</v>
      </c>
      <c r="S540" t="s">
        <v>93</v>
      </c>
      <c r="U540">
        <f>R540*P540</f>
        <v>3</v>
      </c>
      <c r="V540">
        <f>(H540*M540)/AD540</f>
        <v>89.000000000000014</v>
      </c>
      <c r="W540" s="28">
        <f>RATE(U540,V540,-F540,H540)</f>
        <v>8.703515502880585E-2</v>
      </c>
      <c r="X540" s="27">
        <f>W540*AD540</f>
        <v>8.703515502880585E-2</v>
      </c>
      <c r="Y540" s="5">
        <f>DURATION(N540,O540,M540,D540,AD540)</f>
        <v>2.7621225312151174</v>
      </c>
      <c r="Z540" s="5">
        <f>Y540/(1+C540)</f>
        <v>2.5409689083532196</v>
      </c>
      <c r="AA540" s="5">
        <f>-Z540*F540</f>
        <v>-2553.6737528949857</v>
      </c>
      <c r="AB540" t="s">
        <v>64</v>
      </c>
      <c r="AC540" t="s">
        <v>62</v>
      </c>
      <c r="AD540">
        <f>_xlfn.SWITCH(PROPER(TRIM(S540)),
   "Annual",1,
   "Semi-Annual",2,
   "Quarterly",4,
   "Monthly",12,
   "")</f>
        <v>1</v>
      </c>
    </row>
    <row r="541" spans="1:30" x14ac:dyDescent="0.35">
      <c r="A541" t="s">
        <v>1621</v>
      </c>
      <c r="B541" t="s">
        <v>128</v>
      </c>
      <c r="C541" s="36">
        <f>RATE(U541,V541,-F541,H541)</f>
        <v>9.4096619465316778E-2</v>
      </c>
      <c r="D541" s="3">
        <f>C541*AD541</f>
        <v>9.4096619465316778E-2</v>
      </c>
      <c r="F541">
        <v>980</v>
      </c>
      <c r="G541" t="s">
        <v>76</v>
      </c>
      <c r="H541">
        <v>1000</v>
      </c>
      <c r="I541" s="22"/>
      <c r="J541">
        <v>10</v>
      </c>
      <c r="K541" s="22"/>
      <c r="L541">
        <v>10.779910129189201</v>
      </c>
      <c r="M541" s="22">
        <v>8.8900000000000007E-2</v>
      </c>
      <c r="N541" s="21">
        <v>44463</v>
      </c>
      <c r="O541" s="21">
        <v>46289</v>
      </c>
      <c r="P541">
        <f>ROUND(YEARFRAC(N541,O541),0)</f>
        <v>5</v>
      </c>
      <c r="Q541" s="6">
        <f>(M541*H541)/F541</f>
        <v>9.071428571428572E-2</v>
      </c>
      <c r="R541" s="5">
        <f>IF(S541="Quarterly",4,IF(S541="Semi-annual",2,IF(S541="Annual",1,IF(S541="Pays at maturity",0,IF(S541="Monthly",12,0)))))</f>
        <v>1</v>
      </c>
      <c r="S541" t="s">
        <v>93</v>
      </c>
      <c r="U541">
        <f>R541*P541</f>
        <v>5</v>
      </c>
      <c r="V541">
        <f>(H541*M541)/AD541</f>
        <v>88.9</v>
      </c>
      <c r="W541" s="28">
        <f>RATE(U541,V541,-F541,H541)</f>
        <v>9.4096619465316778E-2</v>
      </c>
      <c r="X541" s="27">
        <f>W541*AD541</f>
        <v>9.4096619465316778E-2</v>
      </c>
      <c r="Y541" s="5">
        <f>DURATION(N541,O541,M541,D541,AD541)</f>
        <v>4.2391693774883281</v>
      </c>
      <c r="Z541" s="5">
        <f>Y541/(1+C541)</f>
        <v>3.8745841108256083</v>
      </c>
      <c r="AA541" s="5">
        <f>-Z541*F541</f>
        <v>-3797.0924286090963</v>
      </c>
      <c r="AB541" t="s">
        <v>64</v>
      </c>
      <c r="AC541" t="s">
        <v>62</v>
      </c>
      <c r="AD541">
        <f>_xlfn.SWITCH(PROPER(TRIM(S541)),
   "Annual",1,
   "Semi-Annual",2,
   "Quarterly",4,
   "Monthly",12,
   "")</f>
        <v>1</v>
      </c>
    </row>
    <row r="542" spans="1:30" x14ac:dyDescent="0.35">
      <c r="A542" t="s">
        <v>1620</v>
      </c>
      <c r="B542" t="s">
        <v>128</v>
      </c>
      <c r="C542" s="36">
        <f>RATE(U542,V542,-F542,H542)</f>
        <v>8.082833779885315E-2</v>
      </c>
      <c r="D542" s="3">
        <f>C542*AD542</f>
        <v>8.082833779885315E-2</v>
      </c>
      <c r="F542">
        <v>1046.5</v>
      </c>
      <c r="G542" t="s">
        <v>76</v>
      </c>
      <c r="H542">
        <v>1000</v>
      </c>
      <c r="I542" s="22"/>
      <c r="J542">
        <v>2</v>
      </c>
      <c r="K542" s="22"/>
      <c r="L542">
        <v>5.0672785253169401</v>
      </c>
      <c r="M542" s="22">
        <v>9.2499999999999999E-2</v>
      </c>
      <c r="N542" s="21">
        <v>44463</v>
      </c>
      <c r="O542" s="21">
        <v>46289</v>
      </c>
      <c r="P542">
        <f>ROUND(YEARFRAC(N542,O542),0)</f>
        <v>5</v>
      </c>
      <c r="Q542" s="6">
        <f>(M542*H542)/F542</f>
        <v>8.8389870998566655E-2</v>
      </c>
      <c r="R542" s="5">
        <f>IF(S542="Quarterly",4,IF(S542="Semi-annual",2,IF(S542="Annual",1,IF(S542="Pays at maturity",0,IF(S542="Monthly",12,0)))))</f>
        <v>1</v>
      </c>
      <c r="S542" t="s">
        <v>93</v>
      </c>
      <c r="U542">
        <f>R542*P542</f>
        <v>5</v>
      </c>
      <c r="V542">
        <f>(H542*M542)/AD542</f>
        <v>92.5</v>
      </c>
      <c r="W542" s="28">
        <f>RATE(U542,V542,-F542,H542)</f>
        <v>8.082833779885315E-2</v>
      </c>
      <c r="X542" s="27">
        <f>W542*AD542</f>
        <v>8.082833779885315E-2</v>
      </c>
      <c r="Y542" s="5">
        <f>DURATION(N542,O542,M542,D542,AD542)</f>
        <v>4.2411078173702883</v>
      </c>
      <c r="Z542" s="5">
        <f>Y542/(1+C542)</f>
        <v>3.9239420998226793</v>
      </c>
      <c r="AA542" s="5">
        <f>-Z542*F542</f>
        <v>-4106.4054074644337</v>
      </c>
      <c r="AB542" t="s">
        <v>64</v>
      </c>
      <c r="AC542" t="s">
        <v>62</v>
      </c>
      <c r="AD542">
        <f>_xlfn.SWITCH(PROPER(TRIM(S542)),
   "Annual",1,
   "Semi-Annual",2,
   "Quarterly",4,
   "Monthly",12,
   "")</f>
        <v>1</v>
      </c>
    </row>
    <row r="543" spans="1:30" x14ac:dyDescent="0.35">
      <c r="A543" t="s">
        <v>1619</v>
      </c>
      <c r="B543" t="s">
        <v>128</v>
      </c>
      <c r="C543" s="36">
        <f>RATE(U543,V543,-F543,H543)</f>
        <v>8.4906875067127963E-2</v>
      </c>
      <c r="D543" s="3">
        <f>C543*AD543</f>
        <v>8.4906875067127963E-2</v>
      </c>
      <c r="F543">
        <v>1013.45</v>
      </c>
      <c r="G543" t="s">
        <v>76</v>
      </c>
      <c r="H543">
        <v>1000</v>
      </c>
      <c r="I543" s="22"/>
      <c r="J543">
        <v>10500</v>
      </c>
      <c r="K543" s="22"/>
      <c r="L543">
        <v>8.1938866370628993</v>
      </c>
      <c r="M543" s="22">
        <v>9.2499999999999999E-2</v>
      </c>
      <c r="N543" s="21">
        <v>45560</v>
      </c>
      <c r="O543" s="21">
        <v>46290</v>
      </c>
      <c r="P543">
        <f>ROUND(YEARFRAC(N543,O543),0)</f>
        <v>2</v>
      </c>
      <c r="Q543" s="6">
        <f>(M543*H543)/F543</f>
        <v>9.1272386402881239E-2</v>
      </c>
      <c r="R543" s="5">
        <f>IF(S543="Quarterly",4,IF(S543="Semi-annual",2,IF(S543="Annual",1,IF(S543="Pays at maturity",0,IF(S543="Monthly",12,0)))))</f>
        <v>1</v>
      </c>
      <c r="S543" t="s">
        <v>93</v>
      </c>
      <c r="U543">
        <f>R543*P543</f>
        <v>2</v>
      </c>
      <c r="V543">
        <f>(H543*M543)/AD543</f>
        <v>92.5</v>
      </c>
      <c r="W543" s="28">
        <f>RATE(U543,V543,-F543,H543)</f>
        <v>8.4906875067127963E-2</v>
      </c>
      <c r="X543" s="27">
        <f>W543*AD543</f>
        <v>8.4906875067127963E-2</v>
      </c>
      <c r="Y543" s="5">
        <f>DURATION(N543,O543,M543,D543,AD543)</f>
        <v>1.9158707641176724</v>
      </c>
      <c r="Z543" s="5">
        <f>Y543/(1+C543)</f>
        <v>1.7659310749589718</v>
      </c>
      <c r="AA543" s="5">
        <f>-Z543*F543</f>
        <v>-1789.6828479171702</v>
      </c>
      <c r="AB543" t="s">
        <v>64</v>
      </c>
      <c r="AC543" t="s">
        <v>62</v>
      </c>
      <c r="AD543">
        <f>_xlfn.SWITCH(PROPER(TRIM(S543)),
   "Annual",1,
   "Semi-Annual",2,
   "Quarterly",4,
   "Monthly",12,
   "")</f>
        <v>1</v>
      </c>
    </row>
    <row r="544" spans="1:30" x14ac:dyDescent="0.35">
      <c r="C544" s="28"/>
      <c r="D544" s="27"/>
      <c r="I544" s="22"/>
      <c r="K544" s="22"/>
      <c r="M544" s="22"/>
      <c r="N544" s="21"/>
      <c r="O544" s="21"/>
      <c r="P544" s="5"/>
      <c r="Q544" s="6"/>
      <c r="R544" s="5"/>
      <c r="W544" s="28"/>
      <c r="Y544" s="33"/>
      <c r="Z544" s="33"/>
      <c r="AA544" s="33"/>
    </row>
    <row r="545" spans="1:30" x14ac:dyDescent="0.35">
      <c r="A545" t="s">
        <v>1617</v>
      </c>
      <c r="B545" t="s">
        <v>591</v>
      </c>
      <c r="C545" s="36">
        <f>RATE(U545,V545,-F545,H545)</f>
        <v>6.1286374101017484E-2</v>
      </c>
      <c r="D545" s="3">
        <f>C545*AD545</f>
        <v>6.1286374101017484E-2</v>
      </c>
      <c r="F545">
        <v>1080</v>
      </c>
      <c r="G545" t="s">
        <v>76</v>
      </c>
      <c r="H545">
        <v>1000</v>
      </c>
      <c r="I545" s="22"/>
      <c r="J545">
        <v>25</v>
      </c>
      <c r="K545" s="22"/>
      <c r="L545">
        <v>3.5210669384981301</v>
      </c>
      <c r="M545" s="22">
        <v>0.105</v>
      </c>
      <c r="N545" s="21">
        <v>45560</v>
      </c>
      <c r="O545" s="21">
        <v>46290</v>
      </c>
      <c r="P545">
        <f>ROUND(YEARFRAC(N545,O545),0)</f>
        <v>2</v>
      </c>
      <c r="Q545" s="6">
        <f>(M545*H545)/F545</f>
        <v>9.7222222222222224E-2</v>
      </c>
      <c r="R545" s="5">
        <f>IF(S545="Quarterly",4,IF(S545="Semi-annual",2,IF(S545="Annual",1,IF(S545="Pays at maturity",0,IF(S545="Monthly",12,0)))))</f>
        <v>1</v>
      </c>
      <c r="S545" t="s">
        <v>93</v>
      </c>
      <c r="U545">
        <f>R545*P545</f>
        <v>2</v>
      </c>
      <c r="V545">
        <f>(H545*M545)/AD545</f>
        <v>105</v>
      </c>
      <c r="W545" s="28">
        <f>RATE(U545,V545,-F545,H545)</f>
        <v>6.1286374101017484E-2</v>
      </c>
      <c r="X545" s="27">
        <f>W545*AD545</f>
        <v>6.1286374101017484E-2</v>
      </c>
      <c r="Y545" s="5">
        <f>DURATION(N545,O545,M545,D545,AD545)</f>
        <v>1.908392094165364</v>
      </c>
      <c r="Z545" s="5">
        <f>Y545/(1+C545)</f>
        <v>1.7981876906522081</v>
      </c>
      <c r="AA545" s="5">
        <f>-Z545*F545</f>
        <v>-1942.0427059043848</v>
      </c>
      <c r="AB545" t="s">
        <v>64</v>
      </c>
      <c r="AC545" t="s">
        <v>62</v>
      </c>
      <c r="AD545">
        <f>_xlfn.SWITCH(PROPER(TRIM(S545)),
   "Annual",1,
   "Semi-Annual",2,
   "Quarterly",4,
   "Monthly",12,
   "")</f>
        <v>1</v>
      </c>
    </row>
    <row r="546" spans="1:30" x14ac:dyDescent="0.35">
      <c r="A546" t="s">
        <v>1616</v>
      </c>
      <c r="B546" t="s">
        <v>225</v>
      </c>
      <c r="C546" s="36">
        <f>RATE(U546,V546,-F546,H546)</f>
        <v>9.2327067126397599E-2</v>
      </c>
      <c r="D546" s="3">
        <f>C546*AD546</f>
        <v>9.2327067126397599E-2</v>
      </c>
      <c r="F546">
        <v>1020000</v>
      </c>
      <c r="G546" t="s">
        <v>76</v>
      </c>
      <c r="H546">
        <v>1000000</v>
      </c>
      <c r="I546" s="22"/>
      <c r="J546">
        <v>1</v>
      </c>
      <c r="K546" s="22"/>
      <c r="L546">
        <v>8.0197132616487394</v>
      </c>
      <c r="M546" s="22">
        <v>9.7500000000000003E-2</v>
      </c>
      <c r="N546" s="21">
        <v>44281</v>
      </c>
      <c r="O546" s="21">
        <v>46290</v>
      </c>
      <c r="P546">
        <f>ROUND(YEARFRAC(N546,O546),0)</f>
        <v>5</v>
      </c>
      <c r="Q546" s="6">
        <f>(M546*H546)/F546</f>
        <v>9.5588235294117641E-2</v>
      </c>
      <c r="R546" s="5">
        <f>IF(S546="Quarterly",4,IF(S546="Semi-annual",2,IF(S546="Annual",1,IF(S546="Pays at maturity",0,IF(S546="Monthly",12,0)))))</f>
        <v>1</v>
      </c>
      <c r="S546" t="s">
        <v>93</v>
      </c>
      <c r="U546">
        <f>R546*P546</f>
        <v>5</v>
      </c>
      <c r="V546">
        <f>(H546*M546)/AD546</f>
        <v>97500</v>
      </c>
      <c r="W546" s="28">
        <f>RATE(U546,V546,-F546,H546)</f>
        <v>9.2327067126397599E-2</v>
      </c>
      <c r="X546" s="27">
        <f>W546*AD546</f>
        <v>9.2327067126397599E-2</v>
      </c>
      <c r="Y546" s="5">
        <f>DURATION(N546,O546,M546,D546,AD546)</f>
        <v>4.3269495621992302</v>
      </c>
      <c r="Z546" s="5">
        <f>Y546/(1+C546)</f>
        <v>3.9612215905097052</v>
      </c>
      <c r="AA546" s="5">
        <f>-Z546*F546</f>
        <v>-4040446.0223198994</v>
      </c>
      <c r="AB546" t="s">
        <v>64</v>
      </c>
      <c r="AC546" t="s">
        <v>62</v>
      </c>
      <c r="AD546">
        <f>_xlfn.SWITCH(PROPER(TRIM(S546)),
   "Annual",1,
   "Semi-Annual",2,
   "Quarterly",4,
   "Monthly",12,
   "")</f>
        <v>1</v>
      </c>
    </row>
    <row r="547" spans="1:30" x14ac:dyDescent="0.35">
      <c r="A547" t="s">
        <v>1615</v>
      </c>
      <c r="B547" t="s">
        <v>128</v>
      </c>
      <c r="C547" s="36">
        <f>RATE(U547,V547,-F547,H547)</f>
        <v>0.10644834612279729</v>
      </c>
      <c r="D547" s="3">
        <f>C547*AD547</f>
        <v>0.10644834612279729</v>
      </c>
      <c r="F547">
        <v>976</v>
      </c>
      <c r="G547" t="s">
        <v>76</v>
      </c>
      <c r="H547">
        <v>1000</v>
      </c>
      <c r="I547" s="22"/>
      <c r="J547">
        <v>10</v>
      </c>
      <c r="K547" s="22"/>
      <c r="L547">
        <v>11.5313285440972</v>
      </c>
      <c r="M547" s="22">
        <v>9.2499999999999999E-2</v>
      </c>
      <c r="N547" s="21">
        <v>45560</v>
      </c>
      <c r="O547" s="21">
        <v>46290</v>
      </c>
      <c r="P547">
        <f>ROUND(YEARFRAC(N547,O547),0)</f>
        <v>2</v>
      </c>
      <c r="Q547" s="6">
        <f>(M547*H547)/F547</f>
        <v>9.4774590163934427E-2</v>
      </c>
      <c r="R547" s="5">
        <f>IF(S547="Quarterly",4,IF(S547="Semi-annual",2,IF(S547="Annual",1,IF(S547="Pays at maturity",0,IF(S547="Monthly",12,0)))))</f>
        <v>1</v>
      </c>
      <c r="S547" t="s">
        <v>93</v>
      </c>
      <c r="U547">
        <f>R547*P547</f>
        <v>2</v>
      </c>
      <c r="V547">
        <f>(H547*M547)/AD547</f>
        <v>92.5</v>
      </c>
      <c r="W547" s="28">
        <f>RATE(U547,V547,-F547,H547)</f>
        <v>0.10644834612279729</v>
      </c>
      <c r="X547" s="27">
        <f>W547*AD547</f>
        <v>0.10644834612279729</v>
      </c>
      <c r="Y547" s="5">
        <f>DURATION(N547,O547,M547,D547,AD547)</f>
        <v>1.9143434119668576</v>
      </c>
      <c r="Z547" s="5">
        <f>Y547/(1+C547)</f>
        <v>1.7301697080347913</v>
      </c>
      <c r="AA547" s="5">
        <f>-Z547*F547</f>
        <v>-1688.6456350419562</v>
      </c>
      <c r="AB547" t="s">
        <v>64</v>
      </c>
      <c r="AC547" t="s">
        <v>62</v>
      </c>
      <c r="AD547">
        <f>_xlfn.SWITCH(PROPER(TRIM(S547)),
   "Annual",1,
   "Semi-Annual",2,
   "Quarterly",4,
   "Monthly",12,
   "")</f>
        <v>1</v>
      </c>
    </row>
    <row r="548" spans="1:30" x14ac:dyDescent="0.35">
      <c r="A548" t="s">
        <v>1614</v>
      </c>
      <c r="B548" t="s">
        <v>128</v>
      </c>
      <c r="C548" s="36">
        <f>RATE(U548,V548,-F548,H548)</f>
        <v>7.9684206776713645E-2</v>
      </c>
      <c r="D548" s="3">
        <f>C548*AD548</f>
        <v>7.9684206776713645E-2</v>
      </c>
      <c r="F548">
        <v>1030</v>
      </c>
      <c r="G548" t="s">
        <v>76</v>
      </c>
      <c r="H548">
        <v>1000</v>
      </c>
      <c r="I548" s="22"/>
      <c r="J548">
        <v>10</v>
      </c>
      <c r="K548" s="22"/>
      <c r="L548">
        <v>6.91937720907341</v>
      </c>
      <c r="M548" s="22">
        <v>9.6500000000000002E-2</v>
      </c>
      <c r="N548" s="21">
        <v>45560</v>
      </c>
      <c r="O548" s="21">
        <v>46290</v>
      </c>
      <c r="P548">
        <f>ROUND(YEARFRAC(N548,O548),0)</f>
        <v>2</v>
      </c>
      <c r="Q548" s="6">
        <f>(M548*H548)/F548</f>
        <v>9.3689320388349512E-2</v>
      </c>
      <c r="R548" s="5">
        <f>IF(S548="Quarterly",4,IF(S548="Semi-annual",2,IF(S548="Annual",1,IF(S548="Pays at maturity",0,IF(S548="Monthly",12,0)))))</f>
        <v>1</v>
      </c>
      <c r="S548" t="s">
        <v>93</v>
      </c>
      <c r="U548">
        <f>R548*P548</f>
        <v>2</v>
      </c>
      <c r="V548">
        <f>(H548*M548)/AD548</f>
        <v>96.5</v>
      </c>
      <c r="W548" s="28">
        <f>RATE(U548,V548,-F548,H548)</f>
        <v>7.9684206776713645E-2</v>
      </c>
      <c r="X548" s="27">
        <f>W548*AD548</f>
        <v>7.9684206776713645E-2</v>
      </c>
      <c r="Y548" s="5">
        <f>DURATION(N548,O548,M548,D548,AD548)</f>
        <v>1.9132252562366832</v>
      </c>
      <c r="Z548" s="5">
        <f>Y548/(1+C548)</f>
        <v>1.7720230084206019</v>
      </c>
      <c r="AA548" s="5">
        <f>-Z548*F548</f>
        <v>-1825.1836986732199</v>
      </c>
      <c r="AB548" t="s">
        <v>64</v>
      </c>
      <c r="AC548" t="s">
        <v>62</v>
      </c>
      <c r="AD548">
        <f>_xlfn.SWITCH(PROPER(TRIM(S548)),
   "Annual",1,
   "Semi-Annual",2,
   "Quarterly",4,
   "Monthly",12,
   "")</f>
        <v>1</v>
      </c>
    </row>
    <row r="549" spans="1:30" x14ac:dyDescent="0.35">
      <c r="C549" s="28"/>
      <c r="D549" s="27"/>
      <c r="I549" s="22"/>
      <c r="K549" s="22"/>
      <c r="M549" s="22"/>
      <c r="N549" s="21"/>
      <c r="O549" s="21"/>
      <c r="P549" s="5"/>
      <c r="Q549" s="6"/>
      <c r="R549" s="5"/>
      <c r="W549" s="28"/>
      <c r="Y549" s="33"/>
      <c r="Z549" s="33"/>
      <c r="AA549" s="33"/>
    </row>
    <row r="550" spans="1:30" x14ac:dyDescent="0.35">
      <c r="C550" s="28"/>
      <c r="D550" s="27"/>
      <c r="I550" s="22"/>
      <c r="K550" s="22"/>
      <c r="M550" s="22"/>
      <c r="N550" s="21"/>
      <c r="O550" s="21"/>
      <c r="P550" s="5"/>
      <c r="Q550" s="6"/>
      <c r="R550" s="5"/>
      <c r="W550" s="28"/>
      <c r="Y550" s="33"/>
      <c r="Z550" s="33"/>
      <c r="AA550" s="33"/>
    </row>
    <row r="551" spans="1:30" x14ac:dyDescent="0.35">
      <c r="C551" s="28"/>
      <c r="D551" s="27"/>
      <c r="I551" s="22"/>
      <c r="K551" s="22"/>
      <c r="M551" s="22"/>
      <c r="N551" s="21"/>
      <c r="O551" s="21"/>
      <c r="P551" s="5"/>
      <c r="Q551" s="6"/>
      <c r="R551" s="5"/>
      <c r="W551" s="28"/>
      <c r="Y551" s="33"/>
      <c r="Z551" s="33"/>
      <c r="AA551" s="33"/>
    </row>
    <row r="552" spans="1:30" x14ac:dyDescent="0.35">
      <c r="A552" t="s">
        <v>1610</v>
      </c>
      <c r="B552" t="s">
        <v>128</v>
      </c>
      <c r="C552" s="36">
        <f t="shared" ref="C552:C559" si="312">RATE(U552,V552,-F552,H552)</f>
        <v>8.3477117645438387E-2</v>
      </c>
      <c r="D552" s="3">
        <f t="shared" ref="D552:D559" si="313">C552*AD552</f>
        <v>8.3477117645438387E-2</v>
      </c>
      <c r="F552">
        <v>1053</v>
      </c>
      <c r="G552" t="s">
        <v>76</v>
      </c>
      <c r="H552">
        <v>1000</v>
      </c>
      <c r="I552" s="22"/>
      <c r="J552">
        <v>482</v>
      </c>
      <c r="K552" s="22"/>
      <c r="L552">
        <v>4.41705868062457</v>
      </c>
      <c r="M552" s="22">
        <v>9.1499999999999998E-2</v>
      </c>
      <c r="N552" s="21">
        <v>42639</v>
      </c>
      <c r="O552" s="21">
        <v>46291</v>
      </c>
      <c r="P552">
        <f t="shared" ref="P552:P559" si="314">ROUND(YEARFRAC(N552,O552),0)</f>
        <v>10</v>
      </c>
      <c r="Q552" s="6">
        <f t="shared" ref="Q552:Q559" si="315">(M552*H552)/F552</f>
        <v>8.68945868945869E-2</v>
      </c>
      <c r="R552" s="5">
        <f t="shared" ref="R552:R559" si="316">IF(S552="Quarterly",4,IF(S552="Semi-annual",2,IF(S552="Annual",1,IF(S552="Pays at maturity",0,IF(S552="Monthly",12,0)))))</f>
        <v>1</v>
      </c>
      <c r="S552" t="s">
        <v>93</v>
      </c>
      <c r="U552">
        <f t="shared" ref="U552:U559" si="317">R552*P552</f>
        <v>10</v>
      </c>
      <c r="V552">
        <f t="shared" ref="V552:V559" si="318">(H552*M552)/AD552</f>
        <v>91.5</v>
      </c>
      <c r="W552" s="28">
        <f t="shared" ref="W552:W559" si="319">RATE(U552,V552,-F552,H552)</f>
        <v>8.3477117645438387E-2</v>
      </c>
      <c r="X552" s="27">
        <f t="shared" ref="X552:X559" si="320">W552*AD552</f>
        <v>8.3477117645438387E-2</v>
      </c>
      <c r="Y552" s="5">
        <f t="shared" ref="Y552:Y559" si="321">DURATION(N552,O552,M552,D552,AD552)</f>
        <v>7.0411966616341273</v>
      </c>
      <c r="Z552" s="5">
        <f t="shared" ref="Z552:Z559" si="322">Y552/(1+C552)</f>
        <v>6.4987036153894291</v>
      </c>
      <c r="AA552" s="5">
        <f t="shared" ref="AA552:AA559" si="323">-Z552*F552</f>
        <v>-6843.1349070050692</v>
      </c>
      <c r="AB552" t="s">
        <v>64</v>
      </c>
      <c r="AC552" t="s">
        <v>62</v>
      </c>
      <c r="AD552">
        <f t="shared" ref="AD552:AD559" si="324">_xlfn.SWITCH(PROPER(TRIM(S552)),
   "Annual",1,
   "Semi-Annual",2,
   "Quarterly",4,
   "Monthly",12,
   "")</f>
        <v>1</v>
      </c>
    </row>
    <row r="553" spans="1:30" x14ac:dyDescent="0.35">
      <c r="A553" t="s">
        <v>1609</v>
      </c>
      <c r="B553" t="s">
        <v>128</v>
      </c>
      <c r="C553" s="36">
        <f t="shared" si="312"/>
        <v>9.3436473632397377E-2</v>
      </c>
      <c r="D553" s="3">
        <f t="shared" si="313"/>
        <v>9.3436473632397377E-2</v>
      </c>
      <c r="F553">
        <v>965</v>
      </c>
      <c r="G553" t="s">
        <v>76</v>
      </c>
      <c r="H553">
        <v>1000</v>
      </c>
      <c r="I553" s="22"/>
      <c r="J553">
        <v>92</v>
      </c>
      <c r="K553" s="22"/>
      <c r="L553">
        <v>12.152105294503</v>
      </c>
      <c r="M553" s="22">
        <v>8.7899999999999992E-2</v>
      </c>
      <c r="N553" s="21">
        <v>42639</v>
      </c>
      <c r="O553" s="21">
        <v>46291</v>
      </c>
      <c r="P553">
        <f t="shared" si="314"/>
        <v>10</v>
      </c>
      <c r="Q553" s="6">
        <f t="shared" si="315"/>
        <v>9.1088082901554401E-2</v>
      </c>
      <c r="R553" s="5">
        <f t="shared" si="316"/>
        <v>1</v>
      </c>
      <c r="S553" t="s">
        <v>93</v>
      </c>
      <c r="U553">
        <f t="shared" si="317"/>
        <v>10</v>
      </c>
      <c r="V553">
        <f t="shared" si="318"/>
        <v>87.899999999999991</v>
      </c>
      <c r="W553" s="28">
        <f t="shared" si="319"/>
        <v>9.3436473632397377E-2</v>
      </c>
      <c r="X553" s="27">
        <f t="shared" si="320"/>
        <v>9.3436473632397377E-2</v>
      </c>
      <c r="Y553" s="5">
        <f t="shared" si="321"/>
        <v>6.9899946590179498</v>
      </c>
      <c r="Z553" s="5">
        <f t="shared" si="322"/>
        <v>6.3926847398799298</v>
      </c>
      <c r="AA553" s="5">
        <f t="shared" si="323"/>
        <v>-6168.9407739841326</v>
      </c>
      <c r="AB553" t="s">
        <v>64</v>
      </c>
      <c r="AC553" t="s">
        <v>62</v>
      </c>
      <c r="AD553">
        <f t="shared" si="324"/>
        <v>1</v>
      </c>
    </row>
    <row r="554" spans="1:30" x14ac:dyDescent="0.35">
      <c r="A554" t="s">
        <v>1608</v>
      </c>
      <c r="B554" t="s">
        <v>184</v>
      </c>
      <c r="C554" s="36">
        <f t="shared" si="312"/>
        <v>2.753716015691194E-2</v>
      </c>
      <c r="D554" s="3">
        <f t="shared" si="313"/>
        <v>0.11014864062764776</v>
      </c>
      <c r="F554">
        <v>97310.7</v>
      </c>
      <c r="G554" t="s">
        <v>76</v>
      </c>
      <c r="H554">
        <v>100000</v>
      </c>
      <c r="I554" s="22"/>
      <c r="J554">
        <v>1</v>
      </c>
      <c r="K554" s="22"/>
      <c r="M554" s="22">
        <v>9.9499999999999991E-2</v>
      </c>
      <c r="N554" s="21">
        <v>45196</v>
      </c>
      <c r="O554" s="21">
        <v>46291</v>
      </c>
      <c r="P554">
        <f t="shared" si="314"/>
        <v>3</v>
      </c>
      <c r="Q554" s="6">
        <f t="shared" si="315"/>
        <v>0.10224980397839087</v>
      </c>
      <c r="R554" s="5">
        <f t="shared" si="316"/>
        <v>4</v>
      </c>
      <c r="S554" t="s">
        <v>105</v>
      </c>
      <c r="U554">
        <f t="shared" si="317"/>
        <v>12</v>
      </c>
      <c r="V554">
        <f t="shared" si="318"/>
        <v>2487.5</v>
      </c>
      <c r="W554" s="28">
        <f t="shared" si="319"/>
        <v>2.753716015691194E-2</v>
      </c>
      <c r="X554" s="27">
        <f t="shared" si="320"/>
        <v>0.11014864062764776</v>
      </c>
      <c r="Y554" s="5">
        <f t="shared" si="321"/>
        <v>2.6212942104758228</v>
      </c>
      <c r="Z554" s="5">
        <f t="shared" si="322"/>
        <v>2.5510456576339617</v>
      </c>
      <c r="AA554" s="5">
        <f t="shared" si="323"/>
        <v>-248244.03867632116</v>
      </c>
      <c r="AB554" t="s">
        <v>64</v>
      </c>
      <c r="AC554" t="s">
        <v>62</v>
      </c>
      <c r="AD554">
        <f t="shared" si="324"/>
        <v>4</v>
      </c>
    </row>
    <row r="555" spans="1:30" x14ac:dyDescent="0.35">
      <c r="A555" t="s">
        <v>1607</v>
      </c>
      <c r="B555" t="s">
        <v>128</v>
      </c>
      <c r="C555" s="36">
        <f t="shared" si="312"/>
        <v>8.2465452296365233E-2</v>
      </c>
      <c r="D555" s="3">
        <f t="shared" si="313"/>
        <v>8.2465452296365233E-2</v>
      </c>
      <c r="F555">
        <v>1050</v>
      </c>
      <c r="G555" t="s">
        <v>76</v>
      </c>
      <c r="H555">
        <v>1000</v>
      </c>
      <c r="I555" s="22"/>
      <c r="J555">
        <v>57</v>
      </c>
      <c r="K555" s="22"/>
      <c r="L555">
        <v>4.5387250027621198</v>
      </c>
      <c r="M555" s="22">
        <v>0.09</v>
      </c>
      <c r="N555" s="21">
        <v>42639</v>
      </c>
      <c r="O555" s="21">
        <v>46291</v>
      </c>
      <c r="P555">
        <f t="shared" si="314"/>
        <v>10</v>
      </c>
      <c r="Q555" s="6">
        <f t="shared" si="315"/>
        <v>8.5714285714285715E-2</v>
      </c>
      <c r="R555" s="5">
        <f t="shared" si="316"/>
        <v>1</v>
      </c>
      <c r="S555" t="s">
        <v>93</v>
      </c>
      <c r="U555">
        <f t="shared" si="317"/>
        <v>10</v>
      </c>
      <c r="V555">
        <f t="shared" si="318"/>
        <v>90</v>
      </c>
      <c r="W555" s="28">
        <f t="shared" si="319"/>
        <v>8.2465452296365233E-2</v>
      </c>
      <c r="X555" s="27">
        <f t="shared" si="320"/>
        <v>8.2465452296365233E-2</v>
      </c>
      <c r="Y555" s="5">
        <f t="shared" si="321"/>
        <v>7.0723815749682943</v>
      </c>
      <c r="Z555" s="5">
        <f t="shared" si="322"/>
        <v>6.5335864160512402</v>
      </c>
      <c r="AA555" s="5">
        <f t="shared" si="323"/>
        <v>-6860.2657368538021</v>
      </c>
      <c r="AB555" t="s">
        <v>64</v>
      </c>
      <c r="AC555" t="s">
        <v>62</v>
      </c>
      <c r="AD555">
        <f t="shared" si="324"/>
        <v>1</v>
      </c>
    </row>
    <row r="556" spans="1:30" x14ac:dyDescent="0.35">
      <c r="A556" t="s">
        <v>1606</v>
      </c>
      <c r="B556" t="s">
        <v>128</v>
      </c>
      <c r="C556" s="36">
        <f t="shared" si="312"/>
        <v>8.8825229365561559E-2</v>
      </c>
      <c r="D556" s="3">
        <f t="shared" si="313"/>
        <v>8.8825229365561559E-2</v>
      </c>
      <c r="F556">
        <v>985</v>
      </c>
      <c r="G556" t="s">
        <v>76</v>
      </c>
      <c r="H556">
        <v>1000</v>
      </c>
      <c r="I556" s="22"/>
      <c r="J556">
        <v>150</v>
      </c>
      <c r="K556" s="22"/>
      <c r="L556">
        <v>10.0713722072385</v>
      </c>
      <c r="M556" s="22">
        <v>8.6500000000000007E-2</v>
      </c>
      <c r="N556" s="21">
        <v>42639</v>
      </c>
      <c r="O556" s="21">
        <v>46291</v>
      </c>
      <c r="P556">
        <f t="shared" si="314"/>
        <v>10</v>
      </c>
      <c r="Q556" s="6">
        <f t="shared" si="315"/>
        <v>8.7817258883248747E-2</v>
      </c>
      <c r="R556" s="5">
        <f t="shared" si="316"/>
        <v>1</v>
      </c>
      <c r="S556" t="s">
        <v>93</v>
      </c>
      <c r="U556">
        <f t="shared" si="317"/>
        <v>10</v>
      </c>
      <c r="V556">
        <f t="shared" si="318"/>
        <v>86.500000000000014</v>
      </c>
      <c r="W556" s="28">
        <f t="shared" si="319"/>
        <v>8.8825229365561559E-2</v>
      </c>
      <c r="X556" s="27">
        <f t="shared" si="320"/>
        <v>8.8825229365561559E-2</v>
      </c>
      <c r="Y556" s="5">
        <f t="shared" si="321"/>
        <v>7.0577571666415704</v>
      </c>
      <c r="Z556" s="5">
        <f t="shared" si="322"/>
        <v>6.4819926800869556</v>
      </c>
      <c r="AA556" s="5">
        <f t="shared" si="323"/>
        <v>-6384.7627898856517</v>
      </c>
      <c r="AB556" t="s">
        <v>64</v>
      </c>
      <c r="AC556" t="s">
        <v>62</v>
      </c>
      <c r="AD556">
        <f t="shared" si="324"/>
        <v>1</v>
      </c>
    </row>
    <row r="557" spans="1:30" x14ac:dyDescent="0.35">
      <c r="A557" t="s">
        <v>1605</v>
      </c>
      <c r="B557" t="s">
        <v>128</v>
      </c>
      <c r="C557" s="36">
        <f t="shared" si="312"/>
        <v>8.2473647337432177E-2</v>
      </c>
      <c r="D557" s="3">
        <f t="shared" si="313"/>
        <v>8.2473647337432177E-2</v>
      </c>
      <c r="F557">
        <v>1039.99</v>
      </c>
      <c r="G557" t="s">
        <v>76</v>
      </c>
      <c r="H557">
        <v>1000</v>
      </c>
      <c r="I557" s="22"/>
      <c r="J557">
        <v>5</v>
      </c>
      <c r="K557" s="22"/>
      <c r="L557">
        <v>5.2532965413798198</v>
      </c>
      <c r="M557" s="22">
        <v>8.8499999999999995E-2</v>
      </c>
      <c r="N557" s="21">
        <v>42639</v>
      </c>
      <c r="O557" s="21">
        <v>46291</v>
      </c>
      <c r="P557">
        <f t="shared" si="314"/>
        <v>10</v>
      </c>
      <c r="Q557" s="6">
        <f t="shared" si="315"/>
        <v>8.5096972086270053E-2</v>
      </c>
      <c r="R557" s="5">
        <f t="shared" si="316"/>
        <v>1</v>
      </c>
      <c r="S557" t="s">
        <v>93</v>
      </c>
      <c r="U557">
        <f t="shared" si="317"/>
        <v>10</v>
      </c>
      <c r="V557">
        <f t="shared" si="318"/>
        <v>88.5</v>
      </c>
      <c r="W557" s="28">
        <f t="shared" si="319"/>
        <v>8.2473647337432177E-2</v>
      </c>
      <c r="X557" s="27">
        <f t="shared" si="320"/>
        <v>8.2473647337432177E-2</v>
      </c>
      <c r="Y557" s="5">
        <f t="shared" si="321"/>
        <v>7.0935388685742566</v>
      </c>
      <c r="Z557" s="5">
        <f t="shared" si="322"/>
        <v>6.5530822722772815</v>
      </c>
      <c r="AA557" s="5">
        <f t="shared" si="323"/>
        <v>-6815.1400323456501</v>
      </c>
      <c r="AB557" t="s">
        <v>64</v>
      </c>
      <c r="AC557" t="s">
        <v>62</v>
      </c>
      <c r="AD557">
        <f t="shared" si="324"/>
        <v>1</v>
      </c>
    </row>
    <row r="558" spans="1:30" x14ac:dyDescent="0.35">
      <c r="A558" t="s">
        <v>1604</v>
      </c>
      <c r="B558" t="s">
        <v>128</v>
      </c>
      <c r="C558" s="36">
        <f t="shared" si="312"/>
        <v>0.24787767605612573</v>
      </c>
      <c r="D558" s="3">
        <f t="shared" si="313"/>
        <v>0.24787767605612573</v>
      </c>
      <c r="F558">
        <v>700.25</v>
      </c>
      <c r="G558" t="s">
        <v>76</v>
      </c>
      <c r="H558">
        <v>1000</v>
      </c>
      <c r="I558" s="22"/>
      <c r="J558">
        <v>50</v>
      </c>
      <c r="K558" s="22"/>
      <c r="L558">
        <v>44.233977620959102</v>
      </c>
      <c r="M558" s="22">
        <v>9.4800000000000009E-2</v>
      </c>
      <c r="N558" s="21">
        <v>45233</v>
      </c>
      <c r="O558" s="21">
        <v>46291</v>
      </c>
      <c r="P558">
        <f t="shared" si="314"/>
        <v>3</v>
      </c>
      <c r="Q558" s="6">
        <f t="shared" si="315"/>
        <v>0.13538022134951805</v>
      </c>
      <c r="R558" s="5">
        <f t="shared" si="316"/>
        <v>1</v>
      </c>
      <c r="S558" t="s">
        <v>93</v>
      </c>
      <c r="U558">
        <f t="shared" si="317"/>
        <v>3</v>
      </c>
      <c r="V558">
        <f t="shared" si="318"/>
        <v>94.800000000000011</v>
      </c>
      <c r="W558" s="28">
        <f t="shared" si="319"/>
        <v>0.24787767605612573</v>
      </c>
      <c r="X558" s="27">
        <f t="shared" si="320"/>
        <v>0.24787767605612573</v>
      </c>
      <c r="Y558" s="5">
        <f t="shared" si="321"/>
        <v>2.5933071630490576</v>
      </c>
      <c r="Z558" s="5">
        <f t="shared" si="322"/>
        <v>2.078174177492393</v>
      </c>
      <c r="AA558" s="5">
        <f t="shared" si="323"/>
        <v>-1455.2414677890481</v>
      </c>
      <c r="AB558" t="s">
        <v>64</v>
      </c>
      <c r="AC558" t="s">
        <v>62</v>
      </c>
      <c r="AD558">
        <f t="shared" si="324"/>
        <v>1</v>
      </c>
    </row>
    <row r="559" spans="1:30" x14ac:dyDescent="0.35">
      <c r="A559" t="s">
        <v>1603</v>
      </c>
      <c r="B559" t="s">
        <v>128</v>
      </c>
      <c r="C559" s="36">
        <f t="shared" si="312"/>
        <v>0.23721975546535015</v>
      </c>
      <c r="D559" s="3">
        <f t="shared" si="313"/>
        <v>0.23721975546535015</v>
      </c>
      <c r="F559">
        <v>725</v>
      </c>
      <c r="G559" t="s">
        <v>76</v>
      </c>
      <c r="H559">
        <v>1000</v>
      </c>
      <c r="I559" s="22"/>
      <c r="J559">
        <v>1</v>
      </c>
      <c r="K559" s="22"/>
      <c r="L559">
        <v>45.4823622671422</v>
      </c>
      <c r="M559" s="22">
        <v>9.9000000000000005E-2</v>
      </c>
      <c r="N559" s="21">
        <v>45233</v>
      </c>
      <c r="O559" s="21">
        <v>46291</v>
      </c>
      <c r="P559">
        <f t="shared" si="314"/>
        <v>3</v>
      </c>
      <c r="Q559" s="6">
        <f t="shared" si="315"/>
        <v>0.13655172413793104</v>
      </c>
      <c r="R559" s="5">
        <f t="shared" si="316"/>
        <v>1</v>
      </c>
      <c r="S559" t="s">
        <v>93</v>
      </c>
      <c r="U559">
        <f t="shared" si="317"/>
        <v>3</v>
      </c>
      <c r="V559">
        <f t="shared" si="318"/>
        <v>99</v>
      </c>
      <c r="W559" s="28">
        <f t="shared" si="319"/>
        <v>0.23721975546535015</v>
      </c>
      <c r="X559" s="27">
        <f t="shared" si="320"/>
        <v>0.23721975546535015</v>
      </c>
      <c r="Y559" s="5">
        <f t="shared" si="321"/>
        <v>2.5872746413333143</v>
      </c>
      <c r="Z559" s="5">
        <f t="shared" si="322"/>
        <v>2.0912005566546856</v>
      </c>
      <c r="AA559" s="5">
        <f t="shared" si="323"/>
        <v>-1516.1204035746471</v>
      </c>
      <c r="AB559" t="s">
        <v>64</v>
      </c>
      <c r="AC559" t="s">
        <v>62</v>
      </c>
      <c r="AD559">
        <f t="shared" si="324"/>
        <v>1</v>
      </c>
    </row>
    <row r="560" spans="1:30" x14ac:dyDescent="0.35">
      <c r="C560" s="28"/>
      <c r="D560" s="27"/>
      <c r="I560" s="22"/>
      <c r="K560" s="22"/>
      <c r="M560" s="22"/>
      <c r="N560" s="21"/>
      <c r="O560" s="21"/>
      <c r="P560" s="5"/>
      <c r="Q560" s="6"/>
      <c r="R560" s="5"/>
      <c r="W560" s="28"/>
      <c r="Y560" s="33"/>
      <c r="Z560" s="33"/>
      <c r="AA560" s="33"/>
    </row>
    <row r="561" spans="1:30" x14ac:dyDescent="0.35">
      <c r="A561" t="s">
        <v>1601</v>
      </c>
      <c r="B561" t="s">
        <v>316</v>
      </c>
      <c r="C561" s="36">
        <f>RATE(U561,V561,-F561,H561)</f>
        <v>9.892162588298567E-2</v>
      </c>
      <c r="D561" s="3">
        <f>C561*AD561</f>
        <v>9.892162588298567E-2</v>
      </c>
      <c r="F561">
        <v>984</v>
      </c>
      <c r="G561" t="s">
        <v>76</v>
      </c>
      <c r="H561">
        <v>1000</v>
      </c>
      <c r="I561" s="22"/>
      <c r="J561">
        <v>520</v>
      </c>
      <c r="K561" s="22"/>
      <c r="L561">
        <v>10.7585207717065</v>
      </c>
      <c r="M561" s="22">
        <v>9.2499999999999999E-2</v>
      </c>
      <c r="N561" s="21">
        <v>45197</v>
      </c>
      <c r="O561" s="21">
        <v>46292</v>
      </c>
      <c r="P561">
        <f>ROUND(YEARFRAC(N561,O561),0)</f>
        <v>3</v>
      </c>
      <c r="Q561" s="6">
        <f>(M561*H561)/F561</f>
        <v>9.4004065040650411E-2</v>
      </c>
      <c r="R561" s="5">
        <f>IF(S561="Quarterly",4,IF(S561="Semi-annual",2,IF(S561="Annual",1,IF(S561="Pays at maturity",0,IF(S561="Monthly",12,0)))))</f>
        <v>1</v>
      </c>
      <c r="S561" t="s">
        <v>93</v>
      </c>
      <c r="U561">
        <f>R561*P561</f>
        <v>3</v>
      </c>
      <c r="V561">
        <f>(H561*M561)/AD561</f>
        <v>92.5</v>
      </c>
      <c r="W561" s="28">
        <f>RATE(U561,V561,-F561,H561)</f>
        <v>9.892162588298567E-2</v>
      </c>
      <c r="X561" s="27">
        <f>W561*AD561</f>
        <v>9.892162588298567E-2</v>
      </c>
      <c r="Y561" s="5">
        <f>DURATION(N561,O561,M561,D561,AD561)</f>
        <v>2.7482961614940593</v>
      </c>
      <c r="Z561" s="5">
        <f>Y561/(1+C561)</f>
        <v>2.5009027912120647</v>
      </c>
      <c r="AA561" s="5">
        <f>-Z561*F561</f>
        <v>-2460.8883465526715</v>
      </c>
      <c r="AB561" t="s">
        <v>64</v>
      </c>
      <c r="AC561" t="s">
        <v>62</v>
      </c>
      <c r="AD561">
        <f>_xlfn.SWITCH(PROPER(TRIM(S561)),
   "Annual",1,
   "Semi-Annual",2,
   "Quarterly",4,
   "Monthly",12,
   "")</f>
        <v>1</v>
      </c>
    </row>
    <row r="562" spans="1:30" x14ac:dyDescent="0.35">
      <c r="A562" t="s">
        <v>1600</v>
      </c>
      <c r="B562" t="s">
        <v>1156</v>
      </c>
      <c r="C562" s="36">
        <f>RATE(U562,V562,-F562,H562)</f>
        <v>6.8695984988940889E-2</v>
      </c>
      <c r="D562" s="3">
        <f>C562*AD562</f>
        <v>0.27478393995576356</v>
      </c>
      <c r="F562">
        <v>76026.05</v>
      </c>
      <c r="G562" t="s">
        <v>76</v>
      </c>
      <c r="H562">
        <v>100000</v>
      </c>
      <c r="I562" s="22"/>
      <c r="J562">
        <v>2</v>
      </c>
      <c r="K562" s="22"/>
      <c r="M562" s="22">
        <v>0.115</v>
      </c>
      <c r="N562" s="21">
        <v>45562</v>
      </c>
      <c r="O562" s="21">
        <v>46292</v>
      </c>
      <c r="P562">
        <f>ROUND(YEARFRAC(N562,O562),0)</f>
        <v>2</v>
      </c>
      <c r="Q562" s="6">
        <f>(M562*H562)/F562</f>
        <v>0.15126394176732844</v>
      </c>
      <c r="R562" s="5">
        <f>IF(S562="Quarterly",4,IF(S562="Semi-annual",2,IF(S562="Annual",1,IF(S562="Pays at maturity",0,IF(S562="Monthly",12,0)))))</f>
        <v>4</v>
      </c>
      <c r="S562" t="s">
        <v>105</v>
      </c>
      <c r="U562">
        <f>R562*P562</f>
        <v>8</v>
      </c>
      <c r="V562">
        <f>(H562*M562)/AD562</f>
        <v>2875</v>
      </c>
      <c r="W562" s="28">
        <f>RATE(U562,V562,-F562,H562)</f>
        <v>6.8695984988940889E-2</v>
      </c>
      <c r="X562" s="27">
        <f>W562*AD562</f>
        <v>0.27478393995576356</v>
      </c>
      <c r="Y562" s="5">
        <f>DURATION(N562,O562,M562,D562,AD562)</f>
        <v>1.7817165081958486</v>
      </c>
      <c r="Z562" s="5">
        <f>Y562/(1+C562)</f>
        <v>1.6671874258180976</v>
      </c>
      <c r="AA562" s="5">
        <f>-Z562*F562</f>
        <v>-126749.67459461799</v>
      </c>
      <c r="AB562" t="s">
        <v>64</v>
      </c>
      <c r="AC562" t="s">
        <v>62</v>
      </c>
      <c r="AD562">
        <f>_xlfn.SWITCH(PROPER(TRIM(S562)),
   "Annual",1,
   "Semi-Annual",2,
   "Quarterly",4,
   "Monthly",12,
   "")</f>
        <v>4</v>
      </c>
    </row>
    <row r="563" spans="1:30" x14ac:dyDescent="0.35">
      <c r="A563" t="s">
        <v>1599</v>
      </c>
      <c r="B563" t="s">
        <v>1598</v>
      </c>
      <c r="C563" s="36">
        <f>RATE(U563,V563,-F563,H563)</f>
        <v>0.51867111633443996</v>
      </c>
      <c r="D563" s="3">
        <f>C563*AD563</f>
        <v>0.51867111633443996</v>
      </c>
      <c r="F563">
        <v>57009</v>
      </c>
      <c r="G563" t="s">
        <v>76</v>
      </c>
      <c r="H563">
        <v>100000</v>
      </c>
      <c r="I563" s="22"/>
      <c r="J563">
        <v>5</v>
      </c>
      <c r="K563" s="22"/>
      <c r="L563">
        <v>85.641590541584407</v>
      </c>
      <c r="M563" s="22">
        <v>0.125</v>
      </c>
      <c r="N563" s="21">
        <v>45562</v>
      </c>
      <c r="O563" s="21">
        <v>46292</v>
      </c>
      <c r="P563">
        <f>ROUND(YEARFRAC(N563,O563),0)</f>
        <v>2</v>
      </c>
      <c r="Q563" s="6">
        <f>(M563*H563)/F563</f>
        <v>0.21926362504166008</v>
      </c>
      <c r="R563" s="5">
        <f>IF(S563="Quarterly",4,IF(S563="Semi-annual",2,IF(S563="Annual",1,IF(S563="Pays at maturity",0,IF(S563="Monthly",12,0)))))</f>
        <v>1</v>
      </c>
      <c r="S563" t="s">
        <v>93</v>
      </c>
      <c r="U563">
        <f>R563*P563</f>
        <v>2</v>
      </c>
      <c r="V563">
        <f>(H563*M563)/AD563</f>
        <v>12500</v>
      </c>
      <c r="W563" s="28">
        <f>RATE(U563,V563,-F563,H563)</f>
        <v>0.51867111633443996</v>
      </c>
      <c r="X563" s="27">
        <f>W563*AD563</f>
        <v>0.51867111633443996</v>
      </c>
      <c r="Y563" s="5">
        <f>DURATION(N563,O563,M563,D563,AD563)</f>
        <v>1.8556213898563576</v>
      </c>
      <c r="Z563" s="5">
        <f>Y563/(1+C563)</f>
        <v>1.2218717863912512</v>
      </c>
      <c r="AA563" s="5">
        <f>-Z563*F563</f>
        <v>-69657.688670378833</v>
      </c>
      <c r="AB563" t="s">
        <v>64</v>
      </c>
      <c r="AC563" t="s">
        <v>62</v>
      </c>
      <c r="AD563">
        <f>_xlfn.SWITCH(PROPER(TRIM(S563)),
   "Annual",1,
   "Semi-Annual",2,
   "Quarterly",4,
   "Monthly",12,
   "")</f>
        <v>1</v>
      </c>
    </row>
    <row r="564" spans="1:30" x14ac:dyDescent="0.35">
      <c r="A564" t="s">
        <v>1597</v>
      </c>
      <c r="B564" t="s">
        <v>1254</v>
      </c>
      <c r="C564" s="36">
        <f>RATE(U564,V564,-F564,H564)</f>
        <v>0.11937497022832465</v>
      </c>
      <c r="D564" s="3">
        <f>C564*AD564</f>
        <v>0.11937497022832465</v>
      </c>
      <c r="F564">
        <v>9926</v>
      </c>
      <c r="G564" t="s">
        <v>76</v>
      </c>
      <c r="H564">
        <v>10000</v>
      </c>
      <c r="I564" s="22"/>
      <c r="J564">
        <v>1</v>
      </c>
      <c r="K564" s="22"/>
      <c r="L564">
        <v>12.2041745278698</v>
      </c>
      <c r="M564" s="22">
        <v>0.115</v>
      </c>
      <c r="N564" s="21">
        <v>45716</v>
      </c>
      <c r="O564" s="21">
        <v>46293</v>
      </c>
      <c r="P564">
        <f>ROUND(YEARFRAC(N564,O564),0)</f>
        <v>2</v>
      </c>
      <c r="Q564" s="6">
        <f>(M564*H564)/F564</f>
        <v>0.1158573443481765</v>
      </c>
      <c r="R564" s="5">
        <f>IF(S564="Quarterly",4,IF(S564="Semi-annual",2,IF(S564="Annual",1,IF(S564="Pays at maturity",0,IF(S564="Monthly",12,0)))))</f>
        <v>1</v>
      </c>
      <c r="S564" t="s">
        <v>93</v>
      </c>
      <c r="U564">
        <f>R564*P564</f>
        <v>2</v>
      </c>
      <c r="V564">
        <f>(H564*M564)/AD564</f>
        <v>1150</v>
      </c>
      <c r="W564" s="28">
        <f>RATE(U564,V564,-F564,H564)</f>
        <v>0.11937497022832465</v>
      </c>
      <c r="X564" s="27">
        <f>W564*AD564</f>
        <v>0.11937497022832465</v>
      </c>
      <c r="Y564" s="5">
        <f>DURATION(N564,O564,M564,D564,AD564)</f>
        <v>1.4798315154174437</v>
      </c>
      <c r="Z564" s="5">
        <f>Y564/(1+C564)</f>
        <v>1.3220159059976078</v>
      </c>
      <c r="AA564" s="5">
        <f>-Z564*F564</f>
        <v>-13122.329882932254</v>
      </c>
      <c r="AB564" t="s">
        <v>64</v>
      </c>
      <c r="AC564" t="s">
        <v>62</v>
      </c>
      <c r="AD564">
        <f>_xlfn.SWITCH(PROPER(TRIM(S564)),
   "Annual",1,
   "Semi-Annual",2,
   "Quarterly",4,
   "Monthly",12,
   "")</f>
        <v>1</v>
      </c>
    </row>
    <row r="565" spans="1:30" x14ac:dyDescent="0.35">
      <c r="A565" t="s">
        <v>1596</v>
      </c>
      <c r="B565" t="s">
        <v>128</v>
      </c>
      <c r="C565" s="36">
        <f>RATE(U565,V565,-F565,H565)</f>
        <v>2.4063464599731233E-2</v>
      </c>
      <c r="D565" s="3">
        <f>C565*AD565</f>
        <v>4.8126929199462466E-2</v>
      </c>
      <c r="F565">
        <v>986.25</v>
      </c>
      <c r="G565" t="s">
        <v>66</v>
      </c>
      <c r="H565">
        <v>1000</v>
      </c>
      <c r="I565" s="22"/>
      <c r="J565">
        <v>1680000</v>
      </c>
      <c r="K565" s="22"/>
      <c r="M565" s="22">
        <v>4.4999999999999998E-2</v>
      </c>
      <c r="N565" s="21">
        <v>44467</v>
      </c>
      <c r="O565" s="21">
        <v>46293</v>
      </c>
      <c r="P565">
        <f>ROUND(YEARFRAC(N565,O565),0)</f>
        <v>5</v>
      </c>
      <c r="Q565" s="6">
        <f>(M565*H565)/F565</f>
        <v>4.5627376425855515E-2</v>
      </c>
      <c r="R565" s="5">
        <f>IF(S565="Quarterly",4,IF(S565="Semi-annual",2,IF(S565="Annual",1,IF(S565="Pays at maturity",0,IF(S565="Monthly",12,0)))))</f>
        <v>2</v>
      </c>
      <c r="S565" t="s">
        <v>65</v>
      </c>
      <c r="U565">
        <f>R565*P565</f>
        <v>10</v>
      </c>
      <c r="V565">
        <f>(H565*M565)/AD565</f>
        <v>22.5</v>
      </c>
      <c r="W565" s="28">
        <f>RATE(U565,V565,-F565,H565)</f>
        <v>2.4063464599731233E-2</v>
      </c>
      <c r="X565" s="27">
        <f>W565*AD565</f>
        <v>4.8126929199462466E-2</v>
      </c>
      <c r="Y565" s="5">
        <f>DURATION(N565,O565,M565,D565,AD565)</f>
        <v>4.5289066620735232</v>
      </c>
      <c r="Z565" s="5">
        <f>Y565/(1+C565)</f>
        <v>4.4224863190912744</v>
      </c>
      <c r="AA565" s="5">
        <f>-Z565*F565</f>
        <v>-4361.6771322037694</v>
      </c>
      <c r="AB565" t="s">
        <v>503</v>
      </c>
      <c r="AC565" t="s">
        <v>62</v>
      </c>
      <c r="AD565">
        <f>_xlfn.SWITCH(PROPER(TRIM(S565)),
   "Annual",1,
   "Semi-Annual",2,
   "Quarterly",4,
   "Monthly",12,
   "")</f>
        <v>2</v>
      </c>
    </row>
    <row r="566" spans="1:30" x14ac:dyDescent="0.35">
      <c r="C566" s="28"/>
      <c r="D566" s="27"/>
      <c r="I566" s="22"/>
      <c r="K566" s="22"/>
      <c r="M566" s="22"/>
      <c r="N566" s="21"/>
      <c r="O566" s="21"/>
      <c r="P566" s="5"/>
      <c r="Q566" s="6"/>
      <c r="R566" s="5"/>
      <c r="W566" s="28"/>
      <c r="Y566" s="33"/>
      <c r="Z566" s="33"/>
      <c r="AA566" s="33"/>
    </row>
    <row r="567" spans="1:30" x14ac:dyDescent="0.35">
      <c r="A567" t="s">
        <v>1594</v>
      </c>
      <c r="B567" t="s">
        <v>230</v>
      </c>
      <c r="C567" s="36">
        <f t="shared" ref="C567:C572" si="325">RATE(U567,V567,-F567,H567)</f>
        <v>7.6714861157282793E-2</v>
      </c>
      <c r="D567" s="3">
        <f t="shared" ref="D567:D572" si="326">C567*AD567</f>
        <v>7.6714861157282793E-2</v>
      </c>
      <c r="F567">
        <v>1053021.8999999999</v>
      </c>
      <c r="G567" t="s">
        <v>76</v>
      </c>
      <c r="H567">
        <v>1000000</v>
      </c>
      <c r="I567" s="22"/>
      <c r="J567">
        <v>10</v>
      </c>
      <c r="K567" s="22"/>
      <c r="L567">
        <v>7.4285929170949396</v>
      </c>
      <c r="M567" s="22">
        <v>8.4499999999999992E-2</v>
      </c>
      <c r="N567" s="21">
        <v>42642</v>
      </c>
      <c r="O567" s="21">
        <v>46294</v>
      </c>
      <c r="P567">
        <f t="shared" ref="P567:P572" si="327">ROUND(YEARFRAC(N567,O567),0)</f>
        <v>10</v>
      </c>
      <c r="Q567" s="6">
        <f t="shared" ref="Q567:Q572" si="328">(M567*H567)/F567</f>
        <v>8.0245244662053086E-2</v>
      </c>
      <c r="R567" s="5">
        <f t="shared" ref="R567:R572" si="329">IF(S567="Quarterly",4,IF(S567="Semi-annual",2,IF(S567="Annual",1,IF(S567="Pays at maturity",0,IF(S567="Monthly",12,0)))))</f>
        <v>1</v>
      </c>
      <c r="S567" t="s">
        <v>93</v>
      </c>
      <c r="U567">
        <f t="shared" ref="U567:U572" si="330">R567*P567</f>
        <v>10</v>
      </c>
      <c r="V567">
        <f t="shared" ref="V567:V572" si="331">(H567*M567)/AD567</f>
        <v>84499.999999999985</v>
      </c>
      <c r="W567" s="28">
        <f t="shared" ref="W567:W572" si="332">RATE(U567,V567,-F567,H567)</f>
        <v>7.6714861157282793E-2</v>
      </c>
      <c r="X567" s="27">
        <f t="shared" ref="X567:X572" si="333">W567*AD567</f>
        <v>7.6714861157282793E-2</v>
      </c>
      <c r="Y567" s="5">
        <f t="shared" ref="Y567:Y572" si="334">DURATION(N567,O567,M567,D567,AD567)</f>
        <v>7.2104062047352908</v>
      </c>
      <c r="Z567" s="5">
        <f t="shared" ref="Z567:Z572" si="335">Y567/(1+C567)</f>
        <v>6.6966719461690607</v>
      </c>
      <c r="AA567" s="5">
        <f t="shared" ref="AA567:AA572" si="336">-Z567*F567</f>
        <v>-7051742.216431641</v>
      </c>
      <c r="AB567" t="s">
        <v>64</v>
      </c>
      <c r="AC567" t="s">
        <v>62</v>
      </c>
      <c r="AD567">
        <f t="shared" ref="AD567:AD572" si="337">_xlfn.SWITCH(PROPER(TRIM(S567)),
   "Annual",1,
   "Semi-Annual",2,
   "Quarterly",4,
   "Monthly",12,
   "")</f>
        <v>1</v>
      </c>
    </row>
    <row r="568" spans="1:30" x14ac:dyDescent="0.35">
      <c r="A568" t="s">
        <v>1593</v>
      </c>
      <c r="B568" t="s">
        <v>338</v>
      </c>
      <c r="C568" s="36">
        <f t="shared" si="325"/>
        <v>0.11923305626581836</v>
      </c>
      <c r="D568" s="3">
        <f t="shared" si="326"/>
        <v>0.11923305626581836</v>
      </c>
      <c r="F568">
        <v>970</v>
      </c>
      <c r="G568" t="s">
        <v>76</v>
      </c>
      <c r="H568">
        <v>1000</v>
      </c>
      <c r="I568" s="22"/>
      <c r="J568">
        <v>10</v>
      </c>
      <c r="K568" s="22"/>
      <c r="L568">
        <v>12.4869748364926</v>
      </c>
      <c r="M568" s="22">
        <v>0.10150000000000001</v>
      </c>
      <c r="N568" s="21">
        <v>45686</v>
      </c>
      <c r="O568" s="21">
        <v>46294</v>
      </c>
      <c r="P568">
        <f t="shared" si="327"/>
        <v>2</v>
      </c>
      <c r="Q568" s="6">
        <f t="shared" si="328"/>
        <v>0.10463917525773196</v>
      </c>
      <c r="R568" s="5">
        <f t="shared" si="329"/>
        <v>1</v>
      </c>
      <c r="S568" t="s">
        <v>93</v>
      </c>
      <c r="U568">
        <f t="shared" si="330"/>
        <v>2</v>
      </c>
      <c r="V568">
        <f t="shared" si="331"/>
        <v>101.5</v>
      </c>
      <c r="W568" s="28">
        <f t="shared" si="332"/>
        <v>0.11923305626581836</v>
      </c>
      <c r="X568" s="27">
        <f t="shared" si="333"/>
        <v>0.11923305626581836</v>
      </c>
      <c r="Y568" s="5">
        <f t="shared" si="334"/>
        <v>1.5731748110858035</v>
      </c>
      <c r="Z568" s="5">
        <f t="shared" si="335"/>
        <v>1.4055828696969559</v>
      </c>
      <c r="AA568" s="5">
        <f t="shared" si="336"/>
        <v>-1363.4153836060473</v>
      </c>
      <c r="AB568" t="s">
        <v>64</v>
      </c>
      <c r="AC568" t="s">
        <v>62</v>
      </c>
      <c r="AD568">
        <f t="shared" si="337"/>
        <v>1</v>
      </c>
    </row>
    <row r="569" spans="1:30" x14ac:dyDescent="0.35">
      <c r="A569" t="s">
        <v>1592</v>
      </c>
      <c r="B569" t="s">
        <v>1591</v>
      </c>
      <c r="C569" s="36">
        <f t="shared" si="325"/>
        <v>0.10885634353732378</v>
      </c>
      <c r="D569" s="3">
        <f t="shared" si="326"/>
        <v>0.10885634353732378</v>
      </c>
      <c r="F569">
        <v>1085500</v>
      </c>
      <c r="G569" t="s">
        <v>76</v>
      </c>
      <c r="H569">
        <v>1000000</v>
      </c>
      <c r="I569" s="22"/>
      <c r="J569">
        <v>1</v>
      </c>
      <c r="K569" s="22"/>
      <c r="L569">
        <v>10.185789536833401</v>
      </c>
      <c r="M569" s="22">
        <v>0.129</v>
      </c>
      <c r="N569" s="21">
        <v>44285</v>
      </c>
      <c r="O569" s="21">
        <v>46295</v>
      </c>
      <c r="P569">
        <f t="shared" si="327"/>
        <v>6</v>
      </c>
      <c r="Q569" s="6">
        <f t="shared" si="328"/>
        <v>0.11883924458774758</v>
      </c>
      <c r="R569" s="5">
        <f t="shared" si="329"/>
        <v>1</v>
      </c>
      <c r="S569" t="s">
        <v>93</v>
      </c>
      <c r="U569">
        <f t="shared" si="330"/>
        <v>6</v>
      </c>
      <c r="V569">
        <f t="shared" si="331"/>
        <v>129000</v>
      </c>
      <c r="W569" s="28">
        <f t="shared" si="332"/>
        <v>0.10885634353732378</v>
      </c>
      <c r="X569" s="27">
        <f t="shared" si="333"/>
        <v>0.10885634353732378</v>
      </c>
      <c r="Y569" s="5">
        <f t="shared" si="334"/>
        <v>4.0879363685078003</v>
      </c>
      <c r="Z569" s="5">
        <f t="shared" si="335"/>
        <v>3.6866239638103324</v>
      </c>
      <c r="AA569" s="5">
        <f t="shared" si="336"/>
        <v>-4001830.3127161157</v>
      </c>
      <c r="AB569" t="s">
        <v>64</v>
      </c>
      <c r="AC569" t="s">
        <v>62</v>
      </c>
      <c r="AD569">
        <f t="shared" si="337"/>
        <v>1</v>
      </c>
    </row>
    <row r="570" spans="1:30" x14ac:dyDescent="0.35">
      <c r="A570" t="s">
        <v>1590</v>
      </c>
      <c r="B570" t="s">
        <v>1589</v>
      </c>
      <c r="C570" s="36">
        <f t="shared" si="325"/>
        <v>7.8814133342893999E-2</v>
      </c>
      <c r="D570" s="3">
        <f t="shared" si="326"/>
        <v>7.8814133342893999E-2</v>
      </c>
      <c r="F570">
        <v>1008000</v>
      </c>
      <c r="G570" t="s">
        <v>76</v>
      </c>
      <c r="H570">
        <v>1000000</v>
      </c>
      <c r="I570" s="22"/>
      <c r="J570">
        <v>1</v>
      </c>
      <c r="K570" s="22"/>
      <c r="L570">
        <v>7.6124782500621402</v>
      </c>
      <c r="M570" s="22">
        <v>0.08</v>
      </c>
      <c r="N570" s="21">
        <v>42643</v>
      </c>
      <c r="O570" s="21">
        <v>46295</v>
      </c>
      <c r="P570">
        <f t="shared" si="327"/>
        <v>10</v>
      </c>
      <c r="Q570" s="6">
        <f t="shared" si="328"/>
        <v>7.9365079365079361E-2</v>
      </c>
      <c r="R570" s="5">
        <f t="shared" si="329"/>
        <v>1</v>
      </c>
      <c r="S570" t="s">
        <v>93</v>
      </c>
      <c r="U570">
        <f t="shared" si="330"/>
        <v>10</v>
      </c>
      <c r="V570">
        <f t="shared" si="331"/>
        <v>80000</v>
      </c>
      <c r="W570" s="28">
        <f t="shared" si="332"/>
        <v>7.8814133342893999E-2</v>
      </c>
      <c r="X570" s="27">
        <f t="shared" si="333"/>
        <v>7.8814133342893999E-2</v>
      </c>
      <c r="Y570" s="5">
        <f t="shared" si="334"/>
        <v>7.25878139770112</v>
      </c>
      <c r="Z570" s="5">
        <f t="shared" si="335"/>
        <v>6.7284819259908266</v>
      </c>
      <c r="AA570" s="5">
        <f t="shared" si="336"/>
        <v>-6782309.7813987536</v>
      </c>
      <c r="AB570" t="s">
        <v>64</v>
      </c>
      <c r="AC570" t="s">
        <v>62</v>
      </c>
      <c r="AD570">
        <f t="shared" si="337"/>
        <v>1</v>
      </c>
    </row>
    <row r="571" spans="1:30" x14ac:dyDescent="0.35">
      <c r="A571" t="s">
        <v>1588</v>
      </c>
      <c r="B571" t="s">
        <v>1587</v>
      </c>
      <c r="C571" s="36">
        <f t="shared" si="325"/>
        <v>0.10549999999999998</v>
      </c>
      <c r="D571" s="3">
        <f t="shared" si="326"/>
        <v>0.10549999999999998</v>
      </c>
      <c r="F571">
        <v>100000</v>
      </c>
      <c r="G571" t="s">
        <v>76</v>
      </c>
      <c r="H571">
        <v>100000</v>
      </c>
      <c r="I571" s="22"/>
      <c r="J571">
        <v>1</v>
      </c>
      <c r="K571" s="22"/>
      <c r="L571">
        <v>10.55</v>
      </c>
      <c r="M571" s="22">
        <v>0.10550000000000001</v>
      </c>
      <c r="N571" s="21">
        <v>45197</v>
      </c>
      <c r="O571" s="21">
        <v>46295</v>
      </c>
      <c r="P571">
        <f t="shared" si="327"/>
        <v>3</v>
      </c>
      <c r="Q571" s="6">
        <f t="shared" si="328"/>
        <v>0.10550000000000002</v>
      </c>
      <c r="R571" s="5">
        <f t="shared" si="329"/>
        <v>1</v>
      </c>
      <c r="S571" t="s">
        <v>93</v>
      </c>
      <c r="U571">
        <f t="shared" si="330"/>
        <v>3</v>
      </c>
      <c r="V571">
        <f t="shared" si="331"/>
        <v>10550.000000000002</v>
      </c>
      <c r="W571" s="28">
        <f t="shared" si="332"/>
        <v>0.10549999999999998</v>
      </c>
      <c r="X571" s="27">
        <f t="shared" si="333"/>
        <v>0.10549999999999998</v>
      </c>
      <c r="Y571" s="5">
        <f t="shared" si="334"/>
        <v>2.4685238592590051</v>
      </c>
      <c r="Z571" s="5">
        <f t="shared" si="335"/>
        <v>2.2329478600262371</v>
      </c>
      <c r="AA571" s="5">
        <f t="shared" si="336"/>
        <v>-223294.7860026237</v>
      </c>
      <c r="AB571" t="s">
        <v>64</v>
      </c>
      <c r="AC571" t="s">
        <v>62</v>
      </c>
      <c r="AD571">
        <f t="shared" si="337"/>
        <v>1</v>
      </c>
    </row>
    <row r="572" spans="1:30" x14ac:dyDescent="0.35">
      <c r="A572" t="s">
        <v>1586</v>
      </c>
      <c r="B572" t="s">
        <v>1585</v>
      </c>
      <c r="C572" s="36">
        <f t="shared" si="325"/>
        <v>7.2003236043913982E-2</v>
      </c>
      <c r="D572" s="3">
        <f t="shared" si="326"/>
        <v>7.2003236043913982E-2</v>
      </c>
      <c r="F572">
        <v>1066088</v>
      </c>
      <c r="G572" t="s">
        <v>76</v>
      </c>
      <c r="H572">
        <v>1000000</v>
      </c>
      <c r="I572" s="22"/>
      <c r="J572">
        <v>2</v>
      </c>
      <c r="K572" s="22"/>
      <c r="L572">
        <v>4.6318877991310297</v>
      </c>
      <c r="M572" s="22">
        <v>8.1500000000000003E-2</v>
      </c>
      <c r="N572" s="21">
        <v>42647</v>
      </c>
      <c r="O572" s="21">
        <v>46296</v>
      </c>
      <c r="P572">
        <f t="shared" si="327"/>
        <v>10</v>
      </c>
      <c r="Q572" s="6">
        <f t="shared" si="328"/>
        <v>7.6447722889667641E-2</v>
      </c>
      <c r="R572" s="5">
        <f t="shared" si="329"/>
        <v>1</v>
      </c>
      <c r="S572" t="s">
        <v>93</v>
      </c>
      <c r="U572">
        <f t="shared" si="330"/>
        <v>10</v>
      </c>
      <c r="V572">
        <f t="shared" si="331"/>
        <v>81500</v>
      </c>
      <c r="W572" s="28">
        <f t="shared" si="332"/>
        <v>7.2003236043913982E-2</v>
      </c>
      <c r="X572" s="27">
        <f t="shared" si="333"/>
        <v>7.2003236043913982E-2</v>
      </c>
      <c r="Y572" s="5">
        <f t="shared" si="334"/>
        <v>7.2949593191960158</v>
      </c>
      <c r="Z572" s="5">
        <f t="shared" si="335"/>
        <v>6.8049788227478656</v>
      </c>
      <c r="AA572" s="5">
        <f t="shared" si="336"/>
        <v>-7254706.2631856268</v>
      </c>
      <c r="AB572" t="s">
        <v>64</v>
      </c>
      <c r="AC572" t="s">
        <v>62</v>
      </c>
      <c r="AD572">
        <f t="shared" si="337"/>
        <v>1</v>
      </c>
    </row>
    <row r="573" spans="1:30" x14ac:dyDescent="0.35">
      <c r="C573" s="28"/>
      <c r="D573" s="27"/>
      <c r="I573" s="22"/>
      <c r="K573" s="22"/>
      <c r="M573" s="22"/>
      <c r="N573" s="21"/>
      <c r="O573" s="21"/>
      <c r="P573" s="5"/>
      <c r="Q573" s="6"/>
      <c r="R573" s="5"/>
      <c r="W573" s="28"/>
      <c r="Y573" s="33"/>
      <c r="Z573" s="33"/>
      <c r="AA573" s="33"/>
    </row>
    <row r="574" spans="1:30" x14ac:dyDescent="0.35">
      <c r="C574" s="28"/>
      <c r="D574" s="27"/>
      <c r="I574" s="22"/>
      <c r="K574" s="22"/>
      <c r="M574" s="22"/>
      <c r="N574" s="21"/>
      <c r="O574" s="21"/>
      <c r="P574" s="5"/>
      <c r="Q574" s="6"/>
      <c r="R574" s="5"/>
      <c r="W574" s="28"/>
      <c r="Y574" s="33"/>
      <c r="Z574" s="33"/>
      <c r="AA574" s="33"/>
    </row>
    <row r="575" spans="1:30" x14ac:dyDescent="0.35">
      <c r="A575" t="s">
        <v>1582</v>
      </c>
      <c r="B575" t="s">
        <v>272</v>
      </c>
      <c r="C575" s="36">
        <f>RATE(U575,V575,-F575,H575)</f>
        <v>5.7654478332841347E-2</v>
      </c>
      <c r="D575" s="3">
        <f>C575*AD575</f>
        <v>5.7654478332841347E-2</v>
      </c>
      <c r="F575">
        <v>1059.99</v>
      </c>
      <c r="G575" t="s">
        <v>76</v>
      </c>
      <c r="H575">
        <v>1000</v>
      </c>
      <c r="I575" s="22"/>
      <c r="J575">
        <v>600</v>
      </c>
      <c r="K575" s="22"/>
      <c r="L575">
        <v>2.9051895868002102</v>
      </c>
      <c r="M575" s="22">
        <v>0.08</v>
      </c>
      <c r="N575" s="21">
        <v>45203</v>
      </c>
      <c r="O575" s="21">
        <v>46299</v>
      </c>
      <c r="P575">
        <f>ROUND(YEARFRAC(N575,O575),0)</f>
        <v>3</v>
      </c>
      <c r="Q575" s="6">
        <f>(M575*H575)/F575</f>
        <v>7.5472410117076574E-2</v>
      </c>
      <c r="R575" s="5">
        <f>IF(S575="Quarterly",4,IF(S575="Semi-annual",2,IF(S575="Annual",1,IF(S575="Pays at maturity",0,IF(S575="Monthly",12,0)))))</f>
        <v>1</v>
      </c>
      <c r="S575" t="s">
        <v>93</v>
      </c>
      <c r="U575">
        <f>R575*P575</f>
        <v>3</v>
      </c>
      <c r="V575">
        <f>(H575*M575)/AD575</f>
        <v>80</v>
      </c>
      <c r="W575" s="28">
        <f>RATE(U575,V575,-F575,H575)</f>
        <v>5.7654478332841347E-2</v>
      </c>
      <c r="X575" s="27">
        <f>W575*AD575</f>
        <v>5.7654478332841347E-2</v>
      </c>
      <c r="Y575" s="5">
        <f>DURATION(N575,O575,M575,D575,AD575)</f>
        <v>2.7898150008476224</v>
      </c>
      <c r="Z575" s="5">
        <f>Y575/(1+C575)</f>
        <v>2.6377376146935521</v>
      </c>
      <c r="AA575" s="5">
        <f>-Z575*F575</f>
        <v>-2795.9754941990182</v>
      </c>
      <c r="AB575" t="s">
        <v>64</v>
      </c>
      <c r="AC575" t="s">
        <v>62</v>
      </c>
      <c r="AD575">
        <f>_xlfn.SWITCH(PROPER(TRIM(S575)),
   "Annual",1,
   "Semi-Annual",2,
   "Quarterly",4,
   "Monthly",12,
   "")</f>
        <v>1</v>
      </c>
    </row>
    <row r="576" spans="1:30" x14ac:dyDescent="0.35">
      <c r="A576" t="s">
        <v>1581</v>
      </c>
      <c r="B576" t="s">
        <v>272</v>
      </c>
      <c r="C576" s="36">
        <f>RATE(U576,V576,-F576,H576)</f>
        <v>7.1765775802691598E-2</v>
      </c>
      <c r="D576" s="3">
        <f>C576*AD576</f>
        <v>7.1765775802691598E-2</v>
      </c>
      <c r="F576">
        <v>1015</v>
      </c>
      <c r="G576" t="s">
        <v>76</v>
      </c>
      <c r="H576">
        <v>1000</v>
      </c>
      <c r="I576" s="22"/>
      <c r="J576">
        <v>2</v>
      </c>
      <c r="K576" s="22"/>
      <c r="L576">
        <v>6.5116995073891601</v>
      </c>
      <c r="M576" s="22">
        <v>7.7499999999999999E-2</v>
      </c>
      <c r="N576" s="21">
        <v>45203</v>
      </c>
      <c r="O576" s="21">
        <v>46299</v>
      </c>
      <c r="P576">
        <f>ROUND(YEARFRAC(N576,O576),0)</f>
        <v>3</v>
      </c>
      <c r="Q576" s="6">
        <f>(M576*H576)/F576</f>
        <v>7.6354679802955669E-2</v>
      </c>
      <c r="R576" s="5">
        <f>IF(S576="Quarterly",4,IF(S576="Semi-annual",2,IF(S576="Annual",1,IF(S576="Pays at maturity",0,IF(S576="Monthly",12,0)))))</f>
        <v>1</v>
      </c>
      <c r="S576" t="s">
        <v>93</v>
      </c>
      <c r="U576">
        <f>R576*P576</f>
        <v>3</v>
      </c>
      <c r="V576">
        <f>(H576*M576)/AD576</f>
        <v>77.5</v>
      </c>
      <c r="W576" s="28">
        <f>RATE(U576,V576,-F576,H576)</f>
        <v>7.1765775802691598E-2</v>
      </c>
      <c r="X576" s="27">
        <f>W576*AD576</f>
        <v>7.1765775802691598E-2</v>
      </c>
      <c r="Y576" s="5">
        <f>DURATION(N576,O576,M576,D576,AD576)</f>
        <v>2.7910445445057142</v>
      </c>
      <c r="Z576" s="5">
        <f>Y576/(1+C576)</f>
        <v>2.6041553178122157</v>
      </c>
      <c r="AA576" s="5">
        <f>-Z576*F576</f>
        <v>-2643.217647579399</v>
      </c>
      <c r="AB576" t="s">
        <v>64</v>
      </c>
      <c r="AC576" t="s">
        <v>62</v>
      </c>
      <c r="AD576">
        <f>_xlfn.SWITCH(PROPER(TRIM(S576)),
   "Annual",1,
   "Semi-Annual",2,
   "Quarterly",4,
   "Monthly",12,
   "")</f>
        <v>1</v>
      </c>
    </row>
    <row r="577" spans="1:30" x14ac:dyDescent="0.35">
      <c r="A577" t="s">
        <v>1580</v>
      </c>
      <c r="B577" t="s">
        <v>499</v>
      </c>
      <c r="C577" s="36">
        <f>RATE(U577,V577,-F577,H577)</f>
        <v>8.8052820045022032E-2</v>
      </c>
      <c r="D577" s="3">
        <f>C577*AD577</f>
        <v>8.8052820045022032E-2</v>
      </c>
      <c r="F577">
        <v>965</v>
      </c>
      <c r="G577" t="s">
        <v>76</v>
      </c>
      <c r="H577">
        <v>1000</v>
      </c>
      <c r="I577" s="22"/>
      <c r="J577">
        <v>400</v>
      </c>
      <c r="K577" s="22"/>
      <c r="L577">
        <v>11.1852302366109</v>
      </c>
      <c r="M577" s="22">
        <v>7.9100000000000004E-2</v>
      </c>
      <c r="N577" s="21">
        <v>44476</v>
      </c>
      <c r="O577" s="21">
        <v>46302</v>
      </c>
      <c r="P577">
        <f>ROUND(YEARFRAC(N577,O577),0)</f>
        <v>5</v>
      </c>
      <c r="Q577" s="6">
        <f>(M577*H577)/F577</f>
        <v>8.1968911917098458E-2</v>
      </c>
      <c r="R577" s="5">
        <f>IF(S577="Quarterly",4,IF(S577="Semi-annual",2,IF(S577="Annual",1,IF(S577="Pays at maturity",0,IF(S577="Monthly",12,0)))))</f>
        <v>1</v>
      </c>
      <c r="S577" t="s">
        <v>93</v>
      </c>
      <c r="U577">
        <f>R577*P577</f>
        <v>5</v>
      </c>
      <c r="V577">
        <f>(H577*M577)/AD577</f>
        <v>79.100000000000009</v>
      </c>
      <c r="W577" s="28">
        <f>RATE(U577,V577,-F577,H577)</f>
        <v>8.8052820045022032E-2</v>
      </c>
      <c r="X577" s="27">
        <f>W577*AD577</f>
        <v>8.8052820045022032E-2</v>
      </c>
      <c r="Y577" s="5">
        <f>DURATION(N577,O577,M577,D577,AD577)</f>
        <v>4.3051855143205398</v>
      </c>
      <c r="Z577" s="5">
        <f>Y577/(1+C577)</f>
        <v>3.95677988697497</v>
      </c>
      <c r="AA577" s="5">
        <f>-Z577*F577</f>
        <v>-3818.292590930846</v>
      </c>
      <c r="AB577" t="s">
        <v>64</v>
      </c>
      <c r="AC577" t="s">
        <v>62</v>
      </c>
      <c r="AD577">
        <f>_xlfn.SWITCH(PROPER(TRIM(S577)),
   "Annual",1,
   "Semi-Annual",2,
   "Quarterly",4,
   "Monthly",12,
   "")</f>
        <v>1</v>
      </c>
    </row>
    <row r="578" spans="1:30" x14ac:dyDescent="0.35">
      <c r="A578" t="s">
        <v>1579</v>
      </c>
      <c r="B578" t="s">
        <v>499</v>
      </c>
      <c r="C578" s="36">
        <f>RATE(U578,V578,-F578,H578)</f>
        <v>7.2905725149837966E-2</v>
      </c>
      <c r="D578" s="3">
        <f>C578*AD578</f>
        <v>7.2905725149837966E-2</v>
      </c>
      <c r="F578">
        <v>1037</v>
      </c>
      <c r="G578" t="s">
        <v>76</v>
      </c>
      <c r="H578">
        <v>1000</v>
      </c>
      <c r="I578" s="22"/>
      <c r="J578">
        <v>300</v>
      </c>
      <c r="K578" s="22"/>
      <c r="L578">
        <v>5.0388914141521397</v>
      </c>
      <c r="M578" s="22">
        <v>8.199999999999999E-2</v>
      </c>
      <c r="N578" s="21">
        <v>44476</v>
      </c>
      <c r="O578" s="21">
        <v>46302</v>
      </c>
      <c r="P578">
        <f>ROUND(YEARFRAC(N578,O578),0)</f>
        <v>5</v>
      </c>
      <c r="Q578" s="6">
        <f>(M578*H578)/F578</f>
        <v>7.9074252651880408E-2</v>
      </c>
      <c r="R578" s="5">
        <f>IF(S578="Quarterly",4,IF(S578="Semi-annual",2,IF(S578="Annual",1,IF(S578="Pays at maturity",0,IF(S578="Monthly",12,0)))))</f>
        <v>1</v>
      </c>
      <c r="S578" t="s">
        <v>93</v>
      </c>
      <c r="U578">
        <f>R578*P578</f>
        <v>5</v>
      </c>
      <c r="V578">
        <f>(H578*M578)/AD578</f>
        <v>81.999999999999986</v>
      </c>
      <c r="W578" s="28">
        <f>RATE(U578,V578,-F578,H578)</f>
        <v>7.2905725149837966E-2</v>
      </c>
      <c r="X578" s="27">
        <f>W578*AD578</f>
        <v>7.2905725149837966E-2</v>
      </c>
      <c r="Y578" s="5">
        <f>DURATION(N578,O578,M578,D578,AD578)</f>
        <v>4.3113923901122106</v>
      </c>
      <c r="Z578" s="5">
        <f>Y578/(1+C578)</f>
        <v>4.0184261198812203</v>
      </c>
      <c r="AA578" s="5">
        <f>-Z578*F578</f>
        <v>-4167.1078863168259</v>
      </c>
      <c r="AB578" t="s">
        <v>64</v>
      </c>
      <c r="AC578" t="s">
        <v>62</v>
      </c>
      <c r="AD578">
        <f>_xlfn.SWITCH(PROPER(TRIM(S578)),
   "Annual",1,
   "Semi-Annual",2,
   "Quarterly",4,
   "Monthly",12,
   "")</f>
        <v>1</v>
      </c>
    </row>
    <row r="579" spans="1:30" x14ac:dyDescent="0.35">
      <c r="C579" s="28"/>
      <c r="D579" s="27"/>
      <c r="I579" s="22"/>
      <c r="K579" s="22"/>
      <c r="M579" s="22"/>
      <c r="N579" s="21"/>
      <c r="O579" s="21"/>
      <c r="P579" s="5"/>
      <c r="Q579" s="6"/>
      <c r="R579" s="5"/>
      <c r="W579" s="28"/>
      <c r="Y579" s="33"/>
      <c r="Z579" s="33"/>
      <c r="AA579" s="33"/>
    </row>
    <row r="580" spans="1:30" x14ac:dyDescent="0.35">
      <c r="A580" t="s">
        <v>1577</v>
      </c>
      <c r="B580" t="s">
        <v>225</v>
      </c>
      <c r="C580" s="36">
        <f>RATE(U580,V580,-F580,H580)</f>
        <v>9.1895473545245021E-2</v>
      </c>
      <c r="D580" s="3">
        <f>C580*AD580</f>
        <v>9.1895473545245021E-2</v>
      </c>
      <c r="F580">
        <v>1025000</v>
      </c>
      <c r="G580" t="s">
        <v>76</v>
      </c>
      <c r="H580">
        <v>1000000</v>
      </c>
      <c r="I580" s="22"/>
      <c r="J580">
        <v>2</v>
      </c>
      <c r="K580" s="22"/>
      <c r="L580">
        <v>8.1794946691981902</v>
      </c>
      <c r="M580" s="22">
        <v>9.7500000000000003E-2</v>
      </c>
      <c r="N580" s="21">
        <v>44263</v>
      </c>
      <c r="O580" s="21">
        <v>46303</v>
      </c>
      <c r="P580">
        <f>ROUND(YEARFRAC(N580,O580),0)</f>
        <v>6</v>
      </c>
      <c r="Q580" s="6">
        <f>(M580*H580)/F580</f>
        <v>9.5121951219512196E-2</v>
      </c>
      <c r="R580" s="5">
        <f>IF(S580="Quarterly",4,IF(S580="Semi-annual",2,IF(S580="Annual",1,IF(S580="Pays at maturity",0,IF(S580="Monthly",12,0)))))</f>
        <v>1</v>
      </c>
      <c r="S580" t="s">
        <v>93</v>
      </c>
      <c r="U580">
        <f>R580*P580</f>
        <v>6</v>
      </c>
      <c r="V580">
        <f>(H580*M580)/AD580</f>
        <v>97500</v>
      </c>
      <c r="W580" s="28">
        <f>RATE(U580,V580,-F580,H580)</f>
        <v>9.1895473545245021E-2</v>
      </c>
      <c r="X580" s="27">
        <f>W580*AD580</f>
        <v>9.1895473545245021E-2</v>
      </c>
      <c r="Y580" s="5">
        <f>DURATION(N580,O580,M580,D580,AD580)</f>
        <v>4.4142761195245912</v>
      </c>
      <c r="Z580" s="5">
        <f>Y580/(1+C580)</f>
        <v>4.0427643730328882</v>
      </c>
      <c r="AA580" s="5">
        <f>-Z580*F580</f>
        <v>-4143833.4823587104</v>
      </c>
      <c r="AB580" t="s">
        <v>64</v>
      </c>
      <c r="AC580" t="s">
        <v>62</v>
      </c>
      <c r="AD580">
        <f>_xlfn.SWITCH(PROPER(TRIM(S580)),
   "Annual",1,
   "Semi-Annual",2,
   "Quarterly",4,
   "Monthly",12,
   "")</f>
        <v>1</v>
      </c>
    </row>
    <row r="581" spans="1:30" x14ac:dyDescent="0.35">
      <c r="A581" t="s">
        <v>1576</v>
      </c>
      <c r="B581" t="s">
        <v>119</v>
      </c>
      <c r="C581" s="36">
        <f>RATE(U581,V581,-F581,H581)</f>
        <v>7.5385720043833634E-2</v>
      </c>
      <c r="D581" s="3">
        <f>C581*AD581</f>
        <v>7.5385720043833634E-2</v>
      </c>
      <c r="F581">
        <v>1035.2</v>
      </c>
      <c r="G581" t="s">
        <v>76</v>
      </c>
      <c r="H581">
        <v>1000</v>
      </c>
      <c r="I581" s="22"/>
      <c r="J581">
        <v>4</v>
      </c>
      <c r="K581" s="22"/>
      <c r="L581">
        <v>6.37536154015232</v>
      </c>
      <c r="M581" s="22">
        <v>9.5000000000000001E-2</v>
      </c>
      <c r="N581" s="21">
        <v>45573</v>
      </c>
      <c r="O581" s="21">
        <v>46303</v>
      </c>
      <c r="P581">
        <f>ROUND(YEARFRAC(N581,O581),0)</f>
        <v>2</v>
      </c>
      <c r="Q581" s="6">
        <f>(M581*H581)/F581</f>
        <v>9.1769706336939719E-2</v>
      </c>
      <c r="R581" s="5">
        <f>IF(S581="Quarterly",4,IF(S581="Semi-annual",2,IF(S581="Annual",1,IF(S581="Pays at maturity",0,IF(S581="Monthly",12,0)))))</f>
        <v>1</v>
      </c>
      <c r="S581" t="s">
        <v>93</v>
      </c>
      <c r="U581">
        <f>R581*P581</f>
        <v>2</v>
      </c>
      <c r="V581">
        <f>(H581*M581)/AD581</f>
        <v>95</v>
      </c>
      <c r="W581" s="28">
        <f>RATE(U581,V581,-F581,H581)</f>
        <v>7.5385720043833634E-2</v>
      </c>
      <c r="X581" s="27">
        <f>W581*AD581</f>
        <v>7.5385720043833634E-2</v>
      </c>
      <c r="Y581" s="5">
        <f>DURATION(N581,O581,M581,D581,AD581)</f>
        <v>1.9146634508656117</v>
      </c>
      <c r="Z581" s="5">
        <f>Y581/(1+C581)</f>
        <v>1.7804434401338045</v>
      </c>
      <c r="AA581" s="5">
        <f>-Z581*F581</f>
        <v>-1843.1150492265144</v>
      </c>
      <c r="AB581" t="s">
        <v>64</v>
      </c>
      <c r="AC581" t="s">
        <v>62</v>
      </c>
      <c r="AD581">
        <f>_xlfn.SWITCH(PROPER(TRIM(S581)),
   "Annual",1,
   "Semi-Annual",2,
   "Quarterly",4,
   "Monthly",12,
   "")</f>
        <v>1</v>
      </c>
    </row>
    <row r="582" spans="1:30" x14ac:dyDescent="0.35">
      <c r="C582" s="28"/>
      <c r="D582" s="27"/>
      <c r="I582" s="22"/>
      <c r="K582" s="22"/>
      <c r="M582" s="22"/>
      <c r="N582" s="21"/>
      <c r="O582" s="21"/>
      <c r="P582" s="5"/>
      <c r="Q582" s="6"/>
      <c r="R582" s="5"/>
      <c r="W582" s="28"/>
      <c r="Y582" s="33"/>
      <c r="Z582" s="33"/>
      <c r="AA582" s="33"/>
    </row>
    <row r="583" spans="1:30" x14ac:dyDescent="0.35">
      <c r="A583" t="s">
        <v>1574</v>
      </c>
      <c r="B583" t="s">
        <v>216</v>
      </c>
      <c r="C583" s="36">
        <f>RATE(U583,V583,-F583,H583)</f>
        <v>6.1251191904075165E-2</v>
      </c>
      <c r="D583" s="3">
        <f>C583*AD583</f>
        <v>6.1251191904075165E-2</v>
      </c>
      <c r="F583">
        <v>1050</v>
      </c>
      <c r="G583" t="s">
        <v>76</v>
      </c>
      <c r="H583">
        <v>1000</v>
      </c>
      <c r="I583" s="22"/>
      <c r="J583">
        <v>1</v>
      </c>
      <c r="K583" s="22"/>
      <c r="L583">
        <v>3.8157757632593499</v>
      </c>
      <c r="M583" s="22">
        <v>0.08</v>
      </c>
      <c r="N583" s="21">
        <v>45208</v>
      </c>
      <c r="O583" s="21">
        <v>46304</v>
      </c>
      <c r="P583">
        <f>ROUND(YEARFRAC(N583,O583),0)</f>
        <v>3</v>
      </c>
      <c r="Q583" s="6">
        <f>(M583*H583)/F583</f>
        <v>7.6190476190476197E-2</v>
      </c>
      <c r="R583" s="5">
        <f>IF(S583="Quarterly",4,IF(S583="Semi-annual",2,IF(S583="Annual",1,IF(S583="Pays at maturity",0,IF(S583="Monthly",12,0)))))</f>
        <v>1</v>
      </c>
      <c r="S583" t="s">
        <v>93</v>
      </c>
      <c r="U583">
        <f>R583*P583</f>
        <v>3</v>
      </c>
      <c r="V583">
        <f>(H583*M583)/AD583</f>
        <v>80</v>
      </c>
      <c r="W583" s="28">
        <f>RATE(U583,V583,-F583,H583)</f>
        <v>6.1251191904075165E-2</v>
      </c>
      <c r="X583" s="27">
        <f>W583*AD583</f>
        <v>6.1251191904075165E-2</v>
      </c>
      <c r="Y583" s="5">
        <f>DURATION(N583,O583,M583,D583,AD583)</f>
        <v>2.7887644136845258</v>
      </c>
      <c r="Z583" s="5">
        <f>Y583/(1+C583)</f>
        <v>2.6278080391890835</v>
      </c>
      <c r="AA583" s="5">
        <f>-Z583*F583</f>
        <v>-2759.1984411485378</v>
      </c>
      <c r="AB583" t="s">
        <v>64</v>
      </c>
      <c r="AC583" t="s">
        <v>62</v>
      </c>
      <c r="AD583">
        <f>_xlfn.SWITCH(PROPER(TRIM(S583)),
   "Annual",1,
   "Semi-Annual",2,
   "Quarterly",4,
   "Monthly",12,
   "")</f>
        <v>1</v>
      </c>
    </row>
    <row r="584" spans="1:30" x14ac:dyDescent="0.35">
      <c r="A584" t="s">
        <v>1573</v>
      </c>
      <c r="B584" t="s">
        <v>483</v>
      </c>
      <c r="C584" s="36">
        <f>RATE(U584,V584,-F584,H584)</f>
        <v>8.1564829603578262E-2</v>
      </c>
      <c r="D584" s="3">
        <f>C584*AD584</f>
        <v>8.1564829603578262E-2</v>
      </c>
      <c r="F584">
        <v>1023.6</v>
      </c>
      <c r="G584" t="s">
        <v>76</v>
      </c>
      <c r="H584">
        <v>1000</v>
      </c>
      <c r="I584" s="22"/>
      <c r="J584">
        <v>1</v>
      </c>
      <c r="K584" s="22"/>
      <c r="L584">
        <v>6.7840269431766602</v>
      </c>
      <c r="M584" s="22">
        <v>8.7499999999999994E-2</v>
      </c>
      <c r="N584" s="21">
        <v>44483</v>
      </c>
      <c r="O584" s="21">
        <v>46309</v>
      </c>
      <c r="P584">
        <f>ROUND(YEARFRAC(N584,O584),0)</f>
        <v>5</v>
      </c>
      <c r="Q584" s="6">
        <f>(M584*H584)/F584</f>
        <v>8.5482610394685424E-2</v>
      </c>
      <c r="R584" s="5">
        <f>IF(S584="Quarterly",4,IF(S584="Semi-annual",2,IF(S584="Annual",1,IF(S584="Pays at maturity",0,IF(S584="Monthly",12,0)))))</f>
        <v>1</v>
      </c>
      <c r="S584" t="s">
        <v>93</v>
      </c>
      <c r="U584">
        <f>R584*P584</f>
        <v>5</v>
      </c>
      <c r="V584">
        <f>(H584*M584)/AD584</f>
        <v>87.5</v>
      </c>
      <c r="W584" s="28">
        <f>RATE(U584,V584,-F584,H584)</f>
        <v>8.1564829603578262E-2</v>
      </c>
      <c r="X584" s="27">
        <f>W584*AD584</f>
        <v>8.1564829603578262E-2</v>
      </c>
      <c r="Y584" s="5">
        <f>DURATION(N584,O584,M584,D584,AD584)</f>
        <v>4.2670299579279609</v>
      </c>
      <c r="Z584" s="5">
        <f>Y584/(1+C584)</f>
        <v>3.9452373460515897</v>
      </c>
      <c r="AA584" s="5">
        <f>-Z584*F584</f>
        <v>-4038.3449474184072</v>
      </c>
      <c r="AB584" t="s">
        <v>64</v>
      </c>
      <c r="AC584" t="s">
        <v>62</v>
      </c>
      <c r="AD584">
        <f>_xlfn.SWITCH(PROPER(TRIM(S584)),
   "Annual",1,
   "Semi-Annual",2,
   "Quarterly",4,
   "Monthly",12,
   "")</f>
        <v>1</v>
      </c>
    </row>
    <row r="585" spans="1:30" x14ac:dyDescent="0.35">
      <c r="A585" t="s">
        <v>1572</v>
      </c>
      <c r="B585" t="s">
        <v>483</v>
      </c>
      <c r="C585" s="36">
        <f>RATE(U585,V585,-F585,H585)</f>
        <v>8.9853889966290457E-2</v>
      </c>
      <c r="D585" s="3">
        <f>C585*AD585</f>
        <v>8.9853889966290457E-2</v>
      </c>
      <c r="F585">
        <v>978</v>
      </c>
      <c r="G585" t="s">
        <v>76</v>
      </c>
      <c r="H585">
        <v>1000</v>
      </c>
      <c r="I585" s="22"/>
      <c r="J585">
        <v>9</v>
      </c>
      <c r="K585" s="22"/>
      <c r="L585">
        <v>10.4380559388962</v>
      </c>
      <c r="M585" s="22">
        <v>8.4199999999999997E-2</v>
      </c>
      <c r="N585" s="21">
        <v>44483</v>
      </c>
      <c r="O585" s="21">
        <v>46309</v>
      </c>
      <c r="P585">
        <f>ROUND(YEARFRAC(N585,O585),0)</f>
        <v>5</v>
      </c>
      <c r="Q585" s="6">
        <f>(M585*H585)/F585</f>
        <v>8.6094069529652359E-2</v>
      </c>
      <c r="R585" s="5">
        <f>IF(S585="Quarterly",4,IF(S585="Semi-annual",2,IF(S585="Annual",1,IF(S585="Pays at maturity",0,IF(S585="Monthly",12,0)))))</f>
        <v>1</v>
      </c>
      <c r="S585" t="s">
        <v>93</v>
      </c>
      <c r="U585">
        <f>R585*P585</f>
        <v>5</v>
      </c>
      <c r="V585">
        <f>(H585*M585)/AD585</f>
        <v>84.2</v>
      </c>
      <c r="W585" s="28">
        <f>RATE(U585,V585,-F585,H585)</f>
        <v>8.9853889966290457E-2</v>
      </c>
      <c r="X585" s="27">
        <f>W585*AD585</f>
        <v>8.9853889966290457E-2</v>
      </c>
      <c r="Y585" s="5">
        <f>DURATION(N585,O585,M585,D585,AD585)</f>
        <v>4.272528601877104</v>
      </c>
      <c r="Z585" s="5">
        <f>Y585/(1+C585)</f>
        <v>3.920276507898921</v>
      </c>
      <c r="AA585" s="5">
        <f>-Z585*F585</f>
        <v>-3834.0304247251447</v>
      </c>
      <c r="AB585" t="s">
        <v>64</v>
      </c>
      <c r="AC585" t="s">
        <v>62</v>
      </c>
      <c r="AD585">
        <f>_xlfn.SWITCH(PROPER(TRIM(S585)),
   "Annual",1,
   "Semi-Annual",2,
   "Quarterly",4,
   "Monthly",12,
   "")</f>
        <v>1</v>
      </c>
    </row>
    <row r="586" spans="1:30" x14ac:dyDescent="0.35">
      <c r="C586" s="28"/>
      <c r="D586" s="27"/>
      <c r="I586" s="22"/>
      <c r="K586" s="22"/>
      <c r="M586" s="22"/>
      <c r="N586" s="21"/>
      <c r="O586" s="21"/>
      <c r="P586" s="5"/>
      <c r="Q586" s="6"/>
      <c r="R586" s="5"/>
      <c r="W586" s="28"/>
      <c r="Y586" s="33"/>
      <c r="Z586" s="33"/>
      <c r="AA586" s="33"/>
    </row>
    <row r="587" spans="1:30" x14ac:dyDescent="0.35">
      <c r="C587" s="28"/>
      <c r="D587" s="27"/>
      <c r="I587" s="22"/>
      <c r="K587" s="22"/>
      <c r="M587" s="22"/>
      <c r="N587" s="21"/>
      <c r="O587" s="21"/>
      <c r="P587" s="5"/>
      <c r="Q587" s="6"/>
      <c r="R587" s="5"/>
      <c r="W587" s="28"/>
      <c r="Y587" s="33"/>
      <c r="Z587" s="33"/>
      <c r="AA587" s="33"/>
    </row>
    <row r="588" spans="1:30" x14ac:dyDescent="0.35">
      <c r="A588" t="s">
        <v>1569</v>
      </c>
      <c r="B588" t="s">
        <v>94</v>
      </c>
      <c r="C588" s="36">
        <f>RATE(U588,V588,-F588,H588)</f>
        <v>7.4673557972646909E-2</v>
      </c>
      <c r="D588" s="3">
        <f>C588*AD588</f>
        <v>7.4673557972646909E-2</v>
      </c>
      <c r="F588">
        <v>102500</v>
      </c>
      <c r="G588" t="s">
        <v>76</v>
      </c>
      <c r="H588">
        <v>100000</v>
      </c>
      <c r="I588" s="22"/>
      <c r="J588">
        <v>10</v>
      </c>
      <c r="K588" s="22"/>
      <c r="L588">
        <v>6.14564349141106</v>
      </c>
      <c r="M588" s="22">
        <v>7.7499999999999999E-2</v>
      </c>
      <c r="N588" s="21">
        <v>40831</v>
      </c>
      <c r="O588" s="21">
        <v>46310</v>
      </c>
      <c r="P588">
        <f>ROUND(YEARFRAC(N588,O588),0)</f>
        <v>15</v>
      </c>
      <c r="Q588" s="6">
        <f>(M588*H588)/F588</f>
        <v>7.5609756097560973E-2</v>
      </c>
      <c r="R588" s="5">
        <f>IF(S588="Quarterly",4,IF(S588="Semi-annual",2,IF(S588="Annual",1,IF(S588="Pays at maturity",0,IF(S588="Monthly",12,0)))))</f>
        <v>1</v>
      </c>
      <c r="S588" t="s">
        <v>93</v>
      </c>
      <c r="U588">
        <f>R588*P588</f>
        <v>15</v>
      </c>
      <c r="V588">
        <f>(H588*M588)/AD588</f>
        <v>7750</v>
      </c>
      <c r="W588" s="28">
        <f>RATE(U588,V588,-F588,H588)</f>
        <v>7.4673557972646909E-2</v>
      </c>
      <c r="X588" s="27">
        <f>W588*AD588</f>
        <v>7.4673557972646909E-2</v>
      </c>
      <c r="Y588" s="5">
        <f>DURATION(N588,O588,M588,D588,AD588)</f>
        <v>9.4366480630358467</v>
      </c>
      <c r="Z588" s="5">
        <f>Y588/(1+C588)</f>
        <v>8.7809437508055179</v>
      </c>
      <c r="AA588" s="5">
        <f>-Z588*F588</f>
        <v>-900046.73445756559</v>
      </c>
      <c r="AB588" t="s">
        <v>64</v>
      </c>
      <c r="AC588" t="s">
        <v>62</v>
      </c>
      <c r="AD588">
        <f>_xlfn.SWITCH(PROPER(TRIM(S588)),
   "Annual",1,
   "Semi-Annual",2,
   "Quarterly",4,
   "Monthly",12,
   "")</f>
        <v>1</v>
      </c>
    </row>
    <row r="589" spans="1:30" x14ac:dyDescent="0.35">
      <c r="C589" s="28"/>
      <c r="D589" s="27"/>
      <c r="I589" s="22"/>
      <c r="K589" s="22"/>
      <c r="M589" s="22"/>
      <c r="N589" s="21"/>
      <c r="O589" s="21"/>
      <c r="P589" s="5"/>
      <c r="Q589" s="6"/>
      <c r="R589" s="5"/>
      <c r="W589" s="28"/>
      <c r="Y589" s="33"/>
      <c r="Z589" s="33"/>
      <c r="AA589" s="33"/>
    </row>
    <row r="590" spans="1:30" x14ac:dyDescent="0.35">
      <c r="A590" t="s">
        <v>1567</v>
      </c>
      <c r="B590" t="s">
        <v>283</v>
      </c>
      <c r="C590" s="36">
        <f t="shared" ref="C590:C595" si="338">RATE(U590,V590,-F590,H590)</f>
        <v>2.416547530938102E-2</v>
      </c>
      <c r="D590" s="3">
        <f t="shared" ref="D590:D595" si="339">C590*AD590</f>
        <v>9.6661901237524078E-2</v>
      </c>
      <c r="F590">
        <v>1005000</v>
      </c>
      <c r="G590" t="s">
        <v>76</v>
      </c>
      <c r="H590">
        <v>1000000</v>
      </c>
      <c r="I590" s="22"/>
      <c r="J590">
        <v>1</v>
      </c>
      <c r="K590" s="22"/>
      <c r="M590" s="22">
        <v>9.7500000000000003E-2</v>
      </c>
      <c r="N590" s="21">
        <v>43074</v>
      </c>
      <c r="O590" s="21">
        <v>46315</v>
      </c>
      <c r="P590">
        <f t="shared" ref="P590:P595" si="340">ROUND(YEARFRAC(N590,O590),0)</f>
        <v>9</v>
      </c>
      <c r="Q590" s="6">
        <f t="shared" ref="Q590:Q595" si="341">(M590*H590)/F590</f>
        <v>9.7014925373134331E-2</v>
      </c>
      <c r="R590" s="5">
        <f t="shared" ref="R590:R595" si="342">IF(S590="Quarterly",4,IF(S590="Semi-annual",2,IF(S590="Annual",1,IF(S590="Pays at maturity",0,IF(S590="Monthly",12,0)))))</f>
        <v>4</v>
      </c>
      <c r="S590" t="s">
        <v>105</v>
      </c>
      <c r="U590">
        <f t="shared" ref="U590:U595" si="343">R590*P590</f>
        <v>36</v>
      </c>
      <c r="V590">
        <f t="shared" ref="V590:V595" si="344">(H590*M590)/AD590</f>
        <v>24375</v>
      </c>
      <c r="W590" s="28">
        <f t="shared" ref="W590:W595" si="345">RATE(U590,V590,-F590,H590)</f>
        <v>2.416547530938102E-2</v>
      </c>
      <c r="X590" s="27">
        <f t="shared" ref="X590:X595" si="346">W590*AD590</f>
        <v>9.6661901237524078E-2</v>
      </c>
      <c r="Y590" s="5">
        <f t="shared" ref="Y590:Y595" si="347">DURATION(N590,O590,M590,D590,AD590)</f>
        <v>5.9744978923760241</v>
      </c>
      <c r="Z590" s="5">
        <f t="shared" ref="Z590:Z595" si="348">Y590/(1+C590)</f>
        <v>5.8335279175186425</v>
      </c>
      <c r="AA590" s="5">
        <f t="shared" ref="AA590:AA595" si="349">-Z590*F590</f>
        <v>-5862695.557106236</v>
      </c>
      <c r="AB590" t="s">
        <v>64</v>
      </c>
      <c r="AC590" t="s">
        <v>62</v>
      </c>
      <c r="AD590">
        <f t="shared" ref="AD590:AD595" si="350">_xlfn.SWITCH(PROPER(TRIM(S590)),
   "Annual",1,
   "Semi-Annual",2,
   "Quarterly",4,
   "Monthly",12,
   "")</f>
        <v>4</v>
      </c>
    </row>
    <row r="591" spans="1:30" x14ac:dyDescent="0.35">
      <c r="A591" t="s">
        <v>1566</v>
      </c>
      <c r="B591" t="s">
        <v>1297</v>
      </c>
      <c r="C591" s="36">
        <f t="shared" si="338"/>
        <v>2.7598333509279375E-2</v>
      </c>
      <c r="D591" s="3">
        <f t="shared" si="339"/>
        <v>5.519666701855875E-2</v>
      </c>
      <c r="F591">
        <v>996</v>
      </c>
      <c r="G591" t="s">
        <v>66</v>
      </c>
      <c r="H591">
        <v>1000</v>
      </c>
      <c r="I591" s="22"/>
      <c r="J591">
        <v>200000</v>
      </c>
      <c r="K591" s="22"/>
      <c r="M591" s="22">
        <v>5.45E-2</v>
      </c>
      <c r="N591" s="21">
        <v>43760</v>
      </c>
      <c r="O591" s="21">
        <v>46317</v>
      </c>
      <c r="P591">
        <f t="shared" si="340"/>
        <v>7</v>
      </c>
      <c r="Q591" s="6">
        <f t="shared" si="341"/>
        <v>5.4718875502008033E-2</v>
      </c>
      <c r="R591" s="5">
        <f t="shared" si="342"/>
        <v>2</v>
      </c>
      <c r="S591" t="s">
        <v>65</v>
      </c>
      <c r="U591">
        <f t="shared" si="343"/>
        <v>14</v>
      </c>
      <c r="V591">
        <f t="shared" si="344"/>
        <v>27.25</v>
      </c>
      <c r="W591" s="28">
        <f t="shared" si="345"/>
        <v>2.7598333509279375E-2</v>
      </c>
      <c r="X591" s="27">
        <f t="shared" si="346"/>
        <v>5.519666701855875E-2</v>
      </c>
      <c r="Y591" s="5">
        <f t="shared" si="347"/>
        <v>5.9096042082650468</v>
      </c>
      <c r="Z591" s="5">
        <f t="shared" si="348"/>
        <v>5.7508892488016894</v>
      </c>
      <c r="AA591" s="5">
        <f t="shared" si="349"/>
        <v>-5727.885691806483</v>
      </c>
      <c r="AB591" t="s">
        <v>69</v>
      </c>
      <c r="AC591" t="s">
        <v>62</v>
      </c>
      <c r="AD591">
        <f t="shared" si="350"/>
        <v>2</v>
      </c>
    </row>
    <row r="592" spans="1:30" x14ac:dyDescent="0.35">
      <c r="A592" t="s">
        <v>1565</v>
      </c>
      <c r="B592" t="s">
        <v>122</v>
      </c>
      <c r="C592" s="36">
        <f t="shared" si="338"/>
        <v>8.0109344804091862E-2</v>
      </c>
      <c r="D592" s="3">
        <f t="shared" si="339"/>
        <v>8.0109344804091862E-2</v>
      </c>
      <c r="F592">
        <v>1026.55</v>
      </c>
      <c r="G592" t="s">
        <v>76</v>
      </c>
      <c r="H592">
        <v>1000</v>
      </c>
      <c r="I592" s="22"/>
      <c r="J592">
        <v>10</v>
      </c>
      <c r="K592" s="22"/>
      <c r="L592">
        <v>7.2500276884388297</v>
      </c>
      <c r="M592" s="22">
        <v>9.5000000000000001E-2</v>
      </c>
      <c r="N592" s="21">
        <v>45589</v>
      </c>
      <c r="O592" s="21">
        <v>46319</v>
      </c>
      <c r="P592">
        <f t="shared" si="340"/>
        <v>2</v>
      </c>
      <c r="Q592" s="6">
        <f t="shared" si="341"/>
        <v>9.2542983780624422E-2</v>
      </c>
      <c r="R592" s="5">
        <f t="shared" si="342"/>
        <v>1</v>
      </c>
      <c r="S592" t="s">
        <v>93</v>
      </c>
      <c r="U592">
        <f t="shared" si="343"/>
        <v>2</v>
      </c>
      <c r="V592">
        <f t="shared" si="344"/>
        <v>95</v>
      </c>
      <c r="W592" s="28">
        <f t="shared" si="345"/>
        <v>8.0109344804091862E-2</v>
      </c>
      <c r="X592" s="27">
        <f t="shared" si="346"/>
        <v>8.0109344804091862E-2</v>
      </c>
      <c r="Y592" s="5">
        <f t="shared" si="347"/>
        <v>1.9143207266691968</v>
      </c>
      <c r="Z592" s="5">
        <f t="shared" si="348"/>
        <v>1.7723397504874032</v>
      </c>
      <c r="AA592" s="5">
        <f t="shared" si="349"/>
        <v>-1819.3953708628437</v>
      </c>
      <c r="AB592" t="s">
        <v>64</v>
      </c>
      <c r="AC592" t="s">
        <v>62</v>
      </c>
      <c r="AD592">
        <f t="shared" si="350"/>
        <v>1</v>
      </c>
    </row>
    <row r="593" spans="1:30" x14ac:dyDescent="0.35">
      <c r="A593" t="s">
        <v>1564</v>
      </c>
      <c r="B593" t="s">
        <v>598</v>
      </c>
      <c r="C593" s="36">
        <f t="shared" si="338"/>
        <v>0.10192232270328616</v>
      </c>
      <c r="D593" s="3">
        <f t="shared" si="339"/>
        <v>0.10192232270328616</v>
      </c>
      <c r="F593">
        <v>1001</v>
      </c>
      <c r="G593" t="s">
        <v>76</v>
      </c>
      <c r="H593">
        <v>1000</v>
      </c>
      <c r="I593" s="22"/>
      <c r="J593">
        <v>10</v>
      </c>
      <c r="K593" s="22"/>
      <c r="L593">
        <v>10.163316767090301</v>
      </c>
      <c r="M593" s="22">
        <v>0.10249999999999999</v>
      </c>
      <c r="N593" s="21">
        <v>45589</v>
      </c>
      <c r="O593" s="21">
        <v>46319</v>
      </c>
      <c r="P593">
        <f t="shared" si="340"/>
        <v>2</v>
      </c>
      <c r="Q593" s="6">
        <f t="shared" si="341"/>
        <v>0.1023976023976024</v>
      </c>
      <c r="R593" s="5">
        <f t="shared" si="342"/>
        <v>1</v>
      </c>
      <c r="S593" t="s">
        <v>93</v>
      </c>
      <c r="U593">
        <f t="shared" si="343"/>
        <v>2</v>
      </c>
      <c r="V593">
        <f t="shared" si="344"/>
        <v>102.5</v>
      </c>
      <c r="W593" s="28">
        <f t="shared" si="345"/>
        <v>0.10192232270328616</v>
      </c>
      <c r="X593" s="27">
        <f t="shared" si="346"/>
        <v>0.10192232270328616</v>
      </c>
      <c r="Y593" s="5">
        <f t="shared" si="347"/>
        <v>1.9070736654591085</v>
      </c>
      <c r="Z593" s="5">
        <f t="shared" si="348"/>
        <v>1.7306788565464291</v>
      </c>
      <c r="AA593" s="5">
        <f t="shared" si="349"/>
        <v>-1732.4095354029755</v>
      </c>
      <c r="AB593" t="s">
        <v>64</v>
      </c>
      <c r="AC593" t="s">
        <v>62</v>
      </c>
      <c r="AD593">
        <f t="shared" si="350"/>
        <v>1</v>
      </c>
    </row>
    <row r="594" spans="1:30" x14ac:dyDescent="0.35">
      <c r="A594" t="s">
        <v>1563</v>
      </c>
      <c r="B594" t="s">
        <v>598</v>
      </c>
      <c r="C594" s="36">
        <f t="shared" si="338"/>
        <v>0.1100146569927076</v>
      </c>
      <c r="D594" s="3">
        <f t="shared" si="339"/>
        <v>0.1100146569927076</v>
      </c>
      <c r="F594">
        <v>982.85</v>
      </c>
      <c r="G594" t="s">
        <v>76</v>
      </c>
      <c r="H594">
        <v>1000</v>
      </c>
      <c r="I594" s="22"/>
      <c r="J594">
        <v>25</v>
      </c>
      <c r="K594" s="22"/>
      <c r="L594">
        <v>11.5620694474507</v>
      </c>
      <c r="M594" s="22">
        <v>0.1</v>
      </c>
      <c r="N594" s="21">
        <v>45771</v>
      </c>
      <c r="O594" s="21">
        <v>46319</v>
      </c>
      <c r="P594">
        <f t="shared" si="340"/>
        <v>2</v>
      </c>
      <c r="Q594" s="6">
        <f t="shared" si="341"/>
        <v>0.10174492547184209</v>
      </c>
      <c r="R594" s="5">
        <f t="shared" si="342"/>
        <v>1</v>
      </c>
      <c r="S594" t="s">
        <v>93</v>
      </c>
      <c r="U594">
        <f t="shared" si="343"/>
        <v>2</v>
      </c>
      <c r="V594">
        <f t="shared" si="344"/>
        <v>100</v>
      </c>
      <c r="W594" s="28">
        <f t="shared" si="345"/>
        <v>0.1100146569927076</v>
      </c>
      <c r="X594" s="27">
        <f t="shared" si="346"/>
        <v>0.1100146569927076</v>
      </c>
      <c r="Y594" s="5">
        <f t="shared" si="347"/>
        <v>1.408339115316285</v>
      </c>
      <c r="Z594" s="5">
        <f t="shared" si="348"/>
        <v>1.2687572244602687</v>
      </c>
      <c r="AA594" s="5">
        <f t="shared" si="349"/>
        <v>-1246.9980380607751</v>
      </c>
      <c r="AB594" t="s">
        <v>64</v>
      </c>
      <c r="AC594" t="s">
        <v>62</v>
      </c>
      <c r="AD594">
        <f t="shared" si="350"/>
        <v>1</v>
      </c>
    </row>
    <row r="595" spans="1:30" x14ac:dyDescent="0.35">
      <c r="A595" t="s">
        <v>1562</v>
      </c>
      <c r="B595" t="s">
        <v>598</v>
      </c>
      <c r="C595" s="36">
        <f t="shared" si="338"/>
        <v>9.5141723021201954E-2</v>
      </c>
      <c r="D595" s="3">
        <f t="shared" si="339"/>
        <v>9.5141723021201954E-2</v>
      </c>
      <c r="F595">
        <v>1015.3</v>
      </c>
      <c r="G595" t="s">
        <v>76</v>
      </c>
      <c r="H595">
        <v>1000</v>
      </c>
      <c r="I595" s="22"/>
      <c r="J595">
        <v>20</v>
      </c>
      <c r="K595" s="22"/>
      <c r="L595">
        <v>9.0377014290057804</v>
      </c>
      <c r="M595" s="22">
        <v>0.10390000000000001</v>
      </c>
      <c r="N595" s="21">
        <v>45771</v>
      </c>
      <c r="O595" s="21">
        <v>46319</v>
      </c>
      <c r="P595">
        <f t="shared" si="340"/>
        <v>2</v>
      </c>
      <c r="Q595" s="6">
        <f t="shared" si="341"/>
        <v>0.102334285432877</v>
      </c>
      <c r="R595" s="5">
        <f t="shared" si="342"/>
        <v>1</v>
      </c>
      <c r="S595" t="s">
        <v>93</v>
      </c>
      <c r="U595">
        <f t="shared" si="343"/>
        <v>2</v>
      </c>
      <c r="V595">
        <f t="shared" si="344"/>
        <v>103.9</v>
      </c>
      <c r="W595" s="28">
        <f t="shared" si="345"/>
        <v>9.5141723021201954E-2</v>
      </c>
      <c r="X595" s="27">
        <f t="shared" si="346"/>
        <v>9.5141723021201954E-2</v>
      </c>
      <c r="Y595" s="5">
        <f t="shared" si="347"/>
        <v>1.4065561257673502</v>
      </c>
      <c r="Z595" s="5">
        <f t="shared" si="348"/>
        <v>1.2843599108680104</v>
      </c>
      <c r="AA595" s="5">
        <f t="shared" si="349"/>
        <v>-1304.0106175042908</v>
      </c>
      <c r="AB595" t="s">
        <v>64</v>
      </c>
      <c r="AC595" t="s">
        <v>62</v>
      </c>
      <c r="AD595">
        <f t="shared" si="350"/>
        <v>1</v>
      </c>
    </row>
    <row r="596" spans="1:30" x14ac:dyDescent="0.35">
      <c r="C596" s="28"/>
      <c r="D596" s="27"/>
      <c r="I596" s="22"/>
      <c r="K596" s="22"/>
      <c r="M596" s="22"/>
      <c r="N596" s="21"/>
      <c r="O596" s="21"/>
      <c r="P596" s="5"/>
      <c r="Q596" s="6"/>
      <c r="R596" s="5"/>
      <c r="W596" s="28"/>
      <c r="Y596" s="33"/>
      <c r="Z596" s="33"/>
      <c r="AA596" s="33"/>
    </row>
    <row r="597" spans="1:30" x14ac:dyDescent="0.35">
      <c r="C597" s="28"/>
      <c r="D597" s="27"/>
      <c r="I597" s="22"/>
      <c r="K597" s="22"/>
      <c r="M597" s="22"/>
      <c r="N597" s="21"/>
      <c r="O597" s="21"/>
      <c r="P597" s="5"/>
      <c r="Q597" s="6"/>
      <c r="R597" s="5"/>
      <c r="W597" s="28"/>
      <c r="Y597" s="33"/>
      <c r="Z597" s="33"/>
      <c r="AA597" s="33"/>
    </row>
    <row r="598" spans="1:30" x14ac:dyDescent="0.35">
      <c r="C598" s="28"/>
      <c r="D598" s="27"/>
      <c r="I598" s="22"/>
      <c r="K598" s="22"/>
      <c r="M598" s="22"/>
      <c r="N598" s="21"/>
      <c r="O598" s="21"/>
      <c r="P598" s="5"/>
      <c r="Q598" s="6"/>
      <c r="R598" s="5"/>
      <c r="W598" s="28"/>
      <c r="Y598" s="33"/>
      <c r="Z598" s="33"/>
      <c r="AA598" s="33"/>
    </row>
    <row r="599" spans="1:30" x14ac:dyDescent="0.35">
      <c r="A599" t="s">
        <v>1558</v>
      </c>
      <c r="B599" t="s">
        <v>122</v>
      </c>
      <c r="C599" s="36">
        <f>RATE(U599,V599,-F599,H599)</f>
        <v>0.10311892724226622</v>
      </c>
      <c r="D599" s="3">
        <f>C599*AD599</f>
        <v>0.10311892724226622</v>
      </c>
      <c r="F599">
        <v>972.5</v>
      </c>
      <c r="G599" t="s">
        <v>76</v>
      </c>
      <c r="H599">
        <v>1000</v>
      </c>
      <c r="I599" s="22"/>
      <c r="J599">
        <v>245</v>
      </c>
      <c r="K599" s="22"/>
      <c r="L599">
        <v>11.694209817603101</v>
      </c>
      <c r="M599" s="22">
        <v>9.1999999999999998E-2</v>
      </c>
      <c r="N599" s="21">
        <v>45225</v>
      </c>
      <c r="O599" s="21">
        <v>46321</v>
      </c>
      <c r="P599">
        <f>ROUND(YEARFRAC(N599,O599),0)</f>
        <v>3</v>
      </c>
      <c r="Q599" s="6">
        <f>(M599*H599)/F599</f>
        <v>9.4601542416452439E-2</v>
      </c>
      <c r="R599" s="5">
        <f>IF(S599="Quarterly",4,IF(S599="Semi-annual",2,IF(S599="Annual",1,IF(S599="Pays at maturity",0,IF(S599="Monthly",12,0)))))</f>
        <v>1</v>
      </c>
      <c r="S599" t="s">
        <v>93</v>
      </c>
      <c r="U599">
        <f>R599*P599</f>
        <v>3</v>
      </c>
      <c r="V599">
        <f>(H599*M599)/AD599</f>
        <v>92</v>
      </c>
      <c r="W599" s="28">
        <f>RATE(U599,V599,-F599,H599)</f>
        <v>0.10311892724226622</v>
      </c>
      <c r="X599" s="27">
        <f>W599*AD599</f>
        <v>0.10311892724226622</v>
      </c>
      <c r="Y599" s="5">
        <f>DURATION(N599,O599,M599,D599,AD599)</f>
        <v>2.7507418988943515</v>
      </c>
      <c r="Z599" s="5">
        <f>Y599/(1+C599)</f>
        <v>2.4936041173466656</v>
      </c>
      <c r="AA599" s="5">
        <f>-Z599*F599</f>
        <v>-2425.0300041196324</v>
      </c>
      <c r="AB599" t="s">
        <v>64</v>
      </c>
      <c r="AC599" t="s">
        <v>62</v>
      </c>
      <c r="AD599">
        <f>_xlfn.SWITCH(PROPER(TRIM(S599)),
   "Annual",1,
   "Semi-Annual",2,
   "Quarterly",4,
   "Monthly",12,
   "")</f>
        <v>1</v>
      </c>
    </row>
    <row r="600" spans="1:30" x14ac:dyDescent="0.35">
      <c r="A600" t="s">
        <v>1557</v>
      </c>
      <c r="B600" t="s">
        <v>122</v>
      </c>
      <c r="C600" s="36">
        <f>RATE(U600,V600,-F600,H600)</f>
        <v>7.9093896540428962E-2</v>
      </c>
      <c r="D600" s="3">
        <f>C600*AD600</f>
        <v>7.9093896540428962E-2</v>
      </c>
      <c r="F600">
        <v>1043.6400000000001</v>
      </c>
      <c r="G600" t="s">
        <v>76</v>
      </c>
      <c r="H600">
        <v>1000</v>
      </c>
      <c r="I600" s="22"/>
      <c r="J600">
        <v>25</v>
      </c>
      <c r="K600" s="22"/>
      <c r="L600">
        <v>5.8806301689904599</v>
      </c>
      <c r="M600" s="22">
        <v>9.6000000000000002E-2</v>
      </c>
      <c r="N600" s="21">
        <v>45225</v>
      </c>
      <c r="O600" s="21">
        <v>46321</v>
      </c>
      <c r="P600">
        <f>ROUND(YEARFRAC(N600,O600),0)</f>
        <v>3</v>
      </c>
      <c r="Q600" s="6">
        <f>(M600*H600)/F600</f>
        <v>9.198574220995745E-2</v>
      </c>
      <c r="R600" s="5">
        <f>IF(S600="Quarterly",4,IF(S600="Semi-annual",2,IF(S600="Annual",1,IF(S600="Pays at maturity",0,IF(S600="Monthly",12,0)))))</f>
        <v>1</v>
      </c>
      <c r="S600" t="s">
        <v>93</v>
      </c>
      <c r="U600">
        <f>R600*P600</f>
        <v>3</v>
      </c>
      <c r="V600">
        <f>(H600*M600)/AD600</f>
        <v>96</v>
      </c>
      <c r="W600" s="28">
        <f>RATE(U600,V600,-F600,H600)</f>
        <v>7.9093896540428962E-2</v>
      </c>
      <c r="X600" s="27">
        <f>W600*AD600</f>
        <v>7.9093896540428962E-2</v>
      </c>
      <c r="Y600" s="5">
        <f>DURATION(N600,O600,M600,D600,AD600)</f>
        <v>2.7505175529182089</v>
      </c>
      <c r="Z600" s="5">
        <f>Y600/(1+C600)</f>
        <v>2.5489140117800297</v>
      </c>
      <c r="AA600" s="5">
        <f>-Z600*F600</f>
        <v>-2660.1486192541106</v>
      </c>
      <c r="AB600" t="s">
        <v>64</v>
      </c>
      <c r="AC600" t="s">
        <v>62</v>
      </c>
      <c r="AD600">
        <f>_xlfn.SWITCH(PROPER(TRIM(S600)),
   "Annual",1,
   "Semi-Annual",2,
   "Quarterly",4,
   "Monthly",12,
   "")</f>
        <v>1</v>
      </c>
    </row>
    <row r="601" spans="1:30" x14ac:dyDescent="0.35">
      <c r="A601" t="s">
        <v>1556</v>
      </c>
      <c r="B601" t="s">
        <v>1254</v>
      </c>
      <c r="C601" s="36">
        <f>RATE(U601,V601,-F601,H601)</f>
        <v>0.12541827805049272</v>
      </c>
      <c r="D601" s="3">
        <f>C601*AD601</f>
        <v>0.12541827805049272</v>
      </c>
      <c r="F601">
        <v>9800</v>
      </c>
      <c r="G601" t="s">
        <v>76</v>
      </c>
      <c r="H601">
        <v>10000</v>
      </c>
      <c r="I601" s="22"/>
      <c r="J601">
        <v>1</v>
      </c>
      <c r="K601" s="22"/>
      <c r="L601">
        <v>13.062543108694699</v>
      </c>
      <c r="M601" s="22">
        <v>0.11349999999999999</v>
      </c>
      <c r="N601" s="21">
        <v>45743</v>
      </c>
      <c r="O601" s="21">
        <v>46322</v>
      </c>
      <c r="P601">
        <f>ROUND(YEARFRAC(N601,O601),0)</f>
        <v>2</v>
      </c>
      <c r="Q601" s="6">
        <f>(M601*H601)/F601</f>
        <v>0.11581632653061225</v>
      </c>
      <c r="R601" s="5">
        <f>IF(S601="Quarterly",4,IF(S601="Semi-annual",2,IF(S601="Annual",1,IF(S601="Pays at maturity",0,IF(S601="Monthly",12,0)))))</f>
        <v>1</v>
      </c>
      <c r="S601" t="s">
        <v>93</v>
      </c>
      <c r="U601">
        <f>R601*P601</f>
        <v>2</v>
      </c>
      <c r="V601">
        <f>(H601*M601)/AD601</f>
        <v>1135</v>
      </c>
      <c r="W601" s="28">
        <f>RATE(U601,V601,-F601,H601)</f>
        <v>0.12541827805049272</v>
      </c>
      <c r="X601" s="27">
        <f>W601*AD601</f>
        <v>0.12541827805049272</v>
      </c>
      <c r="Y601" s="5">
        <f>DURATION(N601,O601,M601,D601,AD601)</f>
        <v>1.4804237495906245</v>
      </c>
      <c r="Z601" s="5">
        <f>Y601/(1+C601)</f>
        <v>1.3154431365332813</v>
      </c>
      <c r="AA601" s="5">
        <f>-Z601*F601</f>
        <v>-12891.342738026156</v>
      </c>
      <c r="AB601" t="s">
        <v>64</v>
      </c>
      <c r="AC601" t="s">
        <v>62</v>
      </c>
      <c r="AD601">
        <f>_xlfn.SWITCH(PROPER(TRIM(S601)),
   "Annual",1,
   "Semi-Annual",2,
   "Quarterly",4,
   "Monthly",12,
   "")</f>
        <v>1</v>
      </c>
    </row>
    <row r="602" spans="1:30" x14ac:dyDescent="0.35">
      <c r="A602" t="s">
        <v>1555</v>
      </c>
      <c r="B602" t="s">
        <v>316</v>
      </c>
      <c r="C602" s="36">
        <f>RATE(U602,V602,-F602,H602)</f>
        <v>0.11201808330889097</v>
      </c>
      <c r="D602" s="3">
        <f>C602*AD602</f>
        <v>0.11201808330889097</v>
      </c>
      <c r="F602">
        <v>965</v>
      </c>
      <c r="G602" t="s">
        <v>76</v>
      </c>
      <c r="H602">
        <v>1000</v>
      </c>
      <c r="I602" s="22"/>
      <c r="J602">
        <v>500</v>
      </c>
      <c r="K602" s="22"/>
      <c r="L602">
        <v>13.3289890545365</v>
      </c>
      <c r="M602" s="22">
        <v>0.10249999999999999</v>
      </c>
      <c r="N602" s="21">
        <v>44315</v>
      </c>
      <c r="O602" s="21">
        <v>46323</v>
      </c>
      <c r="P602">
        <f>ROUND(YEARFRAC(N602,O602),0)</f>
        <v>5</v>
      </c>
      <c r="Q602" s="6">
        <f>(M602*H602)/F602</f>
        <v>0.10621761658031088</v>
      </c>
      <c r="R602" s="5">
        <f>IF(S602="Quarterly",4,IF(S602="Semi-annual",2,IF(S602="Annual",1,IF(S602="Pays at maturity",0,IF(S602="Monthly",12,0)))))</f>
        <v>1</v>
      </c>
      <c r="S602" t="s">
        <v>93</v>
      </c>
      <c r="U602">
        <f>R602*P602</f>
        <v>5</v>
      </c>
      <c r="V602">
        <f>(H602*M602)/AD602</f>
        <v>102.5</v>
      </c>
      <c r="W602" s="28">
        <f>RATE(U602,V602,-F602,H602)</f>
        <v>0.11201808330889097</v>
      </c>
      <c r="X602" s="27">
        <f>W602*AD602</f>
        <v>0.11201808330889097</v>
      </c>
      <c r="Y602" s="5">
        <f>DURATION(N602,O602,M602,D602,AD602)</f>
        <v>4.2363522824238338</v>
      </c>
      <c r="Z602" s="5">
        <f>Y602/(1+C602)</f>
        <v>3.809607367011747</v>
      </c>
      <c r="AA602" s="5">
        <f>-Z602*F602</f>
        <v>-3676.2711091663359</v>
      </c>
      <c r="AB602" t="s">
        <v>64</v>
      </c>
      <c r="AC602" t="s">
        <v>62</v>
      </c>
      <c r="AD602">
        <f>_xlfn.SWITCH(PROPER(TRIM(S602)),
   "Annual",1,
   "Semi-Annual",2,
   "Quarterly",4,
   "Monthly",12,
   "")</f>
        <v>1</v>
      </c>
    </row>
    <row r="603" spans="1:30" x14ac:dyDescent="0.35">
      <c r="A603" t="s">
        <v>1554</v>
      </c>
      <c r="B603" t="s">
        <v>1270</v>
      </c>
      <c r="C603" s="36">
        <f>RATE(U603,V603,-F603,H603)</f>
        <v>0.28729581018349881</v>
      </c>
      <c r="D603" s="3">
        <f>C603*AD603</f>
        <v>0.28729581018349881</v>
      </c>
      <c r="F603">
        <v>7401</v>
      </c>
      <c r="G603" t="s">
        <v>76</v>
      </c>
      <c r="H603">
        <v>10000</v>
      </c>
      <c r="I603" s="22"/>
      <c r="J603">
        <v>14</v>
      </c>
      <c r="K603" s="22"/>
      <c r="L603">
        <v>41.000837491671597</v>
      </c>
      <c r="M603" s="22">
        <v>9.9000000000000005E-2</v>
      </c>
      <c r="N603" s="21">
        <v>45594</v>
      </c>
      <c r="O603" s="21">
        <v>46324</v>
      </c>
      <c r="P603">
        <f>ROUND(YEARFRAC(N603,O603),0)</f>
        <v>2</v>
      </c>
      <c r="Q603" s="6">
        <f>(M603*H603)/F603</f>
        <v>0.13376570733684637</v>
      </c>
      <c r="R603" s="5">
        <f>IF(S603="Quarterly",4,IF(S603="Semi-annual",2,IF(S603="Annual",1,IF(S603="Pays at maturity",0,IF(S603="Monthly",12,0)))))</f>
        <v>1</v>
      </c>
      <c r="S603" t="s">
        <v>93</v>
      </c>
      <c r="U603">
        <f>R603*P603</f>
        <v>2</v>
      </c>
      <c r="V603">
        <f>(H603*M603)/AD603</f>
        <v>990</v>
      </c>
      <c r="W603" s="28">
        <f>RATE(U603,V603,-F603,H603)</f>
        <v>0.28729581018349881</v>
      </c>
      <c r="X603" s="27">
        <f>W603*AD603</f>
        <v>0.28729581018349881</v>
      </c>
      <c r="Y603" s="5">
        <f>DURATION(N603,O603,M603,D603,AD603)</f>
        <v>1.8960878251302828</v>
      </c>
      <c r="Z603" s="5">
        <f>Y603/(1+C603)</f>
        <v>1.4729231697413847</v>
      </c>
      <c r="AA603" s="5">
        <f>-Z603*F603</f>
        <v>-10901.104379255989</v>
      </c>
      <c r="AB603" t="s">
        <v>64</v>
      </c>
      <c r="AC603" t="s">
        <v>62</v>
      </c>
      <c r="AD603">
        <f>_xlfn.SWITCH(PROPER(TRIM(S603)),
   "Annual",1,
   "Semi-Annual",2,
   "Quarterly",4,
   "Monthly",12,
   "")</f>
        <v>1</v>
      </c>
    </row>
    <row r="604" spans="1:30" x14ac:dyDescent="0.35">
      <c r="C604" s="28"/>
      <c r="D604" s="27"/>
      <c r="I604" s="22"/>
      <c r="K604" s="22"/>
      <c r="M604" s="22"/>
      <c r="N604" s="21"/>
      <c r="O604" s="21"/>
      <c r="P604" s="5"/>
      <c r="Q604" s="6"/>
      <c r="R604" s="5"/>
      <c r="W604" s="28"/>
      <c r="Y604" s="33"/>
      <c r="Z604" s="33"/>
      <c r="AA604" s="33"/>
    </row>
    <row r="605" spans="1:30" x14ac:dyDescent="0.35">
      <c r="A605" t="s">
        <v>1552</v>
      </c>
      <c r="B605" t="s">
        <v>241</v>
      </c>
      <c r="C605" s="36">
        <f>RATE(U605,V605,-F605,H605)</f>
        <v>8.9812707785696319E-2</v>
      </c>
      <c r="D605" s="3">
        <f>C605*AD605</f>
        <v>8.9812707785696319E-2</v>
      </c>
      <c r="F605">
        <v>991</v>
      </c>
      <c r="G605" t="s">
        <v>76</v>
      </c>
      <c r="H605">
        <v>1000</v>
      </c>
      <c r="I605" s="22"/>
      <c r="J605">
        <v>100</v>
      </c>
      <c r="K605" s="22"/>
      <c r="L605">
        <v>9.54541194726621</v>
      </c>
      <c r="M605" s="22">
        <v>8.7499999999999994E-2</v>
      </c>
      <c r="N605" s="21">
        <v>44498</v>
      </c>
      <c r="O605" s="21">
        <v>46324</v>
      </c>
      <c r="P605">
        <f>ROUND(YEARFRAC(N605,O605),0)</f>
        <v>5</v>
      </c>
      <c r="Q605" s="6">
        <f>(M605*H605)/F605</f>
        <v>8.8294651866801216E-2</v>
      </c>
      <c r="R605" s="5">
        <f>IF(S605="Quarterly",4,IF(S605="Semi-annual",2,IF(S605="Annual",1,IF(S605="Pays at maturity",0,IF(S605="Monthly",12,0)))))</f>
        <v>1</v>
      </c>
      <c r="S605" t="s">
        <v>93</v>
      </c>
      <c r="U605">
        <f>R605*P605</f>
        <v>5</v>
      </c>
      <c r="V605">
        <f>(H605*M605)/AD605</f>
        <v>87.5</v>
      </c>
      <c r="W605" s="28">
        <f>RATE(U605,V605,-F605,H605)</f>
        <v>8.9812707785696319E-2</v>
      </c>
      <c r="X605" s="27">
        <f>W605*AD605</f>
        <v>8.9812707785696319E-2</v>
      </c>
      <c r="Y605" s="5">
        <f>DURATION(N605,O605,M605,D605,AD605)</f>
        <v>4.2538802559298263</v>
      </c>
      <c r="Z605" s="5">
        <f>Y605/(1+C605)</f>
        <v>3.903313134027357</v>
      </c>
      <c r="AA605" s="5">
        <f>-Z605*F605</f>
        <v>-3868.1833158211107</v>
      </c>
      <c r="AB605" t="s">
        <v>64</v>
      </c>
      <c r="AC605" t="s">
        <v>62</v>
      </c>
      <c r="AD605">
        <f>_xlfn.SWITCH(PROPER(TRIM(S605)),
   "Annual",1,
   "Semi-Annual",2,
   "Quarterly",4,
   "Monthly",12,
   "")</f>
        <v>1</v>
      </c>
    </row>
    <row r="606" spans="1:30" x14ac:dyDescent="0.35">
      <c r="A606" t="s">
        <v>1551</v>
      </c>
      <c r="B606" t="s">
        <v>241</v>
      </c>
      <c r="C606" s="36">
        <f>RATE(U606,V606,-F606,H606)</f>
        <v>9.8045514364230188E-2</v>
      </c>
      <c r="D606" s="3">
        <f>C606*AD606</f>
        <v>9.8045514364230188E-2</v>
      </c>
      <c r="F606">
        <v>986</v>
      </c>
      <c r="G606" t="s">
        <v>76</v>
      </c>
      <c r="H606">
        <v>1000</v>
      </c>
      <c r="I606" s="22"/>
      <c r="J606">
        <v>25</v>
      </c>
      <c r="K606" s="22"/>
      <c r="L606">
        <v>10.2447191718542</v>
      </c>
      <c r="M606" s="22">
        <v>0.09</v>
      </c>
      <c r="N606" s="21">
        <v>45595</v>
      </c>
      <c r="O606" s="21">
        <v>46325</v>
      </c>
      <c r="P606">
        <f>ROUND(YEARFRAC(N606,O606),0)</f>
        <v>2</v>
      </c>
      <c r="Q606" s="6">
        <f>(M606*H606)/F606</f>
        <v>9.1277890466531439E-2</v>
      </c>
      <c r="R606" s="5">
        <f>IF(S606="Quarterly",4,IF(S606="Semi-annual",2,IF(S606="Annual",1,IF(S606="Pays at maturity",0,IF(S606="Monthly",12,0)))))</f>
        <v>1</v>
      </c>
      <c r="S606" t="s">
        <v>93</v>
      </c>
      <c r="U606">
        <f>R606*P606</f>
        <v>2</v>
      </c>
      <c r="V606">
        <f>(H606*M606)/AD606</f>
        <v>90</v>
      </c>
      <c r="W606" s="28">
        <f>RATE(U606,V606,-F606,H606)</f>
        <v>9.8045514364230188E-2</v>
      </c>
      <c r="X606" s="27">
        <f>W606*AD606</f>
        <v>9.8045514364230188E-2</v>
      </c>
      <c r="Y606" s="5">
        <f>DURATION(N606,O606,M606,D606,AD606)</f>
        <v>1.9168723980267954</v>
      </c>
      <c r="Z606" s="5">
        <f>Y606/(1+C606)</f>
        <v>1.7457130628475515</v>
      </c>
      <c r="AA606" s="5">
        <f>-Z606*F606</f>
        <v>-1721.2730799676858</v>
      </c>
      <c r="AB606" t="s">
        <v>64</v>
      </c>
      <c r="AC606" t="s">
        <v>62</v>
      </c>
      <c r="AD606">
        <f>_xlfn.SWITCH(PROPER(TRIM(S606)),
   "Annual",1,
   "Semi-Annual",2,
   "Quarterly",4,
   "Monthly",12,
   "")</f>
        <v>1</v>
      </c>
    </row>
    <row r="607" spans="1:30" x14ac:dyDescent="0.35">
      <c r="A607" t="s">
        <v>1550</v>
      </c>
      <c r="B607" t="s">
        <v>561</v>
      </c>
      <c r="C607" s="36">
        <f>RATE(U607,V607,-F607,H607)</f>
        <v>0.10929262646648262</v>
      </c>
      <c r="D607" s="3">
        <f>C607*AD607</f>
        <v>0.10929262646648262</v>
      </c>
      <c r="F607">
        <v>9815</v>
      </c>
      <c r="G607" t="s">
        <v>76</v>
      </c>
      <c r="H607">
        <v>10000</v>
      </c>
      <c r="I607" s="22"/>
      <c r="J607">
        <v>1</v>
      </c>
      <c r="K607" s="22"/>
      <c r="L607">
        <v>11.518370017742001</v>
      </c>
      <c r="M607" s="22">
        <v>9.849999999999999E-2</v>
      </c>
      <c r="N607" s="21">
        <v>45777</v>
      </c>
      <c r="O607" s="21">
        <v>46325</v>
      </c>
      <c r="P607">
        <f>ROUND(YEARFRAC(N607,O607),0)</f>
        <v>2</v>
      </c>
      <c r="Q607" s="6">
        <f>(M607*H607)/F607</f>
        <v>0.10035659704533875</v>
      </c>
      <c r="R607" s="5">
        <f>IF(S607="Quarterly",4,IF(S607="Semi-annual",2,IF(S607="Annual",1,IF(S607="Pays at maturity",0,IF(S607="Monthly",12,0)))))</f>
        <v>1</v>
      </c>
      <c r="S607" t="s">
        <v>93</v>
      </c>
      <c r="U607">
        <f>R607*P607</f>
        <v>2</v>
      </c>
      <c r="V607">
        <f>(H607*M607)/AD607</f>
        <v>984.99999999999989</v>
      </c>
      <c r="W607" s="28">
        <f>RATE(U607,V607,-F607,H607)</f>
        <v>0.10929262646648262</v>
      </c>
      <c r="X607" s="27">
        <f>W607*AD607</f>
        <v>0.10929262646648262</v>
      </c>
      <c r="Y607" s="5">
        <f>DURATION(N607,O607,M607,D607,AD607)</f>
        <v>1.4095309978170389</v>
      </c>
      <c r="Z607" s="5">
        <f>Y607/(1+C607)</f>
        <v>1.2706575020758313</v>
      </c>
      <c r="AA607" s="5">
        <f>-Z607*F607</f>
        <v>-12471.503382874283</v>
      </c>
      <c r="AB607" t="s">
        <v>64</v>
      </c>
      <c r="AC607" t="s">
        <v>62</v>
      </c>
      <c r="AD607">
        <f>_xlfn.SWITCH(PROPER(TRIM(S607)),
   "Annual",1,
   "Semi-Annual",2,
   "Quarterly",4,
   "Monthly",12,
   "")</f>
        <v>1</v>
      </c>
    </row>
    <row r="608" spans="1:30" x14ac:dyDescent="0.35">
      <c r="A608" t="s">
        <v>1549</v>
      </c>
      <c r="B608" t="s">
        <v>241</v>
      </c>
      <c r="C608" s="36">
        <f>RATE(U608,V608,-F608,H608)</f>
        <v>6.8606895032949422E-2</v>
      </c>
      <c r="D608" s="3">
        <f>C608*AD608</f>
        <v>6.8606895032949422E-2</v>
      </c>
      <c r="F608">
        <v>1046</v>
      </c>
      <c r="G608" t="s">
        <v>76</v>
      </c>
      <c r="H608">
        <v>1000</v>
      </c>
      <c r="I608" s="22"/>
      <c r="J608">
        <v>150</v>
      </c>
      <c r="K608" s="22"/>
      <c r="L608">
        <v>5.5858476196649001</v>
      </c>
      <c r="M608" s="22">
        <v>9.4E-2</v>
      </c>
      <c r="N608" s="21">
        <v>45595</v>
      </c>
      <c r="O608" s="21">
        <v>46325</v>
      </c>
      <c r="P608">
        <f>ROUND(YEARFRAC(N608,O608),0)</f>
        <v>2</v>
      </c>
      <c r="Q608" s="6">
        <f>(M608*H608)/F608</f>
        <v>8.9866156787762913E-2</v>
      </c>
      <c r="R608" s="5">
        <f>IF(S608="Quarterly",4,IF(S608="Semi-annual",2,IF(S608="Annual",1,IF(S608="Pays at maturity",0,IF(S608="Monthly",12,0)))))</f>
        <v>1</v>
      </c>
      <c r="S608" t="s">
        <v>93</v>
      </c>
      <c r="U608">
        <f>R608*P608</f>
        <v>2</v>
      </c>
      <c r="V608">
        <f>(H608*M608)/AD608</f>
        <v>94</v>
      </c>
      <c r="W608" s="28">
        <f>RATE(U608,V608,-F608,H608)</f>
        <v>6.8606895032949422E-2</v>
      </c>
      <c r="X608" s="27">
        <f>W608*AD608</f>
        <v>6.8606895032949422E-2</v>
      </c>
      <c r="Y608" s="5">
        <f>DURATION(N608,O608,M608,D608,AD608)</f>
        <v>1.9159034466224429</v>
      </c>
      <c r="Z608" s="5">
        <f>Y608/(1+C608)</f>
        <v>1.7928982636438706</v>
      </c>
      <c r="AA608" s="5">
        <f>-Z608*F608</f>
        <v>-1875.3715837714888</v>
      </c>
      <c r="AB608" t="s">
        <v>64</v>
      </c>
      <c r="AC608" t="s">
        <v>62</v>
      </c>
      <c r="AD608">
        <f>_xlfn.SWITCH(PROPER(TRIM(S608)),
   "Annual",1,
   "Semi-Annual",2,
   "Quarterly",4,
   "Monthly",12,
   "")</f>
        <v>1</v>
      </c>
    </row>
    <row r="609" spans="1:30" x14ac:dyDescent="0.35">
      <c r="C609" s="28"/>
      <c r="D609" s="27"/>
      <c r="I609" s="22"/>
      <c r="K609" s="22"/>
      <c r="M609" s="22"/>
      <c r="N609" s="21"/>
      <c r="O609" s="21"/>
      <c r="P609" s="5"/>
      <c r="Q609" s="6"/>
      <c r="R609" s="5"/>
      <c r="W609" s="28"/>
      <c r="Y609" s="33"/>
      <c r="Z609" s="33"/>
      <c r="AA609" s="33"/>
    </row>
    <row r="610" spans="1:30" x14ac:dyDescent="0.35">
      <c r="A610" t="s">
        <v>1547</v>
      </c>
      <c r="B610" t="s">
        <v>1546</v>
      </c>
      <c r="C610" s="36">
        <f t="shared" ref="C610:C615" si="351">RATE(U610,V610,-F610,H610)</f>
        <v>0.6954475527544246</v>
      </c>
      <c r="D610" s="3">
        <f t="shared" ref="D610:D615" si="352">C610*AD610</f>
        <v>0.6954475527544246</v>
      </c>
      <c r="F610">
        <v>34176</v>
      </c>
      <c r="G610" t="s">
        <v>76</v>
      </c>
      <c r="H610">
        <v>100000</v>
      </c>
      <c r="I610" s="22"/>
      <c r="J610">
        <v>3</v>
      </c>
      <c r="K610" s="22"/>
      <c r="L610">
        <v>136.85025172338899</v>
      </c>
      <c r="M610" s="22">
        <v>0.1195</v>
      </c>
      <c r="N610" s="21">
        <v>45229</v>
      </c>
      <c r="O610" s="21">
        <v>46325</v>
      </c>
      <c r="P610">
        <f t="shared" ref="P610:P615" si="353">ROUND(YEARFRAC(N610,O610),0)</f>
        <v>3</v>
      </c>
      <c r="Q610" s="6">
        <f t="shared" ref="Q610:Q615" si="354">(M610*H610)/F610</f>
        <v>0.34966058052434457</v>
      </c>
      <c r="R610" s="5">
        <f t="shared" ref="R610:R615" si="355">IF(S610="Quarterly",4,IF(S610="Semi-annual",2,IF(S610="Annual",1,IF(S610="Pays at maturity",0,IF(S610="Monthly",12,0)))))</f>
        <v>1</v>
      </c>
      <c r="S610" t="s">
        <v>93</v>
      </c>
      <c r="U610">
        <f t="shared" ref="U610:U615" si="356">R610*P610</f>
        <v>3</v>
      </c>
      <c r="V610">
        <f t="shared" ref="V610:V615" si="357">(H610*M610)/AD610</f>
        <v>11950</v>
      </c>
      <c r="W610" s="28">
        <f t="shared" ref="W610:W615" si="358">RATE(U610,V610,-F610,H610)</f>
        <v>0.6954475527544246</v>
      </c>
      <c r="X610" s="27">
        <f t="shared" ref="X610:X615" si="359">W610*AD610</f>
        <v>0.6954475527544246</v>
      </c>
      <c r="Y610" s="5">
        <f t="shared" ref="Y610:Y615" si="360">DURATION(N610,O610,M610,D610,AD610)</f>
        <v>2.4658896214569692</v>
      </c>
      <c r="Z610" s="5">
        <f t="shared" ref="Z610:Z615" si="361">Y610/(1+C610)</f>
        <v>1.4544181077444032</v>
      </c>
      <c r="AA610" s="5">
        <f t="shared" ref="AA610:AA615" si="362">-Z610*F610</f>
        <v>-49706.193250272721</v>
      </c>
      <c r="AB610" t="s">
        <v>64</v>
      </c>
      <c r="AC610" t="s">
        <v>62</v>
      </c>
      <c r="AD610">
        <f t="shared" ref="AD610:AD615" si="363">_xlfn.SWITCH(PROPER(TRIM(S610)),
   "Annual",1,
   "Semi-Annual",2,
   "Quarterly",4,
   "Monthly",12,
   "")</f>
        <v>1</v>
      </c>
    </row>
    <row r="611" spans="1:30" x14ac:dyDescent="0.35">
      <c r="A611" t="s">
        <v>1545</v>
      </c>
      <c r="B611" t="s">
        <v>661</v>
      </c>
      <c r="C611" s="36">
        <f t="shared" si="351"/>
        <v>3.0053384457523265E-2</v>
      </c>
      <c r="D611" s="3">
        <f t="shared" si="352"/>
        <v>6.010676891504653E-2</v>
      </c>
      <c r="F611">
        <v>1008.5</v>
      </c>
      <c r="G611" t="s">
        <v>66</v>
      </c>
      <c r="H611">
        <v>1000</v>
      </c>
      <c r="I611" s="22"/>
      <c r="J611">
        <v>300000</v>
      </c>
      <c r="K611" s="22"/>
      <c r="M611" s="22">
        <v>6.1249999999999999E-2</v>
      </c>
      <c r="N611" s="21">
        <v>42674</v>
      </c>
      <c r="O611" s="21">
        <v>46326</v>
      </c>
      <c r="P611">
        <f t="shared" si="353"/>
        <v>10</v>
      </c>
      <c r="Q611" s="6">
        <f t="shared" si="354"/>
        <v>6.0733763014377787E-2</v>
      </c>
      <c r="R611" s="5">
        <f t="shared" si="355"/>
        <v>2</v>
      </c>
      <c r="S611" t="s">
        <v>65</v>
      </c>
      <c r="U611">
        <f t="shared" si="356"/>
        <v>20</v>
      </c>
      <c r="V611">
        <f t="shared" si="357"/>
        <v>30.625</v>
      </c>
      <c r="W611" s="28">
        <f t="shared" si="358"/>
        <v>3.0053384457523265E-2</v>
      </c>
      <c r="X611" s="27">
        <f t="shared" si="359"/>
        <v>6.010676891504653E-2</v>
      </c>
      <c r="Y611" s="5">
        <f t="shared" si="360"/>
        <v>7.6340913734264184</v>
      </c>
      <c r="Z611" s="5">
        <f t="shared" si="361"/>
        <v>7.4113550701519282</v>
      </c>
      <c r="AA611" s="5">
        <f t="shared" si="362"/>
        <v>-7474.3515882482197</v>
      </c>
      <c r="AB611" t="s">
        <v>64</v>
      </c>
      <c r="AC611" t="s">
        <v>62</v>
      </c>
      <c r="AD611">
        <f t="shared" si="363"/>
        <v>2</v>
      </c>
    </row>
    <row r="612" spans="1:30" x14ac:dyDescent="0.35">
      <c r="A612" t="s">
        <v>1544</v>
      </c>
      <c r="B612" t="s">
        <v>417</v>
      </c>
      <c r="C612" s="36">
        <f t="shared" si="351"/>
        <v>9.6908689152829727E-2</v>
      </c>
      <c r="D612" s="3">
        <f t="shared" si="352"/>
        <v>9.6908689152829727E-2</v>
      </c>
      <c r="F612">
        <v>10820</v>
      </c>
      <c r="G612" t="s">
        <v>76</v>
      </c>
      <c r="H612">
        <v>10000</v>
      </c>
      <c r="I612" s="22"/>
      <c r="J612">
        <v>30</v>
      </c>
      <c r="K612" s="22"/>
      <c r="L612">
        <v>4.0747673799304396</v>
      </c>
      <c r="M612" s="22">
        <v>0.1075</v>
      </c>
      <c r="N612" s="21">
        <v>40847</v>
      </c>
      <c r="O612" s="21">
        <v>46326</v>
      </c>
      <c r="P612">
        <f t="shared" si="353"/>
        <v>15</v>
      </c>
      <c r="Q612" s="6">
        <f t="shared" si="354"/>
        <v>9.9353049907578553E-2</v>
      </c>
      <c r="R612" s="5">
        <f t="shared" si="355"/>
        <v>1</v>
      </c>
      <c r="S612" t="s">
        <v>93</v>
      </c>
      <c r="U612">
        <f t="shared" si="356"/>
        <v>15</v>
      </c>
      <c r="V612">
        <f t="shared" si="357"/>
        <v>1075</v>
      </c>
      <c r="W612" s="28">
        <f t="shared" si="358"/>
        <v>9.6908689152829727E-2</v>
      </c>
      <c r="X612" s="27">
        <f t="shared" si="359"/>
        <v>9.6908689152829727E-2</v>
      </c>
      <c r="Y612" s="5">
        <f t="shared" si="360"/>
        <v>8.3283402568977678</v>
      </c>
      <c r="Z612" s="5">
        <f t="shared" si="361"/>
        <v>7.5925556422840952</v>
      </c>
      <c r="AA612" s="5">
        <f t="shared" si="362"/>
        <v>-82151.452049513915</v>
      </c>
      <c r="AB612" t="s">
        <v>69</v>
      </c>
      <c r="AC612" t="s">
        <v>62</v>
      </c>
      <c r="AD612">
        <f t="shared" si="363"/>
        <v>1</v>
      </c>
    </row>
    <row r="613" spans="1:30" x14ac:dyDescent="0.35">
      <c r="A613" t="s">
        <v>1543</v>
      </c>
      <c r="B613" t="s">
        <v>326</v>
      </c>
      <c r="C613" s="36">
        <f t="shared" si="351"/>
        <v>0.11027075461839143</v>
      </c>
      <c r="D613" s="3">
        <f t="shared" si="352"/>
        <v>0.11027075461839143</v>
      </c>
      <c r="F613">
        <v>999</v>
      </c>
      <c r="G613" t="s">
        <v>76</v>
      </c>
      <c r="H613">
        <v>1000</v>
      </c>
      <c r="I613" s="22"/>
      <c r="J613">
        <v>30</v>
      </c>
      <c r="K613" s="22"/>
      <c r="L613">
        <v>11.088748322790799</v>
      </c>
      <c r="M613" s="22">
        <v>0.11</v>
      </c>
      <c r="N613" s="21">
        <v>44501</v>
      </c>
      <c r="O613" s="21">
        <v>46326</v>
      </c>
      <c r="P613">
        <f t="shared" si="353"/>
        <v>5</v>
      </c>
      <c r="Q613" s="6">
        <f t="shared" si="354"/>
        <v>0.11011011011011011</v>
      </c>
      <c r="R613" s="5">
        <f t="shared" si="355"/>
        <v>1</v>
      </c>
      <c r="S613" t="s">
        <v>93</v>
      </c>
      <c r="U613">
        <f t="shared" si="356"/>
        <v>5</v>
      </c>
      <c r="V613">
        <f t="shared" si="357"/>
        <v>110</v>
      </c>
      <c r="W613" s="28">
        <f t="shared" si="358"/>
        <v>0.11027075461839143</v>
      </c>
      <c r="X613" s="27">
        <f t="shared" si="359"/>
        <v>0.11027075461839143</v>
      </c>
      <c r="Y613" s="5">
        <f t="shared" si="360"/>
        <v>4.0991854688982849</v>
      </c>
      <c r="Z613" s="5">
        <f t="shared" si="361"/>
        <v>3.6920593034148741</v>
      </c>
      <c r="AA613" s="5">
        <f t="shared" si="362"/>
        <v>-3688.3672441114591</v>
      </c>
      <c r="AB613" t="s">
        <v>64</v>
      </c>
      <c r="AC613" t="s">
        <v>62</v>
      </c>
      <c r="AD613">
        <f t="shared" si="363"/>
        <v>1</v>
      </c>
    </row>
    <row r="614" spans="1:30" x14ac:dyDescent="0.35">
      <c r="A614" t="s">
        <v>1542</v>
      </c>
      <c r="B614" t="s">
        <v>241</v>
      </c>
      <c r="C614" s="36">
        <f t="shared" si="351"/>
        <v>9.2571801000247173E-2</v>
      </c>
      <c r="D614" s="3">
        <f t="shared" si="352"/>
        <v>9.2571801000247173E-2</v>
      </c>
      <c r="F614">
        <v>991</v>
      </c>
      <c r="G614" t="s">
        <v>76</v>
      </c>
      <c r="H614">
        <v>1000</v>
      </c>
      <c r="I614" s="22"/>
      <c r="J614">
        <v>1</v>
      </c>
      <c r="K614" s="22"/>
      <c r="L614">
        <v>9.6614914103730296</v>
      </c>
      <c r="M614" s="22">
        <v>8.900000000000001E-2</v>
      </c>
      <c r="N614" s="21">
        <v>45231</v>
      </c>
      <c r="O614" s="21">
        <v>46327</v>
      </c>
      <c r="P614">
        <f t="shared" si="353"/>
        <v>3</v>
      </c>
      <c r="Q614" s="6">
        <f t="shared" si="354"/>
        <v>8.9808274470232097E-2</v>
      </c>
      <c r="R614" s="5">
        <f t="shared" si="355"/>
        <v>1</v>
      </c>
      <c r="S614" t="s">
        <v>93</v>
      </c>
      <c r="U614">
        <f t="shared" si="356"/>
        <v>3</v>
      </c>
      <c r="V614">
        <f t="shared" si="357"/>
        <v>89.000000000000014</v>
      </c>
      <c r="W614" s="28">
        <f t="shared" si="358"/>
        <v>9.2571801000247173E-2</v>
      </c>
      <c r="X614" s="27">
        <f t="shared" si="359"/>
        <v>9.2571801000247173E-2</v>
      </c>
      <c r="Y614" s="5">
        <f t="shared" si="360"/>
        <v>2.7603676786586533</v>
      </c>
      <c r="Z614" s="5">
        <f t="shared" si="361"/>
        <v>2.5264862923713962</v>
      </c>
      <c r="AA614" s="5">
        <f t="shared" si="362"/>
        <v>-2503.7479157400535</v>
      </c>
      <c r="AB614" t="s">
        <v>64</v>
      </c>
      <c r="AC614" t="s">
        <v>62</v>
      </c>
      <c r="AD614">
        <f t="shared" si="363"/>
        <v>1</v>
      </c>
    </row>
    <row r="615" spans="1:30" x14ac:dyDescent="0.35">
      <c r="A615" t="s">
        <v>1541</v>
      </c>
      <c r="B615" t="s">
        <v>241</v>
      </c>
      <c r="C615" s="36">
        <f t="shared" si="351"/>
        <v>8.7894471594720108E-2</v>
      </c>
      <c r="D615" s="3">
        <f t="shared" si="352"/>
        <v>8.7894471594720108E-2</v>
      </c>
      <c r="F615">
        <v>1012.21</v>
      </c>
      <c r="G615" t="s">
        <v>76</v>
      </c>
      <c r="H615">
        <v>1000</v>
      </c>
      <c r="I615" s="22"/>
      <c r="J615">
        <v>10</v>
      </c>
      <c r="K615" s="22"/>
      <c r="L615">
        <v>8.2428167459929593</v>
      </c>
      <c r="M615" s="22">
        <v>9.2699999999999991E-2</v>
      </c>
      <c r="N615" s="21">
        <v>45231</v>
      </c>
      <c r="O615" s="21">
        <v>46327</v>
      </c>
      <c r="P615">
        <f t="shared" si="353"/>
        <v>3</v>
      </c>
      <c r="Q615" s="6">
        <f t="shared" si="354"/>
        <v>9.1581786388200068E-2</v>
      </c>
      <c r="R615" s="5">
        <f t="shared" si="355"/>
        <v>1</v>
      </c>
      <c r="S615" t="s">
        <v>93</v>
      </c>
      <c r="U615">
        <f t="shared" si="356"/>
        <v>3</v>
      </c>
      <c r="V615">
        <f t="shared" si="357"/>
        <v>92.699999999999989</v>
      </c>
      <c r="W615" s="28">
        <f t="shared" si="358"/>
        <v>8.7894471594720108E-2</v>
      </c>
      <c r="X615" s="27">
        <f t="shared" si="359"/>
        <v>8.7894471594720108E-2</v>
      </c>
      <c r="Y615" s="5">
        <f t="shared" si="360"/>
        <v>2.7542535779892798</v>
      </c>
      <c r="Z615" s="5">
        <f t="shared" si="361"/>
        <v>2.5317286280091866</v>
      </c>
      <c r="AA615" s="5">
        <f t="shared" si="362"/>
        <v>-2562.641034557179</v>
      </c>
      <c r="AB615" t="s">
        <v>64</v>
      </c>
      <c r="AC615" t="s">
        <v>62</v>
      </c>
      <c r="AD615">
        <f t="shared" si="363"/>
        <v>1</v>
      </c>
    </row>
    <row r="616" spans="1:30" x14ac:dyDescent="0.35">
      <c r="C616" s="28"/>
      <c r="D616" s="27"/>
      <c r="I616" s="22"/>
      <c r="K616" s="22"/>
      <c r="M616" s="22"/>
      <c r="N616" s="21"/>
      <c r="O616" s="21"/>
      <c r="P616" s="5"/>
      <c r="Q616" s="6"/>
      <c r="R616" s="5"/>
      <c r="W616" s="28"/>
      <c r="Y616" s="33"/>
      <c r="Z616" s="33"/>
      <c r="AA616" s="33"/>
    </row>
    <row r="617" spans="1:30" x14ac:dyDescent="0.35">
      <c r="A617" t="s">
        <v>1539</v>
      </c>
      <c r="B617" t="s">
        <v>353</v>
      </c>
      <c r="C617" s="36">
        <f>RATE(U617,V617,-F617,H617)</f>
        <v>0.15362026968620915</v>
      </c>
      <c r="D617" s="3">
        <f>C617*AD617</f>
        <v>0.15362026968620915</v>
      </c>
      <c r="F617">
        <v>901</v>
      </c>
      <c r="G617" t="s">
        <v>76</v>
      </c>
      <c r="H617">
        <v>1000</v>
      </c>
      <c r="I617" s="22"/>
      <c r="J617">
        <v>2</v>
      </c>
      <c r="K617" s="22"/>
      <c r="L617">
        <v>20.057079435547799</v>
      </c>
      <c r="M617" s="22">
        <v>0.11</v>
      </c>
      <c r="N617" s="21">
        <v>45233</v>
      </c>
      <c r="O617" s="21">
        <v>46328</v>
      </c>
      <c r="P617">
        <f>ROUND(YEARFRAC(N617,O617),0)</f>
        <v>3</v>
      </c>
      <c r="Q617" s="6">
        <f>(M617*H617)/F617</f>
        <v>0.1220865704772475</v>
      </c>
      <c r="R617" s="5">
        <f>IF(S617="Quarterly",4,IF(S617="Semi-annual",2,IF(S617="Annual",1,IF(S617="Pays at maturity",0,IF(S617="Monthly",12,0)))))</f>
        <v>1</v>
      </c>
      <c r="S617" t="s">
        <v>93</v>
      </c>
      <c r="U617">
        <f>R617*P617</f>
        <v>3</v>
      </c>
      <c r="V617">
        <f>(H617*M617)/AD617</f>
        <v>110</v>
      </c>
      <c r="W617" s="28">
        <f>RATE(U617,V617,-F617,H617)</f>
        <v>0.15362026968620915</v>
      </c>
      <c r="X617" s="27">
        <f>W617*AD617</f>
        <v>0.15362026968620915</v>
      </c>
      <c r="Y617" s="5">
        <f>DURATION(N617,O617,M617,D617,AD617)</f>
        <v>2.6938275706232102</v>
      </c>
      <c r="Z617" s="5">
        <f>Y617/(1+C617)</f>
        <v>2.3351076965351392</v>
      </c>
      <c r="AA617" s="5">
        <f>-Z617*F617</f>
        <v>-2103.9320345781603</v>
      </c>
      <c r="AB617" t="s">
        <v>64</v>
      </c>
      <c r="AC617" t="s">
        <v>62</v>
      </c>
      <c r="AD617">
        <f>_xlfn.SWITCH(PROPER(TRIM(S617)),
   "Annual",1,
   "Semi-Annual",2,
   "Quarterly",4,
   "Monthly",12,
   "")</f>
        <v>1</v>
      </c>
    </row>
    <row r="618" spans="1:30" x14ac:dyDescent="0.35">
      <c r="C618" s="28"/>
      <c r="D618" s="27"/>
      <c r="I618" s="22"/>
      <c r="K618" s="22"/>
      <c r="M618" s="22"/>
      <c r="N618" s="21"/>
      <c r="O618" s="21"/>
      <c r="P618" s="5"/>
      <c r="Q618" s="6"/>
      <c r="R618" s="5"/>
      <c r="W618" s="28"/>
      <c r="Y618" s="33"/>
      <c r="Z618" s="33"/>
      <c r="AA618" s="33"/>
    </row>
    <row r="619" spans="1:30" x14ac:dyDescent="0.35">
      <c r="A619" t="s">
        <v>1537</v>
      </c>
      <c r="B619" t="s">
        <v>241</v>
      </c>
      <c r="C619" s="36">
        <f t="shared" ref="C619:C629" si="364">RATE(U619,V619,-F619,H619)</f>
        <v>9.1141637375172127E-2</v>
      </c>
      <c r="D619" s="3">
        <f t="shared" ref="D619:D629" si="365">C619*AD619</f>
        <v>9.1141637375172127E-2</v>
      </c>
      <c r="F619">
        <v>985</v>
      </c>
      <c r="G619" t="s">
        <v>76</v>
      </c>
      <c r="H619">
        <v>1000</v>
      </c>
      <c r="I619" s="22"/>
      <c r="J619">
        <v>50</v>
      </c>
      <c r="K619" s="22"/>
      <c r="L619">
        <v>9.8758943203165597</v>
      </c>
      <c r="M619" s="22">
        <v>8.6500000000000007E-2</v>
      </c>
      <c r="N619" s="21">
        <v>45048</v>
      </c>
      <c r="O619" s="21">
        <v>46328</v>
      </c>
      <c r="P619">
        <f t="shared" ref="P619:P629" si="366">ROUND(YEARFRAC(N619,O619),0)</f>
        <v>4</v>
      </c>
      <c r="Q619" s="6">
        <f t="shared" ref="Q619:Q629" si="367">(M619*H619)/F619</f>
        <v>8.7817258883248747E-2</v>
      </c>
      <c r="R619" s="5">
        <f t="shared" ref="R619:R629" si="368">IF(S619="Quarterly",4,IF(S619="Semi-annual",2,IF(S619="Annual",1,IF(S619="Pays at maturity",0,IF(S619="Monthly",12,0)))))</f>
        <v>1</v>
      </c>
      <c r="S619" t="s">
        <v>93</v>
      </c>
      <c r="U619">
        <f t="shared" ref="U619:U629" si="369">R619*P619</f>
        <v>4</v>
      </c>
      <c r="V619">
        <f t="shared" ref="V619:V629" si="370">(H619*M619)/AD619</f>
        <v>86.500000000000014</v>
      </c>
      <c r="W619" s="28">
        <f t="shared" ref="W619:W629" si="371">RATE(U619,V619,-F619,H619)</f>
        <v>9.1141637375172127E-2</v>
      </c>
      <c r="X619" s="27">
        <f t="shared" ref="X619:X629" si="372">W619*AD619</f>
        <v>9.1141637375172127E-2</v>
      </c>
      <c r="Y619" s="5">
        <f t="shared" ref="Y619:Y629" si="373">DURATION(N619,O619,M619,D619,AD619)</f>
        <v>3.0434367118085244</v>
      </c>
      <c r="Z619" s="5">
        <f t="shared" ref="Z619:Z629" si="374">Y619/(1+C619)</f>
        <v>2.7892224139936159</v>
      </c>
      <c r="AA619" s="5">
        <f t="shared" ref="AA619:AA629" si="375">-Z619*F619</f>
        <v>-2747.3840777837117</v>
      </c>
      <c r="AB619" t="s">
        <v>64</v>
      </c>
      <c r="AC619" t="s">
        <v>62</v>
      </c>
      <c r="AD619">
        <f t="shared" ref="AD619:AD629" si="376">_xlfn.SWITCH(PROPER(TRIM(S619)),
   "Annual",1,
   "Semi-Annual",2,
   "Quarterly",4,
   "Monthly",12,
   "")</f>
        <v>1</v>
      </c>
    </row>
    <row r="620" spans="1:30" x14ac:dyDescent="0.35">
      <c r="A620" t="s">
        <v>1536</v>
      </c>
      <c r="B620" t="s">
        <v>209</v>
      </c>
      <c r="C620" s="36">
        <f t="shared" si="364"/>
        <v>6.0541240021638736E-2</v>
      </c>
      <c r="D620" s="3">
        <f t="shared" si="365"/>
        <v>6.0541240021638736E-2</v>
      </c>
      <c r="F620">
        <v>1080</v>
      </c>
      <c r="G620" t="s">
        <v>76</v>
      </c>
      <c r="H620">
        <v>1000</v>
      </c>
      <c r="I620" s="22"/>
      <c r="J620">
        <v>1</v>
      </c>
      <c r="K620" s="22"/>
      <c r="L620">
        <v>2.9937656780286201</v>
      </c>
      <c r="M620" s="22">
        <v>9.0500000000000011E-2</v>
      </c>
      <c r="N620" s="21">
        <v>45233</v>
      </c>
      <c r="O620" s="21">
        <v>46329</v>
      </c>
      <c r="P620">
        <f t="shared" si="366"/>
        <v>3</v>
      </c>
      <c r="Q620" s="6">
        <f t="shared" si="367"/>
        <v>8.3796296296296313E-2</v>
      </c>
      <c r="R620" s="5">
        <f t="shared" si="368"/>
        <v>1</v>
      </c>
      <c r="S620" t="s">
        <v>93</v>
      </c>
      <c r="U620">
        <f t="shared" si="369"/>
        <v>3</v>
      </c>
      <c r="V620">
        <f t="shared" si="370"/>
        <v>90.500000000000014</v>
      </c>
      <c r="W620" s="28">
        <f t="shared" si="371"/>
        <v>6.0541240021638736E-2</v>
      </c>
      <c r="X620" s="27">
        <f t="shared" si="372"/>
        <v>6.0541240021638736E-2</v>
      </c>
      <c r="Y620" s="5">
        <f t="shared" si="373"/>
        <v>2.7674721653572321</v>
      </c>
      <c r="Z620" s="5">
        <f t="shared" si="374"/>
        <v>2.6094903818174635</v>
      </c>
      <c r="AA620" s="5">
        <f t="shared" si="375"/>
        <v>-2818.2496123628607</v>
      </c>
      <c r="AB620" t="s">
        <v>64</v>
      </c>
      <c r="AC620" t="s">
        <v>62</v>
      </c>
      <c r="AD620">
        <f t="shared" si="376"/>
        <v>1</v>
      </c>
    </row>
    <row r="621" spans="1:30" x14ac:dyDescent="0.35">
      <c r="A621" t="s">
        <v>1535</v>
      </c>
      <c r="B621" t="s">
        <v>72</v>
      </c>
      <c r="C621" s="36">
        <f t="shared" si="364"/>
        <v>6.8340959329272727E-2</v>
      </c>
      <c r="D621" s="3">
        <f t="shared" si="365"/>
        <v>6.8340959329272727E-2</v>
      </c>
      <c r="F621">
        <v>108614.18</v>
      </c>
      <c r="G621" t="s">
        <v>76</v>
      </c>
      <c r="H621">
        <v>100000</v>
      </c>
      <c r="I621" s="22"/>
      <c r="J621">
        <v>15</v>
      </c>
      <c r="K621" s="22"/>
      <c r="L621">
        <v>1.03365332255721</v>
      </c>
      <c r="M621" s="22">
        <v>7.7699999999999991E-2</v>
      </c>
      <c r="N621" s="21">
        <v>40855</v>
      </c>
      <c r="O621" s="21">
        <v>46334</v>
      </c>
      <c r="P621">
        <f t="shared" si="366"/>
        <v>15</v>
      </c>
      <c r="Q621" s="6">
        <f t="shared" si="367"/>
        <v>7.1537620594290724E-2</v>
      </c>
      <c r="R621" s="5">
        <f t="shared" si="368"/>
        <v>1</v>
      </c>
      <c r="S621" t="s">
        <v>93</v>
      </c>
      <c r="U621">
        <f t="shared" si="369"/>
        <v>15</v>
      </c>
      <c r="V621">
        <f t="shared" si="370"/>
        <v>7769.9999999999991</v>
      </c>
      <c r="W621" s="28">
        <f t="shared" si="371"/>
        <v>6.8340959329272727E-2</v>
      </c>
      <c r="X621" s="27">
        <f t="shared" si="372"/>
        <v>6.8340959329272727E-2</v>
      </c>
      <c r="Y621" s="5">
        <f t="shared" si="373"/>
        <v>9.59146541993913</v>
      </c>
      <c r="Z621" s="5">
        <f t="shared" si="374"/>
        <v>8.9779066656405799</v>
      </c>
      <c r="AA621" s="5">
        <f t="shared" si="375"/>
        <v>-975127.97060508572</v>
      </c>
      <c r="AB621" t="s">
        <v>64</v>
      </c>
      <c r="AC621" t="s">
        <v>62</v>
      </c>
      <c r="AD621">
        <f t="shared" si="376"/>
        <v>1</v>
      </c>
    </row>
    <row r="622" spans="1:30" x14ac:dyDescent="0.35">
      <c r="A622" t="s">
        <v>1534</v>
      </c>
      <c r="B622" t="s">
        <v>128</v>
      </c>
      <c r="C622" s="36">
        <f t="shared" si="364"/>
        <v>0.21717227831755781</v>
      </c>
      <c r="D622" s="3">
        <f t="shared" si="365"/>
        <v>0.21717227831755781</v>
      </c>
      <c r="F622">
        <v>749</v>
      </c>
      <c r="G622" t="s">
        <v>76</v>
      </c>
      <c r="H622">
        <v>1000</v>
      </c>
      <c r="I622" s="22"/>
      <c r="J622">
        <v>125</v>
      </c>
      <c r="K622" s="22"/>
      <c r="L622">
        <v>36.7824028356019</v>
      </c>
      <c r="M622" s="22">
        <v>9.4800000000000009E-2</v>
      </c>
      <c r="N622" s="21">
        <v>45239</v>
      </c>
      <c r="O622" s="21">
        <v>46335</v>
      </c>
      <c r="P622">
        <f t="shared" si="366"/>
        <v>3</v>
      </c>
      <c r="Q622" s="6">
        <f t="shared" si="367"/>
        <v>0.1265687583444593</v>
      </c>
      <c r="R622" s="5">
        <f t="shared" si="368"/>
        <v>1</v>
      </c>
      <c r="S622" t="s">
        <v>93</v>
      </c>
      <c r="U622">
        <f t="shared" si="369"/>
        <v>3</v>
      </c>
      <c r="V622">
        <f t="shared" si="370"/>
        <v>94.800000000000011</v>
      </c>
      <c r="W622" s="28">
        <f t="shared" si="371"/>
        <v>0.21717227831755781</v>
      </c>
      <c r="X622" s="27">
        <f t="shared" si="372"/>
        <v>0.21717227831755781</v>
      </c>
      <c r="Y622" s="5">
        <f t="shared" si="373"/>
        <v>2.7065958320368777</v>
      </c>
      <c r="Z622" s="5">
        <f t="shared" si="374"/>
        <v>2.2236752185796433</v>
      </c>
      <c r="AA622" s="5">
        <f t="shared" si="375"/>
        <v>-1665.5327387161528</v>
      </c>
      <c r="AB622" t="s">
        <v>64</v>
      </c>
      <c r="AC622" t="s">
        <v>62</v>
      </c>
      <c r="AD622">
        <f t="shared" si="376"/>
        <v>1</v>
      </c>
    </row>
    <row r="623" spans="1:30" x14ac:dyDescent="0.35">
      <c r="A623" t="s">
        <v>1533</v>
      </c>
      <c r="B623" t="s">
        <v>128</v>
      </c>
      <c r="C623" s="36">
        <f t="shared" si="364"/>
        <v>9.803025490548338E-2</v>
      </c>
      <c r="D623" s="3">
        <f t="shared" si="365"/>
        <v>9.803025490548338E-2</v>
      </c>
      <c r="F623">
        <v>1002.42</v>
      </c>
      <c r="G623" t="s">
        <v>76</v>
      </c>
      <c r="H623">
        <v>1000</v>
      </c>
      <c r="I623" s="22"/>
      <c r="J623">
        <v>7</v>
      </c>
      <c r="K623" s="22"/>
      <c r="L623">
        <v>9.7072937896420903</v>
      </c>
      <c r="M623" s="22">
        <v>9.9000000000000005E-2</v>
      </c>
      <c r="N623" s="21">
        <v>45239</v>
      </c>
      <c r="O623" s="21">
        <v>46335</v>
      </c>
      <c r="P623">
        <f t="shared" si="366"/>
        <v>3</v>
      </c>
      <c r="Q623" s="6">
        <f t="shared" si="367"/>
        <v>9.8760998383910933E-2</v>
      </c>
      <c r="R623" s="5">
        <f t="shared" si="368"/>
        <v>1</v>
      </c>
      <c r="S623" t="s">
        <v>93</v>
      </c>
      <c r="U623">
        <f t="shared" si="369"/>
        <v>3</v>
      </c>
      <c r="V623">
        <f t="shared" si="370"/>
        <v>99</v>
      </c>
      <c r="W623" s="28">
        <f t="shared" si="371"/>
        <v>9.803025490548338E-2</v>
      </c>
      <c r="X623" s="27">
        <f t="shared" si="372"/>
        <v>9.803025490548338E-2</v>
      </c>
      <c r="Y623" s="5">
        <f t="shared" si="373"/>
        <v>2.7381986683987005</v>
      </c>
      <c r="Z623" s="5">
        <f t="shared" si="374"/>
        <v>2.4937369951016515</v>
      </c>
      <c r="AA623" s="5">
        <f t="shared" si="375"/>
        <v>-2499.7718386297975</v>
      </c>
      <c r="AB623" t="s">
        <v>64</v>
      </c>
      <c r="AC623" t="s">
        <v>62</v>
      </c>
      <c r="AD623">
        <f t="shared" si="376"/>
        <v>1</v>
      </c>
    </row>
    <row r="624" spans="1:30" x14ac:dyDescent="0.35">
      <c r="A624" t="s">
        <v>1532</v>
      </c>
      <c r="B624" t="s">
        <v>1531</v>
      </c>
      <c r="C624" s="36">
        <f t="shared" si="364"/>
        <v>0.11665067964277169</v>
      </c>
      <c r="D624" s="3">
        <f t="shared" si="365"/>
        <v>0.11665067964277169</v>
      </c>
      <c r="F624">
        <v>100263</v>
      </c>
      <c r="G624" t="s">
        <v>76</v>
      </c>
      <c r="H624">
        <v>100000</v>
      </c>
      <c r="I624" s="22"/>
      <c r="J624">
        <v>100</v>
      </c>
      <c r="K624" s="22"/>
      <c r="L624">
        <v>11.676752041310699</v>
      </c>
      <c r="M624" s="22">
        <v>0.1182</v>
      </c>
      <c r="N624" s="21">
        <v>45474</v>
      </c>
      <c r="O624" s="21">
        <v>46335</v>
      </c>
      <c r="P624">
        <f t="shared" si="366"/>
        <v>2</v>
      </c>
      <c r="Q624" s="6">
        <f t="shared" si="367"/>
        <v>0.11788994943299123</v>
      </c>
      <c r="R624" s="5">
        <f t="shared" si="368"/>
        <v>1</v>
      </c>
      <c r="S624" t="s">
        <v>93</v>
      </c>
      <c r="U624">
        <f t="shared" si="369"/>
        <v>2</v>
      </c>
      <c r="V624">
        <f t="shared" si="370"/>
        <v>11820</v>
      </c>
      <c r="W624" s="28">
        <f t="shared" si="371"/>
        <v>0.11665067964277169</v>
      </c>
      <c r="X624" s="27">
        <f t="shared" si="372"/>
        <v>0.11665067964277169</v>
      </c>
      <c r="Y624" s="5">
        <f t="shared" si="373"/>
        <v>2.0501994696837151</v>
      </c>
      <c r="Z624" s="5">
        <f t="shared" si="374"/>
        <v>1.836025810990054</v>
      </c>
      <c r="AA624" s="5">
        <f t="shared" si="375"/>
        <v>-184085.4558872958</v>
      </c>
      <c r="AB624" t="s">
        <v>64</v>
      </c>
      <c r="AC624" t="s">
        <v>62</v>
      </c>
      <c r="AD624">
        <f t="shared" si="376"/>
        <v>1</v>
      </c>
    </row>
    <row r="625" spans="1:30" x14ac:dyDescent="0.35">
      <c r="A625" t="s">
        <v>1530</v>
      </c>
      <c r="B625" t="s">
        <v>1114</v>
      </c>
      <c r="C625" s="36">
        <f t="shared" si="364"/>
        <v>0.24483807346220929</v>
      </c>
      <c r="D625" s="3">
        <f t="shared" si="365"/>
        <v>0.24483807346220929</v>
      </c>
      <c r="F625">
        <v>721</v>
      </c>
      <c r="G625" t="s">
        <v>76</v>
      </c>
      <c r="H625">
        <v>1000</v>
      </c>
      <c r="I625" s="22"/>
      <c r="J625">
        <v>6</v>
      </c>
      <c r="K625" s="22"/>
      <c r="L625">
        <v>43.958262916817198</v>
      </c>
      <c r="M625" s="22">
        <v>0.10300000000000001</v>
      </c>
      <c r="N625" s="21">
        <v>45240</v>
      </c>
      <c r="O625" s="21">
        <v>46336</v>
      </c>
      <c r="P625">
        <f t="shared" si="366"/>
        <v>3</v>
      </c>
      <c r="Q625" s="6">
        <f t="shared" si="367"/>
        <v>0.14285714285714288</v>
      </c>
      <c r="R625" s="5">
        <f t="shared" si="368"/>
        <v>1</v>
      </c>
      <c r="S625" t="s">
        <v>93</v>
      </c>
      <c r="U625">
        <f t="shared" si="369"/>
        <v>3</v>
      </c>
      <c r="V625">
        <f t="shared" si="370"/>
        <v>103.00000000000001</v>
      </c>
      <c r="W625" s="28">
        <f t="shared" si="371"/>
        <v>0.24483807346220929</v>
      </c>
      <c r="X625" s="27">
        <f t="shared" si="372"/>
        <v>0.24483807346220929</v>
      </c>
      <c r="Y625" s="5">
        <f t="shared" si="373"/>
        <v>2.6782923714215752</v>
      </c>
      <c r="Z625" s="5">
        <f t="shared" si="374"/>
        <v>2.1515186822431991</v>
      </c>
      <c r="AA625" s="5">
        <f t="shared" si="375"/>
        <v>-1551.2449698973464</v>
      </c>
      <c r="AB625" t="s">
        <v>64</v>
      </c>
      <c r="AC625" t="s">
        <v>62</v>
      </c>
      <c r="AD625">
        <f t="shared" si="376"/>
        <v>1</v>
      </c>
    </row>
    <row r="626" spans="1:30" x14ac:dyDescent="0.35">
      <c r="A626" t="s">
        <v>1529</v>
      </c>
      <c r="B626" t="s">
        <v>1114</v>
      </c>
      <c r="C626" s="36">
        <f t="shared" si="364"/>
        <v>0.11401766320523471</v>
      </c>
      <c r="D626" s="3">
        <f t="shared" si="365"/>
        <v>0.11401766320523471</v>
      </c>
      <c r="F626">
        <v>962.1</v>
      </c>
      <c r="G626" t="s">
        <v>76</v>
      </c>
      <c r="H626">
        <v>1000</v>
      </c>
      <c r="I626" s="22"/>
      <c r="J626">
        <v>178</v>
      </c>
      <c r="K626" s="22"/>
      <c r="L626">
        <v>13.2483083660654</v>
      </c>
      <c r="M626" s="22">
        <v>9.8400000000000001E-2</v>
      </c>
      <c r="N626" s="21">
        <v>45240</v>
      </c>
      <c r="O626" s="21">
        <v>46336</v>
      </c>
      <c r="P626">
        <f t="shared" si="366"/>
        <v>3</v>
      </c>
      <c r="Q626" s="6">
        <f t="shared" si="367"/>
        <v>0.10227627065793576</v>
      </c>
      <c r="R626" s="5">
        <f t="shared" si="368"/>
        <v>1</v>
      </c>
      <c r="S626" t="s">
        <v>93</v>
      </c>
      <c r="U626">
        <f t="shared" si="369"/>
        <v>3</v>
      </c>
      <c r="V626">
        <f t="shared" si="370"/>
        <v>98.4</v>
      </c>
      <c r="W626" s="28">
        <f t="shared" si="371"/>
        <v>0.11401766320523471</v>
      </c>
      <c r="X626" s="27">
        <f t="shared" si="372"/>
        <v>0.11401766320523471</v>
      </c>
      <c r="Y626" s="5">
        <f t="shared" si="373"/>
        <v>2.7339709834284918</v>
      </c>
      <c r="Z626" s="5">
        <f t="shared" si="374"/>
        <v>2.4541540710964598</v>
      </c>
      <c r="AA626" s="5">
        <f t="shared" si="375"/>
        <v>-2361.1416318019042</v>
      </c>
      <c r="AB626" t="s">
        <v>64</v>
      </c>
      <c r="AC626" t="s">
        <v>62</v>
      </c>
      <c r="AD626">
        <f t="shared" si="376"/>
        <v>1</v>
      </c>
    </row>
    <row r="627" spans="1:30" x14ac:dyDescent="0.35">
      <c r="A627" t="s">
        <v>1528</v>
      </c>
      <c r="B627" t="s">
        <v>465</v>
      </c>
      <c r="C627" s="36">
        <f t="shared" si="364"/>
        <v>0.11588500481423186</v>
      </c>
      <c r="D627" s="3">
        <f t="shared" si="365"/>
        <v>0.11588500481423186</v>
      </c>
      <c r="F627">
        <v>99000</v>
      </c>
      <c r="G627" t="s">
        <v>76</v>
      </c>
      <c r="H627">
        <v>100000</v>
      </c>
      <c r="I627" s="22"/>
      <c r="J627">
        <v>1</v>
      </c>
      <c r="K627" s="22"/>
      <c r="L627">
        <v>11.8411841184118</v>
      </c>
      <c r="M627" s="22">
        <v>0.11</v>
      </c>
      <c r="N627" s="21">
        <v>45758</v>
      </c>
      <c r="O627" s="21">
        <v>46337</v>
      </c>
      <c r="P627">
        <f t="shared" si="366"/>
        <v>2</v>
      </c>
      <c r="Q627" s="6">
        <f t="shared" si="367"/>
        <v>0.1111111111111111</v>
      </c>
      <c r="R627" s="5">
        <f t="shared" si="368"/>
        <v>1</v>
      </c>
      <c r="S627" t="s">
        <v>93</v>
      </c>
      <c r="U627">
        <f t="shared" si="369"/>
        <v>2</v>
      </c>
      <c r="V627">
        <f t="shared" si="370"/>
        <v>11000</v>
      </c>
      <c r="W627" s="28">
        <f t="shared" si="371"/>
        <v>0.11588500481423186</v>
      </c>
      <c r="X627" s="27">
        <f t="shared" si="372"/>
        <v>0.11588500481423186</v>
      </c>
      <c r="Y627" s="5">
        <f t="shared" si="373"/>
        <v>1.4837611456690603</v>
      </c>
      <c r="Z627" s="5">
        <f t="shared" si="374"/>
        <v>1.3296720892096501</v>
      </c>
      <c r="AA627" s="5">
        <f t="shared" si="375"/>
        <v>-131637.53683175537</v>
      </c>
      <c r="AB627" t="s">
        <v>64</v>
      </c>
      <c r="AC627" t="s">
        <v>62</v>
      </c>
      <c r="AD627">
        <f t="shared" si="376"/>
        <v>1</v>
      </c>
    </row>
    <row r="628" spans="1:30" x14ac:dyDescent="0.35">
      <c r="A628" t="s">
        <v>1527</v>
      </c>
      <c r="B628" t="s">
        <v>1247</v>
      </c>
      <c r="C628" s="36">
        <f t="shared" si="364"/>
        <v>8.4358322454975876E-2</v>
      </c>
      <c r="D628" s="3">
        <f t="shared" si="365"/>
        <v>8.4358322454975876E-2</v>
      </c>
      <c r="F628">
        <v>101797.78</v>
      </c>
      <c r="G628" t="s">
        <v>76</v>
      </c>
      <c r="H628">
        <v>100000</v>
      </c>
      <c r="I628" s="22"/>
      <c r="J628">
        <v>1</v>
      </c>
      <c r="K628" s="22"/>
      <c r="L628">
        <v>8.19792291674095</v>
      </c>
      <c r="M628" s="22">
        <v>9.4499999999999987E-2</v>
      </c>
      <c r="N628" s="21">
        <v>45607</v>
      </c>
      <c r="O628" s="21">
        <v>46337</v>
      </c>
      <c r="P628">
        <f t="shared" si="366"/>
        <v>2</v>
      </c>
      <c r="Q628" s="6">
        <f t="shared" si="367"/>
        <v>9.2831101031869243E-2</v>
      </c>
      <c r="R628" s="5">
        <f t="shared" si="368"/>
        <v>1</v>
      </c>
      <c r="S628" t="s">
        <v>93</v>
      </c>
      <c r="U628">
        <f t="shared" si="369"/>
        <v>2</v>
      </c>
      <c r="V628">
        <f t="shared" si="370"/>
        <v>9449.9999999999982</v>
      </c>
      <c r="W628" s="28">
        <f t="shared" si="371"/>
        <v>8.4358322454975876E-2</v>
      </c>
      <c r="X628" s="27">
        <f t="shared" si="372"/>
        <v>8.4358322454975876E-2</v>
      </c>
      <c r="Y628" s="5">
        <f t="shared" si="373"/>
        <v>1.9143907515536926</v>
      </c>
      <c r="Z628" s="5">
        <f t="shared" si="374"/>
        <v>1.7654595458994882</v>
      </c>
      <c r="AA628" s="5">
        <f t="shared" si="375"/>
        <v>-179719.86245237599</v>
      </c>
      <c r="AB628" t="s">
        <v>64</v>
      </c>
      <c r="AC628" t="s">
        <v>62</v>
      </c>
      <c r="AD628">
        <f t="shared" si="376"/>
        <v>1</v>
      </c>
    </row>
    <row r="629" spans="1:30" x14ac:dyDescent="0.35">
      <c r="A629" t="s">
        <v>1526</v>
      </c>
      <c r="B629" t="s">
        <v>882</v>
      </c>
      <c r="C629" s="36">
        <f t="shared" si="364"/>
        <v>0.11846320221603777</v>
      </c>
      <c r="D629" s="3">
        <f t="shared" si="365"/>
        <v>0.11846320221603777</v>
      </c>
      <c r="F629">
        <v>97550.7</v>
      </c>
      <c r="G629" t="s">
        <v>76</v>
      </c>
      <c r="H629">
        <v>100000</v>
      </c>
      <c r="I629" s="22"/>
      <c r="J629">
        <v>1</v>
      </c>
      <c r="K629" s="22"/>
      <c r="L629">
        <v>12.531410406515301</v>
      </c>
      <c r="M629" s="22">
        <v>0.10400000000000001</v>
      </c>
      <c r="N629" s="21">
        <v>45517</v>
      </c>
      <c r="O629" s="21">
        <v>46339</v>
      </c>
      <c r="P629">
        <f t="shared" si="366"/>
        <v>2</v>
      </c>
      <c r="Q629" s="6">
        <f t="shared" si="367"/>
        <v>0.10661122882767629</v>
      </c>
      <c r="R629" s="5">
        <f t="shared" si="368"/>
        <v>1</v>
      </c>
      <c r="S629" t="s">
        <v>93</v>
      </c>
      <c r="U629">
        <f t="shared" si="369"/>
        <v>2</v>
      </c>
      <c r="V629">
        <f t="shared" si="370"/>
        <v>10400.000000000002</v>
      </c>
      <c r="W629" s="28">
        <f t="shared" si="371"/>
        <v>0.11846320221603777</v>
      </c>
      <c r="X629" s="27">
        <f t="shared" si="372"/>
        <v>0.11846320221603777</v>
      </c>
      <c r="Y629" s="5">
        <f t="shared" si="373"/>
        <v>1.9711831595277862</v>
      </c>
      <c r="Z629" s="5">
        <f t="shared" si="374"/>
        <v>1.7624032293795935</v>
      </c>
      <c r="AA629" s="5">
        <f t="shared" si="375"/>
        <v>-171923.66870823991</v>
      </c>
      <c r="AB629" t="s">
        <v>64</v>
      </c>
      <c r="AC629" t="s">
        <v>62</v>
      </c>
      <c r="AD629">
        <f t="shared" si="376"/>
        <v>1</v>
      </c>
    </row>
    <row r="630" spans="1:30" x14ac:dyDescent="0.35">
      <c r="C630" s="28"/>
      <c r="D630" s="27"/>
      <c r="I630" s="22"/>
      <c r="K630" s="22"/>
      <c r="M630" s="22"/>
      <c r="N630" s="21"/>
      <c r="O630" s="21"/>
      <c r="P630" s="5"/>
      <c r="Q630" s="6"/>
      <c r="R630" s="5"/>
      <c r="W630" s="28"/>
      <c r="Y630" s="33"/>
      <c r="Z630" s="33"/>
      <c r="AA630" s="33"/>
    </row>
    <row r="631" spans="1:30" x14ac:dyDescent="0.35">
      <c r="A631" t="s">
        <v>1523</v>
      </c>
      <c r="B631" t="s">
        <v>465</v>
      </c>
      <c r="C631" s="36">
        <f t="shared" ref="C631:C636" si="377">RATE(U631,V631,-F631,H631)</f>
        <v>0.14937771944440523</v>
      </c>
      <c r="D631" s="3">
        <f t="shared" ref="D631:D636" si="378">C631*AD631</f>
        <v>0.14937771944440523</v>
      </c>
      <c r="F631">
        <v>94000</v>
      </c>
      <c r="G631" t="s">
        <v>76</v>
      </c>
      <c r="H631">
        <v>100000</v>
      </c>
      <c r="I631" s="22"/>
      <c r="J631">
        <v>1</v>
      </c>
      <c r="K631" s="22"/>
      <c r="L631">
        <v>16.821808510638299</v>
      </c>
      <c r="M631" s="22">
        <v>0.1125</v>
      </c>
      <c r="N631" s="21">
        <v>45790</v>
      </c>
      <c r="O631" s="21">
        <v>46339</v>
      </c>
      <c r="P631">
        <f t="shared" ref="P631:P636" si="379">ROUND(YEARFRAC(N631,O631),0)</f>
        <v>2</v>
      </c>
      <c r="Q631" s="6">
        <f t="shared" ref="Q631:Q636" si="380">(M631*H631)/F631</f>
        <v>0.11968085106382979</v>
      </c>
      <c r="R631" s="5">
        <f t="shared" ref="R631:R636" si="381">IF(S631="Quarterly",4,IF(S631="Semi-annual",2,IF(S631="Annual",1,IF(S631="Pays at maturity",0,IF(S631="Monthly",12,0)))))</f>
        <v>1</v>
      </c>
      <c r="S631" t="s">
        <v>93</v>
      </c>
      <c r="U631">
        <f t="shared" ref="U631:U636" si="382">R631*P631</f>
        <v>2</v>
      </c>
      <c r="V631">
        <f t="shared" ref="V631:V636" si="383">(H631*M631)/AD631</f>
        <v>11250</v>
      </c>
      <c r="W631" s="28">
        <f t="shared" ref="W631:W636" si="384">RATE(U631,V631,-F631,H631)</f>
        <v>0.14937771944440523</v>
      </c>
      <c r="X631" s="27">
        <f t="shared" ref="X631:X636" si="385">W631*AD631</f>
        <v>0.14937771944440523</v>
      </c>
      <c r="Y631" s="5">
        <f t="shared" ref="Y631:Y636" si="386">DURATION(N631,O631,M631,D631,AD631)</f>
        <v>1.395873350388485</v>
      </c>
      <c r="Z631" s="5">
        <f t="shared" ref="Z631:Z636" si="387">Y631/(1+C631)</f>
        <v>1.2144600741549372</v>
      </c>
      <c r="AA631" s="5">
        <f t="shared" ref="AA631:AA636" si="388">-Z631*F631</f>
        <v>-114159.2469705641</v>
      </c>
      <c r="AB631" t="s">
        <v>64</v>
      </c>
      <c r="AC631" t="s">
        <v>62</v>
      </c>
      <c r="AD631">
        <f t="shared" ref="AD631:AD636" si="389">_xlfn.SWITCH(PROPER(TRIM(S631)),
   "Annual",1,
   "Semi-Annual",2,
   "Quarterly",4,
   "Monthly",12,
   "")</f>
        <v>1</v>
      </c>
    </row>
    <row r="632" spans="1:30" x14ac:dyDescent="0.35">
      <c r="A632" t="s">
        <v>1522</v>
      </c>
      <c r="B632" t="s">
        <v>636</v>
      </c>
      <c r="C632" s="36">
        <f t="shared" si="377"/>
        <v>3.006882972150127E-2</v>
      </c>
      <c r="D632" s="3">
        <f t="shared" si="378"/>
        <v>6.013765944300254E-2</v>
      </c>
      <c r="F632">
        <v>1048.6199999999999</v>
      </c>
      <c r="G632" t="s">
        <v>694</v>
      </c>
      <c r="H632">
        <v>1000</v>
      </c>
      <c r="I632" s="22"/>
      <c r="J632">
        <v>0</v>
      </c>
      <c r="K632" s="22"/>
      <c r="M632" s="22">
        <v>6.8750000000000006E-2</v>
      </c>
      <c r="N632" s="21">
        <v>43795</v>
      </c>
      <c r="O632" s="21">
        <v>46341</v>
      </c>
      <c r="P632">
        <f t="shared" si="379"/>
        <v>7</v>
      </c>
      <c r="Q632" s="6">
        <f t="shared" si="380"/>
        <v>6.5562358146897828E-2</v>
      </c>
      <c r="R632" s="5">
        <f t="shared" si="381"/>
        <v>2</v>
      </c>
      <c r="S632" t="s">
        <v>65</v>
      </c>
      <c r="U632">
        <f t="shared" si="382"/>
        <v>14</v>
      </c>
      <c r="V632">
        <f t="shared" si="383"/>
        <v>34.375</v>
      </c>
      <c r="W632" s="28">
        <f t="shared" si="384"/>
        <v>3.006882972150127E-2</v>
      </c>
      <c r="X632" s="27">
        <f t="shared" si="385"/>
        <v>6.013765944300254E-2</v>
      </c>
      <c r="Y632" s="5">
        <f t="shared" si="386"/>
        <v>5.6777020431185017</v>
      </c>
      <c r="Z632" s="5">
        <f t="shared" si="387"/>
        <v>5.511963743872899</v>
      </c>
      <c r="AA632" s="5">
        <f t="shared" si="388"/>
        <v>-5779.9554210999986</v>
      </c>
      <c r="AB632" t="s">
        <v>69</v>
      </c>
      <c r="AC632" t="s">
        <v>62</v>
      </c>
      <c r="AD632">
        <f t="shared" si="389"/>
        <v>2</v>
      </c>
    </row>
    <row r="633" spans="1:30" x14ac:dyDescent="0.35">
      <c r="A633" t="s">
        <v>1522</v>
      </c>
      <c r="B633" t="s">
        <v>636</v>
      </c>
      <c r="C633" s="36">
        <f t="shared" si="377"/>
        <v>3.0440607312400236E-2</v>
      </c>
      <c r="D633" s="3">
        <f t="shared" si="378"/>
        <v>6.0881214624800471E-2</v>
      </c>
      <c r="F633">
        <v>1044.31</v>
      </c>
      <c r="G633" t="s">
        <v>694</v>
      </c>
      <c r="H633">
        <v>1000</v>
      </c>
      <c r="I633" s="22"/>
      <c r="J633">
        <v>0</v>
      </c>
      <c r="K633" s="22"/>
      <c r="M633" s="22">
        <v>6.8750000000000006E-2</v>
      </c>
      <c r="N633" s="21">
        <v>43795</v>
      </c>
      <c r="O633" s="21">
        <v>46341</v>
      </c>
      <c r="P633">
        <f t="shared" si="379"/>
        <v>7</v>
      </c>
      <c r="Q633" s="6">
        <f t="shared" si="380"/>
        <v>6.5832942325554672E-2</v>
      </c>
      <c r="R633" s="5">
        <f t="shared" si="381"/>
        <v>2</v>
      </c>
      <c r="S633" t="s">
        <v>65</v>
      </c>
      <c r="U633">
        <f t="shared" si="382"/>
        <v>14</v>
      </c>
      <c r="V633">
        <f t="shared" si="383"/>
        <v>34.375</v>
      </c>
      <c r="W633" s="28">
        <f t="shared" si="384"/>
        <v>3.0440607312400236E-2</v>
      </c>
      <c r="X633" s="27">
        <f t="shared" si="385"/>
        <v>6.0881214624800471E-2</v>
      </c>
      <c r="Y633" s="5">
        <f t="shared" si="386"/>
        <v>5.6745736424696309</v>
      </c>
      <c r="Z633" s="5">
        <f t="shared" si="387"/>
        <v>5.5069390726653129</v>
      </c>
      <c r="AA633" s="5">
        <f t="shared" si="388"/>
        <v>-5750.9515429751127</v>
      </c>
      <c r="AB633" t="s">
        <v>69</v>
      </c>
      <c r="AC633" t="s">
        <v>62</v>
      </c>
      <c r="AD633">
        <f t="shared" si="389"/>
        <v>2</v>
      </c>
    </row>
    <row r="634" spans="1:30" x14ac:dyDescent="0.35">
      <c r="A634" t="s">
        <v>1522</v>
      </c>
      <c r="B634" t="s">
        <v>636</v>
      </c>
      <c r="C634" s="36">
        <f t="shared" si="377"/>
        <v>3.0440607312400236E-2</v>
      </c>
      <c r="D634" s="3">
        <f t="shared" si="378"/>
        <v>6.0881214624800471E-2</v>
      </c>
      <c r="F634">
        <v>1044.31</v>
      </c>
      <c r="G634" t="s">
        <v>694</v>
      </c>
      <c r="H634">
        <v>1000</v>
      </c>
      <c r="I634" s="22"/>
      <c r="J634">
        <v>0</v>
      </c>
      <c r="K634" s="22"/>
      <c r="M634" s="22">
        <v>6.8750000000000006E-2</v>
      </c>
      <c r="N634" s="21">
        <v>43795</v>
      </c>
      <c r="O634" s="21">
        <v>46341</v>
      </c>
      <c r="P634">
        <f t="shared" si="379"/>
        <v>7</v>
      </c>
      <c r="Q634" s="6">
        <f t="shared" si="380"/>
        <v>6.5832942325554672E-2</v>
      </c>
      <c r="R634" s="5">
        <f t="shared" si="381"/>
        <v>2</v>
      </c>
      <c r="S634" t="s">
        <v>65</v>
      </c>
      <c r="U634">
        <f t="shared" si="382"/>
        <v>14</v>
      </c>
      <c r="V634">
        <f t="shared" si="383"/>
        <v>34.375</v>
      </c>
      <c r="W634" s="28">
        <f t="shared" si="384"/>
        <v>3.0440607312400236E-2</v>
      </c>
      <c r="X634" s="27">
        <f t="shared" si="385"/>
        <v>6.0881214624800471E-2</v>
      </c>
      <c r="Y634" s="5">
        <f t="shared" si="386"/>
        <v>5.6745736424696309</v>
      </c>
      <c r="Z634" s="5">
        <f t="shared" si="387"/>
        <v>5.5069390726653129</v>
      </c>
      <c r="AA634" s="5">
        <f t="shared" si="388"/>
        <v>-5750.9515429751127</v>
      </c>
      <c r="AB634" t="s">
        <v>69</v>
      </c>
      <c r="AC634" t="s">
        <v>62</v>
      </c>
      <c r="AD634">
        <f t="shared" si="389"/>
        <v>2</v>
      </c>
    </row>
    <row r="635" spans="1:30" x14ac:dyDescent="0.35">
      <c r="A635" t="s">
        <v>1521</v>
      </c>
      <c r="B635" t="s">
        <v>309</v>
      </c>
      <c r="C635" s="36">
        <f t="shared" si="377"/>
        <v>1.8004970839537213E-2</v>
      </c>
      <c r="D635" s="3">
        <f t="shared" si="378"/>
        <v>3.6009941679074425E-2</v>
      </c>
      <c r="F635">
        <v>984.07</v>
      </c>
      <c r="G635" t="s">
        <v>66</v>
      </c>
      <c r="H635">
        <v>1000</v>
      </c>
      <c r="I635" s="22"/>
      <c r="J635">
        <v>821000</v>
      </c>
      <c r="K635" s="22"/>
      <c r="M635" s="22">
        <v>3.2500000000000001E-2</v>
      </c>
      <c r="N635" s="21">
        <v>44419</v>
      </c>
      <c r="O635" s="21">
        <v>46341</v>
      </c>
      <c r="P635">
        <f t="shared" si="379"/>
        <v>5</v>
      </c>
      <c r="Q635" s="6">
        <f t="shared" si="380"/>
        <v>3.302610586645259E-2</v>
      </c>
      <c r="R635" s="5">
        <f t="shared" si="381"/>
        <v>2</v>
      </c>
      <c r="S635" t="s">
        <v>65</v>
      </c>
      <c r="U635">
        <f t="shared" si="382"/>
        <v>10</v>
      </c>
      <c r="V635">
        <f t="shared" si="383"/>
        <v>16.25</v>
      </c>
      <c r="W635" s="28">
        <f t="shared" si="384"/>
        <v>1.8004970839537213E-2</v>
      </c>
      <c r="X635" s="27">
        <f t="shared" si="385"/>
        <v>3.6009941679074425E-2</v>
      </c>
      <c r="Y635" s="5">
        <f t="shared" si="386"/>
        <v>4.8372644150782893</v>
      </c>
      <c r="Z635" s="5">
        <f t="shared" si="387"/>
        <v>4.7517100148234563</v>
      </c>
      <c r="AA635" s="5">
        <f t="shared" si="388"/>
        <v>-4676.0152742873188</v>
      </c>
      <c r="AB635" t="s">
        <v>69</v>
      </c>
      <c r="AC635" t="s">
        <v>62</v>
      </c>
      <c r="AD635">
        <f t="shared" si="389"/>
        <v>2</v>
      </c>
    </row>
    <row r="636" spans="1:30" x14ac:dyDescent="0.35">
      <c r="A636" t="s">
        <v>1520</v>
      </c>
      <c r="B636" t="s">
        <v>1270</v>
      </c>
      <c r="C636" s="36">
        <f t="shared" si="377"/>
        <v>0.10522208215007824</v>
      </c>
      <c r="D636" s="3">
        <f t="shared" si="378"/>
        <v>0.10522208215007824</v>
      </c>
      <c r="F636">
        <v>9910</v>
      </c>
      <c r="G636" t="s">
        <v>76</v>
      </c>
      <c r="H636">
        <v>10000</v>
      </c>
      <c r="I636" s="22"/>
      <c r="J636">
        <v>1</v>
      </c>
      <c r="K636" s="22"/>
      <c r="L636">
        <v>10.7210138393833</v>
      </c>
      <c r="M636" s="22">
        <v>0.1</v>
      </c>
      <c r="N636" s="21">
        <v>45617</v>
      </c>
      <c r="O636" s="21">
        <v>46346</v>
      </c>
      <c r="P636">
        <f t="shared" si="379"/>
        <v>2</v>
      </c>
      <c r="Q636" s="6">
        <f t="shared" si="380"/>
        <v>0.10090817356205853</v>
      </c>
      <c r="R636" s="5">
        <f t="shared" si="381"/>
        <v>1</v>
      </c>
      <c r="S636" t="s">
        <v>93</v>
      </c>
      <c r="U636">
        <f t="shared" si="382"/>
        <v>2</v>
      </c>
      <c r="V636">
        <f t="shared" si="383"/>
        <v>1000</v>
      </c>
      <c r="W636" s="28">
        <f t="shared" si="384"/>
        <v>0.10522208215007824</v>
      </c>
      <c r="X636" s="27">
        <f t="shared" si="385"/>
        <v>0.10522208215007824</v>
      </c>
      <c r="Y636" s="5">
        <f t="shared" si="386"/>
        <v>1.9059209578051242</v>
      </c>
      <c r="Z636" s="5">
        <f t="shared" si="387"/>
        <v>1.7244687638681462</v>
      </c>
      <c r="AA636" s="5">
        <f t="shared" si="388"/>
        <v>-17089.485449933327</v>
      </c>
      <c r="AB636" t="s">
        <v>64</v>
      </c>
      <c r="AC636" t="s">
        <v>62</v>
      </c>
      <c r="AD636">
        <f t="shared" si="389"/>
        <v>1</v>
      </c>
    </row>
    <row r="637" spans="1:30" x14ac:dyDescent="0.35">
      <c r="C637" s="28"/>
      <c r="D637" s="27"/>
      <c r="I637" s="22"/>
      <c r="K637" s="22"/>
      <c r="M637" s="22"/>
      <c r="N637" s="21"/>
      <c r="O637" s="21"/>
      <c r="P637" s="5"/>
      <c r="Q637" s="6"/>
      <c r="R637" s="5"/>
      <c r="W637" s="28"/>
      <c r="Y637" s="33"/>
      <c r="Z637" s="33"/>
      <c r="AA637" s="33"/>
    </row>
    <row r="638" spans="1:30" x14ac:dyDescent="0.35">
      <c r="A638" t="s">
        <v>1518</v>
      </c>
      <c r="B638" t="s">
        <v>94</v>
      </c>
      <c r="C638" s="36">
        <f t="shared" ref="C638:C650" si="390">RATE(U638,V638,-F638,H638)</f>
        <v>8.0470093686773117E-2</v>
      </c>
      <c r="D638" s="3">
        <f t="shared" ref="D638:D650" si="391">C638*AD638</f>
        <v>8.0470093686773117E-2</v>
      </c>
      <c r="F638">
        <v>5300</v>
      </c>
      <c r="G638" t="s">
        <v>76</v>
      </c>
      <c r="H638">
        <v>5000</v>
      </c>
      <c r="I638" s="22"/>
      <c r="J638">
        <v>1</v>
      </c>
      <c r="K638" s="22"/>
      <c r="L638">
        <v>4.0554532903819602</v>
      </c>
      <c r="M638" s="22">
        <v>8.7499999999999994E-2</v>
      </c>
      <c r="N638" s="21">
        <v>40868</v>
      </c>
      <c r="O638" s="21">
        <v>46347</v>
      </c>
      <c r="P638">
        <f t="shared" ref="P638:P650" si="392">ROUND(YEARFRAC(N638,O638),0)</f>
        <v>15</v>
      </c>
      <c r="Q638" s="6">
        <f t="shared" ref="Q638:Q650" si="393">(M638*H638)/F638</f>
        <v>8.254716981132075E-2</v>
      </c>
      <c r="R638" s="5">
        <f t="shared" ref="R638:R650" si="394">IF(S638="Quarterly",4,IF(S638="Semi-annual",2,IF(S638="Annual",1,IF(S638="Pays at maturity",0,IF(S638="Monthly",12,0)))))</f>
        <v>1</v>
      </c>
      <c r="S638" t="s">
        <v>93</v>
      </c>
      <c r="U638">
        <f t="shared" ref="U638:U650" si="395">R638*P638</f>
        <v>15</v>
      </c>
      <c r="V638">
        <f t="shared" ref="V638:V650" si="396">(H638*M638)/AD638</f>
        <v>437.5</v>
      </c>
      <c r="W638" s="28">
        <f t="shared" ref="W638:W650" si="397">RATE(U638,V638,-F638,H638)</f>
        <v>8.0470093686773117E-2</v>
      </c>
      <c r="X638" s="27">
        <f t="shared" ref="X638:X650" si="398">W638*AD638</f>
        <v>8.0470093686773117E-2</v>
      </c>
      <c r="Y638" s="5">
        <f t="shared" ref="Y638:Y650" si="399">DURATION(N638,O638,M638,D638,AD638)</f>
        <v>9.0726274788426036</v>
      </c>
      <c r="Z638" s="5">
        <f t="shared" ref="Z638:Z650" si="400">Y638/(1+C638)</f>
        <v>8.3969260527008593</v>
      </c>
      <c r="AA638" s="5">
        <f t="shared" ref="AA638:AA650" si="401">-Z638*F638</f>
        <v>-44503.708079314558</v>
      </c>
      <c r="AB638" t="s">
        <v>79</v>
      </c>
      <c r="AC638" t="s">
        <v>62</v>
      </c>
      <c r="AD638">
        <f t="shared" ref="AD638:AD650" si="402">_xlfn.SWITCH(PROPER(TRIM(S638)),
   "Annual",1,
   "Semi-Annual",2,
   "Quarterly",4,
   "Monthly",12,
   "")</f>
        <v>1</v>
      </c>
    </row>
    <row r="639" spans="1:30" x14ac:dyDescent="0.35">
      <c r="A639" t="s">
        <v>1517</v>
      </c>
      <c r="B639" t="s">
        <v>261</v>
      </c>
      <c r="C639" s="36" t="e">
        <f t="shared" si="390"/>
        <v>#VALUE!</v>
      </c>
      <c r="D639" s="3" t="e">
        <f t="shared" si="391"/>
        <v>#VALUE!</v>
      </c>
      <c r="F639">
        <v>1243000</v>
      </c>
      <c r="G639" t="s">
        <v>76</v>
      </c>
      <c r="H639">
        <v>1000000</v>
      </c>
      <c r="I639" s="22"/>
      <c r="J639">
        <v>3</v>
      </c>
      <c r="K639" s="22"/>
      <c r="L639">
        <v>-9.6733647002870509</v>
      </c>
      <c r="M639" s="22">
        <v>0.05</v>
      </c>
      <c r="N639" s="21">
        <v>44888</v>
      </c>
      <c r="O639" s="21">
        <v>46349</v>
      </c>
      <c r="P639">
        <f t="shared" si="392"/>
        <v>4</v>
      </c>
      <c r="Q639" s="6">
        <f t="shared" si="393"/>
        <v>4.0225261464199517E-2</v>
      </c>
      <c r="R639" s="5">
        <f t="shared" si="394"/>
        <v>0</v>
      </c>
      <c r="S639" t="s">
        <v>782</v>
      </c>
      <c r="U639">
        <f t="shared" si="395"/>
        <v>0</v>
      </c>
      <c r="V639" t="e">
        <f t="shared" si="396"/>
        <v>#VALUE!</v>
      </c>
      <c r="W639" s="28" t="e">
        <f t="shared" si="397"/>
        <v>#VALUE!</v>
      </c>
      <c r="X639" s="27" t="e">
        <f t="shared" si="398"/>
        <v>#VALUE!</v>
      </c>
      <c r="Y639" s="5" t="e">
        <f t="shared" si="399"/>
        <v>#VALUE!</v>
      </c>
      <c r="Z639" s="5" t="e">
        <f t="shared" si="400"/>
        <v>#VALUE!</v>
      </c>
      <c r="AA639" s="5" t="e">
        <f t="shared" si="401"/>
        <v>#VALUE!</v>
      </c>
      <c r="AB639" t="s">
        <v>79</v>
      </c>
      <c r="AC639" t="s">
        <v>62</v>
      </c>
      <c r="AD639" t="str">
        <f t="shared" si="402"/>
        <v/>
      </c>
    </row>
    <row r="640" spans="1:30" x14ac:dyDescent="0.35">
      <c r="A640" t="s">
        <v>1516</v>
      </c>
      <c r="B640" t="s">
        <v>465</v>
      </c>
      <c r="C640" s="36">
        <f t="shared" si="390"/>
        <v>0.12000000000474569</v>
      </c>
      <c r="D640" s="3">
        <f t="shared" si="391"/>
        <v>0.12000000000474569</v>
      </c>
      <c r="F640">
        <v>1000</v>
      </c>
      <c r="G640" t="s">
        <v>76</v>
      </c>
      <c r="H640">
        <v>1000</v>
      </c>
      <c r="I640" s="22"/>
      <c r="J640">
        <v>20</v>
      </c>
      <c r="K640" s="22"/>
      <c r="L640">
        <v>12</v>
      </c>
      <c r="M640" s="22">
        <v>0.12</v>
      </c>
      <c r="N640" s="21">
        <v>44494</v>
      </c>
      <c r="O640" s="21">
        <v>46350</v>
      </c>
      <c r="P640">
        <f t="shared" si="392"/>
        <v>5</v>
      </c>
      <c r="Q640" s="6">
        <f t="shared" si="393"/>
        <v>0.12</v>
      </c>
      <c r="R640" s="5">
        <f t="shared" si="394"/>
        <v>1</v>
      </c>
      <c r="S640" t="s">
        <v>93</v>
      </c>
      <c r="U640">
        <f t="shared" si="395"/>
        <v>5</v>
      </c>
      <c r="V640">
        <f t="shared" si="396"/>
        <v>120</v>
      </c>
      <c r="W640" s="28">
        <f t="shared" si="397"/>
        <v>0.12000000000474569</v>
      </c>
      <c r="X640" s="27">
        <f t="shared" si="398"/>
        <v>0.12000000000474569</v>
      </c>
      <c r="Y640" s="5">
        <f t="shared" si="399"/>
        <v>3.6853317578861358</v>
      </c>
      <c r="Z640" s="5">
        <f t="shared" si="400"/>
        <v>3.2904747838129644</v>
      </c>
      <c r="AA640" s="5">
        <f t="shared" si="401"/>
        <v>-3290.4747838129642</v>
      </c>
      <c r="AB640" t="s">
        <v>64</v>
      </c>
      <c r="AC640" t="s">
        <v>62</v>
      </c>
      <c r="AD640">
        <f t="shared" si="402"/>
        <v>1</v>
      </c>
    </row>
    <row r="641" spans="1:30" x14ac:dyDescent="0.35">
      <c r="A641" t="s">
        <v>1515</v>
      </c>
      <c r="B641" t="s">
        <v>465</v>
      </c>
      <c r="C641" s="36">
        <f t="shared" si="390"/>
        <v>0.15600565394775634</v>
      </c>
      <c r="D641" s="3">
        <f t="shared" si="391"/>
        <v>0.15600565394775634</v>
      </c>
      <c r="F641">
        <v>881</v>
      </c>
      <c r="G641" t="s">
        <v>76</v>
      </c>
      <c r="H641">
        <v>1000</v>
      </c>
      <c r="I641" s="22"/>
      <c r="J641">
        <v>1</v>
      </c>
      <c r="K641" s="22"/>
      <c r="L641">
        <v>19.6406569845843</v>
      </c>
      <c r="M641" s="22">
        <v>0.12</v>
      </c>
      <c r="N641" s="21">
        <v>44494</v>
      </c>
      <c r="O641" s="21">
        <v>46350</v>
      </c>
      <c r="P641">
        <f t="shared" si="392"/>
        <v>5</v>
      </c>
      <c r="Q641" s="6">
        <f t="shared" si="393"/>
        <v>0.1362088535754824</v>
      </c>
      <c r="R641" s="5">
        <f t="shared" si="394"/>
        <v>1</v>
      </c>
      <c r="S641" t="s">
        <v>93</v>
      </c>
      <c r="U641">
        <f t="shared" si="395"/>
        <v>5</v>
      </c>
      <c r="V641">
        <f t="shared" si="396"/>
        <v>120</v>
      </c>
      <c r="W641" s="28">
        <f t="shared" si="397"/>
        <v>0.15600565394775634</v>
      </c>
      <c r="X641" s="27">
        <f t="shared" si="398"/>
        <v>0.15600565394775634</v>
      </c>
      <c r="Y641" s="5">
        <f t="shared" si="399"/>
        <v>3.5748947598611229</v>
      </c>
      <c r="Z641" s="5">
        <f t="shared" si="400"/>
        <v>3.0924543903854333</v>
      </c>
      <c r="AA641" s="5">
        <f t="shared" si="401"/>
        <v>-2724.4523179295666</v>
      </c>
      <c r="AB641" t="s">
        <v>64</v>
      </c>
      <c r="AC641" t="s">
        <v>62</v>
      </c>
      <c r="AD641">
        <f t="shared" si="402"/>
        <v>1</v>
      </c>
    </row>
    <row r="642" spans="1:30" x14ac:dyDescent="0.35">
      <c r="A642" t="s">
        <v>1514</v>
      </c>
      <c r="B642" t="s">
        <v>401</v>
      </c>
      <c r="C642" s="36">
        <f t="shared" si="390"/>
        <v>0.10412399945266168</v>
      </c>
      <c r="D642" s="3">
        <f t="shared" si="391"/>
        <v>0.10412399945266168</v>
      </c>
      <c r="F642">
        <v>99806</v>
      </c>
      <c r="G642" t="s">
        <v>76</v>
      </c>
      <c r="H642">
        <v>100000</v>
      </c>
      <c r="I642" s="22"/>
      <c r="J642">
        <v>1</v>
      </c>
      <c r="K642" s="22"/>
      <c r="L642">
        <v>10.45567598081</v>
      </c>
      <c r="M642" s="22">
        <v>0.10300000000000001</v>
      </c>
      <c r="N642" s="21">
        <v>45681</v>
      </c>
      <c r="O642" s="21">
        <v>46350</v>
      </c>
      <c r="P642">
        <f t="shared" si="392"/>
        <v>2</v>
      </c>
      <c r="Q642" s="6">
        <f t="shared" si="393"/>
        <v>0.10320020840430436</v>
      </c>
      <c r="R642" s="5">
        <f t="shared" si="394"/>
        <v>1</v>
      </c>
      <c r="S642" t="s">
        <v>93</v>
      </c>
      <c r="U642">
        <f t="shared" si="395"/>
        <v>2</v>
      </c>
      <c r="V642">
        <f t="shared" si="396"/>
        <v>10300</v>
      </c>
      <c r="W642" s="28">
        <f t="shared" si="397"/>
        <v>0.10412399945266168</v>
      </c>
      <c r="X642" s="27">
        <f t="shared" si="398"/>
        <v>0.10412399945266168</v>
      </c>
      <c r="Y642" s="5">
        <f t="shared" si="399"/>
        <v>1.7398653818573737</v>
      </c>
      <c r="Z642" s="5">
        <f t="shared" si="400"/>
        <v>1.5757880298950686</v>
      </c>
      <c r="AA642" s="5">
        <f t="shared" si="401"/>
        <v>-157273.10011170723</v>
      </c>
      <c r="AB642" t="s">
        <v>64</v>
      </c>
      <c r="AC642" t="s">
        <v>62</v>
      </c>
      <c r="AD642">
        <f t="shared" si="402"/>
        <v>1</v>
      </c>
    </row>
    <row r="643" spans="1:30" x14ac:dyDescent="0.35">
      <c r="A643" t="s">
        <v>1513</v>
      </c>
      <c r="B643" t="s">
        <v>591</v>
      </c>
      <c r="C643" s="36">
        <f t="shared" si="390"/>
        <v>2.4348846442831206E-2</v>
      </c>
      <c r="D643" s="3">
        <f t="shared" si="391"/>
        <v>9.7395385771324824E-2</v>
      </c>
      <c r="F643">
        <v>100541.85</v>
      </c>
      <c r="G643" t="s">
        <v>76</v>
      </c>
      <c r="H643">
        <v>100000</v>
      </c>
      <c r="I643" s="22"/>
      <c r="J643">
        <v>1</v>
      </c>
      <c r="K643" s="22"/>
      <c r="M643" s="22">
        <v>9.9499999999999991E-2</v>
      </c>
      <c r="N643" s="21">
        <v>45440</v>
      </c>
      <c r="O643" s="21">
        <v>46354</v>
      </c>
      <c r="P643">
        <f t="shared" si="392"/>
        <v>3</v>
      </c>
      <c r="Q643" s="6">
        <f t="shared" si="393"/>
        <v>9.8963764840213297E-2</v>
      </c>
      <c r="R643" s="5">
        <f t="shared" si="394"/>
        <v>4</v>
      </c>
      <c r="S643" t="s">
        <v>105</v>
      </c>
      <c r="U643">
        <f t="shared" si="395"/>
        <v>12</v>
      </c>
      <c r="V643">
        <f t="shared" si="396"/>
        <v>2487.5</v>
      </c>
      <c r="W643" s="28">
        <f t="shared" si="397"/>
        <v>2.4348846442831206E-2</v>
      </c>
      <c r="X643" s="27">
        <f t="shared" si="398"/>
        <v>9.7395385771324824E-2</v>
      </c>
      <c r="Y643" s="5">
        <f t="shared" si="399"/>
        <v>2.2446047822628534</v>
      </c>
      <c r="Z643" s="5">
        <f t="shared" si="400"/>
        <v>2.1912503636407665</v>
      </c>
      <c r="AA643" s="5">
        <f t="shared" si="401"/>
        <v>-220312.36537361541</v>
      </c>
      <c r="AB643" t="s">
        <v>64</v>
      </c>
      <c r="AC643" t="s">
        <v>62</v>
      </c>
      <c r="AD643">
        <f t="shared" si="402"/>
        <v>4</v>
      </c>
    </row>
    <row r="644" spans="1:30" x14ac:dyDescent="0.35">
      <c r="A644" t="s">
        <v>1512</v>
      </c>
      <c r="B644" t="s">
        <v>929</v>
      </c>
      <c r="C644" s="36">
        <f t="shared" si="390"/>
        <v>2.4750000000000098E-2</v>
      </c>
      <c r="D644" s="3">
        <f t="shared" si="391"/>
        <v>9.9000000000000393E-2</v>
      </c>
      <c r="F644">
        <v>100000</v>
      </c>
      <c r="G644" t="s">
        <v>76</v>
      </c>
      <c r="H644">
        <v>100000</v>
      </c>
      <c r="I644" s="22"/>
      <c r="J644">
        <v>6</v>
      </c>
      <c r="K644" s="22"/>
      <c r="M644" s="22">
        <v>9.9000000000000005E-2</v>
      </c>
      <c r="N644" s="21">
        <v>45259</v>
      </c>
      <c r="O644" s="21">
        <v>46355</v>
      </c>
      <c r="P644">
        <f t="shared" si="392"/>
        <v>3</v>
      </c>
      <c r="Q644" s="6">
        <f t="shared" si="393"/>
        <v>9.9000000000000005E-2</v>
      </c>
      <c r="R644" s="5">
        <f t="shared" si="394"/>
        <v>4</v>
      </c>
      <c r="S644" t="s">
        <v>105</v>
      </c>
      <c r="U644">
        <f t="shared" si="395"/>
        <v>12</v>
      </c>
      <c r="V644">
        <f t="shared" si="396"/>
        <v>2475</v>
      </c>
      <c r="W644" s="28">
        <f t="shared" si="397"/>
        <v>2.4750000000000098E-2</v>
      </c>
      <c r="X644" s="27">
        <f t="shared" si="398"/>
        <v>9.9000000000000393E-2</v>
      </c>
      <c r="Y644" s="5">
        <f t="shared" si="399"/>
        <v>2.631893369901793</v>
      </c>
      <c r="Z644" s="5">
        <f t="shared" si="400"/>
        <v>2.5683272699700344</v>
      </c>
      <c r="AA644" s="5">
        <f t="shared" si="401"/>
        <v>-256832.72699700342</v>
      </c>
      <c r="AB644" t="s">
        <v>79</v>
      </c>
      <c r="AC644" t="s">
        <v>62</v>
      </c>
      <c r="AD644">
        <f t="shared" si="402"/>
        <v>4</v>
      </c>
    </row>
    <row r="645" spans="1:30" x14ac:dyDescent="0.35">
      <c r="A645" t="s">
        <v>1511</v>
      </c>
      <c r="B645" t="s">
        <v>249</v>
      </c>
      <c r="C645" s="36">
        <f t="shared" si="390"/>
        <v>2.277030556424757E-2</v>
      </c>
      <c r="D645" s="3">
        <f t="shared" si="391"/>
        <v>9.108122225699028E-2</v>
      </c>
      <c r="F645">
        <v>1017000</v>
      </c>
      <c r="G645" t="s">
        <v>76</v>
      </c>
      <c r="H645">
        <v>1000000</v>
      </c>
      <c r="I645" s="22"/>
      <c r="J645">
        <v>2</v>
      </c>
      <c r="K645" s="22"/>
      <c r="M645" s="22">
        <v>9.6199999999999994E-2</v>
      </c>
      <c r="N645" s="21">
        <v>44916</v>
      </c>
      <c r="O645" s="21">
        <v>46356</v>
      </c>
      <c r="P645">
        <f t="shared" si="392"/>
        <v>4</v>
      </c>
      <c r="Q645" s="6">
        <f t="shared" si="393"/>
        <v>9.459193706981317E-2</v>
      </c>
      <c r="R645" s="5">
        <f t="shared" si="394"/>
        <v>4</v>
      </c>
      <c r="S645" t="s">
        <v>105</v>
      </c>
      <c r="U645">
        <f t="shared" si="395"/>
        <v>16</v>
      </c>
      <c r="V645">
        <f t="shared" si="396"/>
        <v>24050</v>
      </c>
      <c r="W645" s="28">
        <f t="shared" si="397"/>
        <v>2.277030556424757E-2</v>
      </c>
      <c r="X645" s="27">
        <f t="shared" si="398"/>
        <v>9.108122225699028E-2</v>
      </c>
      <c r="Y645" s="5">
        <f t="shared" si="399"/>
        <v>3.3151415200247629</v>
      </c>
      <c r="Z645" s="5">
        <f t="shared" si="400"/>
        <v>3.2413353242552807</v>
      </c>
      <c r="AA645" s="5">
        <f t="shared" si="401"/>
        <v>-3296438.0247676205</v>
      </c>
      <c r="AB645" t="s">
        <v>64</v>
      </c>
      <c r="AC645" t="s">
        <v>62</v>
      </c>
      <c r="AD645">
        <f t="shared" si="402"/>
        <v>4</v>
      </c>
    </row>
    <row r="646" spans="1:30" x14ac:dyDescent="0.35">
      <c r="A646" t="s">
        <v>1510</v>
      </c>
      <c r="B646" t="s">
        <v>261</v>
      </c>
      <c r="C646" s="36">
        <f t="shared" si="390"/>
        <v>8.1737220045500616E-2</v>
      </c>
      <c r="D646" s="3">
        <f t="shared" si="391"/>
        <v>8.1737220045500616E-2</v>
      </c>
      <c r="F646">
        <v>1021723</v>
      </c>
      <c r="G646" t="s">
        <v>76</v>
      </c>
      <c r="H646">
        <v>1000000</v>
      </c>
      <c r="I646" s="22"/>
      <c r="J646">
        <v>1</v>
      </c>
      <c r="K646" s="22"/>
      <c r="L646">
        <v>7.4892997804416499</v>
      </c>
      <c r="M646" s="22">
        <v>8.5000000000000006E-2</v>
      </c>
      <c r="N646" s="21">
        <v>42705</v>
      </c>
      <c r="O646" s="21">
        <v>46357</v>
      </c>
      <c r="P646">
        <f t="shared" si="392"/>
        <v>10</v>
      </c>
      <c r="Q646" s="6">
        <f t="shared" si="393"/>
        <v>8.3192802745949729E-2</v>
      </c>
      <c r="R646" s="5">
        <f t="shared" si="394"/>
        <v>1</v>
      </c>
      <c r="S646" t="s">
        <v>93</v>
      </c>
      <c r="U646">
        <f t="shared" si="395"/>
        <v>10</v>
      </c>
      <c r="V646">
        <f t="shared" si="396"/>
        <v>85000</v>
      </c>
      <c r="W646" s="28">
        <f t="shared" si="397"/>
        <v>8.1737220045500616E-2</v>
      </c>
      <c r="X646" s="27">
        <f t="shared" si="398"/>
        <v>8.1737220045500616E-2</v>
      </c>
      <c r="Y646" s="5">
        <f t="shared" si="399"/>
        <v>7.1521843552249189</v>
      </c>
      <c r="Z646" s="5">
        <f t="shared" si="400"/>
        <v>6.6117576641433118</v>
      </c>
      <c r="AA646" s="5">
        <f t="shared" si="401"/>
        <v>-6755384.8758814968</v>
      </c>
      <c r="AB646" t="s">
        <v>64</v>
      </c>
      <c r="AC646" t="s">
        <v>62</v>
      </c>
      <c r="AD646">
        <f t="shared" si="402"/>
        <v>1</v>
      </c>
    </row>
    <row r="647" spans="1:30" x14ac:dyDescent="0.35">
      <c r="A647" t="s">
        <v>1509</v>
      </c>
      <c r="B647" t="s">
        <v>326</v>
      </c>
      <c r="C647" s="36">
        <f t="shared" si="390"/>
        <v>0.11305344028292824</v>
      </c>
      <c r="D647" s="3">
        <f t="shared" si="391"/>
        <v>0.11305344028292824</v>
      </c>
      <c r="F647">
        <v>982</v>
      </c>
      <c r="G647" t="s">
        <v>76</v>
      </c>
      <c r="H647">
        <v>1000</v>
      </c>
      <c r="I647" s="22"/>
      <c r="J647">
        <v>1</v>
      </c>
      <c r="K647" s="22"/>
      <c r="L647">
        <v>11.7574928596391</v>
      </c>
      <c r="M647" s="22">
        <v>0.10249999999999999</v>
      </c>
      <c r="N647" s="21">
        <v>45630</v>
      </c>
      <c r="O647" s="21">
        <v>46359</v>
      </c>
      <c r="P647">
        <f t="shared" si="392"/>
        <v>2</v>
      </c>
      <c r="Q647" s="6">
        <f t="shared" si="393"/>
        <v>0.10437881873727088</v>
      </c>
      <c r="R647" s="5">
        <f t="shared" si="394"/>
        <v>1</v>
      </c>
      <c r="S647" t="s">
        <v>93</v>
      </c>
      <c r="U647">
        <f t="shared" si="395"/>
        <v>2</v>
      </c>
      <c r="V647">
        <f t="shared" si="396"/>
        <v>102.5</v>
      </c>
      <c r="W647" s="28">
        <f t="shared" si="397"/>
        <v>0.11305344028292824</v>
      </c>
      <c r="X647" s="27">
        <f t="shared" si="398"/>
        <v>0.11305344028292824</v>
      </c>
      <c r="Y647" s="5">
        <f t="shared" si="399"/>
        <v>1.9034452165909934</v>
      </c>
      <c r="Z647" s="5">
        <f t="shared" si="400"/>
        <v>1.710111255850532</v>
      </c>
      <c r="AA647" s="5">
        <f t="shared" si="401"/>
        <v>-1679.3292532452224</v>
      </c>
      <c r="AB647" t="s">
        <v>64</v>
      </c>
      <c r="AC647" t="s">
        <v>62</v>
      </c>
      <c r="AD647">
        <f t="shared" si="402"/>
        <v>1</v>
      </c>
    </row>
    <row r="648" spans="1:30" x14ac:dyDescent="0.35">
      <c r="A648" t="s">
        <v>1508</v>
      </c>
      <c r="B648" t="s">
        <v>561</v>
      </c>
      <c r="C648" s="36">
        <f t="shared" si="390"/>
        <v>0.14290504381411678</v>
      </c>
      <c r="D648" s="3">
        <f t="shared" si="391"/>
        <v>0.14290504381411678</v>
      </c>
      <c r="F648">
        <v>94477.07</v>
      </c>
      <c r="G648" t="s">
        <v>76</v>
      </c>
      <c r="H648">
        <v>100000</v>
      </c>
      <c r="I648" s="22"/>
      <c r="J648">
        <v>11</v>
      </c>
      <c r="K648" s="22"/>
      <c r="L648">
        <v>16.8802129685964</v>
      </c>
      <c r="M648" s="22">
        <v>0.11900000000000001</v>
      </c>
      <c r="N648" s="21">
        <v>45446</v>
      </c>
      <c r="O648" s="21">
        <v>46359</v>
      </c>
      <c r="P648">
        <f t="shared" si="392"/>
        <v>3</v>
      </c>
      <c r="Q648" s="6">
        <f t="shared" si="393"/>
        <v>0.12595648870143833</v>
      </c>
      <c r="R648" s="5">
        <f t="shared" si="394"/>
        <v>1</v>
      </c>
      <c r="S648" t="s">
        <v>93</v>
      </c>
      <c r="U648">
        <f t="shared" si="395"/>
        <v>3</v>
      </c>
      <c r="V648">
        <f t="shared" si="396"/>
        <v>11900</v>
      </c>
      <c r="W648" s="28">
        <f t="shared" si="397"/>
        <v>0.14290504381411678</v>
      </c>
      <c r="X648" s="27">
        <f t="shared" si="398"/>
        <v>0.14290504381411678</v>
      </c>
      <c r="Y648" s="5">
        <f t="shared" si="399"/>
        <v>2.1831580297764153</v>
      </c>
      <c r="Z648" s="5">
        <f t="shared" si="400"/>
        <v>1.9101832139009145</v>
      </c>
      <c r="AA648" s="5">
        <f t="shared" si="401"/>
        <v>-180468.51321254167</v>
      </c>
      <c r="AB648" t="s">
        <v>64</v>
      </c>
      <c r="AC648" t="s">
        <v>62</v>
      </c>
      <c r="AD648">
        <f t="shared" si="402"/>
        <v>1</v>
      </c>
    </row>
    <row r="649" spans="1:30" x14ac:dyDescent="0.35">
      <c r="A649" t="s">
        <v>1507</v>
      </c>
      <c r="B649" t="s">
        <v>1452</v>
      </c>
      <c r="C649" s="36">
        <f t="shared" si="390"/>
        <v>0.11728965777903716</v>
      </c>
      <c r="D649" s="3">
        <f t="shared" si="391"/>
        <v>0.11728965777903716</v>
      </c>
      <c r="F649">
        <v>98594</v>
      </c>
      <c r="G649" t="s">
        <v>76</v>
      </c>
      <c r="H649">
        <v>100000</v>
      </c>
      <c r="I649" s="22"/>
      <c r="J649">
        <v>1</v>
      </c>
      <c r="K649" s="22"/>
      <c r="L649">
        <v>12.096456173803601</v>
      </c>
      <c r="M649" s="22">
        <v>0.109</v>
      </c>
      <c r="N649" s="21">
        <v>45713</v>
      </c>
      <c r="O649" s="21">
        <v>46360</v>
      </c>
      <c r="P649">
        <f t="shared" si="392"/>
        <v>2</v>
      </c>
      <c r="Q649" s="6">
        <f t="shared" si="393"/>
        <v>0.11055439479075806</v>
      </c>
      <c r="R649" s="5">
        <f t="shared" si="394"/>
        <v>1</v>
      </c>
      <c r="S649" t="s">
        <v>93</v>
      </c>
      <c r="U649">
        <f t="shared" si="395"/>
        <v>2</v>
      </c>
      <c r="V649">
        <f t="shared" si="396"/>
        <v>10900</v>
      </c>
      <c r="W649" s="28">
        <f t="shared" si="397"/>
        <v>0.11728965777903716</v>
      </c>
      <c r="X649" s="27">
        <f t="shared" si="398"/>
        <v>0.11728965777903716</v>
      </c>
      <c r="Y649" s="5">
        <f t="shared" si="399"/>
        <v>1.6760512681102595</v>
      </c>
      <c r="Z649" s="5">
        <f t="shared" si="400"/>
        <v>1.5001045220824256</v>
      </c>
      <c r="AA649" s="5">
        <f t="shared" si="401"/>
        <v>-147901.30525019468</v>
      </c>
      <c r="AB649" t="s">
        <v>64</v>
      </c>
      <c r="AC649" t="s">
        <v>62</v>
      </c>
      <c r="AD649">
        <f t="shared" si="402"/>
        <v>1</v>
      </c>
    </row>
    <row r="650" spans="1:30" x14ac:dyDescent="0.35">
      <c r="A650" t="s">
        <v>1506</v>
      </c>
      <c r="B650" t="s">
        <v>749</v>
      </c>
      <c r="C650" s="36">
        <f t="shared" si="390"/>
        <v>7.9763780213634436E-2</v>
      </c>
      <c r="D650" s="3">
        <f t="shared" si="391"/>
        <v>7.9763780213634436E-2</v>
      </c>
      <c r="F650">
        <v>1013.5</v>
      </c>
      <c r="G650" t="s">
        <v>76</v>
      </c>
      <c r="H650">
        <v>1000</v>
      </c>
      <c r="I650" s="22"/>
      <c r="J650">
        <v>400</v>
      </c>
      <c r="K650" s="22"/>
      <c r="L650">
        <v>7.5923561333758904</v>
      </c>
      <c r="M650" s="22">
        <v>8.5000000000000006E-2</v>
      </c>
      <c r="N650" s="21">
        <v>45267</v>
      </c>
      <c r="O650" s="21">
        <v>46363</v>
      </c>
      <c r="P650">
        <f t="shared" si="392"/>
        <v>3</v>
      </c>
      <c r="Q650" s="6">
        <f t="shared" si="393"/>
        <v>8.3867784903798717E-2</v>
      </c>
      <c r="R650" s="5">
        <f t="shared" si="394"/>
        <v>1</v>
      </c>
      <c r="S650" t="s">
        <v>93</v>
      </c>
      <c r="U650">
        <f t="shared" si="395"/>
        <v>3</v>
      </c>
      <c r="V650">
        <f t="shared" si="396"/>
        <v>85</v>
      </c>
      <c r="W650" s="28">
        <f t="shared" si="397"/>
        <v>7.9763780213634436E-2</v>
      </c>
      <c r="X650" s="27">
        <f t="shared" si="398"/>
        <v>7.9763780213634436E-2</v>
      </c>
      <c r="Y650" s="5">
        <f t="shared" si="399"/>
        <v>2.7727207382303427</v>
      </c>
      <c r="Z650" s="5">
        <f t="shared" si="400"/>
        <v>2.5678956722198554</v>
      </c>
      <c r="AA650" s="5">
        <f t="shared" si="401"/>
        <v>-2602.5622637948236</v>
      </c>
      <c r="AB650" t="s">
        <v>64</v>
      </c>
      <c r="AC650" t="s">
        <v>62</v>
      </c>
      <c r="AD650">
        <f t="shared" si="402"/>
        <v>1</v>
      </c>
    </row>
    <row r="651" spans="1:30" x14ac:dyDescent="0.35">
      <c r="C651" s="28"/>
      <c r="D651" s="27"/>
      <c r="I651" s="22"/>
      <c r="K651" s="22"/>
      <c r="M651" s="22"/>
      <c r="N651" s="21"/>
      <c r="O651" s="21"/>
      <c r="P651" s="5"/>
      <c r="Q651" s="6"/>
      <c r="R651" s="5"/>
      <c r="W651" s="28"/>
      <c r="Y651" s="33"/>
      <c r="Z651" s="33"/>
      <c r="AA651" s="33"/>
    </row>
    <row r="652" spans="1:30" x14ac:dyDescent="0.35">
      <c r="A652" t="s">
        <v>1504</v>
      </c>
      <c r="B652" t="s">
        <v>316</v>
      </c>
      <c r="C652" s="36">
        <f>RATE(U652,V652,-F652,H652)</f>
        <v>0.1045851624896095</v>
      </c>
      <c r="D652" s="3">
        <f>C652*AD652</f>
        <v>0.1045851624896095</v>
      </c>
      <c r="F652">
        <v>990</v>
      </c>
      <c r="G652" t="s">
        <v>76</v>
      </c>
      <c r="H652">
        <v>1000</v>
      </c>
      <c r="I652" s="22"/>
      <c r="J652">
        <v>305</v>
      </c>
      <c r="K652" s="22"/>
      <c r="L652">
        <v>10.8817400364678</v>
      </c>
      <c r="M652" s="22">
        <v>0.10249999999999999</v>
      </c>
      <c r="N652" s="21">
        <v>43809</v>
      </c>
      <c r="O652" s="21">
        <v>46365</v>
      </c>
      <c r="P652">
        <f>ROUND(YEARFRAC(N652,O652),0)</f>
        <v>7</v>
      </c>
      <c r="Q652" s="6">
        <f>(M652*H652)/F652</f>
        <v>0.10353535353535354</v>
      </c>
      <c r="R652" s="5">
        <f>IF(S652="Quarterly",4,IF(S652="Semi-annual",2,IF(S652="Annual",1,IF(S652="Pays at maturity",0,IF(S652="Monthly",12,0)))))</f>
        <v>1</v>
      </c>
      <c r="S652" t="s">
        <v>93</v>
      </c>
      <c r="U652">
        <f>R652*P652</f>
        <v>7</v>
      </c>
      <c r="V652">
        <f>(H652*M652)/AD652</f>
        <v>102.5</v>
      </c>
      <c r="W652" s="28">
        <f>RATE(U652,V652,-F652,H652)</f>
        <v>0.1045851624896095</v>
      </c>
      <c r="X652" s="27">
        <f>W652*AD652</f>
        <v>0.1045851624896095</v>
      </c>
      <c r="Y652" s="5">
        <f>DURATION(N652,O652,M652,D652,AD652)</f>
        <v>5.3116707964137184</v>
      </c>
      <c r="Z652" s="5">
        <f>Y652/(1+C652)</f>
        <v>4.8087471901594405</v>
      </c>
      <c r="AA652" s="5">
        <f>-Z652*F652</f>
        <v>-4760.6597182578462</v>
      </c>
      <c r="AB652" t="s">
        <v>64</v>
      </c>
      <c r="AC652" t="s">
        <v>62</v>
      </c>
      <c r="AD652">
        <f>_xlfn.SWITCH(PROPER(TRIM(S652)),
   "Annual",1,
   "Semi-Annual",2,
   "Quarterly",4,
   "Monthly",12,
   "")</f>
        <v>1</v>
      </c>
    </row>
    <row r="653" spans="1:30" x14ac:dyDescent="0.35">
      <c r="C653" s="28"/>
      <c r="D653" s="27"/>
      <c r="I653" s="22"/>
      <c r="K653" s="22"/>
      <c r="M653" s="22"/>
      <c r="N653" s="21"/>
      <c r="O653" s="21"/>
      <c r="P653" s="5"/>
      <c r="Q653" s="6"/>
      <c r="R653" s="5"/>
      <c r="W653" s="28"/>
      <c r="Y653" s="33"/>
      <c r="Z653" s="33"/>
      <c r="AA653" s="33"/>
    </row>
    <row r="654" spans="1:30" x14ac:dyDescent="0.35">
      <c r="A654" t="s">
        <v>1502</v>
      </c>
      <c r="B654" t="s">
        <v>316</v>
      </c>
      <c r="C654" s="36">
        <f>RATE(U654,V654,-F654,H654)</f>
        <v>0.10704100542583606</v>
      </c>
      <c r="D654" s="3">
        <f>C654*AD654</f>
        <v>0.10704100542583606</v>
      </c>
      <c r="F654">
        <v>975</v>
      </c>
      <c r="G654" t="s">
        <v>76</v>
      </c>
      <c r="H654">
        <v>1000</v>
      </c>
      <c r="I654" s="22"/>
      <c r="J654">
        <v>10</v>
      </c>
      <c r="K654" s="22"/>
      <c r="L654">
        <v>11.307991619275599</v>
      </c>
      <c r="M654" s="22">
        <v>9.2499999999999999E-2</v>
      </c>
      <c r="N654" s="21">
        <v>45638</v>
      </c>
      <c r="O654" s="21">
        <v>46367</v>
      </c>
      <c r="P654">
        <f>ROUND(YEARFRAC(N654,O654),0)</f>
        <v>2</v>
      </c>
      <c r="Q654" s="6">
        <f>(M654*H654)/F654</f>
        <v>9.4871794871794868E-2</v>
      </c>
      <c r="R654" s="5">
        <f>IF(S654="Quarterly",4,IF(S654="Semi-annual",2,IF(S654="Annual",1,IF(S654="Pays at maturity",0,IF(S654="Monthly",12,0)))))</f>
        <v>1</v>
      </c>
      <c r="S654" t="s">
        <v>93</v>
      </c>
      <c r="U654">
        <f>R654*P654</f>
        <v>2</v>
      </c>
      <c r="V654">
        <f>(H654*M654)/AD654</f>
        <v>92.5</v>
      </c>
      <c r="W654" s="28">
        <f>RATE(U654,V654,-F654,H654)</f>
        <v>0.10704100542583606</v>
      </c>
      <c r="X654" s="27">
        <f>W654*AD654</f>
        <v>0.10704100542583606</v>
      </c>
      <c r="Y654" s="5">
        <f>DURATION(N654,O654,M654,D654,AD654)</f>
        <v>1.9115236849441912</v>
      </c>
      <c r="Z654" s="5">
        <f>Y654/(1+C654)</f>
        <v>1.726696369488953</v>
      </c>
      <c r="AA654" s="5">
        <f>-Z654*F654</f>
        <v>-1683.5289602517291</v>
      </c>
      <c r="AB654" t="s">
        <v>64</v>
      </c>
      <c r="AC654" t="s">
        <v>62</v>
      </c>
      <c r="AD654">
        <f>_xlfn.SWITCH(PROPER(TRIM(S654)),
   "Annual",1,
   "Semi-Annual",2,
   "Quarterly",4,
   "Monthly",12,
   "")</f>
        <v>1</v>
      </c>
    </row>
    <row r="655" spans="1:30" x14ac:dyDescent="0.35">
      <c r="A655" t="s">
        <v>1501</v>
      </c>
      <c r="B655" t="s">
        <v>1114</v>
      </c>
      <c r="C655" s="36">
        <f>RATE(U655,V655,-F655,H655)</f>
        <v>2.3905141906130512E-2</v>
      </c>
      <c r="D655" s="3">
        <f>C655*AD655</f>
        <v>9.5620567624522049E-2</v>
      </c>
      <c r="F655">
        <v>99888.24</v>
      </c>
      <c r="G655" t="s">
        <v>76</v>
      </c>
      <c r="H655">
        <v>100000</v>
      </c>
      <c r="I655" s="22"/>
      <c r="J655">
        <v>1</v>
      </c>
      <c r="K655" s="22"/>
      <c r="M655" s="22">
        <v>9.5000000000000001E-2</v>
      </c>
      <c r="N655" s="21">
        <v>45637</v>
      </c>
      <c r="O655" s="21">
        <v>46367</v>
      </c>
      <c r="P655">
        <f>ROUND(YEARFRAC(N655,O655),0)</f>
        <v>2</v>
      </c>
      <c r="Q655" s="6">
        <f>(M655*H655)/F655</f>
        <v>9.510629079058755E-2</v>
      </c>
      <c r="R655" s="5">
        <f>IF(S655="Quarterly",4,IF(S655="Semi-annual",2,IF(S655="Annual",1,IF(S655="Pays at maturity",0,IF(S655="Monthly",12,0)))))</f>
        <v>4</v>
      </c>
      <c r="S655" t="s">
        <v>105</v>
      </c>
      <c r="U655">
        <f>R655*P655</f>
        <v>8</v>
      </c>
      <c r="V655">
        <f>(H655*M655)/AD655</f>
        <v>2375</v>
      </c>
      <c r="W655" s="28">
        <f>RATE(U655,V655,-F655,H655)</f>
        <v>2.3905141906130512E-2</v>
      </c>
      <c r="X655" s="27">
        <f>W655*AD655</f>
        <v>9.5620567624522049E-2</v>
      </c>
      <c r="Y655" s="5">
        <f>DURATION(N655,O655,M655,D655,AD655)</f>
        <v>1.8448224870101044</v>
      </c>
      <c r="Z655" s="5">
        <f>Y655/(1+C655)</f>
        <v>1.8017513649513774</v>
      </c>
      <c r="AA655" s="5">
        <f>-Z655*F655</f>
        <v>-179973.77276259079</v>
      </c>
      <c r="AB655" t="s">
        <v>64</v>
      </c>
      <c r="AC655" t="s">
        <v>62</v>
      </c>
      <c r="AD655">
        <f>_xlfn.SWITCH(PROPER(TRIM(S655)),
   "Annual",1,
   "Semi-Annual",2,
   "Quarterly",4,
   "Monthly",12,
   "")</f>
        <v>4</v>
      </c>
    </row>
    <row r="656" spans="1:30" x14ac:dyDescent="0.35">
      <c r="A656" t="s">
        <v>1500</v>
      </c>
      <c r="B656" t="s">
        <v>923</v>
      </c>
      <c r="C656" s="36">
        <f>RATE(U656,V656,-F656,H656)</f>
        <v>0.12088580362951271</v>
      </c>
      <c r="D656" s="3">
        <f>C656*AD656</f>
        <v>0.12088580362951271</v>
      </c>
      <c r="F656">
        <v>98500</v>
      </c>
      <c r="G656" t="s">
        <v>76</v>
      </c>
      <c r="H656">
        <v>100000</v>
      </c>
      <c r="I656" s="22"/>
      <c r="J656">
        <v>1</v>
      </c>
      <c r="K656" s="22"/>
      <c r="L656">
        <v>12.451954413478401</v>
      </c>
      <c r="M656" s="22">
        <v>0.11199999999999999</v>
      </c>
      <c r="N656" s="21">
        <v>45819</v>
      </c>
      <c r="O656" s="21">
        <v>46367</v>
      </c>
      <c r="P656">
        <f>ROUND(YEARFRAC(N656,O656),0)</f>
        <v>2</v>
      </c>
      <c r="Q656" s="6">
        <f>(M656*H656)/F656</f>
        <v>0.11370558375634517</v>
      </c>
      <c r="R656" s="5">
        <f>IF(S656="Quarterly",4,IF(S656="Semi-annual",2,IF(S656="Annual",1,IF(S656="Pays at maturity",0,IF(S656="Monthly",12,0)))))</f>
        <v>1</v>
      </c>
      <c r="S656" t="s">
        <v>93</v>
      </c>
      <c r="U656">
        <f>R656*P656</f>
        <v>2</v>
      </c>
      <c r="V656">
        <f>(H656*M656)/AD656</f>
        <v>11199.999999999998</v>
      </c>
      <c r="W656" s="28">
        <f>RATE(U656,V656,-F656,H656)</f>
        <v>0.12088580362951271</v>
      </c>
      <c r="X656" s="27">
        <f>W656*AD656</f>
        <v>0.12088580362951271</v>
      </c>
      <c r="Y656" s="5">
        <f>DURATION(N656,O656,M656,D656,AD656)</f>
        <v>1.3985573879264437</v>
      </c>
      <c r="Z656" s="5">
        <f>Y656/(1+C656)</f>
        <v>1.2477251325673049</v>
      </c>
      <c r="AA656" s="5">
        <f>-Z656*F656</f>
        <v>-122900.92555787953</v>
      </c>
      <c r="AB656" t="s">
        <v>64</v>
      </c>
      <c r="AC656" t="s">
        <v>62</v>
      </c>
      <c r="AD656">
        <f>_xlfn.SWITCH(PROPER(TRIM(S656)),
   "Annual",1,
   "Semi-Annual",2,
   "Quarterly",4,
   "Monthly",12,
   "")</f>
        <v>1</v>
      </c>
    </row>
    <row r="657" spans="1:30" x14ac:dyDescent="0.35">
      <c r="A657" t="s">
        <v>1499</v>
      </c>
      <c r="B657" t="s">
        <v>1270</v>
      </c>
      <c r="C657" s="36">
        <f>RATE(U657,V657,-F657,H657)</f>
        <v>0.10662638004162688</v>
      </c>
      <c r="D657" s="3">
        <f>C657*AD657</f>
        <v>0.10662638004162688</v>
      </c>
      <c r="F657">
        <v>98000</v>
      </c>
      <c r="G657" t="s">
        <v>76</v>
      </c>
      <c r="H657">
        <v>100000</v>
      </c>
      <c r="I657" s="22"/>
      <c r="J657">
        <v>25</v>
      </c>
      <c r="K657" s="22"/>
      <c r="L657">
        <v>11.014618613402799</v>
      </c>
      <c r="M657" s="22">
        <v>9.5000000000000001E-2</v>
      </c>
      <c r="N657" s="21">
        <v>45638</v>
      </c>
      <c r="O657" s="21">
        <v>46368</v>
      </c>
      <c r="P657">
        <f>ROUND(YEARFRAC(N657,O657),0)</f>
        <v>2</v>
      </c>
      <c r="Q657" s="6">
        <f>(M657*H657)/F657</f>
        <v>9.6938775510204078E-2</v>
      </c>
      <c r="R657" s="5">
        <f>IF(S657="Quarterly",4,IF(S657="Semi-annual",2,IF(S657="Annual",1,IF(S657="Pays at maturity",0,IF(S657="Monthly",12,0)))))</f>
        <v>1</v>
      </c>
      <c r="S657" t="s">
        <v>93</v>
      </c>
      <c r="U657">
        <f>R657*P657</f>
        <v>2</v>
      </c>
      <c r="V657">
        <f>(H657*M657)/AD657</f>
        <v>9500</v>
      </c>
      <c r="W657" s="28">
        <f>RATE(U657,V657,-F657,H657)</f>
        <v>0.10662638004162688</v>
      </c>
      <c r="X657" s="27">
        <f>W657*AD657</f>
        <v>0.10662638004162688</v>
      </c>
      <c r="Y657" s="5">
        <f>DURATION(N657,O657,M657,D657,AD657)</f>
        <v>1.9124015320269538</v>
      </c>
      <c r="Z657" s="5">
        <f>Y657/(1+C657)</f>
        <v>1.7281365838712581</v>
      </c>
      <c r="AA657" s="5">
        <f>-Z657*F657</f>
        <v>-169357.38521938329</v>
      </c>
      <c r="AB657" t="s">
        <v>64</v>
      </c>
      <c r="AC657" t="s">
        <v>62</v>
      </c>
      <c r="AD657">
        <f>_xlfn.SWITCH(PROPER(TRIM(S657)),
   "Annual",1,
   "Semi-Annual",2,
   "Quarterly",4,
   "Monthly",12,
   "")</f>
        <v>1</v>
      </c>
    </row>
    <row r="658" spans="1:30" x14ac:dyDescent="0.35">
      <c r="C658" s="28"/>
      <c r="D658" s="27"/>
      <c r="I658" s="22"/>
      <c r="K658" s="22"/>
      <c r="M658" s="22"/>
      <c r="N658" s="21"/>
      <c r="O658" s="21"/>
      <c r="P658" s="5"/>
      <c r="Q658" s="6"/>
      <c r="R658" s="5"/>
      <c r="W658" s="28"/>
      <c r="Y658" s="33"/>
      <c r="Z658" s="33"/>
      <c r="AA658" s="33"/>
    </row>
    <row r="659" spans="1:30" x14ac:dyDescent="0.35">
      <c r="A659" t="s">
        <v>1497</v>
      </c>
      <c r="B659" t="s">
        <v>417</v>
      </c>
      <c r="C659" s="36">
        <f>RATE(U659,V659,-F659,H659)</f>
        <v>8.4734265648271967E-2</v>
      </c>
      <c r="D659" s="3">
        <f>C659*AD659</f>
        <v>8.4734265648271967E-2</v>
      </c>
      <c r="F659">
        <v>5115.0200000000004</v>
      </c>
      <c r="G659" t="s">
        <v>76</v>
      </c>
      <c r="H659">
        <v>5000</v>
      </c>
      <c r="I659" s="22"/>
      <c r="J659">
        <v>4</v>
      </c>
      <c r="K659" s="22"/>
      <c r="L659">
        <v>6.9595225604941104</v>
      </c>
      <c r="M659" s="22">
        <v>8.7499999999999994E-2</v>
      </c>
      <c r="N659" s="21">
        <v>40889</v>
      </c>
      <c r="O659" s="21">
        <v>46368</v>
      </c>
      <c r="P659">
        <f>ROUND(YEARFRAC(N659,O659),0)</f>
        <v>15</v>
      </c>
      <c r="Q659" s="6">
        <f>(M659*H659)/F659</f>
        <v>8.5532412385484313E-2</v>
      </c>
      <c r="R659" s="5">
        <f>IF(S659="Quarterly",4,IF(S659="Semi-annual",2,IF(S659="Annual",1,IF(S659="Pays at maturity",0,IF(S659="Monthly",12,0)))))</f>
        <v>1</v>
      </c>
      <c r="S659" t="s">
        <v>93</v>
      </c>
      <c r="U659">
        <f>R659*P659</f>
        <v>15</v>
      </c>
      <c r="V659">
        <f>(H659*M659)/AD659</f>
        <v>437.5</v>
      </c>
      <c r="W659" s="28">
        <f>RATE(U659,V659,-F659,H659)</f>
        <v>8.4734265648271967E-2</v>
      </c>
      <c r="X659" s="27">
        <f>W659*AD659</f>
        <v>8.4734265648271967E-2</v>
      </c>
      <c r="Y659" s="5">
        <f>DURATION(N659,O659,M659,D659,AD659)</f>
        <v>8.96597242965343</v>
      </c>
      <c r="Z659" s="5">
        <f>Y659/(1+C659)</f>
        <v>8.2655934394172359</v>
      </c>
      <c r="AA659" s="5">
        <f>-Z659*F659</f>
        <v>-42278.675754487951</v>
      </c>
      <c r="AB659" t="s">
        <v>79</v>
      </c>
      <c r="AC659" t="s">
        <v>62</v>
      </c>
      <c r="AD659">
        <f>_xlfn.SWITCH(PROPER(TRIM(S659)),
   "Annual",1,
   "Semi-Annual",2,
   "Quarterly",4,
   "Monthly",12,
   "")</f>
        <v>1</v>
      </c>
    </row>
    <row r="660" spans="1:30" x14ac:dyDescent="0.35">
      <c r="A660" t="s">
        <v>1496</v>
      </c>
      <c r="B660" t="s">
        <v>1495</v>
      </c>
      <c r="C660" s="36">
        <f>RATE(U660,V660,-F660,H660)</f>
        <v>2.2859669058904856E-2</v>
      </c>
      <c r="D660" s="3">
        <f>C660*AD660</f>
        <v>9.1438676235619423E-2</v>
      </c>
      <c r="F660">
        <v>102001</v>
      </c>
      <c r="G660" t="s">
        <v>76</v>
      </c>
      <c r="H660">
        <v>100000</v>
      </c>
      <c r="I660" s="22"/>
      <c r="J660">
        <v>1</v>
      </c>
      <c r="K660" s="22"/>
      <c r="M660" s="22">
        <v>0.10249999999999999</v>
      </c>
      <c r="N660" s="21">
        <v>45820</v>
      </c>
      <c r="O660" s="21">
        <v>46368</v>
      </c>
      <c r="P660">
        <f>ROUND(YEARFRAC(N660,O660),0)</f>
        <v>2</v>
      </c>
      <c r="Q660" s="6">
        <f>(M660*H660)/F660</f>
        <v>0.10048921089008932</v>
      </c>
      <c r="R660" s="5">
        <f>IF(S660="Quarterly",4,IF(S660="Semi-annual",2,IF(S660="Annual",1,IF(S660="Pays at maturity",0,IF(S660="Monthly",12,0)))))</f>
        <v>4</v>
      </c>
      <c r="S660" t="s">
        <v>105</v>
      </c>
      <c r="U660">
        <f>R660*P660</f>
        <v>8</v>
      </c>
      <c r="V660">
        <f>(H660*M660)/AD660</f>
        <v>2562.5</v>
      </c>
      <c r="W660" s="28">
        <f>RATE(U660,V660,-F660,H660)</f>
        <v>2.2859669058904856E-2</v>
      </c>
      <c r="X660" s="27">
        <f>W660*AD660</f>
        <v>9.1438676235619423E-2</v>
      </c>
      <c r="Y660" s="5">
        <f>DURATION(N660,O660,M660,D660,AD660)</f>
        <v>1.4101846618742393</v>
      </c>
      <c r="Z660" s="5">
        <f>Y660/(1+C660)</f>
        <v>1.3786687504960458</v>
      </c>
      <c r="AA660" s="5">
        <f>-Z660*F660</f>
        <v>-140625.59121934717</v>
      </c>
      <c r="AB660" t="s">
        <v>69</v>
      </c>
      <c r="AC660" t="s">
        <v>62</v>
      </c>
      <c r="AD660">
        <f>_xlfn.SWITCH(PROPER(TRIM(S660)),
   "Annual",1,
   "Semi-Annual",2,
   "Quarterly",4,
   "Monthly",12,
   "")</f>
        <v>4</v>
      </c>
    </row>
    <row r="661" spans="1:30" x14ac:dyDescent="0.35">
      <c r="A661" t="s">
        <v>1494</v>
      </c>
      <c r="B661" t="s">
        <v>390</v>
      </c>
      <c r="C661" s="36">
        <f>RATE(U661,V661,-F661,H661)</f>
        <v>0.11648240589659087</v>
      </c>
      <c r="D661" s="3">
        <f>C661*AD661</f>
        <v>0.11648240589659087</v>
      </c>
      <c r="F661">
        <v>1008.5</v>
      </c>
      <c r="G661" t="s">
        <v>76</v>
      </c>
      <c r="H661">
        <v>1000</v>
      </c>
      <c r="I661" s="22"/>
      <c r="J661">
        <v>774</v>
      </c>
      <c r="K661" s="22"/>
      <c r="L661">
        <v>11.3049695350141</v>
      </c>
      <c r="M661" s="22">
        <v>0.12</v>
      </c>
      <c r="N661" s="21">
        <v>45274</v>
      </c>
      <c r="O661" s="21">
        <v>46370</v>
      </c>
      <c r="P661">
        <f>ROUND(YEARFRAC(N661,O661),0)</f>
        <v>3</v>
      </c>
      <c r="Q661" s="6">
        <f>(M661*H661)/F661</f>
        <v>0.11898859692612791</v>
      </c>
      <c r="R661" s="5">
        <f>IF(S661="Quarterly",4,IF(S661="Semi-annual",2,IF(S661="Annual",1,IF(S661="Pays at maturity",0,IF(S661="Monthly",12,0)))))</f>
        <v>1</v>
      </c>
      <c r="S661" t="s">
        <v>93</v>
      </c>
      <c r="U661">
        <f>R661*P661</f>
        <v>3</v>
      </c>
      <c r="V661">
        <f>(H661*M661)/AD661</f>
        <v>120</v>
      </c>
      <c r="W661" s="28">
        <f>RATE(U661,V661,-F661,H661)</f>
        <v>0.11648240589659087</v>
      </c>
      <c r="X661" s="27">
        <f>W661*AD661</f>
        <v>0.11648240589659087</v>
      </c>
      <c r="Y661" s="5">
        <f>DURATION(N661,O661,M661,D661,AD661)</f>
        <v>2.6913952872607592</v>
      </c>
      <c r="Z661" s="5">
        <f>Y661/(1+C661)</f>
        <v>2.4106025075240076</v>
      </c>
      <c r="AA661" s="5">
        <f>-Z661*F661</f>
        <v>-2431.0926288379619</v>
      </c>
      <c r="AB661" t="s">
        <v>64</v>
      </c>
      <c r="AC661" t="s">
        <v>62</v>
      </c>
      <c r="AD661">
        <f>_xlfn.SWITCH(PROPER(TRIM(S661)),
   "Annual",1,
   "Semi-Annual",2,
   "Quarterly",4,
   "Monthly",12,
   "")</f>
        <v>1</v>
      </c>
    </row>
    <row r="662" spans="1:30" x14ac:dyDescent="0.35">
      <c r="C662" s="28"/>
      <c r="D662" s="27"/>
      <c r="I662" s="22"/>
      <c r="K662" s="22"/>
      <c r="M662" s="22"/>
      <c r="N662" s="21"/>
      <c r="O662" s="21"/>
      <c r="P662" s="5"/>
      <c r="Q662" s="6"/>
      <c r="R662" s="5"/>
      <c r="W662" s="28"/>
      <c r="Y662" s="33"/>
      <c r="Z662" s="33"/>
      <c r="AA662" s="33"/>
    </row>
    <row r="663" spans="1:30" x14ac:dyDescent="0.35">
      <c r="C663" s="28"/>
      <c r="D663" s="27"/>
      <c r="I663" s="22"/>
      <c r="K663" s="22"/>
      <c r="M663" s="22"/>
      <c r="N663" s="21"/>
      <c r="O663" s="21"/>
      <c r="P663" s="5"/>
      <c r="Q663" s="6"/>
      <c r="R663" s="5"/>
      <c r="W663" s="28"/>
      <c r="Y663" s="33"/>
      <c r="Z663" s="33"/>
      <c r="AA663" s="33"/>
    </row>
    <row r="664" spans="1:30" x14ac:dyDescent="0.35">
      <c r="A664" t="s">
        <v>1491</v>
      </c>
      <c r="B664" t="s">
        <v>390</v>
      </c>
      <c r="C664" s="36">
        <f>RATE(U664,V664,-F664,H664)</f>
        <v>0.10250739300581647</v>
      </c>
      <c r="D664" s="3">
        <f>C664*AD664</f>
        <v>0.10250739300581647</v>
      </c>
      <c r="F664">
        <v>1049.5</v>
      </c>
      <c r="G664" t="s">
        <v>76</v>
      </c>
      <c r="H664">
        <v>1000</v>
      </c>
      <c r="I664" s="22"/>
      <c r="J664">
        <v>33</v>
      </c>
      <c r="K664" s="22"/>
      <c r="L664">
        <v>8.4362585835718296</v>
      </c>
      <c r="M664" s="22">
        <v>0.1225</v>
      </c>
      <c r="N664" s="21">
        <v>45274</v>
      </c>
      <c r="O664" s="21">
        <v>46370</v>
      </c>
      <c r="P664">
        <f>ROUND(YEARFRAC(N664,O664),0)</f>
        <v>3</v>
      </c>
      <c r="Q664" s="6">
        <f>(M664*H664)/F664</f>
        <v>0.11672224868985231</v>
      </c>
      <c r="R664" s="5">
        <f>IF(S664="Quarterly",4,IF(S664="Semi-annual",2,IF(S664="Annual",1,IF(S664="Pays at maturity",0,IF(S664="Monthly",12,0)))))</f>
        <v>1</v>
      </c>
      <c r="S664" t="s">
        <v>93</v>
      </c>
      <c r="U664">
        <f>R664*P664</f>
        <v>3</v>
      </c>
      <c r="V664">
        <f>(H664*M664)/AD664</f>
        <v>122.5</v>
      </c>
      <c r="W664" s="28">
        <f>RATE(U664,V664,-F664,H664)</f>
        <v>0.10250739300581647</v>
      </c>
      <c r="X664" s="27">
        <f>W664*AD664</f>
        <v>0.10250739300581647</v>
      </c>
      <c r="Y664" s="5">
        <f>DURATION(N664,O664,M664,D664,AD664)</f>
        <v>2.6922339841372298</v>
      </c>
      <c r="Z664" s="5">
        <f>Y664/(1+C664)</f>
        <v>2.4419192118043478</v>
      </c>
      <c r="AA664" s="5">
        <f>-Z664*F664</f>
        <v>-2562.7942127886631</v>
      </c>
      <c r="AB664" t="s">
        <v>64</v>
      </c>
      <c r="AC664" t="s">
        <v>62</v>
      </c>
      <c r="AD664">
        <f>_xlfn.SWITCH(PROPER(TRIM(S664)),
   "Annual",1,
   "Semi-Annual",2,
   "Quarterly",4,
   "Monthly",12,
   "")</f>
        <v>1</v>
      </c>
    </row>
    <row r="665" spans="1:30" x14ac:dyDescent="0.35">
      <c r="A665" t="s">
        <v>1490</v>
      </c>
      <c r="B665" t="s">
        <v>929</v>
      </c>
      <c r="C665" s="36">
        <f>RATE(U665,V665,-F665,H665)</f>
        <v>0.10186439074744941</v>
      </c>
      <c r="D665" s="3">
        <f>C665*AD665</f>
        <v>0.10186439074744941</v>
      </c>
      <c r="F665">
        <v>99290</v>
      </c>
      <c r="G665" t="s">
        <v>76</v>
      </c>
      <c r="H665">
        <v>100000</v>
      </c>
      <c r="I665" s="22"/>
      <c r="J665">
        <v>1</v>
      </c>
      <c r="K665" s="22"/>
      <c r="L665">
        <v>10.342063071706599</v>
      </c>
      <c r="M665" s="22">
        <v>9.9000000000000005E-2</v>
      </c>
      <c r="N665" s="21">
        <v>45279</v>
      </c>
      <c r="O665" s="21">
        <v>46374</v>
      </c>
      <c r="P665">
        <f>ROUND(YEARFRAC(N665,O665),0)</f>
        <v>3</v>
      </c>
      <c r="Q665" s="6">
        <f>(M665*H665)/F665</f>
        <v>9.9707926276563608E-2</v>
      </c>
      <c r="R665" s="5">
        <f>IF(S665="Quarterly",4,IF(S665="Semi-annual",2,IF(S665="Annual",1,IF(S665="Pays at maturity",0,IF(S665="Monthly",12,0)))))</f>
        <v>1</v>
      </c>
      <c r="S665" t="s">
        <v>93</v>
      </c>
      <c r="U665">
        <f>R665*P665</f>
        <v>3</v>
      </c>
      <c r="V665">
        <f>(H665*M665)/AD665</f>
        <v>9900</v>
      </c>
      <c r="W665" s="28">
        <f>RATE(U665,V665,-F665,H665)</f>
        <v>0.10186439074744941</v>
      </c>
      <c r="X665" s="27">
        <f>W665*AD665</f>
        <v>0.10186439074744941</v>
      </c>
      <c r="Y665" s="5">
        <f>DURATION(N665,O665,M665,D665,AD665)</f>
        <v>2.7341172045515716</v>
      </c>
      <c r="Z665" s="5">
        <f>Y665/(1+C665)</f>
        <v>2.4813554440187362</v>
      </c>
      <c r="AA665" s="5">
        <f>-Z665*F665</f>
        <v>-246373.78203662031</v>
      </c>
      <c r="AB665" t="s">
        <v>69</v>
      </c>
      <c r="AC665" t="s">
        <v>62</v>
      </c>
      <c r="AD665">
        <f>_xlfn.SWITCH(PROPER(TRIM(S665)),
   "Annual",1,
   "Semi-Annual",2,
   "Quarterly",4,
   "Monthly",12,
   "")</f>
        <v>1</v>
      </c>
    </row>
    <row r="666" spans="1:30" x14ac:dyDescent="0.35">
      <c r="C666" s="28"/>
      <c r="D666" s="27"/>
      <c r="I666" s="22"/>
      <c r="K666" s="22"/>
      <c r="M666" s="22"/>
      <c r="N666" s="21"/>
      <c r="O666" s="21"/>
      <c r="P666" s="5"/>
      <c r="Q666" s="6"/>
      <c r="R666" s="5"/>
      <c r="W666" s="28"/>
      <c r="Y666" s="33"/>
      <c r="Z666" s="33"/>
      <c r="AA666" s="33"/>
    </row>
    <row r="667" spans="1:30" x14ac:dyDescent="0.35">
      <c r="A667" t="s">
        <v>1487</v>
      </c>
      <c r="B667" t="s">
        <v>353</v>
      </c>
      <c r="C667" s="36">
        <f>RATE(U667,V667,-F667,H667)</f>
        <v>0.16193480546792857</v>
      </c>
      <c r="D667" s="3">
        <f>C667*AD667</f>
        <v>0.16193480546792857</v>
      </c>
      <c r="F667">
        <v>951</v>
      </c>
      <c r="G667" t="s">
        <v>76</v>
      </c>
      <c r="H667">
        <v>1000</v>
      </c>
      <c r="I667" s="22"/>
      <c r="J667">
        <v>1</v>
      </c>
      <c r="K667" s="22"/>
      <c r="L667">
        <v>14.650706095815901</v>
      </c>
      <c r="M667" s="22">
        <v>0.105</v>
      </c>
      <c r="N667" s="21">
        <v>45828</v>
      </c>
      <c r="O667" s="21">
        <v>46375</v>
      </c>
      <c r="P667">
        <f>ROUND(YEARFRAC(N667,O667),0)</f>
        <v>1</v>
      </c>
      <c r="Q667" s="6">
        <f>(M667*H667)/F667</f>
        <v>0.11041009463722397</v>
      </c>
      <c r="R667" s="5">
        <f>IF(S667="Quarterly",4,IF(S667="Semi-annual",2,IF(S667="Annual",1,IF(S667="Pays at maturity",0,IF(S667="Monthly",12,0)))))</f>
        <v>1</v>
      </c>
      <c r="S667" t="s">
        <v>93</v>
      </c>
      <c r="U667">
        <f>R667*P667</f>
        <v>1</v>
      </c>
      <c r="V667">
        <f>(H667*M667)/AD667</f>
        <v>105</v>
      </c>
      <c r="W667" s="28">
        <f>RATE(U667,V667,-F667,H667)</f>
        <v>0.16193480546792857</v>
      </c>
      <c r="X667" s="27">
        <f>W667*AD667</f>
        <v>0.16193480546792857</v>
      </c>
      <c r="Y667" s="5">
        <f>DURATION(N667,O667,M667,D667,AD667)</f>
        <v>1.3977904040404041</v>
      </c>
      <c r="Z667" s="5">
        <f>Y667/(1+C667)</f>
        <v>1.202985225558755</v>
      </c>
      <c r="AA667" s="5">
        <f>-Z667*F667</f>
        <v>-1144.038949506376</v>
      </c>
      <c r="AB667" t="s">
        <v>64</v>
      </c>
      <c r="AC667" t="s">
        <v>62</v>
      </c>
      <c r="AD667">
        <f>_xlfn.SWITCH(PROPER(TRIM(S667)),
   "Annual",1,
   "Semi-Annual",2,
   "Quarterly",4,
   "Monthly",12,
   "")</f>
        <v>1</v>
      </c>
    </row>
    <row r="668" spans="1:30" x14ac:dyDescent="0.35">
      <c r="C668" s="28"/>
      <c r="D668" s="27"/>
      <c r="I668" s="22"/>
      <c r="K668" s="22"/>
      <c r="M668" s="22"/>
      <c r="N668" s="21"/>
      <c r="O668" s="21"/>
      <c r="P668" s="5"/>
      <c r="Q668" s="6"/>
      <c r="R668" s="5"/>
      <c r="W668" s="28"/>
      <c r="Y668" s="33"/>
      <c r="Z668" s="33"/>
      <c r="AA668" s="33"/>
    </row>
    <row r="669" spans="1:30" x14ac:dyDescent="0.35">
      <c r="A669" t="s">
        <v>1485</v>
      </c>
      <c r="B669" t="s">
        <v>654</v>
      </c>
      <c r="C669" s="36">
        <f>RATE(U669,V669,-F669,H669)</f>
        <v>9.9719160050032826E-2</v>
      </c>
      <c r="D669" s="3">
        <f>C669*AD669</f>
        <v>9.9719160050032826E-2</v>
      </c>
      <c r="F669">
        <v>990</v>
      </c>
      <c r="G669" t="s">
        <v>76</v>
      </c>
      <c r="H669">
        <v>1000</v>
      </c>
      <c r="I669" s="22"/>
      <c r="J669">
        <v>14</v>
      </c>
      <c r="K669" s="22"/>
      <c r="L669">
        <v>10.3811761021063</v>
      </c>
      <c r="M669" s="22">
        <v>9.5700000000000007E-2</v>
      </c>
      <c r="N669" s="21">
        <v>45281</v>
      </c>
      <c r="O669" s="21">
        <v>46377</v>
      </c>
      <c r="P669">
        <f>ROUND(YEARFRAC(N669,O669),0)</f>
        <v>3</v>
      </c>
      <c r="Q669" s="6">
        <f>(M669*H669)/F669</f>
        <v>9.6666666666666665E-2</v>
      </c>
      <c r="R669" s="5">
        <f>IF(S669="Quarterly",4,IF(S669="Semi-annual",2,IF(S669="Annual",1,IF(S669="Pays at maturity",0,IF(S669="Monthly",12,0)))))</f>
        <v>1</v>
      </c>
      <c r="S669" t="s">
        <v>93</v>
      </c>
      <c r="U669">
        <f>R669*P669</f>
        <v>3</v>
      </c>
      <c r="V669">
        <f>(H669*M669)/AD669</f>
        <v>95.7</v>
      </c>
      <c r="W669" s="28">
        <f>RATE(U669,V669,-F669,H669)</f>
        <v>9.9719160050032826E-2</v>
      </c>
      <c r="X669" s="27">
        <f>W669*AD669</f>
        <v>9.9719160050032826E-2</v>
      </c>
      <c r="Y669" s="5">
        <f>DURATION(N669,O669,M669,D669,AD669)</f>
        <v>2.7442669243132829</v>
      </c>
      <c r="Z669" s="5">
        <f>Y669/(1+C669)</f>
        <v>2.4954252176423202</v>
      </c>
      <c r="AA669" s="5">
        <f>-Z669*F669</f>
        <v>-2470.4709654658968</v>
      </c>
      <c r="AB669" t="s">
        <v>64</v>
      </c>
      <c r="AC669" t="s">
        <v>62</v>
      </c>
      <c r="AD669">
        <f>_xlfn.SWITCH(PROPER(TRIM(S669)),
   "Annual",1,
   "Semi-Annual",2,
   "Quarterly",4,
   "Monthly",12,
   "")</f>
        <v>1</v>
      </c>
    </row>
    <row r="670" spans="1:30" x14ac:dyDescent="0.35">
      <c r="C670" s="28"/>
      <c r="D670" s="27"/>
      <c r="I670" s="22"/>
      <c r="K670" s="22"/>
      <c r="M670" s="22"/>
      <c r="N670" s="21"/>
      <c r="O670" s="21"/>
      <c r="P670" s="5"/>
      <c r="Q670" s="6"/>
      <c r="R670" s="5"/>
      <c r="W670" s="28"/>
      <c r="Y670" s="33"/>
      <c r="Z670" s="33"/>
      <c r="AA670" s="33"/>
    </row>
    <row r="671" spans="1:30" x14ac:dyDescent="0.35">
      <c r="A671" t="s">
        <v>1483</v>
      </c>
      <c r="B671" t="s">
        <v>654</v>
      </c>
      <c r="C671" s="36">
        <f t="shared" ref="C671:C676" si="403">RATE(U671,V671,-F671,H671)</f>
        <v>9.2069743189901618E-2</v>
      </c>
      <c r="D671" s="3">
        <f t="shared" ref="D671:D676" si="404">C671*AD671</f>
        <v>9.2069743189901618E-2</v>
      </c>
      <c r="F671">
        <v>1020</v>
      </c>
      <c r="G671" t="s">
        <v>76</v>
      </c>
      <c r="H671">
        <v>1000</v>
      </c>
      <c r="I671" s="22"/>
      <c r="J671">
        <v>101</v>
      </c>
      <c r="K671" s="22"/>
      <c r="L671">
        <v>8.5003035822707904</v>
      </c>
      <c r="M671" s="22">
        <v>0.1</v>
      </c>
      <c r="N671" s="21">
        <v>45281</v>
      </c>
      <c r="O671" s="21">
        <v>46377</v>
      </c>
      <c r="P671">
        <f t="shared" ref="P671:P676" si="405">ROUND(YEARFRAC(N671,O671),0)</f>
        <v>3</v>
      </c>
      <c r="Q671" s="6">
        <f t="shared" ref="Q671:Q676" si="406">(M671*H671)/F671</f>
        <v>9.8039215686274508E-2</v>
      </c>
      <c r="R671" s="5">
        <f t="shared" ref="R671:R676" si="407">IF(S671="Quarterly",4,IF(S671="Semi-annual",2,IF(S671="Annual",1,IF(S671="Pays at maturity",0,IF(S671="Monthly",12,0)))))</f>
        <v>1</v>
      </c>
      <c r="S671" t="s">
        <v>93</v>
      </c>
      <c r="U671">
        <f t="shared" ref="U671:U676" si="408">R671*P671</f>
        <v>3</v>
      </c>
      <c r="V671">
        <f t="shared" ref="V671:V676" si="409">(H671*M671)/AD671</f>
        <v>100</v>
      </c>
      <c r="W671" s="28">
        <f t="shared" ref="W671:W676" si="410">RATE(U671,V671,-F671,H671)</f>
        <v>9.2069743189901618E-2</v>
      </c>
      <c r="X671" s="27">
        <f t="shared" ref="X671:X676" si="411">W671*AD671</f>
        <v>9.2069743189901618E-2</v>
      </c>
      <c r="Y671" s="5">
        <f t="shared" ref="Y671:Y676" si="412">DURATION(N671,O671,M671,D671,AD671)</f>
        <v>2.7382473041826598</v>
      </c>
      <c r="Z671" s="5">
        <f t="shared" ref="Z671:Z676" si="413">Y671/(1+C671)</f>
        <v>2.5073923357535071</v>
      </c>
      <c r="AA671" s="5">
        <f t="shared" ref="AA671:AA676" si="414">-Z671*F671</f>
        <v>-2557.5401824685773</v>
      </c>
      <c r="AB671" t="s">
        <v>64</v>
      </c>
      <c r="AC671" t="s">
        <v>62</v>
      </c>
      <c r="AD671">
        <f t="shared" ref="AD671:AD676" si="415">_xlfn.SWITCH(PROPER(TRIM(S671)),
   "Annual",1,
   "Semi-Annual",2,
   "Quarterly",4,
   "Monthly",12,
   "")</f>
        <v>1</v>
      </c>
    </row>
    <row r="672" spans="1:30" x14ac:dyDescent="0.35">
      <c r="A672" t="s">
        <v>1482</v>
      </c>
      <c r="B672" t="s">
        <v>338</v>
      </c>
      <c r="C672" s="36">
        <f t="shared" si="403"/>
        <v>9.6505352121253593E-2</v>
      </c>
      <c r="D672" s="3">
        <f t="shared" si="404"/>
        <v>9.6505352121253593E-2</v>
      </c>
      <c r="F672">
        <v>1015</v>
      </c>
      <c r="G672" t="s">
        <v>76</v>
      </c>
      <c r="H672">
        <v>1000</v>
      </c>
      <c r="I672" s="22"/>
      <c r="J672">
        <v>50</v>
      </c>
      <c r="K672" s="22"/>
      <c r="L672">
        <v>9.0651718475737493</v>
      </c>
      <c r="M672" s="22">
        <v>0.10249999999999999</v>
      </c>
      <c r="N672" s="21">
        <v>45281</v>
      </c>
      <c r="O672" s="21">
        <v>46377</v>
      </c>
      <c r="P672">
        <f t="shared" si="405"/>
        <v>3</v>
      </c>
      <c r="Q672" s="6">
        <f t="shared" si="406"/>
        <v>0.10098522167487685</v>
      </c>
      <c r="R672" s="5">
        <f t="shared" si="407"/>
        <v>1</v>
      </c>
      <c r="S672" t="s">
        <v>93</v>
      </c>
      <c r="U672">
        <f t="shared" si="408"/>
        <v>3</v>
      </c>
      <c r="V672">
        <f t="shared" si="409"/>
        <v>102.5</v>
      </c>
      <c r="W672" s="28">
        <f t="shared" si="410"/>
        <v>9.6505352121253593E-2</v>
      </c>
      <c r="X672" s="27">
        <f t="shared" si="411"/>
        <v>9.6505352121253593E-2</v>
      </c>
      <c r="Y672" s="5">
        <f t="shared" si="412"/>
        <v>2.7318136399144022</v>
      </c>
      <c r="Z672" s="5">
        <f t="shared" si="413"/>
        <v>2.4913819477757673</v>
      </c>
      <c r="AA672" s="5">
        <f t="shared" si="414"/>
        <v>-2528.7526769924038</v>
      </c>
      <c r="AB672" t="s">
        <v>64</v>
      </c>
      <c r="AC672" t="s">
        <v>62</v>
      </c>
      <c r="AD672">
        <f t="shared" si="415"/>
        <v>1</v>
      </c>
    </row>
    <row r="673" spans="1:30" x14ac:dyDescent="0.35">
      <c r="A673" t="s">
        <v>1481</v>
      </c>
      <c r="B673" t="s">
        <v>716</v>
      </c>
      <c r="C673" s="36">
        <f t="shared" si="403"/>
        <v>7.6367094592689394E-2</v>
      </c>
      <c r="D673" s="3">
        <f t="shared" si="404"/>
        <v>7.6367094592689394E-2</v>
      </c>
      <c r="F673">
        <v>1045.51</v>
      </c>
      <c r="G673" t="s">
        <v>76</v>
      </c>
      <c r="H673">
        <v>1000</v>
      </c>
      <c r="I673" s="22"/>
      <c r="J673">
        <v>5</v>
      </c>
      <c r="K673" s="22"/>
      <c r="L673">
        <v>5.0921290976895701</v>
      </c>
      <c r="M673" s="22">
        <v>8.5000000000000006E-2</v>
      </c>
      <c r="N673" s="21">
        <v>43822</v>
      </c>
      <c r="O673" s="21">
        <v>46379</v>
      </c>
      <c r="P673">
        <f t="shared" si="405"/>
        <v>7</v>
      </c>
      <c r="Q673" s="6">
        <f t="shared" si="406"/>
        <v>8.1300035389427164E-2</v>
      </c>
      <c r="R673" s="5">
        <f t="shared" si="407"/>
        <v>1</v>
      </c>
      <c r="S673" t="s">
        <v>93</v>
      </c>
      <c r="U673">
        <f t="shared" si="408"/>
        <v>7</v>
      </c>
      <c r="V673">
        <f t="shared" si="409"/>
        <v>85</v>
      </c>
      <c r="W673" s="28">
        <f t="shared" si="410"/>
        <v>7.6367094592689394E-2</v>
      </c>
      <c r="X673" s="27">
        <f t="shared" si="411"/>
        <v>7.6367094592689394E-2</v>
      </c>
      <c r="Y673" s="5">
        <f t="shared" si="412"/>
        <v>5.5886380638882862</v>
      </c>
      <c r="Z673" s="5">
        <f t="shared" si="413"/>
        <v>5.1921301681960985</v>
      </c>
      <c r="AA673" s="5">
        <f t="shared" si="414"/>
        <v>-5428.4240121507028</v>
      </c>
      <c r="AB673" t="s">
        <v>64</v>
      </c>
      <c r="AC673" t="s">
        <v>62</v>
      </c>
      <c r="AD673">
        <f t="shared" si="415"/>
        <v>1</v>
      </c>
    </row>
    <row r="674" spans="1:30" x14ac:dyDescent="0.35">
      <c r="A674" t="s">
        <v>1480</v>
      </c>
      <c r="B674" t="s">
        <v>527</v>
      </c>
      <c r="C674" s="36">
        <f t="shared" si="403"/>
        <v>7.5165506373352411E-2</v>
      </c>
      <c r="D674" s="3">
        <f t="shared" si="404"/>
        <v>7.5165506373352411E-2</v>
      </c>
      <c r="F674">
        <v>1060</v>
      </c>
      <c r="G674" t="s">
        <v>76</v>
      </c>
      <c r="H674">
        <v>1000</v>
      </c>
      <c r="I674" s="22"/>
      <c r="J674">
        <v>100</v>
      </c>
      <c r="K674" s="22"/>
      <c r="L674">
        <v>4.1718875209441197</v>
      </c>
      <c r="M674" s="22">
        <v>8.6500000000000007E-2</v>
      </c>
      <c r="N674" s="21">
        <v>43822</v>
      </c>
      <c r="O674" s="21">
        <v>46379</v>
      </c>
      <c r="P674">
        <f t="shared" si="405"/>
        <v>7</v>
      </c>
      <c r="Q674" s="6">
        <f t="shared" si="406"/>
        <v>8.160377358490567E-2</v>
      </c>
      <c r="R674" s="5">
        <f t="shared" si="407"/>
        <v>1</v>
      </c>
      <c r="S674" t="s">
        <v>93</v>
      </c>
      <c r="U674">
        <f t="shared" si="408"/>
        <v>7</v>
      </c>
      <c r="V674">
        <f t="shared" si="409"/>
        <v>86.500000000000014</v>
      </c>
      <c r="W674" s="28">
        <f t="shared" si="410"/>
        <v>7.5165506373352411E-2</v>
      </c>
      <c r="X674" s="27">
        <f t="shared" si="411"/>
        <v>7.5165506373352411E-2</v>
      </c>
      <c r="Y674" s="5">
        <f t="shared" si="412"/>
        <v>5.5793884532296394</v>
      </c>
      <c r="Z674" s="5">
        <f t="shared" si="413"/>
        <v>5.1893298475036733</v>
      </c>
      <c r="AA674" s="5">
        <f t="shared" si="414"/>
        <v>-5500.6896383538933</v>
      </c>
      <c r="AB674" t="s">
        <v>64</v>
      </c>
      <c r="AC674" t="s">
        <v>62</v>
      </c>
      <c r="AD674">
        <f t="shared" si="415"/>
        <v>1</v>
      </c>
    </row>
    <row r="675" spans="1:30" x14ac:dyDescent="0.35">
      <c r="A675" t="s">
        <v>1479</v>
      </c>
      <c r="B675" t="s">
        <v>644</v>
      </c>
      <c r="C675" s="36">
        <f t="shared" si="403"/>
        <v>9.7090489104010025E-2</v>
      </c>
      <c r="D675" s="3">
        <f t="shared" si="404"/>
        <v>9.7090489104010025E-2</v>
      </c>
      <c r="F675">
        <v>9981</v>
      </c>
      <c r="G675" t="s">
        <v>76</v>
      </c>
      <c r="H675">
        <v>10000</v>
      </c>
      <c r="I675" s="22"/>
      <c r="J675">
        <v>8</v>
      </c>
      <c r="K675" s="22"/>
      <c r="L675">
        <v>9.7483908564849902</v>
      </c>
      <c r="M675" s="22">
        <v>9.6000000000000002E-2</v>
      </c>
      <c r="N675" s="21">
        <v>45649</v>
      </c>
      <c r="O675" s="21">
        <v>46379</v>
      </c>
      <c r="P675">
        <f t="shared" si="405"/>
        <v>2</v>
      </c>
      <c r="Q675" s="6">
        <f t="shared" si="406"/>
        <v>9.6182747219717465E-2</v>
      </c>
      <c r="R675" s="5">
        <f t="shared" si="407"/>
        <v>1</v>
      </c>
      <c r="S675" t="s">
        <v>93</v>
      </c>
      <c r="U675">
        <f t="shared" si="408"/>
        <v>2</v>
      </c>
      <c r="V675">
        <f t="shared" si="409"/>
        <v>960</v>
      </c>
      <c r="W675" s="28">
        <f t="shared" si="410"/>
        <v>9.7090489104010025E-2</v>
      </c>
      <c r="X675" s="27">
        <f t="shared" si="411"/>
        <v>9.7090489104010025E-2</v>
      </c>
      <c r="Y675" s="5">
        <f t="shared" si="412"/>
        <v>1.9123292488860479</v>
      </c>
      <c r="Z675" s="5">
        <f t="shared" si="413"/>
        <v>1.7430916299783443</v>
      </c>
      <c r="AA675" s="5">
        <f t="shared" si="414"/>
        <v>-17397.797558813854</v>
      </c>
      <c r="AB675" t="s">
        <v>64</v>
      </c>
      <c r="AC675" t="s">
        <v>62</v>
      </c>
      <c r="AD675">
        <f t="shared" si="415"/>
        <v>1</v>
      </c>
    </row>
    <row r="676" spans="1:30" x14ac:dyDescent="0.35">
      <c r="A676" t="s">
        <v>1478</v>
      </c>
      <c r="B676" t="s">
        <v>1446</v>
      </c>
      <c r="C676" s="36">
        <f t="shared" si="403"/>
        <v>2.5402132990915392E-2</v>
      </c>
      <c r="D676" s="3">
        <f t="shared" si="404"/>
        <v>0.10160853196366157</v>
      </c>
      <c r="F676">
        <v>9990.9</v>
      </c>
      <c r="G676" t="s">
        <v>76</v>
      </c>
      <c r="H676">
        <v>10000</v>
      </c>
      <c r="I676" s="22"/>
      <c r="J676">
        <v>4</v>
      </c>
      <c r="K676" s="22"/>
      <c r="M676" s="22">
        <v>0.1011</v>
      </c>
      <c r="N676" s="21">
        <v>45650</v>
      </c>
      <c r="O676" s="21">
        <v>46379</v>
      </c>
      <c r="P676">
        <f t="shared" si="405"/>
        <v>2</v>
      </c>
      <c r="Q676" s="6">
        <f t="shared" si="406"/>
        <v>0.10119208479716542</v>
      </c>
      <c r="R676" s="5">
        <f t="shared" si="407"/>
        <v>4</v>
      </c>
      <c r="S676" t="s">
        <v>105</v>
      </c>
      <c r="U676">
        <f t="shared" si="408"/>
        <v>8</v>
      </c>
      <c r="V676">
        <f t="shared" si="409"/>
        <v>252.75</v>
      </c>
      <c r="W676" s="28">
        <f t="shared" si="410"/>
        <v>2.5402132990915392E-2</v>
      </c>
      <c r="X676" s="27">
        <f t="shared" si="411"/>
        <v>0.10160853196366157</v>
      </c>
      <c r="Y676" s="5">
        <f t="shared" si="412"/>
        <v>1.8328197313012227</v>
      </c>
      <c r="Z676" s="5">
        <f t="shared" si="413"/>
        <v>1.7874155634484727</v>
      </c>
      <c r="AA676" s="5">
        <f t="shared" si="414"/>
        <v>-17857.890152857344</v>
      </c>
      <c r="AB676" t="s">
        <v>64</v>
      </c>
      <c r="AC676" t="s">
        <v>62</v>
      </c>
      <c r="AD676">
        <f t="shared" si="415"/>
        <v>4</v>
      </c>
    </row>
    <row r="677" spans="1:30" x14ac:dyDescent="0.35">
      <c r="C677" s="28"/>
      <c r="D677" s="27"/>
      <c r="I677" s="22"/>
      <c r="K677" s="22"/>
      <c r="M677" s="22"/>
      <c r="N677" s="21"/>
      <c r="O677" s="21"/>
      <c r="P677" s="5"/>
      <c r="Q677" s="6"/>
      <c r="R677" s="5"/>
      <c r="W677" s="28"/>
      <c r="Y677" s="33"/>
      <c r="Z677" s="33"/>
      <c r="AA677" s="33"/>
    </row>
    <row r="678" spans="1:30" x14ac:dyDescent="0.35">
      <c r="A678" t="s">
        <v>1476</v>
      </c>
      <c r="B678" t="s">
        <v>553</v>
      </c>
      <c r="C678" s="36">
        <f>RATE(U678,V678,-F678,H678)</f>
        <v>7.7325722421251922E-2</v>
      </c>
      <c r="D678" s="3">
        <f>C678*AD678</f>
        <v>7.7325722421251922E-2</v>
      </c>
      <c r="F678">
        <v>1020</v>
      </c>
      <c r="G678" t="s">
        <v>76</v>
      </c>
      <c r="H678">
        <v>1000</v>
      </c>
      <c r="I678" s="22"/>
      <c r="J678">
        <v>120</v>
      </c>
      <c r="K678" s="22"/>
      <c r="L678">
        <v>7.3080455891725702</v>
      </c>
      <c r="M678" s="22">
        <v>8.8499999999999995E-2</v>
      </c>
      <c r="N678" s="21">
        <v>45652</v>
      </c>
      <c r="O678" s="21">
        <v>46382</v>
      </c>
      <c r="P678">
        <f>ROUND(YEARFRAC(N678,O678),0)</f>
        <v>2</v>
      </c>
      <c r="Q678" s="6">
        <f>(M678*H678)/F678</f>
        <v>8.6764705882352938E-2</v>
      </c>
      <c r="R678" s="5">
        <f>IF(S678="Quarterly",4,IF(S678="Semi-annual",2,IF(S678="Annual",1,IF(S678="Pays at maturity",0,IF(S678="Monthly",12,0)))))</f>
        <v>1</v>
      </c>
      <c r="S678" t="s">
        <v>93</v>
      </c>
      <c r="U678">
        <f>R678*P678</f>
        <v>2</v>
      </c>
      <c r="V678">
        <f>(H678*M678)/AD678</f>
        <v>88.5</v>
      </c>
      <c r="W678" s="28">
        <f>RATE(U678,V678,-F678,H678)</f>
        <v>7.7325722421251922E-2</v>
      </c>
      <c r="X678" s="27">
        <f>W678*AD678</f>
        <v>7.7325722421251922E-2</v>
      </c>
      <c r="Y678" s="5">
        <f>DURATION(N678,O678,M678,D678,AD678)</f>
        <v>1.919462884737076</v>
      </c>
      <c r="Z678" s="5">
        <f>Y678/(1+C678)</f>
        <v>1.7816922447773271</v>
      </c>
      <c r="AA678" s="5">
        <f>-Z678*F678</f>
        <v>-1817.3260896728736</v>
      </c>
      <c r="AB678" t="s">
        <v>64</v>
      </c>
      <c r="AC678" t="s">
        <v>62</v>
      </c>
      <c r="AD678">
        <f>_xlfn.SWITCH(PROPER(TRIM(S678)),
   "Annual",1,
   "Semi-Annual",2,
   "Quarterly",4,
   "Monthly",12,
   "")</f>
        <v>1</v>
      </c>
    </row>
    <row r="679" spans="1:30" x14ac:dyDescent="0.35">
      <c r="A679" t="s">
        <v>1475</v>
      </c>
      <c r="B679" t="s">
        <v>668</v>
      </c>
      <c r="C679" s="36">
        <f>RATE(U679,V679,-F679,H679)</f>
        <v>0.33722096972135884</v>
      </c>
      <c r="D679" s="3">
        <f>C679*AD679</f>
        <v>0.33722096972135884</v>
      </c>
      <c r="F679">
        <v>7030.1</v>
      </c>
      <c r="G679" t="s">
        <v>76</v>
      </c>
      <c r="H679">
        <v>10000</v>
      </c>
      <c r="I679" s="22"/>
      <c r="J679">
        <v>1</v>
      </c>
      <c r="K679" s="22"/>
      <c r="L679">
        <v>45.186472661262101</v>
      </c>
      <c r="M679" s="22">
        <v>0.11</v>
      </c>
      <c r="N679" s="21">
        <v>45562</v>
      </c>
      <c r="O679" s="21">
        <v>46383</v>
      </c>
      <c r="P679">
        <f>ROUND(YEARFRAC(N679,O679),0)</f>
        <v>2</v>
      </c>
      <c r="Q679" s="6">
        <f>(M679*H679)/F679</f>
        <v>0.15647003598810827</v>
      </c>
      <c r="R679" s="5">
        <f>IF(S679="Quarterly",4,IF(S679="Semi-annual",2,IF(S679="Annual",1,IF(S679="Pays at maturity",0,IF(S679="Monthly",12,0)))))</f>
        <v>1</v>
      </c>
      <c r="S679" t="s">
        <v>93</v>
      </c>
      <c r="U679">
        <f>R679*P679</f>
        <v>2</v>
      </c>
      <c r="V679">
        <f>(H679*M679)/AD679</f>
        <v>1100</v>
      </c>
      <c r="W679" s="28">
        <f>RATE(U679,V679,-F679,H679)</f>
        <v>0.33722096972135884</v>
      </c>
      <c r="X679" s="27">
        <f>W679*AD679</f>
        <v>0.33722096972135884</v>
      </c>
      <c r="Y679" s="5">
        <f>DURATION(N679,O679,M679,D679,AD679)</f>
        <v>1.8782208683408761</v>
      </c>
      <c r="Z679" s="5">
        <f>Y679/(1+C679)</f>
        <v>1.4045703072785698</v>
      </c>
      <c r="AA679" s="5">
        <f>-Z679*F679</f>
        <v>-9874.2697171990749</v>
      </c>
      <c r="AB679" t="s">
        <v>64</v>
      </c>
      <c r="AC679" t="s">
        <v>62</v>
      </c>
      <c r="AD679">
        <f>_xlfn.SWITCH(PROPER(TRIM(S679)),
   "Annual",1,
   "Semi-Annual",2,
   "Quarterly",4,
   "Monthly",12,
   "")</f>
        <v>1</v>
      </c>
    </row>
    <row r="680" spans="1:30" x14ac:dyDescent="0.35">
      <c r="A680" t="s">
        <v>1474</v>
      </c>
      <c r="B680" t="s">
        <v>128</v>
      </c>
      <c r="C680" s="36">
        <f>RATE(U680,V680,-F680,H680)</f>
        <v>0.10494042265581244</v>
      </c>
      <c r="D680" s="3">
        <f>C680*AD680</f>
        <v>0.10494042265581244</v>
      </c>
      <c r="F680">
        <v>975</v>
      </c>
      <c r="G680" t="s">
        <v>76</v>
      </c>
      <c r="H680">
        <v>1000</v>
      </c>
      <c r="I680" s="22"/>
      <c r="J680">
        <v>1</v>
      </c>
      <c r="K680" s="22"/>
      <c r="L680">
        <v>11.2623819163292</v>
      </c>
      <c r="M680" s="22">
        <v>9.4800000000000009E-2</v>
      </c>
      <c r="N680" s="21">
        <v>45287</v>
      </c>
      <c r="O680" s="21">
        <v>46383</v>
      </c>
      <c r="P680">
        <f>ROUND(YEARFRAC(N680,O680),0)</f>
        <v>3</v>
      </c>
      <c r="Q680" s="6">
        <f>(M680*H680)/F680</f>
        <v>9.7230769230769246E-2</v>
      </c>
      <c r="R680" s="5">
        <f>IF(S680="Quarterly",4,IF(S680="Semi-annual",2,IF(S680="Annual",1,IF(S680="Pays at maturity",0,IF(S680="Monthly",12,0)))))</f>
        <v>1</v>
      </c>
      <c r="S680" t="s">
        <v>93</v>
      </c>
      <c r="U680">
        <f>R680*P680</f>
        <v>3</v>
      </c>
      <c r="V680">
        <f>(H680*M680)/AD680</f>
        <v>94.800000000000011</v>
      </c>
      <c r="W680" s="28">
        <f>RATE(U680,V680,-F680,H680)</f>
        <v>0.10494042265581244</v>
      </c>
      <c r="X680" s="27">
        <f>W680*AD680</f>
        <v>0.10494042265581244</v>
      </c>
      <c r="Y680" s="5">
        <f>DURATION(N680,O680,M680,D680,AD680)</f>
        <v>2.7443681817959051</v>
      </c>
      <c r="Z680" s="5">
        <f>Y680/(1+C680)</f>
        <v>2.4837250276350624</v>
      </c>
      <c r="AA680" s="5">
        <f>-Z680*F680</f>
        <v>-2421.6319019441858</v>
      </c>
      <c r="AB680" t="s">
        <v>64</v>
      </c>
      <c r="AC680" t="s">
        <v>62</v>
      </c>
      <c r="AD680">
        <f>_xlfn.SWITCH(PROPER(TRIM(S680)),
   "Annual",1,
   "Semi-Annual",2,
   "Quarterly",4,
   "Monthly",12,
   "")</f>
        <v>1</v>
      </c>
    </row>
    <row r="681" spans="1:30" x14ac:dyDescent="0.35">
      <c r="C681" s="28"/>
      <c r="D681" s="27"/>
      <c r="I681" s="22"/>
      <c r="K681" s="22"/>
      <c r="M681" s="22"/>
      <c r="N681" s="21"/>
      <c r="O681" s="21"/>
      <c r="P681" s="5"/>
      <c r="Q681" s="6"/>
      <c r="R681" s="5"/>
      <c r="W681" s="28"/>
      <c r="Y681" s="33"/>
      <c r="Z681" s="33"/>
      <c r="AA681" s="33"/>
    </row>
    <row r="682" spans="1:30" x14ac:dyDescent="0.35">
      <c r="A682" t="s">
        <v>1472</v>
      </c>
      <c r="B682" t="s">
        <v>1471</v>
      </c>
      <c r="C682" s="36">
        <f>RATE(U682,V682,-F682,H682)</f>
        <v>0.10900000000000001</v>
      </c>
      <c r="D682" s="3">
        <f>C682*AD682</f>
        <v>0.10900000000000001</v>
      </c>
      <c r="F682">
        <v>100000</v>
      </c>
      <c r="G682" t="s">
        <v>76</v>
      </c>
      <c r="H682">
        <v>100000</v>
      </c>
      <c r="I682" s="22"/>
      <c r="J682">
        <v>2</v>
      </c>
      <c r="K682" s="22"/>
      <c r="L682">
        <v>10.9</v>
      </c>
      <c r="M682" s="22">
        <v>0.109</v>
      </c>
      <c r="N682" s="21">
        <v>45653</v>
      </c>
      <c r="O682" s="21">
        <v>46383</v>
      </c>
      <c r="P682">
        <f>ROUND(YEARFRAC(N682,O682),0)</f>
        <v>2</v>
      </c>
      <c r="Q682" s="6">
        <f>(M682*H682)/F682</f>
        <v>0.109</v>
      </c>
      <c r="R682" s="5">
        <f>IF(S682="Quarterly",4,IF(S682="Semi-annual",2,IF(S682="Annual",1,IF(S682="Pays at maturity",0,IF(S682="Monthly",12,0)))))</f>
        <v>1</v>
      </c>
      <c r="S682" t="s">
        <v>93</v>
      </c>
      <c r="U682">
        <f>R682*P682</f>
        <v>2</v>
      </c>
      <c r="V682">
        <f>(H682*M682)/AD682</f>
        <v>10900</v>
      </c>
      <c r="W682" s="28">
        <f>RATE(U682,V682,-F682,H682)</f>
        <v>0.10900000000000001</v>
      </c>
      <c r="X682" s="27">
        <f>W682*AD682</f>
        <v>0.10900000000000001</v>
      </c>
      <c r="Y682" s="5">
        <f>DURATION(N682,O682,M682,D682,AD682)</f>
        <v>1.9017132551848512</v>
      </c>
      <c r="Z682" s="5">
        <f>Y682/(1+C682)</f>
        <v>1.7148000497609119</v>
      </c>
      <c r="AA682" s="5">
        <f>-Z682*F682</f>
        <v>-171480.00497609121</v>
      </c>
      <c r="AB682" t="s">
        <v>64</v>
      </c>
      <c r="AC682" t="s">
        <v>62</v>
      </c>
      <c r="AD682">
        <f>_xlfn.SWITCH(PROPER(TRIM(S682)),
   "Annual",1,
   "Semi-Annual",2,
   "Quarterly",4,
   "Monthly",12,
   "")</f>
        <v>1</v>
      </c>
    </row>
    <row r="683" spans="1:30" x14ac:dyDescent="0.35">
      <c r="C683" s="28"/>
      <c r="D683" s="27"/>
      <c r="I683" s="22"/>
      <c r="K683" s="22"/>
      <c r="M683" s="22"/>
      <c r="N683" s="21"/>
      <c r="O683" s="21"/>
      <c r="P683" s="5"/>
      <c r="Q683" s="6"/>
      <c r="R683" s="5"/>
      <c r="W683" s="28"/>
      <c r="Y683" s="33"/>
      <c r="Z683" s="33"/>
      <c r="AA683" s="33"/>
    </row>
    <row r="684" spans="1:30" x14ac:dyDescent="0.35">
      <c r="A684" t="s">
        <v>1469</v>
      </c>
      <c r="B684" t="s">
        <v>128</v>
      </c>
      <c r="C684" s="36">
        <f>RATE(U684,V684,-F684,H684)</f>
        <v>0.11422688159225798</v>
      </c>
      <c r="D684" s="3">
        <f>C684*AD684</f>
        <v>0.11422688159225798</v>
      </c>
      <c r="F684">
        <v>963</v>
      </c>
      <c r="G684" t="s">
        <v>76</v>
      </c>
      <c r="H684">
        <v>1000</v>
      </c>
      <c r="I684" s="22"/>
      <c r="J684">
        <v>40</v>
      </c>
      <c r="K684" s="22"/>
      <c r="L684">
        <v>11.9783073552227</v>
      </c>
      <c r="M684" s="22">
        <v>9.2499999999999999E-2</v>
      </c>
      <c r="N684" s="21">
        <v>45653</v>
      </c>
      <c r="O684" s="21">
        <v>46383</v>
      </c>
      <c r="P684">
        <f>ROUND(YEARFRAC(N684,O684),0)</f>
        <v>2</v>
      </c>
      <c r="Q684" s="6">
        <f>(M684*H684)/F684</f>
        <v>9.6053997923156803E-2</v>
      </c>
      <c r="R684" s="5">
        <f>IF(S684="Quarterly",4,IF(S684="Semi-annual",2,IF(S684="Annual",1,IF(S684="Pays at maturity",0,IF(S684="Monthly",12,0)))))</f>
        <v>1</v>
      </c>
      <c r="S684" t="s">
        <v>93</v>
      </c>
      <c r="U684">
        <f>R684*P684</f>
        <v>2</v>
      </c>
      <c r="V684">
        <f>(H684*M684)/AD684</f>
        <v>92.5</v>
      </c>
      <c r="W684" s="28">
        <f>RATE(U684,V684,-F684,H684)</f>
        <v>0.11422688159225798</v>
      </c>
      <c r="X684" s="27">
        <f>W684*AD684</f>
        <v>0.11422688159225798</v>
      </c>
      <c r="Y684" s="5">
        <f>DURATION(N684,O684,M684,D684,AD684)</f>
        <v>1.9137931425726391</v>
      </c>
      <c r="Z684" s="5">
        <f>Y684/(1+C684)</f>
        <v>1.7175973530972264</v>
      </c>
      <c r="AA684" s="5">
        <f>-Z684*F684</f>
        <v>-1654.046251032629</v>
      </c>
      <c r="AB684" t="s">
        <v>64</v>
      </c>
      <c r="AC684" t="s">
        <v>62</v>
      </c>
      <c r="AD684">
        <f>_xlfn.SWITCH(PROPER(TRIM(S684)),
   "Annual",1,
   "Semi-Annual",2,
   "Quarterly",4,
   "Monthly",12,
   "")</f>
        <v>1</v>
      </c>
    </row>
    <row r="685" spans="1:30" x14ac:dyDescent="0.35">
      <c r="A685" t="s">
        <v>1468</v>
      </c>
      <c r="B685" t="s">
        <v>785</v>
      </c>
      <c r="C685" s="36">
        <f>RATE(U685,V685,-F685,H685)</f>
        <v>8.7842198991508233E-2</v>
      </c>
      <c r="D685" s="3">
        <f>C685*AD685</f>
        <v>8.7842198991508233E-2</v>
      </c>
      <c r="F685">
        <v>1022</v>
      </c>
      <c r="G685" t="s">
        <v>76</v>
      </c>
      <c r="H685">
        <v>1000</v>
      </c>
      <c r="I685" s="22"/>
      <c r="J685">
        <v>2</v>
      </c>
      <c r="K685" s="22"/>
      <c r="L685">
        <v>7.9513511104839596</v>
      </c>
      <c r="M685" s="22">
        <v>9.6500000000000002E-2</v>
      </c>
      <c r="N685" s="21">
        <v>45287</v>
      </c>
      <c r="O685" s="21">
        <v>46383</v>
      </c>
      <c r="P685">
        <f>ROUND(YEARFRAC(N685,O685),0)</f>
        <v>3</v>
      </c>
      <c r="Q685" s="6">
        <f>(M685*H685)/F685</f>
        <v>9.4422700587084143E-2</v>
      </c>
      <c r="R685" s="5">
        <f>IF(S685="Quarterly",4,IF(S685="Semi-annual",2,IF(S685="Annual",1,IF(S685="Pays at maturity",0,IF(S685="Monthly",12,0)))))</f>
        <v>1</v>
      </c>
      <c r="S685" t="s">
        <v>93</v>
      </c>
      <c r="U685">
        <f>R685*P685</f>
        <v>3</v>
      </c>
      <c r="V685">
        <f>(H685*M685)/AD685</f>
        <v>96.5</v>
      </c>
      <c r="W685" s="28">
        <f>RATE(U685,V685,-F685,H685)</f>
        <v>8.7842198991508233E-2</v>
      </c>
      <c r="X685" s="27">
        <f>W685*AD685</f>
        <v>8.7842198991508233E-2</v>
      </c>
      <c r="Y685" s="5">
        <f>DURATION(N685,O685,M685,D685,AD685)</f>
        <v>2.7466143887165591</v>
      </c>
      <c r="Z685" s="5">
        <f>Y685/(1+C685)</f>
        <v>2.5248279495526349</v>
      </c>
      <c r="AA685" s="5">
        <f>-Z685*F685</f>
        <v>-2580.3741644427928</v>
      </c>
      <c r="AB685" t="s">
        <v>64</v>
      </c>
      <c r="AC685" t="s">
        <v>62</v>
      </c>
      <c r="AD685">
        <f>_xlfn.SWITCH(PROPER(TRIM(S685)),
   "Annual",1,
   "Semi-Annual",2,
   "Quarterly",4,
   "Monthly",12,
   "")</f>
        <v>1</v>
      </c>
    </row>
    <row r="686" spans="1:30" x14ac:dyDescent="0.35">
      <c r="C686" s="28"/>
      <c r="D686" s="27"/>
      <c r="I686" s="22"/>
      <c r="K686" s="22"/>
      <c r="M686" s="22"/>
      <c r="N686" s="21"/>
      <c r="O686" s="21"/>
      <c r="P686" s="5"/>
      <c r="Q686" s="6"/>
      <c r="R686" s="5"/>
      <c r="W686" s="28"/>
      <c r="Y686" s="33"/>
      <c r="Z686" s="33"/>
      <c r="AA686" s="33"/>
    </row>
    <row r="687" spans="1:30" x14ac:dyDescent="0.35">
      <c r="A687" t="s">
        <v>1466</v>
      </c>
      <c r="B687" t="s">
        <v>128</v>
      </c>
      <c r="C687" s="36">
        <f>RATE(U687,V687,-F687,H687)</f>
        <v>9.8919729944751858E-2</v>
      </c>
      <c r="D687" s="3">
        <f>C687*AD687</f>
        <v>9.8919729944751858E-2</v>
      </c>
      <c r="F687">
        <v>1000.2</v>
      </c>
      <c r="G687" t="s">
        <v>76</v>
      </c>
      <c r="H687">
        <v>1000</v>
      </c>
      <c r="I687" s="22"/>
      <c r="J687">
        <v>5</v>
      </c>
      <c r="K687" s="22"/>
      <c r="L687">
        <v>9.8840652519591607</v>
      </c>
      <c r="M687" s="22">
        <v>9.9000000000000005E-2</v>
      </c>
      <c r="N687" s="21">
        <v>45287</v>
      </c>
      <c r="O687" s="21">
        <v>46383</v>
      </c>
      <c r="P687">
        <f>ROUND(YEARFRAC(N687,O687),0)</f>
        <v>3</v>
      </c>
      <c r="Q687" s="6">
        <f>(M687*H687)/F687</f>
        <v>9.898020395920816E-2</v>
      </c>
      <c r="R687" s="5">
        <f>IF(S687="Quarterly",4,IF(S687="Semi-annual",2,IF(S687="Annual",1,IF(S687="Pays at maturity",0,IF(S687="Monthly",12,0)))))</f>
        <v>1</v>
      </c>
      <c r="S687" t="s">
        <v>93</v>
      </c>
      <c r="U687">
        <f>R687*P687</f>
        <v>3</v>
      </c>
      <c r="V687">
        <f>(H687*M687)/AD687</f>
        <v>99</v>
      </c>
      <c r="W687" s="28">
        <f>RATE(U687,V687,-F687,H687)</f>
        <v>9.8919729944751858E-2</v>
      </c>
      <c r="X687" s="27">
        <f>W687*AD687</f>
        <v>9.8919729944751858E-2</v>
      </c>
      <c r="Y687" s="5">
        <f>DURATION(N687,O687,M687,D687,AD687)</f>
        <v>2.7378963553063733</v>
      </c>
      <c r="Z687" s="5">
        <f>Y687/(1+C687)</f>
        <v>2.4914434427744969</v>
      </c>
      <c r="AA687" s="5">
        <f>-Z687*F687</f>
        <v>-2491.9417314630518</v>
      </c>
      <c r="AB687" t="s">
        <v>64</v>
      </c>
      <c r="AC687" t="s">
        <v>62</v>
      </c>
      <c r="AD687">
        <f>_xlfn.SWITCH(PROPER(TRIM(S687)),
   "Annual",1,
   "Semi-Annual",2,
   "Quarterly",4,
   "Monthly",12,
   "")</f>
        <v>1</v>
      </c>
    </row>
    <row r="688" spans="1:30" x14ac:dyDescent="0.35">
      <c r="A688" t="s">
        <v>1465</v>
      </c>
      <c r="B688" t="s">
        <v>785</v>
      </c>
      <c r="C688" s="36">
        <f>RATE(U688,V688,-F688,H688)</f>
        <v>2.7709194958253143E-2</v>
      </c>
      <c r="D688" s="3">
        <f>C688*AD688</f>
        <v>0.11083677983301257</v>
      </c>
      <c r="F688">
        <v>955</v>
      </c>
      <c r="G688" t="s">
        <v>76</v>
      </c>
      <c r="H688">
        <v>1000</v>
      </c>
      <c r="I688" s="22"/>
      <c r="J688">
        <v>100</v>
      </c>
      <c r="K688" s="22"/>
      <c r="M688" s="22">
        <v>9.3000000000000013E-2</v>
      </c>
      <c r="N688" s="21">
        <v>45287</v>
      </c>
      <c r="O688" s="21">
        <v>46383</v>
      </c>
      <c r="P688">
        <f>ROUND(YEARFRAC(N688,O688),0)</f>
        <v>3</v>
      </c>
      <c r="Q688" s="6">
        <f>(M688*H688)/F688</f>
        <v>9.7382198952879598E-2</v>
      </c>
      <c r="R688" s="5">
        <f>IF(S688="Quarterly",4,IF(S688="Semi-annual",2,IF(S688="Annual",1,IF(S688="Pays at maturity",0,IF(S688="Monthly",12,0)))))</f>
        <v>4</v>
      </c>
      <c r="S688" t="s">
        <v>105</v>
      </c>
      <c r="U688">
        <f>R688*P688</f>
        <v>12</v>
      </c>
      <c r="V688">
        <f>(H688*M688)/AD688</f>
        <v>23.250000000000004</v>
      </c>
      <c r="W688" s="28">
        <f>RATE(U688,V688,-F688,H688)</f>
        <v>2.7709194958253143E-2</v>
      </c>
      <c r="X688" s="27">
        <f>W688*AD688</f>
        <v>0.11083677983301257</v>
      </c>
      <c r="Y688" s="5">
        <f>DURATION(N688,O688,M688,D688,AD688)</f>
        <v>2.6422161561755044</v>
      </c>
      <c r="Z688" s="5">
        <f>Y688/(1+C688)</f>
        <v>2.5709764679908647</v>
      </c>
      <c r="AA688" s="5">
        <f>-Z688*F688</f>
        <v>-2455.2825269312757</v>
      </c>
      <c r="AB688" t="s">
        <v>64</v>
      </c>
      <c r="AC688" t="s">
        <v>62</v>
      </c>
      <c r="AD688">
        <f>_xlfn.SWITCH(PROPER(TRIM(S688)),
   "Annual",1,
   "Semi-Annual",2,
   "Quarterly",4,
   "Monthly",12,
   "")</f>
        <v>4</v>
      </c>
    </row>
    <row r="689" spans="1:30" x14ac:dyDescent="0.35">
      <c r="A689" t="s">
        <v>1464</v>
      </c>
      <c r="B689" t="s">
        <v>128</v>
      </c>
      <c r="C689" s="36">
        <f>RATE(U689,V689,-F689,H689)</f>
        <v>9.2524200995869207E-2</v>
      </c>
      <c r="D689" s="3">
        <f>C689*AD689</f>
        <v>9.2524200995869207E-2</v>
      </c>
      <c r="F689">
        <v>1006.97</v>
      </c>
      <c r="G689" t="s">
        <v>76</v>
      </c>
      <c r="H689">
        <v>1000</v>
      </c>
      <c r="I689" s="22"/>
      <c r="J689">
        <v>40</v>
      </c>
      <c r="K689" s="22"/>
      <c r="L689">
        <v>9.1118541823193802</v>
      </c>
      <c r="M689" s="22">
        <v>9.6500000000000002E-2</v>
      </c>
      <c r="N689" s="21">
        <v>45653</v>
      </c>
      <c r="O689" s="21">
        <v>46383</v>
      </c>
      <c r="P689">
        <f>ROUND(YEARFRAC(N689,O689),0)</f>
        <v>2</v>
      </c>
      <c r="Q689" s="6">
        <f>(M689*H689)/F689</f>
        <v>9.5832050607267349E-2</v>
      </c>
      <c r="R689" s="5">
        <f>IF(S689="Quarterly",4,IF(S689="Semi-annual",2,IF(S689="Annual",1,IF(S689="Pays at maturity",0,IF(S689="Monthly",12,0)))))</f>
        <v>1</v>
      </c>
      <c r="S689" t="s">
        <v>93</v>
      </c>
      <c r="U689">
        <f>R689*P689</f>
        <v>2</v>
      </c>
      <c r="V689">
        <f>(H689*M689)/AD689</f>
        <v>96.5</v>
      </c>
      <c r="W689" s="28">
        <f>RATE(U689,V689,-F689,H689)</f>
        <v>9.2524200995869207E-2</v>
      </c>
      <c r="X689" s="27">
        <f>W689*AD689</f>
        <v>9.2524200995869207E-2</v>
      </c>
      <c r="Y689" s="5">
        <f>DURATION(N689,O689,M689,D689,AD689)</f>
        <v>1.9122838189580482</v>
      </c>
      <c r="Z689" s="5">
        <f>Y689/(1+C689)</f>
        <v>1.7503354316681894</v>
      </c>
      <c r="AA689" s="5">
        <f>-Z689*F689</f>
        <v>-1762.5352696269167</v>
      </c>
      <c r="AB689" t="s">
        <v>64</v>
      </c>
      <c r="AC689" t="s">
        <v>62</v>
      </c>
      <c r="AD689">
        <f>_xlfn.SWITCH(PROPER(TRIM(S689)),
   "Annual",1,
   "Semi-Annual",2,
   "Quarterly",4,
   "Monthly",12,
   "")</f>
        <v>1</v>
      </c>
    </row>
    <row r="690" spans="1:30" x14ac:dyDescent="0.35">
      <c r="C690" s="28"/>
      <c r="D690" s="27"/>
      <c r="I690" s="22"/>
      <c r="K690" s="22"/>
      <c r="M690" s="22"/>
      <c r="N690" s="21"/>
      <c r="O690" s="21"/>
      <c r="P690" s="5"/>
      <c r="Q690" s="6"/>
      <c r="R690" s="5"/>
      <c r="W690" s="28"/>
      <c r="Y690" s="33"/>
      <c r="Z690" s="33"/>
      <c r="AA690" s="33"/>
    </row>
    <row r="691" spans="1:30" x14ac:dyDescent="0.35">
      <c r="A691" t="s">
        <v>1462</v>
      </c>
      <c r="B691" t="s">
        <v>1270</v>
      </c>
      <c r="C691" s="36">
        <f t="shared" ref="C691:C696" si="416">RATE(U691,V691,-F691,H691)</f>
        <v>9.9995978880430242E-2</v>
      </c>
      <c r="D691" s="3">
        <f t="shared" ref="D691:D696" si="417">C691*AD691</f>
        <v>9.9995978880430242E-2</v>
      </c>
      <c r="F691">
        <v>100001</v>
      </c>
      <c r="G691" t="s">
        <v>76</v>
      </c>
      <c r="H691">
        <v>100000</v>
      </c>
      <c r="I691" s="22"/>
      <c r="J691">
        <v>1</v>
      </c>
      <c r="K691" s="22"/>
      <c r="L691">
        <v>9.9992177648316893</v>
      </c>
      <c r="M691" s="22">
        <v>0.1</v>
      </c>
      <c r="N691" s="21">
        <v>45288</v>
      </c>
      <c r="O691" s="21">
        <v>46384</v>
      </c>
      <c r="P691">
        <f t="shared" ref="P691:P696" si="418">ROUND(YEARFRAC(N691,O691),0)</f>
        <v>3</v>
      </c>
      <c r="Q691" s="6">
        <f t="shared" ref="Q691:Q696" si="419">(M691*H691)/F691</f>
        <v>9.9999000009999894E-2</v>
      </c>
      <c r="R691" s="5">
        <f t="shared" ref="R691:R696" si="420">IF(S691="Quarterly",4,IF(S691="Semi-annual",2,IF(S691="Annual",1,IF(S691="Pays at maturity",0,IF(S691="Monthly",12,0)))))</f>
        <v>1</v>
      </c>
      <c r="S691" t="s">
        <v>93</v>
      </c>
      <c r="U691">
        <f t="shared" ref="U691:U696" si="421">R691*P691</f>
        <v>3</v>
      </c>
      <c r="V691">
        <f t="shared" ref="V691:V696" si="422">(H691*M691)/AD691</f>
        <v>10000</v>
      </c>
      <c r="W691" s="28">
        <f t="shared" ref="W691:W696" si="423">RATE(U691,V691,-F691,H691)</f>
        <v>9.9995978880430242E-2</v>
      </c>
      <c r="X691" s="27">
        <f t="shared" ref="X691:X696" si="424">W691*AD691</f>
        <v>9.9995978880430242E-2</v>
      </c>
      <c r="Y691" s="5">
        <f t="shared" ref="Y691:Y696" si="425">DURATION(N691,O691,M691,D691,AD691)</f>
        <v>2.7355385658180511</v>
      </c>
      <c r="Z691" s="5">
        <f t="shared" ref="Z691:Z696" si="426">Y691/(1+C691)</f>
        <v>2.4868623325353125</v>
      </c>
      <c r="AA691" s="5">
        <f t="shared" ref="AA691:AA696" si="427">-Z691*F691</f>
        <v>-248688.72011586378</v>
      </c>
      <c r="AB691" t="s">
        <v>79</v>
      </c>
      <c r="AC691" t="s">
        <v>62</v>
      </c>
      <c r="AD691">
        <f t="shared" ref="AD691:AD696" si="428">_xlfn.SWITCH(PROPER(TRIM(S691)),
   "Annual",1,
   "Semi-Annual",2,
   "Quarterly",4,
   "Monthly",12,
   "")</f>
        <v>1</v>
      </c>
    </row>
    <row r="692" spans="1:30" x14ac:dyDescent="0.35">
      <c r="A692" t="s">
        <v>1461</v>
      </c>
      <c r="B692" t="s">
        <v>122</v>
      </c>
      <c r="C692" s="36">
        <f t="shared" si="416"/>
        <v>9.6731974889093048E-2</v>
      </c>
      <c r="D692" s="3">
        <f t="shared" si="417"/>
        <v>9.6731974889093048E-2</v>
      </c>
      <c r="F692">
        <v>980</v>
      </c>
      <c r="G692" t="s">
        <v>76</v>
      </c>
      <c r="H692">
        <v>1000</v>
      </c>
      <c r="I692" s="22"/>
      <c r="J692">
        <v>237</v>
      </c>
      <c r="K692" s="22"/>
      <c r="L692">
        <v>10.7610137745346</v>
      </c>
      <c r="M692" s="22">
        <v>9.1499999999999998E-2</v>
      </c>
      <c r="N692" s="21">
        <v>44558</v>
      </c>
      <c r="O692" s="21">
        <v>46384</v>
      </c>
      <c r="P692">
        <f t="shared" si="418"/>
        <v>5</v>
      </c>
      <c r="Q692" s="6">
        <f t="shared" si="419"/>
        <v>9.3367346938775506E-2</v>
      </c>
      <c r="R692" s="5">
        <f t="shared" si="420"/>
        <v>1</v>
      </c>
      <c r="S692" t="s">
        <v>93</v>
      </c>
      <c r="U692">
        <f t="shared" si="421"/>
        <v>5</v>
      </c>
      <c r="V692">
        <f t="shared" si="422"/>
        <v>91.5</v>
      </c>
      <c r="W692" s="28">
        <f t="shared" si="423"/>
        <v>9.6731974889093048E-2</v>
      </c>
      <c r="X692" s="27">
        <f t="shared" si="424"/>
        <v>9.6731974889093048E-2</v>
      </c>
      <c r="Y692" s="5">
        <f t="shared" si="425"/>
        <v>4.2205106672984067</v>
      </c>
      <c r="Z692" s="5">
        <f t="shared" si="426"/>
        <v>3.8482608002061811</v>
      </c>
      <c r="AA692" s="5">
        <f t="shared" si="427"/>
        <v>-3771.2955842020574</v>
      </c>
      <c r="AB692" t="s">
        <v>64</v>
      </c>
      <c r="AC692" t="s">
        <v>62</v>
      </c>
      <c r="AD692">
        <f t="shared" si="428"/>
        <v>1</v>
      </c>
    </row>
    <row r="693" spans="1:30" x14ac:dyDescent="0.35">
      <c r="A693" t="s">
        <v>1460</v>
      </c>
      <c r="B693" t="s">
        <v>122</v>
      </c>
      <c r="C693" s="36">
        <f t="shared" si="416"/>
        <v>8.8131597621653887E-2</v>
      </c>
      <c r="D693" s="3">
        <f t="shared" si="417"/>
        <v>8.8131597621653887E-2</v>
      </c>
      <c r="F693">
        <v>1028.8</v>
      </c>
      <c r="G693" t="s">
        <v>76</v>
      </c>
      <c r="H693">
        <v>1000</v>
      </c>
      <c r="I693" s="22"/>
      <c r="J693">
        <v>50</v>
      </c>
      <c r="K693" s="22"/>
      <c r="L693">
        <v>7.3511415652644301</v>
      </c>
      <c r="M693" s="22">
        <v>9.5500000000000002E-2</v>
      </c>
      <c r="N693" s="21">
        <v>44558</v>
      </c>
      <c r="O693" s="21">
        <v>46384</v>
      </c>
      <c r="P693">
        <f t="shared" si="418"/>
        <v>5</v>
      </c>
      <c r="Q693" s="6">
        <f t="shared" si="419"/>
        <v>9.2826594090202177E-2</v>
      </c>
      <c r="R693" s="5">
        <f t="shared" si="420"/>
        <v>1</v>
      </c>
      <c r="S693" t="s">
        <v>93</v>
      </c>
      <c r="U693">
        <f t="shared" si="421"/>
        <v>5</v>
      </c>
      <c r="V693">
        <f t="shared" si="422"/>
        <v>95.5</v>
      </c>
      <c r="W693" s="28">
        <f t="shared" si="423"/>
        <v>8.8131597621653887E-2</v>
      </c>
      <c r="X693" s="27">
        <f t="shared" si="424"/>
        <v>8.8131597621653887E-2</v>
      </c>
      <c r="Y693" s="5">
        <f t="shared" si="425"/>
        <v>4.2132589529466635</v>
      </c>
      <c r="Z693" s="5">
        <f t="shared" si="426"/>
        <v>3.8720123210792234</v>
      </c>
      <c r="AA693" s="5">
        <f t="shared" si="427"/>
        <v>-3983.5262759263051</v>
      </c>
      <c r="AB693" t="s">
        <v>64</v>
      </c>
      <c r="AC693" t="s">
        <v>62</v>
      </c>
      <c r="AD693">
        <f t="shared" si="428"/>
        <v>1</v>
      </c>
    </row>
    <row r="694" spans="1:30" x14ac:dyDescent="0.35">
      <c r="A694" t="s">
        <v>1459</v>
      </c>
      <c r="B694" t="s">
        <v>882</v>
      </c>
      <c r="C694" s="36">
        <f t="shared" si="416"/>
        <v>8.2993478809340299E-2</v>
      </c>
      <c r="D694" s="3">
        <f t="shared" si="417"/>
        <v>8.2993478809340299E-2</v>
      </c>
      <c r="F694">
        <v>104999.99</v>
      </c>
      <c r="G694" t="s">
        <v>76</v>
      </c>
      <c r="H694">
        <v>100000</v>
      </c>
      <c r="I694" s="22"/>
      <c r="J694">
        <v>9</v>
      </c>
      <c r="K694" s="22"/>
      <c r="L694">
        <v>6.5432169370964903</v>
      </c>
      <c r="M694" s="22">
        <v>0.10249999999999999</v>
      </c>
      <c r="N694" s="21">
        <v>45271</v>
      </c>
      <c r="O694" s="21">
        <v>46387</v>
      </c>
      <c r="P694">
        <f t="shared" si="418"/>
        <v>3</v>
      </c>
      <c r="Q694" s="6">
        <f t="shared" si="419"/>
        <v>9.7619056916100649E-2</v>
      </c>
      <c r="R694" s="5">
        <f t="shared" si="420"/>
        <v>1</v>
      </c>
      <c r="S694" t="s">
        <v>93</v>
      </c>
      <c r="U694">
        <f t="shared" si="421"/>
        <v>3</v>
      </c>
      <c r="V694">
        <f t="shared" si="422"/>
        <v>10250</v>
      </c>
      <c r="W694" s="28">
        <f t="shared" si="423"/>
        <v>8.2993478809340299E-2</v>
      </c>
      <c r="X694" s="27">
        <f t="shared" si="424"/>
        <v>8.2993478809340299E-2</v>
      </c>
      <c r="Y694" s="5">
        <f t="shared" si="425"/>
        <v>2.545895084614374</v>
      </c>
      <c r="Z694" s="5">
        <f t="shared" si="426"/>
        <v>2.3507944733087132</v>
      </c>
      <c r="AA694" s="5">
        <f t="shared" si="427"/>
        <v>-246833.39618947016</v>
      </c>
      <c r="AB694" t="s">
        <v>64</v>
      </c>
      <c r="AC694" t="s">
        <v>62</v>
      </c>
      <c r="AD694">
        <f t="shared" si="428"/>
        <v>1</v>
      </c>
    </row>
    <row r="695" spans="1:30" x14ac:dyDescent="0.35">
      <c r="A695" t="s">
        <v>1458</v>
      </c>
      <c r="B695" t="s">
        <v>316</v>
      </c>
      <c r="C695" s="36">
        <f t="shared" si="416"/>
        <v>0.11769724836687999</v>
      </c>
      <c r="D695" s="3">
        <f t="shared" si="417"/>
        <v>0.11769724836687999</v>
      </c>
      <c r="F695">
        <v>9700</v>
      </c>
      <c r="G695" t="s">
        <v>76</v>
      </c>
      <c r="H695">
        <v>10000</v>
      </c>
      <c r="I695" s="22"/>
      <c r="J695">
        <v>1</v>
      </c>
      <c r="K695" s="22"/>
      <c r="L695">
        <v>12.144832788534</v>
      </c>
      <c r="M695" s="22">
        <v>0.1</v>
      </c>
      <c r="N695" s="21">
        <v>45658</v>
      </c>
      <c r="O695" s="21">
        <v>46387</v>
      </c>
      <c r="P695">
        <f t="shared" si="418"/>
        <v>2</v>
      </c>
      <c r="Q695" s="6">
        <f t="shared" si="419"/>
        <v>0.10309278350515463</v>
      </c>
      <c r="R695" s="5">
        <f t="shared" si="420"/>
        <v>1</v>
      </c>
      <c r="S695" t="s">
        <v>93</v>
      </c>
      <c r="U695">
        <f t="shared" si="421"/>
        <v>2</v>
      </c>
      <c r="V695">
        <f t="shared" si="422"/>
        <v>1000</v>
      </c>
      <c r="W695" s="28">
        <f t="shared" si="423"/>
        <v>0.11769724836687999</v>
      </c>
      <c r="X695" s="27">
        <f t="shared" si="424"/>
        <v>0.11769724836687999</v>
      </c>
      <c r="Y695" s="5">
        <f t="shared" si="425"/>
        <v>1.9049854526893384</v>
      </c>
      <c r="Z695" s="5">
        <f t="shared" si="426"/>
        <v>1.7043841303830731</v>
      </c>
      <c r="AA695" s="5">
        <f t="shared" si="427"/>
        <v>-16532.52606471581</v>
      </c>
      <c r="AB695" t="s">
        <v>64</v>
      </c>
      <c r="AC695" t="s">
        <v>62</v>
      </c>
      <c r="AD695">
        <f t="shared" si="428"/>
        <v>1</v>
      </c>
    </row>
    <row r="696" spans="1:30" x14ac:dyDescent="0.35">
      <c r="A696" t="s">
        <v>1457</v>
      </c>
      <c r="B696" t="s">
        <v>553</v>
      </c>
      <c r="C696" s="36">
        <f t="shared" si="416"/>
        <v>8.6071636724647141E-2</v>
      </c>
      <c r="D696" s="3">
        <f t="shared" si="417"/>
        <v>8.6071636724647141E-2</v>
      </c>
      <c r="F696">
        <v>984</v>
      </c>
      <c r="G696" t="s">
        <v>76</v>
      </c>
      <c r="H696">
        <v>1000</v>
      </c>
      <c r="I696" s="22"/>
      <c r="J696">
        <v>30</v>
      </c>
      <c r="K696" s="22"/>
      <c r="L696">
        <v>9.4552538152980699</v>
      </c>
      <c r="M696" s="22">
        <v>8.199999999999999E-2</v>
      </c>
      <c r="N696" s="21">
        <v>44564</v>
      </c>
      <c r="O696" s="21">
        <v>46390</v>
      </c>
      <c r="P696">
        <f t="shared" si="418"/>
        <v>5</v>
      </c>
      <c r="Q696" s="6">
        <f t="shared" si="419"/>
        <v>8.3333333333333315E-2</v>
      </c>
      <c r="R696" s="5">
        <f t="shared" si="420"/>
        <v>1</v>
      </c>
      <c r="S696" t="s">
        <v>93</v>
      </c>
      <c r="U696">
        <f t="shared" si="421"/>
        <v>5</v>
      </c>
      <c r="V696">
        <f t="shared" si="422"/>
        <v>81.999999999999986</v>
      </c>
      <c r="W696" s="28">
        <f t="shared" si="423"/>
        <v>8.6071636724647141E-2</v>
      </c>
      <c r="X696" s="27">
        <f t="shared" si="424"/>
        <v>8.6071636724647141E-2</v>
      </c>
      <c r="Y696" s="5">
        <f t="shared" si="425"/>
        <v>4.2911455022932197</v>
      </c>
      <c r="Z696" s="5">
        <f t="shared" si="426"/>
        <v>3.9510704056634505</v>
      </c>
      <c r="AA696" s="5">
        <f t="shared" si="427"/>
        <v>-3887.8532791728353</v>
      </c>
      <c r="AB696" t="s">
        <v>64</v>
      </c>
      <c r="AC696" t="s">
        <v>62</v>
      </c>
      <c r="AD696">
        <f t="shared" si="428"/>
        <v>1</v>
      </c>
    </row>
    <row r="697" spans="1:30" x14ac:dyDescent="0.35">
      <c r="C697" s="28"/>
      <c r="D697" s="27"/>
      <c r="I697" s="22"/>
      <c r="K697" s="22"/>
      <c r="M697" s="22"/>
      <c r="N697" s="21"/>
      <c r="O697" s="21"/>
      <c r="P697" s="5"/>
      <c r="Q697" s="6"/>
      <c r="R697" s="5"/>
      <c r="W697" s="28"/>
      <c r="Y697" s="33"/>
      <c r="Z697" s="33"/>
      <c r="AA697" s="33"/>
    </row>
    <row r="698" spans="1:30" x14ac:dyDescent="0.35">
      <c r="A698" t="s">
        <v>1455</v>
      </c>
      <c r="B698" t="s">
        <v>553</v>
      </c>
      <c r="C698" s="36">
        <f>RATE(U698,V698,-F698,H698)</f>
        <v>7.9497257077696878E-2</v>
      </c>
      <c r="D698" s="3">
        <f>C698*AD698</f>
        <v>7.9497257077696878E-2</v>
      </c>
      <c r="F698">
        <v>1022</v>
      </c>
      <c r="G698" t="s">
        <v>76</v>
      </c>
      <c r="H698">
        <v>1000</v>
      </c>
      <c r="I698" s="22"/>
      <c r="J698">
        <v>390</v>
      </c>
      <c r="K698" s="22"/>
      <c r="L698">
        <v>6.8910467003597802</v>
      </c>
      <c r="M698" s="22">
        <v>8.5000000000000006E-2</v>
      </c>
      <c r="N698" s="21">
        <v>44564</v>
      </c>
      <c r="O698" s="21">
        <v>46390</v>
      </c>
      <c r="P698">
        <f>ROUND(YEARFRAC(N698,O698),0)</f>
        <v>5</v>
      </c>
      <c r="Q698" s="6">
        <f>(M698*H698)/F698</f>
        <v>8.3170254403131111E-2</v>
      </c>
      <c r="R698" s="5">
        <f>IF(S698="Quarterly",4,IF(S698="Semi-annual",2,IF(S698="Annual",1,IF(S698="Pays at maturity",0,IF(S698="Monthly",12,0)))))</f>
        <v>1</v>
      </c>
      <c r="S698" t="s">
        <v>93</v>
      </c>
      <c r="U698">
        <f>R698*P698</f>
        <v>5</v>
      </c>
      <c r="V698">
        <f>(H698*M698)/AD698</f>
        <v>85</v>
      </c>
      <c r="W698" s="28">
        <f>RATE(U698,V698,-F698,H698)</f>
        <v>7.9497257077696878E-2</v>
      </c>
      <c r="X698" s="27">
        <f>W698*AD698</f>
        <v>7.9497257077696878E-2</v>
      </c>
      <c r="Y698" s="5">
        <f>DURATION(N698,O698,M698,D698,AD698)</f>
        <v>4.284226385936643</v>
      </c>
      <c r="Z698" s="5">
        <f>Y698/(1+C698)</f>
        <v>3.9687237349119875</v>
      </c>
      <c r="AA698" s="5">
        <f>-Z698*F698</f>
        <v>-4056.0356570800514</v>
      </c>
      <c r="AB698" t="s">
        <v>64</v>
      </c>
      <c r="AC698" t="s">
        <v>62</v>
      </c>
      <c r="AD698">
        <f>_xlfn.SWITCH(PROPER(TRIM(S698)),
   "Annual",1,
   "Semi-Annual",2,
   "Quarterly",4,
   "Monthly",12,
   "")</f>
        <v>1</v>
      </c>
    </row>
    <row r="699" spans="1:30" x14ac:dyDescent="0.35">
      <c r="A699" t="s">
        <v>1454</v>
      </c>
      <c r="B699" t="s">
        <v>634</v>
      </c>
      <c r="C699" s="36">
        <f>RATE(U699,V699,-F699,H699)</f>
        <v>0.11135778655911543</v>
      </c>
      <c r="D699" s="3">
        <f>C699*AD699</f>
        <v>0.11135778655911543</v>
      </c>
      <c r="F699">
        <v>98450</v>
      </c>
      <c r="G699" t="s">
        <v>76</v>
      </c>
      <c r="H699">
        <v>100000</v>
      </c>
      <c r="I699" s="22"/>
      <c r="J699">
        <v>10</v>
      </c>
      <c r="K699" s="22"/>
      <c r="L699">
        <v>11.747529264809801</v>
      </c>
      <c r="M699" s="22">
        <v>0.105</v>
      </c>
      <c r="N699" s="21">
        <v>45477</v>
      </c>
      <c r="O699" s="21">
        <v>46391</v>
      </c>
      <c r="P699">
        <f>ROUND(YEARFRAC(N699,O699),0)</f>
        <v>3</v>
      </c>
      <c r="Q699" s="6">
        <f>(M699*H699)/F699</f>
        <v>0.10665312341289995</v>
      </c>
      <c r="R699" s="5">
        <f>IF(S699="Quarterly",4,IF(S699="Semi-annual",2,IF(S699="Annual",1,IF(S699="Pays at maturity",0,IF(S699="Monthly",12,0)))))</f>
        <v>1</v>
      </c>
      <c r="S699" t="s">
        <v>93</v>
      </c>
      <c r="U699">
        <f>R699*P699</f>
        <v>3</v>
      </c>
      <c r="V699">
        <f>(H699*M699)/AD699</f>
        <v>10500</v>
      </c>
      <c r="W699" s="28">
        <f>RATE(U699,V699,-F699,H699)</f>
        <v>0.11135778655911543</v>
      </c>
      <c r="X699" s="27">
        <f>W699*AD699</f>
        <v>0.11135778655911543</v>
      </c>
      <c r="Y699" s="5">
        <f>DURATION(N699,O699,M699,D699,AD699)</f>
        <v>2.2217163038626535</v>
      </c>
      <c r="Z699" s="5">
        <f>Y699/(1+C699)</f>
        <v>1.9991008572867686</v>
      </c>
      <c r="AA699" s="5">
        <f>-Z699*F699</f>
        <v>-196811.47939988237</v>
      </c>
      <c r="AB699" t="s">
        <v>64</v>
      </c>
      <c r="AC699" t="s">
        <v>62</v>
      </c>
      <c r="AD699">
        <f>_xlfn.SWITCH(PROPER(TRIM(S699)),
   "Annual",1,
   "Semi-Annual",2,
   "Quarterly",4,
   "Monthly",12,
   "")</f>
        <v>1</v>
      </c>
    </row>
    <row r="700" spans="1:30" x14ac:dyDescent="0.35">
      <c r="A700" t="s">
        <v>1453</v>
      </c>
      <c r="B700" t="s">
        <v>1452</v>
      </c>
      <c r="C700" s="36">
        <f>RATE(U700,V700,-F700,H700)</f>
        <v>0.13933864096941706</v>
      </c>
      <c r="D700" s="3">
        <f>C700*AD700</f>
        <v>0.13933864096941706</v>
      </c>
      <c r="F700">
        <v>95000</v>
      </c>
      <c r="G700" t="s">
        <v>76</v>
      </c>
      <c r="H700">
        <v>100000</v>
      </c>
      <c r="I700" s="22"/>
      <c r="J700">
        <v>1</v>
      </c>
      <c r="K700" s="22"/>
      <c r="L700">
        <v>15.0914857765883</v>
      </c>
      <c r="M700" s="22">
        <v>0.109</v>
      </c>
      <c r="N700" s="21">
        <v>45741</v>
      </c>
      <c r="O700" s="21">
        <v>46391</v>
      </c>
      <c r="P700">
        <f>ROUND(YEARFRAC(N700,O700),0)</f>
        <v>2</v>
      </c>
      <c r="Q700" s="6">
        <f>(M700*H700)/F700</f>
        <v>0.11473684210526315</v>
      </c>
      <c r="R700" s="5">
        <f>IF(S700="Quarterly",4,IF(S700="Semi-annual",2,IF(S700="Annual",1,IF(S700="Pays at maturity",0,IF(S700="Monthly",12,0)))))</f>
        <v>1</v>
      </c>
      <c r="S700" t="s">
        <v>93</v>
      </c>
      <c r="U700">
        <f>R700*P700</f>
        <v>2</v>
      </c>
      <c r="V700">
        <f>(H700*M700)/AD700</f>
        <v>10900</v>
      </c>
      <c r="W700" s="28">
        <f>RATE(U700,V700,-F700,H700)</f>
        <v>0.13933864096941706</v>
      </c>
      <c r="X700" s="27">
        <f>W700*AD700</f>
        <v>0.13933864096941706</v>
      </c>
      <c r="Y700" s="5">
        <f>DURATION(N700,O700,M700,D700,AD700)</f>
        <v>1.6742952244578972</v>
      </c>
      <c r="Z700" s="5">
        <f>Y700/(1+C700)</f>
        <v>1.4695325553369343</v>
      </c>
      <c r="AA700" s="5">
        <f>-Z700*F700</f>
        <v>-139605.59275700877</v>
      </c>
      <c r="AB700" t="s">
        <v>64</v>
      </c>
      <c r="AC700" t="s">
        <v>62</v>
      </c>
      <c r="AD700">
        <f>_xlfn.SWITCH(PROPER(TRIM(S700)),
   "Annual",1,
   "Semi-Annual",2,
   "Quarterly",4,
   "Monthly",12,
   "")</f>
        <v>1</v>
      </c>
    </row>
    <row r="701" spans="1:30" x14ac:dyDescent="0.35">
      <c r="A701" t="s">
        <v>1451</v>
      </c>
      <c r="B701" t="s">
        <v>128</v>
      </c>
      <c r="C701" s="36">
        <f>RATE(U701,V701,-F701,H701)</f>
        <v>9.5417917344134559E-2</v>
      </c>
      <c r="D701" s="3">
        <f>C701*AD701</f>
        <v>9.5417917344134559E-2</v>
      </c>
      <c r="F701">
        <v>975</v>
      </c>
      <c r="G701" t="s">
        <v>76</v>
      </c>
      <c r="H701">
        <v>1000</v>
      </c>
      <c r="I701" s="22"/>
      <c r="J701">
        <v>40</v>
      </c>
      <c r="K701" s="22"/>
      <c r="L701">
        <v>10.8607744831208</v>
      </c>
      <c r="M701" s="22">
        <v>8.8900000000000007E-2</v>
      </c>
      <c r="N701" s="21">
        <v>44567</v>
      </c>
      <c r="O701" s="21">
        <v>46393</v>
      </c>
      <c r="P701">
        <f>ROUND(YEARFRAC(N701,O701),0)</f>
        <v>5</v>
      </c>
      <c r="Q701" s="6">
        <f>(M701*H701)/F701</f>
        <v>9.1179487179487179E-2</v>
      </c>
      <c r="R701" s="5">
        <f>IF(S701="Quarterly",4,IF(S701="Semi-annual",2,IF(S701="Annual",1,IF(S701="Pays at maturity",0,IF(S701="Monthly",12,0)))))</f>
        <v>1</v>
      </c>
      <c r="S701" t="s">
        <v>93</v>
      </c>
      <c r="U701">
        <f>R701*P701</f>
        <v>5</v>
      </c>
      <c r="V701">
        <f>(H701*M701)/AD701</f>
        <v>88.9</v>
      </c>
      <c r="W701" s="28">
        <f>RATE(U701,V701,-F701,H701)</f>
        <v>9.5417917344134559E-2</v>
      </c>
      <c r="X701" s="27">
        <f>W701*AD701</f>
        <v>9.5417917344134559E-2</v>
      </c>
      <c r="Y701" s="5">
        <f>DURATION(N701,O701,M701,D701,AD701)</f>
        <v>4.2370304011397453</v>
      </c>
      <c r="Z701" s="5">
        <f>Y701/(1+C701)</f>
        <v>3.8679579127320842</v>
      </c>
      <c r="AA701" s="5">
        <f>-Z701*F701</f>
        <v>-3771.2589649137822</v>
      </c>
      <c r="AB701" t="s">
        <v>64</v>
      </c>
      <c r="AC701" t="s">
        <v>62</v>
      </c>
      <c r="AD701">
        <f>_xlfn.SWITCH(PROPER(TRIM(S701)),
   "Annual",1,
   "Semi-Annual",2,
   "Quarterly",4,
   "Monthly",12,
   "")</f>
        <v>1</v>
      </c>
    </row>
    <row r="702" spans="1:30" x14ac:dyDescent="0.35">
      <c r="A702" t="s">
        <v>1450</v>
      </c>
      <c r="B702" t="s">
        <v>119</v>
      </c>
      <c r="C702" s="36">
        <f>RATE(U702,V702,-F702,H702)</f>
        <v>9.2035796733169542E-2</v>
      </c>
      <c r="D702" s="3">
        <f>C702*AD702</f>
        <v>9.2035796733169542E-2</v>
      </c>
      <c r="F702">
        <v>1005.2</v>
      </c>
      <c r="G702" t="s">
        <v>76</v>
      </c>
      <c r="H702">
        <v>1000</v>
      </c>
      <c r="I702" s="22"/>
      <c r="J702">
        <v>10</v>
      </c>
      <c r="K702" s="22"/>
      <c r="L702">
        <v>9.0992388925816599</v>
      </c>
      <c r="M702" s="22">
        <v>9.5000000000000001E-2</v>
      </c>
      <c r="N702" s="21">
        <v>45663</v>
      </c>
      <c r="O702" s="21">
        <v>46393</v>
      </c>
      <c r="P702">
        <f>ROUND(YEARFRAC(N702,O702),0)</f>
        <v>2</v>
      </c>
      <c r="Q702" s="6">
        <f>(M702*H702)/F702</f>
        <v>9.4508555511341019E-2</v>
      </c>
      <c r="R702" s="5">
        <f>IF(S702="Quarterly",4,IF(S702="Semi-annual",2,IF(S702="Annual",1,IF(S702="Pays at maturity",0,IF(S702="Monthly",12,0)))))</f>
        <v>1</v>
      </c>
      <c r="S702" t="s">
        <v>93</v>
      </c>
      <c r="U702">
        <f>R702*P702</f>
        <v>2</v>
      </c>
      <c r="V702">
        <f>(H702*M702)/AD702</f>
        <v>95</v>
      </c>
      <c r="W702" s="28">
        <f>RATE(U702,V702,-F702,H702)</f>
        <v>9.2035796733169542E-2</v>
      </c>
      <c r="X702" s="27">
        <f>W702*AD702</f>
        <v>9.2035796733169542E-2</v>
      </c>
      <c r="Y702" s="5">
        <f>DURATION(N702,O702,M702,D702,AD702)</f>
        <v>1.9134565407159145</v>
      </c>
      <c r="Z702" s="5">
        <f>Y702/(1+C702)</f>
        <v>1.7521921409902763</v>
      </c>
      <c r="AA702" s="5">
        <f>-Z702*F702</f>
        <v>-1761.3035401234258</v>
      </c>
      <c r="AB702" t="s">
        <v>64</v>
      </c>
      <c r="AC702" t="s">
        <v>62</v>
      </c>
      <c r="AD702">
        <f>_xlfn.SWITCH(PROPER(TRIM(S702)),
   "Annual",1,
   "Semi-Annual",2,
   "Quarterly",4,
   "Monthly",12,
   "")</f>
        <v>1</v>
      </c>
    </row>
    <row r="703" spans="1:30" x14ac:dyDescent="0.35">
      <c r="C703" s="28"/>
      <c r="D703" s="27"/>
      <c r="I703" s="22"/>
      <c r="K703" s="22"/>
      <c r="M703" s="22"/>
      <c r="N703" s="21"/>
      <c r="O703" s="21"/>
      <c r="P703" s="5"/>
      <c r="Q703" s="6"/>
      <c r="R703" s="5"/>
      <c r="W703" s="28"/>
      <c r="Y703" s="33"/>
      <c r="Z703" s="33"/>
      <c r="AA703" s="33"/>
    </row>
    <row r="704" spans="1:30" x14ac:dyDescent="0.35">
      <c r="A704" t="s">
        <v>1448</v>
      </c>
      <c r="B704" t="s">
        <v>128</v>
      </c>
      <c r="C704" s="36">
        <f>RATE(U704,V704,-F704,H704)</f>
        <v>9.1210497745100955E-2</v>
      </c>
      <c r="D704" s="3">
        <f>C704*AD704</f>
        <v>9.1210497745100955E-2</v>
      </c>
      <c r="F704">
        <v>1005</v>
      </c>
      <c r="G704" t="s">
        <v>76</v>
      </c>
      <c r="H704">
        <v>1000</v>
      </c>
      <c r="I704" s="22"/>
      <c r="J704">
        <v>52</v>
      </c>
      <c r="K704" s="22"/>
      <c r="L704">
        <v>8.8887161415146494</v>
      </c>
      <c r="M704" s="22">
        <v>9.2499999999999999E-2</v>
      </c>
      <c r="N704" s="21">
        <v>44567</v>
      </c>
      <c r="O704" s="21">
        <v>46393</v>
      </c>
      <c r="P704">
        <f>ROUND(YEARFRAC(N704,O704),0)</f>
        <v>5</v>
      </c>
      <c r="Q704" s="6">
        <f>(M704*H704)/F704</f>
        <v>9.2039800995024873E-2</v>
      </c>
      <c r="R704" s="5">
        <f>IF(S704="Quarterly",4,IF(S704="Semi-annual",2,IF(S704="Annual",1,IF(S704="Pays at maturity",0,IF(S704="Monthly",12,0)))))</f>
        <v>1</v>
      </c>
      <c r="S704" t="s">
        <v>93</v>
      </c>
      <c r="U704">
        <f>R704*P704</f>
        <v>5</v>
      </c>
      <c r="V704">
        <f>(H704*M704)/AD704</f>
        <v>92.5</v>
      </c>
      <c r="W704" s="28">
        <f>RATE(U704,V704,-F704,H704)</f>
        <v>9.1210497745100955E-2</v>
      </c>
      <c r="X704" s="27">
        <f>W704*AD704</f>
        <v>9.1210497745100955E-2</v>
      </c>
      <c r="Y704" s="5">
        <f>DURATION(N704,O704,M704,D704,AD704)</f>
        <v>4.2241399233964501</v>
      </c>
      <c r="Z704" s="5">
        <f>Y704/(1+C704)</f>
        <v>3.8710587298466215</v>
      </c>
      <c r="AA704" s="5">
        <f>-Z704*F704</f>
        <v>-3890.4140234958545</v>
      </c>
      <c r="AB704" t="s">
        <v>64</v>
      </c>
      <c r="AC704" t="s">
        <v>62</v>
      </c>
      <c r="AD704">
        <f>_xlfn.SWITCH(PROPER(TRIM(S704)),
   "Annual",1,
   "Semi-Annual",2,
   "Quarterly",4,
   "Monthly",12,
   "")</f>
        <v>1</v>
      </c>
    </row>
    <row r="705" spans="1:30" x14ac:dyDescent="0.35">
      <c r="A705" t="s">
        <v>1447</v>
      </c>
      <c r="B705" t="s">
        <v>1446</v>
      </c>
      <c r="C705" s="36">
        <f>RATE(U705,V705,-F705,H705)</f>
        <v>2.3837046519917082E-2</v>
      </c>
      <c r="D705" s="3">
        <f>C705*AD705</f>
        <v>9.5348186079668329E-2</v>
      </c>
      <c r="F705">
        <v>10058.58</v>
      </c>
      <c r="G705" t="s">
        <v>76</v>
      </c>
      <c r="H705">
        <v>10000</v>
      </c>
      <c r="I705" s="22"/>
      <c r="J705">
        <v>50</v>
      </c>
      <c r="K705" s="22"/>
      <c r="M705" s="22">
        <v>9.8599999999999993E-2</v>
      </c>
      <c r="N705" s="21">
        <v>45813</v>
      </c>
      <c r="O705" s="21">
        <v>46393</v>
      </c>
      <c r="P705">
        <f>ROUND(YEARFRAC(N705,O705),0)</f>
        <v>2</v>
      </c>
      <c r="Q705" s="6">
        <f>(M705*H705)/F705</f>
        <v>9.8025765068230297E-2</v>
      </c>
      <c r="R705" s="5">
        <f>IF(S705="Quarterly",4,IF(S705="Semi-annual",2,IF(S705="Annual",1,IF(S705="Pays at maturity",0,IF(S705="Monthly",12,0)))))</f>
        <v>4</v>
      </c>
      <c r="S705" t="s">
        <v>105</v>
      </c>
      <c r="U705">
        <f>R705*P705</f>
        <v>8</v>
      </c>
      <c r="V705">
        <f>(H705*M705)/AD705</f>
        <v>246.49999999999997</v>
      </c>
      <c r="W705" s="28">
        <f>RATE(U705,V705,-F705,H705)</f>
        <v>2.3837046519917082E-2</v>
      </c>
      <c r="X705" s="27">
        <f>W705*AD705</f>
        <v>9.5348186079668329E-2</v>
      </c>
      <c r="Y705" s="5">
        <f>DURATION(N705,O705,M705,D705,AD705)</f>
        <v>1.4651309734493125</v>
      </c>
      <c r="Z705" s="5">
        <f>Y705/(1+C705)</f>
        <v>1.4310196905155754</v>
      </c>
      <c r="AA705" s="5">
        <f>-Z705*F705</f>
        <v>-14394.026038626156</v>
      </c>
      <c r="AB705" t="s">
        <v>64</v>
      </c>
      <c r="AC705" t="s">
        <v>62</v>
      </c>
      <c r="AD705">
        <f>_xlfn.SWITCH(PROPER(TRIM(S705)),
   "Annual",1,
   "Semi-Annual",2,
   "Quarterly",4,
   "Monthly",12,
   "")</f>
        <v>4</v>
      </c>
    </row>
    <row r="706" spans="1:30" x14ac:dyDescent="0.35">
      <c r="A706" t="s">
        <v>1445</v>
      </c>
      <c r="B706" t="s">
        <v>241</v>
      </c>
      <c r="C706" s="36">
        <f>RATE(U706,V706,-F706,H706)</f>
        <v>9.0568907601132814E-2</v>
      </c>
      <c r="D706" s="3">
        <f>C706*AD706</f>
        <v>9.0568907601132814E-2</v>
      </c>
      <c r="F706">
        <v>999</v>
      </c>
      <c r="G706" t="s">
        <v>76</v>
      </c>
      <c r="H706">
        <v>1000</v>
      </c>
      <c r="I706" s="22"/>
      <c r="J706">
        <v>64</v>
      </c>
      <c r="K706" s="22"/>
      <c r="L706">
        <v>9.0761717599952902</v>
      </c>
      <c r="M706" s="22">
        <v>0.09</v>
      </c>
      <c r="N706" s="21">
        <v>45667</v>
      </c>
      <c r="O706" s="21">
        <v>46397</v>
      </c>
      <c r="P706">
        <f>ROUND(YEARFRAC(N706,O706),0)</f>
        <v>2</v>
      </c>
      <c r="Q706" s="6">
        <f>(M706*H706)/F706</f>
        <v>9.0090090090090086E-2</v>
      </c>
      <c r="R706" s="5">
        <f>IF(S706="Quarterly",4,IF(S706="Semi-annual",2,IF(S706="Annual",1,IF(S706="Pays at maturity",0,IF(S706="Monthly",12,0)))))</f>
        <v>1</v>
      </c>
      <c r="S706" t="s">
        <v>93</v>
      </c>
      <c r="U706">
        <f>R706*P706</f>
        <v>2</v>
      </c>
      <c r="V706">
        <f>(H706*M706)/AD706</f>
        <v>90</v>
      </c>
      <c r="W706" s="28">
        <f>RATE(U706,V706,-F706,H706)</f>
        <v>9.0568907601132814E-2</v>
      </c>
      <c r="X706" s="27">
        <f>W706*AD706</f>
        <v>9.0568907601132814E-2</v>
      </c>
      <c r="Y706" s="5">
        <f>DURATION(N706,O706,M706,D706,AD706)</f>
        <v>1.9173916572697305</v>
      </c>
      <c r="Z706" s="5">
        <f>Y706/(1+C706)</f>
        <v>1.7581572736080622</v>
      </c>
      <c r="AA706" s="5">
        <f>-Z706*F706</f>
        <v>-1756.3991163344542</v>
      </c>
      <c r="AB706" t="s">
        <v>64</v>
      </c>
      <c r="AC706" t="s">
        <v>62</v>
      </c>
      <c r="AD706">
        <f>_xlfn.SWITCH(PROPER(TRIM(S706)),
   "Annual",1,
   "Semi-Annual",2,
   "Quarterly",4,
   "Monthly",12,
   "")</f>
        <v>1</v>
      </c>
    </row>
    <row r="707" spans="1:30" x14ac:dyDescent="0.35">
      <c r="A707" t="s">
        <v>1444</v>
      </c>
      <c r="B707" t="s">
        <v>241</v>
      </c>
      <c r="C707" s="36">
        <f>RATE(U707,V707,-F707,H707)</f>
        <v>6.6480256374861699E-2</v>
      </c>
      <c r="D707" s="3">
        <f>C707*AD707</f>
        <v>6.6480256374861699E-2</v>
      </c>
      <c r="F707">
        <v>1050</v>
      </c>
      <c r="G707" t="s">
        <v>76</v>
      </c>
      <c r="H707">
        <v>1000</v>
      </c>
      <c r="I707" s="22"/>
      <c r="J707">
        <v>17</v>
      </c>
      <c r="K707" s="22"/>
      <c r="L707">
        <v>5.7396355954581404</v>
      </c>
      <c r="M707" s="22">
        <v>9.4E-2</v>
      </c>
      <c r="N707" s="21">
        <v>45667</v>
      </c>
      <c r="O707" s="21">
        <v>46397</v>
      </c>
      <c r="P707">
        <f>ROUND(YEARFRAC(N707,O707),0)</f>
        <v>2</v>
      </c>
      <c r="Q707" s="6">
        <f>(M707*H707)/F707</f>
        <v>8.9523809523809519E-2</v>
      </c>
      <c r="R707" s="5">
        <f>IF(S707="Quarterly",4,IF(S707="Semi-annual",2,IF(S707="Annual",1,IF(S707="Pays at maturity",0,IF(S707="Monthly",12,0)))))</f>
        <v>1</v>
      </c>
      <c r="S707" t="s">
        <v>93</v>
      </c>
      <c r="U707">
        <f>R707*P707</f>
        <v>2</v>
      </c>
      <c r="V707">
        <f>(H707*M707)/AD707</f>
        <v>94</v>
      </c>
      <c r="W707" s="28">
        <f>RATE(U707,V707,-F707,H707)</f>
        <v>6.6480256374861699E-2</v>
      </c>
      <c r="X707" s="27">
        <f>W707*AD707</f>
        <v>6.6480256374861699E-2</v>
      </c>
      <c r="Y707" s="5">
        <f>DURATION(N707,O707,M707,D707,AD707)</f>
        <v>1.9160567586800745</v>
      </c>
      <c r="Z707" s="5">
        <f>Y707/(1+C707)</f>
        <v>1.7966171874508585</v>
      </c>
      <c r="AA707" s="5">
        <f>-Z707*F707</f>
        <v>-1886.4480468234015</v>
      </c>
      <c r="AB707" t="s">
        <v>64</v>
      </c>
      <c r="AC707" t="s">
        <v>62</v>
      </c>
      <c r="AD707">
        <f>_xlfn.SWITCH(PROPER(TRIM(S707)),
   "Annual",1,
   "Semi-Annual",2,
   "Quarterly",4,
   "Monthly",12,
   "")</f>
        <v>1</v>
      </c>
    </row>
    <row r="708" spans="1:30" x14ac:dyDescent="0.35">
      <c r="C708" s="28"/>
      <c r="D708" s="27"/>
      <c r="I708" s="22"/>
      <c r="K708" s="22"/>
      <c r="M708" s="22"/>
      <c r="N708" s="21"/>
      <c r="O708" s="21"/>
      <c r="P708" s="5"/>
      <c r="Q708" s="6"/>
      <c r="R708" s="5"/>
      <c r="W708" s="28"/>
      <c r="Y708" s="33"/>
      <c r="Z708" s="33"/>
      <c r="AA708" s="33"/>
    </row>
    <row r="709" spans="1:30" x14ac:dyDescent="0.35">
      <c r="A709" t="s">
        <v>1442</v>
      </c>
      <c r="B709" t="s">
        <v>101</v>
      </c>
      <c r="C709" s="36">
        <f t="shared" ref="C709:C715" si="429">RATE(U709,V709,-F709,H709)</f>
        <v>2.2586330602527724E-2</v>
      </c>
      <c r="D709" s="3">
        <f t="shared" ref="D709:D715" si="430">C709*AD709</f>
        <v>4.5172661205055448E-2</v>
      </c>
      <c r="F709">
        <v>908.02</v>
      </c>
      <c r="G709" t="s">
        <v>66</v>
      </c>
      <c r="H709">
        <v>1000</v>
      </c>
      <c r="I709" s="22"/>
      <c r="J709">
        <v>2000000</v>
      </c>
      <c r="K709" s="22"/>
      <c r="M709" s="22">
        <v>2.75E-2</v>
      </c>
      <c r="N709" s="21">
        <v>44390</v>
      </c>
      <c r="O709" s="21">
        <v>46400</v>
      </c>
      <c r="P709">
        <f t="shared" ref="P709:P715" si="431">ROUND(YEARFRAC(N709,O709),0)</f>
        <v>6</v>
      </c>
      <c r="Q709" s="6">
        <f t="shared" ref="Q709:Q715" si="432">(M709*H709)/F709</f>
        <v>3.0285676526948746E-2</v>
      </c>
      <c r="R709" s="5">
        <f t="shared" ref="R709:R715" si="433">IF(S709="Quarterly",4,IF(S709="Semi-annual",2,IF(S709="Annual",1,IF(S709="Pays at maturity",0,IF(S709="Monthly",12,0)))))</f>
        <v>2</v>
      </c>
      <c r="S709" t="s">
        <v>65</v>
      </c>
      <c r="U709">
        <f t="shared" ref="U709:U715" si="434">R709*P709</f>
        <v>12</v>
      </c>
      <c r="V709">
        <f t="shared" ref="V709:V715" si="435">(H709*M709)/AD709</f>
        <v>13.75</v>
      </c>
      <c r="W709" s="28">
        <f t="shared" ref="W709:W715" si="436">RATE(U709,V709,-F709,H709)</f>
        <v>2.2586330602527724E-2</v>
      </c>
      <c r="X709" s="27">
        <f t="shared" ref="X709:X715" si="437">W709*AD709</f>
        <v>4.5172661205055448E-2</v>
      </c>
      <c r="Y709" s="5">
        <f t="shared" ref="Y709:Y715" si="438">DURATION(N709,O709,M709,D709,AD709)</f>
        <v>5.1214158518249349</v>
      </c>
      <c r="Z709" s="5">
        <f t="shared" ref="Z709:Z715" si="439">Y709/(1+C709)</f>
        <v>5.0082968044441749</v>
      </c>
      <c r="AA709" s="5">
        <f t="shared" ref="AA709:AA715" si="440">-Z709*F709</f>
        <v>-4547.6336643713994</v>
      </c>
      <c r="AB709" t="s">
        <v>64</v>
      </c>
      <c r="AC709" t="s">
        <v>62</v>
      </c>
      <c r="AD709">
        <f t="shared" ref="AD709:AD715" si="441">_xlfn.SWITCH(PROPER(TRIM(S709)),
   "Annual",1,
   "Semi-Annual",2,
   "Quarterly",4,
   "Monthly",12,
   "")</f>
        <v>2</v>
      </c>
    </row>
    <row r="710" spans="1:30" x14ac:dyDescent="0.35">
      <c r="A710" t="s">
        <v>1441</v>
      </c>
      <c r="B710" t="s">
        <v>101</v>
      </c>
      <c r="C710" s="36">
        <f t="shared" si="429"/>
        <v>1.756357710080865E-2</v>
      </c>
      <c r="D710" s="3">
        <f t="shared" si="430"/>
        <v>3.51271542016173E-2</v>
      </c>
      <c r="F710">
        <v>959.06</v>
      </c>
      <c r="G710" t="s">
        <v>66</v>
      </c>
      <c r="H710">
        <v>1000</v>
      </c>
      <c r="I710" s="22"/>
      <c r="J710">
        <v>0</v>
      </c>
      <c r="K710" s="22"/>
      <c r="M710" s="22">
        <v>2.75E-2</v>
      </c>
      <c r="N710" s="21">
        <v>44390</v>
      </c>
      <c r="O710" s="21">
        <v>46400</v>
      </c>
      <c r="P710">
        <f t="shared" si="431"/>
        <v>6</v>
      </c>
      <c r="Q710" s="6">
        <f t="shared" si="432"/>
        <v>2.8673909870081123E-2</v>
      </c>
      <c r="R710" s="5">
        <f t="shared" si="433"/>
        <v>2</v>
      </c>
      <c r="S710" t="s">
        <v>65</v>
      </c>
      <c r="U710">
        <f t="shared" si="434"/>
        <v>12</v>
      </c>
      <c r="V710">
        <f t="shared" si="435"/>
        <v>13.75</v>
      </c>
      <c r="W710" s="28">
        <f t="shared" si="436"/>
        <v>1.756357710080865E-2</v>
      </c>
      <c r="X710" s="27">
        <f t="shared" si="437"/>
        <v>3.51271542016173E-2</v>
      </c>
      <c r="Y710" s="5">
        <f t="shared" si="438"/>
        <v>5.1331098335184766</v>
      </c>
      <c r="Z710" s="5">
        <f t="shared" si="439"/>
        <v>5.0445101898630025</v>
      </c>
      <c r="AA710" s="5">
        <f t="shared" si="440"/>
        <v>-4837.9879426900106</v>
      </c>
      <c r="AB710" t="s">
        <v>64</v>
      </c>
      <c r="AC710" t="s">
        <v>62</v>
      </c>
      <c r="AD710">
        <f t="shared" si="441"/>
        <v>2</v>
      </c>
    </row>
    <row r="711" spans="1:30" x14ac:dyDescent="0.35">
      <c r="A711" t="s">
        <v>1440</v>
      </c>
      <c r="B711" t="s">
        <v>67</v>
      </c>
      <c r="C711" s="36">
        <f t="shared" si="429"/>
        <v>3.3018797351596595E-2</v>
      </c>
      <c r="D711" s="3">
        <f t="shared" si="430"/>
        <v>6.6037594703193189E-2</v>
      </c>
      <c r="F711">
        <v>1213.79</v>
      </c>
      <c r="G711" t="s">
        <v>66</v>
      </c>
      <c r="H711">
        <v>1000</v>
      </c>
      <c r="I711" s="22"/>
      <c r="J711">
        <v>0</v>
      </c>
      <c r="K711" s="22"/>
      <c r="M711" s="22">
        <v>8.2500000000000004E-2</v>
      </c>
      <c r="N711" s="21">
        <v>35446</v>
      </c>
      <c r="O711" s="21">
        <v>46402</v>
      </c>
      <c r="P711">
        <f t="shared" si="431"/>
        <v>30</v>
      </c>
      <c r="Q711" s="6">
        <f t="shared" si="432"/>
        <v>6.7968923784180138E-2</v>
      </c>
      <c r="R711" s="5">
        <f t="shared" si="433"/>
        <v>2</v>
      </c>
      <c r="S711" t="s">
        <v>65</v>
      </c>
      <c r="U711">
        <f t="shared" si="434"/>
        <v>60</v>
      </c>
      <c r="V711">
        <f t="shared" si="435"/>
        <v>41.25</v>
      </c>
      <c r="W711" s="28">
        <f t="shared" si="436"/>
        <v>3.3018797351596595E-2</v>
      </c>
      <c r="X711" s="27">
        <f t="shared" si="437"/>
        <v>6.6037594703193189E-2</v>
      </c>
      <c r="Y711" s="5">
        <f t="shared" si="438"/>
        <v>12.927549148984466</v>
      </c>
      <c r="Z711" s="5">
        <f t="shared" si="439"/>
        <v>12.514340670399696</v>
      </c>
      <c r="AA711" s="5">
        <f t="shared" si="440"/>
        <v>-15189.781562324446</v>
      </c>
      <c r="AB711" t="s">
        <v>79</v>
      </c>
      <c r="AC711" t="s">
        <v>62</v>
      </c>
      <c r="AD711">
        <f t="shared" si="441"/>
        <v>2</v>
      </c>
    </row>
    <row r="712" spans="1:30" x14ac:dyDescent="0.35">
      <c r="A712" t="s">
        <v>1439</v>
      </c>
      <c r="B712" t="s">
        <v>67</v>
      </c>
      <c r="C712" s="36">
        <f t="shared" si="429"/>
        <v>3.9220942873160712E-2</v>
      </c>
      <c r="D712" s="3">
        <f t="shared" si="430"/>
        <v>7.8441885746321424E-2</v>
      </c>
      <c r="F712">
        <v>1046.5899999999999</v>
      </c>
      <c r="G712" t="s">
        <v>66</v>
      </c>
      <c r="H712">
        <v>1000</v>
      </c>
      <c r="I712" s="22"/>
      <c r="J712">
        <v>1000000</v>
      </c>
      <c r="K712" s="22"/>
      <c r="M712" s="22">
        <v>8.2500000000000004E-2</v>
      </c>
      <c r="N712" s="21">
        <v>35446</v>
      </c>
      <c r="O712" s="21">
        <v>46402</v>
      </c>
      <c r="P712">
        <f t="shared" si="431"/>
        <v>30</v>
      </c>
      <c r="Q712" s="6">
        <f t="shared" si="432"/>
        <v>7.8827430034684079E-2</v>
      </c>
      <c r="R712" s="5">
        <f t="shared" si="433"/>
        <v>2</v>
      </c>
      <c r="S712" t="s">
        <v>65</v>
      </c>
      <c r="U712">
        <f t="shared" si="434"/>
        <v>60</v>
      </c>
      <c r="V712">
        <f t="shared" si="435"/>
        <v>41.25</v>
      </c>
      <c r="W712" s="28">
        <f t="shared" si="436"/>
        <v>3.9220942873160712E-2</v>
      </c>
      <c r="X712" s="27">
        <f t="shared" si="437"/>
        <v>7.8441885746321424E-2</v>
      </c>
      <c r="Y712" s="5">
        <f t="shared" si="438"/>
        <v>11.839398307806341</v>
      </c>
      <c r="Z712" s="5">
        <f t="shared" si="439"/>
        <v>11.392570934024533</v>
      </c>
      <c r="AA712" s="5">
        <f t="shared" si="440"/>
        <v>-11923.350813840736</v>
      </c>
      <c r="AB712" t="s">
        <v>79</v>
      </c>
      <c r="AC712" t="s">
        <v>62</v>
      </c>
      <c r="AD712">
        <f t="shared" si="441"/>
        <v>2</v>
      </c>
    </row>
    <row r="713" spans="1:30" x14ac:dyDescent="0.35">
      <c r="A713" t="s">
        <v>1438</v>
      </c>
      <c r="B713" t="s">
        <v>316</v>
      </c>
      <c r="C713" s="36">
        <f t="shared" si="429"/>
        <v>0.11302733308573144</v>
      </c>
      <c r="D713" s="3">
        <f t="shared" si="430"/>
        <v>0.11302733308573144</v>
      </c>
      <c r="F713">
        <v>950.1</v>
      </c>
      <c r="G713" t="s">
        <v>76</v>
      </c>
      <c r="H713">
        <v>1000</v>
      </c>
      <c r="I713" s="22"/>
      <c r="J713">
        <v>300</v>
      </c>
      <c r="K713" s="22"/>
      <c r="L713">
        <v>13.1651710139164</v>
      </c>
      <c r="M713" s="22">
        <v>9.2499999999999999E-2</v>
      </c>
      <c r="N713" s="21">
        <v>45309</v>
      </c>
      <c r="O713" s="21">
        <v>46404</v>
      </c>
      <c r="P713">
        <f t="shared" si="431"/>
        <v>3</v>
      </c>
      <c r="Q713" s="6">
        <f t="shared" si="432"/>
        <v>9.7358172823913264E-2</v>
      </c>
      <c r="R713" s="5">
        <f t="shared" si="433"/>
        <v>1</v>
      </c>
      <c r="S713" t="s">
        <v>93</v>
      </c>
      <c r="U713">
        <f t="shared" si="434"/>
        <v>3</v>
      </c>
      <c r="V713">
        <f t="shared" si="435"/>
        <v>92.5</v>
      </c>
      <c r="W713" s="28">
        <f t="shared" si="436"/>
        <v>0.11302733308573144</v>
      </c>
      <c r="X713" s="27">
        <f t="shared" si="437"/>
        <v>0.11302733308573144</v>
      </c>
      <c r="Y713" s="5">
        <f t="shared" si="438"/>
        <v>2.7436904000756788</v>
      </c>
      <c r="Z713" s="5">
        <f t="shared" si="439"/>
        <v>2.4650701007217268</v>
      </c>
      <c r="AA713" s="5">
        <f t="shared" si="440"/>
        <v>-2342.0631026957126</v>
      </c>
      <c r="AB713" t="s">
        <v>64</v>
      </c>
      <c r="AC713" t="s">
        <v>62</v>
      </c>
      <c r="AD713">
        <f t="shared" si="441"/>
        <v>1</v>
      </c>
    </row>
    <row r="714" spans="1:30" x14ac:dyDescent="0.35">
      <c r="A714" t="s">
        <v>1437</v>
      </c>
      <c r="B714" t="s">
        <v>145</v>
      </c>
      <c r="C714" s="36">
        <f t="shared" si="429"/>
        <v>8.1499619892301922E-2</v>
      </c>
      <c r="D714" s="3">
        <f t="shared" si="430"/>
        <v>8.1499619892301922E-2</v>
      </c>
      <c r="F714">
        <v>1060</v>
      </c>
      <c r="G714" t="s">
        <v>76</v>
      </c>
      <c r="H714">
        <v>1000</v>
      </c>
      <c r="I714" s="22"/>
      <c r="J714">
        <v>3</v>
      </c>
      <c r="K714" s="22"/>
      <c r="L714">
        <v>5.1595898556780497</v>
      </c>
      <c r="M714" s="22">
        <v>9.1999999999999998E-2</v>
      </c>
      <c r="N714" s="21">
        <v>43483</v>
      </c>
      <c r="O714" s="21">
        <v>46405</v>
      </c>
      <c r="P714">
        <f t="shared" si="431"/>
        <v>8</v>
      </c>
      <c r="Q714" s="6">
        <f t="shared" si="432"/>
        <v>8.6792452830188674E-2</v>
      </c>
      <c r="R714" s="5">
        <f t="shared" si="433"/>
        <v>1</v>
      </c>
      <c r="S714" t="s">
        <v>93</v>
      </c>
      <c r="U714">
        <f t="shared" si="434"/>
        <v>8</v>
      </c>
      <c r="V714">
        <f t="shared" si="435"/>
        <v>92</v>
      </c>
      <c r="W714" s="28">
        <f t="shared" si="436"/>
        <v>8.1499619892301922E-2</v>
      </c>
      <c r="X714" s="27">
        <f t="shared" si="437"/>
        <v>8.1499619892301922E-2</v>
      </c>
      <c r="Y714" s="5">
        <f t="shared" si="438"/>
        <v>6.0615631162372621</v>
      </c>
      <c r="Z714" s="5">
        <f t="shared" si="439"/>
        <v>5.6047760024556323</v>
      </c>
      <c r="AA714" s="5">
        <f t="shared" si="440"/>
        <v>-5941.0625626029705</v>
      </c>
      <c r="AB714" t="s">
        <v>64</v>
      </c>
      <c r="AC714" t="s">
        <v>62</v>
      </c>
      <c r="AD714">
        <f t="shared" si="441"/>
        <v>1</v>
      </c>
    </row>
    <row r="715" spans="1:30" x14ac:dyDescent="0.35">
      <c r="A715" t="s">
        <v>1436</v>
      </c>
      <c r="B715" t="s">
        <v>1435</v>
      </c>
      <c r="C715" s="36">
        <f t="shared" si="429"/>
        <v>2.2174748995374156E-2</v>
      </c>
      <c r="D715" s="3">
        <f t="shared" si="430"/>
        <v>4.4349497990748311E-2</v>
      </c>
      <c r="F715">
        <v>995.2</v>
      </c>
      <c r="G715" t="s">
        <v>66</v>
      </c>
      <c r="H715">
        <v>1000</v>
      </c>
      <c r="I715" s="22"/>
      <c r="J715">
        <v>1000000</v>
      </c>
      <c r="K715" s="22"/>
      <c r="M715" s="22">
        <v>4.3749999999999997E-2</v>
      </c>
      <c r="N715" s="21">
        <v>42753</v>
      </c>
      <c r="O715" s="21">
        <v>46405</v>
      </c>
      <c r="P715">
        <f t="shared" si="431"/>
        <v>10</v>
      </c>
      <c r="Q715" s="6">
        <f t="shared" si="432"/>
        <v>4.3961012861736336E-2</v>
      </c>
      <c r="R715" s="5">
        <f t="shared" si="433"/>
        <v>2</v>
      </c>
      <c r="S715" t="s">
        <v>65</v>
      </c>
      <c r="U715">
        <f t="shared" si="434"/>
        <v>20</v>
      </c>
      <c r="V715">
        <f t="shared" si="435"/>
        <v>21.875</v>
      </c>
      <c r="W715" s="28">
        <f t="shared" si="436"/>
        <v>2.2174748995374156E-2</v>
      </c>
      <c r="X715" s="27">
        <f t="shared" si="437"/>
        <v>4.4349497990748311E-2</v>
      </c>
      <c r="Y715" s="5">
        <f t="shared" si="438"/>
        <v>8.2001509377617943</v>
      </c>
      <c r="Z715" s="5">
        <f t="shared" si="439"/>
        <v>8.0222593502932487</v>
      </c>
      <c r="AA715" s="5">
        <f t="shared" si="440"/>
        <v>-7983.7525054118414</v>
      </c>
      <c r="AB715" t="s">
        <v>64</v>
      </c>
      <c r="AC715" t="s">
        <v>62</v>
      </c>
      <c r="AD715">
        <f t="shared" si="441"/>
        <v>2</v>
      </c>
    </row>
    <row r="716" spans="1:30" x14ac:dyDescent="0.35">
      <c r="C716" s="28"/>
      <c r="D716" s="27"/>
      <c r="I716" s="22"/>
      <c r="K716" s="22"/>
      <c r="M716" s="22"/>
      <c r="N716" s="21"/>
      <c r="O716" s="21"/>
      <c r="P716" s="5"/>
      <c r="Q716" s="6"/>
      <c r="R716" s="5"/>
      <c r="W716" s="28"/>
      <c r="Y716" s="33"/>
      <c r="Z716" s="33"/>
      <c r="AA716" s="33"/>
    </row>
    <row r="717" spans="1:30" x14ac:dyDescent="0.35">
      <c r="A717" t="s">
        <v>1433</v>
      </c>
      <c r="B717" t="s">
        <v>157</v>
      </c>
      <c r="C717" s="36">
        <f t="shared" ref="C717:C725" si="442">RATE(U717,V717,-F717,H717)</f>
        <v>9.2894188207032269E-2</v>
      </c>
      <c r="D717" s="3">
        <f t="shared" ref="D717:D725" si="443">C717*AD717</f>
        <v>9.2894188207032269E-2</v>
      </c>
      <c r="F717">
        <v>998</v>
      </c>
      <c r="G717" t="s">
        <v>76</v>
      </c>
      <c r="H717">
        <v>1000</v>
      </c>
      <c r="I717" s="22"/>
      <c r="J717">
        <v>45</v>
      </c>
      <c r="K717" s="22"/>
      <c r="L717">
        <v>9.3550075930407495</v>
      </c>
      <c r="M717" s="22">
        <v>9.2100000000000015E-2</v>
      </c>
      <c r="N717" s="21">
        <v>45309</v>
      </c>
      <c r="O717" s="21">
        <v>46405</v>
      </c>
      <c r="P717">
        <f t="shared" ref="P717:P725" si="444">ROUND(YEARFRAC(N717,O717),0)</f>
        <v>3</v>
      </c>
      <c r="Q717" s="6">
        <f t="shared" ref="Q717:Q725" si="445">(M717*H717)/F717</f>
        <v>9.2284569138276568E-2</v>
      </c>
      <c r="R717" s="5">
        <f t="shared" ref="R717:R725" si="446">IF(S717="Quarterly",4,IF(S717="Semi-annual",2,IF(S717="Annual",1,IF(S717="Pays at maturity",0,IF(S717="Monthly",12,0)))))</f>
        <v>1</v>
      </c>
      <c r="S717" t="s">
        <v>93</v>
      </c>
      <c r="U717">
        <f t="shared" ref="U717:U725" si="447">R717*P717</f>
        <v>3</v>
      </c>
      <c r="V717">
        <f t="shared" ref="V717:V725" si="448">(H717*M717)/AD717</f>
        <v>92.100000000000009</v>
      </c>
      <c r="W717" s="28">
        <f t="shared" ref="W717:W725" si="449">RATE(U717,V717,-F717,H717)</f>
        <v>9.2894188207032269E-2</v>
      </c>
      <c r="X717" s="27">
        <f t="shared" ref="X717:X725" si="450">W717*AD717</f>
        <v>9.2894188207032269E-2</v>
      </c>
      <c r="Y717" s="5">
        <f t="shared" ref="Y717:Y725" si="451">DURATION(N717,O717,M717,D717,AD717)</f>
        <v>2.7538557021932641</v>
      </c>
      <c r="Z717" s="5">
        <f t="shared" ref="Z717:Z725" si="452">Y717/(1+C717)</f>
        <v>2.5197825479437794</v>
      </c>
      <c r="AA717" s="5">
        <f t="shared" ref="AA717:AA725" si="453">-Z717*F717</f>
        <v>-2514.7429828478917</v>
      </c>
      <c r="AB717" t="s">
        <v>64</v>
      </c>
      <c r="AC717" t="s">
        <v>62</v>
      </c>
      <c r="AD717">
        <f t="shared" ref="AD717:AD725" si="454">_xlfn.SWITCH(PROPER(TRIM(S717)),
   "Annual",1,
   "Semi-Annual",2,
   "Quarterly",4,
   "Monthly",12,
   "")</f>
        <v>1</v>
      </c>
    </row>
    <row r="718" spans="1:30" x14ac:dyDescent="0.35">
      <c r="A718" t="s">
        <v>1432</v>
      </c>
      <c r="B718" t="s">
        <v>157</v>
      </c>
      <c r="C718" s="36">
        <f t="shared" si="442"/>
        <v>7.8931624890224622E-2</v>
      </c>
      <c r="D718" s="3">
        <f t="shared" si="443"/>
        <v>7.8931624890224622E-2</v>
      </c>
      <c r="F718">
        <v>1044.33</v>
      </c>
      <c r="G718" t="s">
        <v>76</v>
      </c>
      <c r="H718">
        <v>1000</v>
      </c>
      <c r="I718" s="22"/>
      <c r="J718">
        <v>21</v>
      </c>
      <c r="K718" s="22"/>
      <c r="L718">
        <v>6.5215154087799903</v>
      </c>
      <c r="M718" s="22">
        <v>9.6099999999999991E-2</v>
      </c>
      <c r="N718" s="21">
        <v>45309</v>
      </c>
      <c r="O718" s="21">
        <v>46405</v>
      </c>
      <c r="P718">
        <f t="shared" si="444"/>
        <v>3</v>
      </c>
      <c r="Q718" s="6">
        <f t="shared" si="445"/>
        <v>9.2020721419474691E-2</v>
      </c>
      <c r="R718" s="5">
        <f t="shared" si="446"/>
        <v>1</v>
      </c>
      <c r="S718" t="s">
        <v>93</v>
      </c>
      <c r="U718">
        <f t="shared" si="447"/>
        <v>3</v>
      </c>
      <c r="V718">
        <f t="shared" si="448"/>
        <v>96.1</v>
      </c>
      <c r="W718" s="28">
        <f t="shared" si="449"/>
        <v>7.8931624890224622E-2</v>
      </c>
      <c r="X718" s="27">
        <f t="shared" si="450"/>
        <v>7.8931624890224622E-2</v>
      </c>
      <c r="Y718" s="5">
        <f t="shared" si="451"/>
        <v>2.7503732590435499</v>
      </c>
      <c r="Z718" s="5">
        <f t="shared" si="452"/>
        <v>2.5491636314983217</v>
      </c>
      <c r="AA718" s="5">
        <f t="shared" si="453"/>
        <v>-2662.1680552826419</v>
      </c>
      <c r="AB718" t="s">
        <v>64</v>
      </c>
      <c r="AC718" t="s">
        <v>62</v>
      </c>
      <c r="AD718">
        <f t="shared" si="454"/>
        <v>1</v>
      </c>
    </row>
    <row r="719" spans="1:30" x14ac:dyDescent="0.35">
      <c r="A719" t="s">
        <v>1431</v>
      </c>
      <c r="B719" t="s">
        <v>460</v>
      </c>
      <c r="C719" s="36">
        <f t="shared" si="442"/>
        <v>0.10154775042557768</v>
      </c>
      <c r="D719" s="3">
        <f t="shared" si="443"/>
        <v>0.10154775042557768</v>
      </c>
      <c r="F719">
        <v>980</v>
      </c>
      <c r="G719" t="s">
        <v>76</v>
      </c>
      <c r="H719">
        <v>1000</v>
      </c>
      <c r="I719" s="22"/>
      <c r="J719">
        <v>20</v>
      </c>
      <c r="K719" s="22"/>
      <c r="L719">
        <v>10.540500353146699</v>
      </c>
      <c r="M719" s="22">
        <v>0.09</v>
      </c>
      <c r="N719" s="21">
        <v>45615</v>
      </c>
      <c r="O719" s="21">
        <v>46405</v>
      </c>
      <c r="P719">
        <f t="shared" si="444"/>
        <v>2</v>
      </c>
      <c r="Q719" s="6">
        <f t="shared" si="445"/>
        <v>9.1836734693877556E-2</v>
      </c>
      <c r="R719" s="5">
        <f t="shared" si="446"/>
        <v>1</v>
      </c>
      <c r="S719" t="s">
        <v>93</v>
      </c>
      <c r="U719">
        <f t="shared" si="447"/>
        <v>2</v>
      </c>
      <c r="V719">
        <f t="shared" si="448"/>
        <v>90</v>
      </c>
      <c r="W719" s="28">
        <f t="shared" si="449"/>
        <v>0.10154775042557768</v>
      </c>
      <c r="X719" s="27">
        <f t="shared" si="450"/>
        <v>0.10154775042557768</v>
      </c>
      <c r="Y719" s="5">
        <f t="shared" si="451"/>
        <v>1.9193064387581034</v>
      </c>
      <c r="Z719" s="5">
        <f t="shared" si="452"/>
        <v>1.742372437342447</v>
      </c>
      <c r="AA719" s="5">
        <f t="shared" si="453"/>
        <v>-1707.524988595598</v>
      </c>
      <c r="AB719" t="s">
        <v>64</v>
      </c>
      <c r="AC719" t="s">
        <v>62</v>
      </c>
      <c r="AD719">
        <f t="shared" si="454"/>
        <v>1</v>
      </c>
    </row>
    <row r="720" spans="1:30" x14ac:dyDescent="0.35">
      <c r="A720" t="s">
        <v>1430</v>
      </c>
      <c r="B720" t="s">
        <v>145</v>
      </c>
      <c r="C720" s="36">
        <f t="shared" si="442"/>
        <v>8.4075858356817967E-2</v>
      </c>
      <c r="D720" s="3">
        <f t="shared" si="443"/>
        <v>8.4075858356817967E-2</v>
      </c>
      <c r="F720">
        <v>1050.5</v>
      </c>
      <c r="G720" t="s">
        <v>76</v>
      </c>
      <c r="H720">
        <v>1000</v>
      </c>
      <c r="I720" s="22"/>
      <c r="J720">
        <v>320</v>
      </c>
      <c r="K720" s="22"/>
      <c r="L720">
        <v>5.6274848111543498</v>
      </c>
      <c r="M720" s="22">
        <v>9.3000000000000013E-2</v>
      </c>
      <c r="N720" s="21">
        <v>43483</v>
      </c>
      <c r="O720" s="21">
        <v>46405</v>
      </c>
      <c r="P720">
        <f t="shared" si="444"/>
        <v>8</v>
      </c>
      <c r="Q720" s="6">
        <f t="shared" si="445"/>
        <v>8.8529271775345086E-2</v>
      </c>
      <c r="R720" s="5">
        <f t="shared" si="446"/>
        <v>1</v>
      </c>
      <c r="S720" t="s">
        <v>93</v>
      </c>
      <c r="U720">
        <f t="shared" si="447"/>
        <v>8</v>
      </c>
      <c r="V720">
        <f t="shared" si="448"/>
        <v>93.000000000000014</v>
      </c>
      <c r="W720" s="28">
        <f t="shared" si="449"/>
        <v>8.4075858356817967E-2</v>
      </c>
      <c r="X720" s="27">
        <f t="shared" si="450"/>
        <v>8.4075858356817967E-2</v>
      </c>
      <c r="Y720" s="5">
        <f t="shared" si="451"/>
        <v>6.0357670449837233</v>
      </c>
      <c r="Z720" s="5">
        <f t="shared" si="452"/>
        <v>5.5676611543885901</v>
      </c>
      <c r="AA720" s="5">
        <f t="shared" si="453"/>
        <v>-5848.8280426852143</v>
      </c>
      <c r="AB720" t="s">
        <v>64</v>
      </c>
      <c r="AC720" t="s">
        <v>62</v>
      </c>
      <c r="AD720">
        <f t="shared" si="454"/>
        <v>1</v>
      </c>
    </row>
    <row r="721" spans="1:30" x14ac:dyDescent="0.35">
      <c r="A721" t="s">
        <v>1429</v>
      </c>
      <c r="B721" t="s">
        <v>1428</v>
      </c>
      <c r="C721" s="36">
        <f t="shared" si="442"/>
        <v>0.13075931872559884</v>
      </c>
      <c r="D721" s="3">
        <f t="shared" si="443"/>
        <v>0.13075931872559884</v>
      </c>
      <c r="F721">
        <v>101000</v>
      </c>
      <c r="G721" t="s">
        <v>76</v>
      </c>
      <c r="H721">
        <v>100000</v>
      </c>
      <c r="I721" s="22"/>
      <c r="J721">
        <v>2</v>
      </c>
      <c r="K721" s="22"/>
      <c r="L721">
        <v>12.7020238788584</v>
      </c>
      <c r="M721" s="22">
        <v>0.13500000000000001</v>
      </c>
      <c r="N721" s="21">
        <v>45309</v>
      </c>
      <c r="O721" s="21">
        <v>46405</v>
      </c>
      <c r="P721">
        <f t="shared" si="444"/>
        <v>3</v>
      </c>
      <c r="Q721" s="6">
        <f t="shared" si="445"/>
        <v>0.13366336633663367</v>
      </c>
      <c r="R721" s="5">
        <f t="shared" si="446"/>
        <v>1</v>
      </c>
      <c r="S721" t="s">
        <v>93</v>
      </c>
      <c r="U721">
        <f t="shared" si="447"/>
        <v>3</v>
      </c>
      <c r="V721">
        <f t="shared" si="448"/>
        <v>13500</v>
      </c>
      <c r="W721" s="28">
        <f t="shared" si="449"/>
        <v>0.13075931872559884</v>
      </c>
      <c r="X721" s="27">
        <f t="shared" si="450"/>
        <v>0.13075931872559884</v>
      </c>
      <c r="Y721" s="5">
        <f t="shared" si="451"/>
        <v>2.6590490473254484</v>
      </c>
      <c r="Z721" s="5">
        <f t="shared" si="452"/>
        <v>2.3515605870241951</v>
      </c>
      <c r="AA721" s="5">
        <f t="shared" si="453"/>
        <v>-237507.61928944371</v>
      </c>
      <c r="AB721" t="s">
        <v>69</v>
      </c>
      <c r="AC721" t="s">
        <v>62</v>
      </c>
      <c r="AD721">
        <f t="shared" si="454"/>
        <v>1</v>
      </c>
    </row>
    <row r="722" spans="1:30" x14ac:dyDescent="0.35">
      <c r="A722" t="s">
        <v>1427</v>
      </c>
      <c r="B722" t="s">
        <v>1356</v>
      </c>
      <c r="C722" s="36">
        <f t="shared" si="442"/>
        <v>2.4857031698906445E-2</v>
      </c>
      <c r="D722" s="3">
        <f t="shared" si="443"/>
        <v>9.9428126795625779E-2</v>
      </c>
      <c r="F722">
        <v>99923.21</v>
      </c>
      <c r="G722" t="s">
        <v>76</v>
      </c>
      <c r="H722">
        <v>100000</v>
      </c>
      <c r="I722" s="22"/>
      <c r="J722">
        <v>1</v>
      </c>
      <c r="K722" s="22"/>
      <c r="M722" s="22">
        <v>9.9000000000000005E-2</v>
      </c>
      <c r="N722" s="21">
        <v>45685</v>
      </c>
      <c r="O722" s="21">
        <v>46407</v>
      </c>
      <c r="P722">
        <f t="shared" si="444"/>
        <v>2</v>
      </c>
      <c r="Q722" s="6">
        <f t="shared" si="445"/>
        <v>9.9076080522233018E-2</v>
      </c>
      <c r="R722" s="5">
        <f t="shared" si="446"/>
        <v>4</v>
      </c>
      <c r="S722" t="s">
        <v>105</v>
      </c>
      <c r="U722">
        <f t="shared" si="447"/>
        <v>8</v>
      </c>
      <c r="V722">
        <f t="shared" si="448"/>
        <v>2475</v>
      </c>
      <c r="W722" s="28">
        <f t="shared" si="449"/>
        <v>2.4857031698906445E-2</v>
      </c>
      <c r="X722" s="27">
        <f t="shared" si="450"/>
        <v>9.9428126795625779E-2</v>
      </c>
      <c r="Y722" s="5">
        <f t="shared" si="451"/>
        <v>1.8165623932365145</v>
      </c>
      <c r="Z722" s="5">
        <f t="shared" si="452"/>
        <v>1.7725032244011607</v>
      </c>
      <c r="AA722" s="5">
        <f t="shared" si="453"/>
        <v>-177114.21191751433</v>
      </c>
      <c r="AB722" t="s">
        <v>64</v>
      </c>
      <c r="AC722" t="s">
        <v>62</v>
      </c>
      <c r="AD722">
        <f t="shared" si="454"/>
        <v>4</v>
      </c>
    </row>
    <row r="723" spans="1:30" x14ac:dyDescent="0.35">
      <c r="A723" t="s">
        <v>1426</v>
      </c>
      <c r="B723" t="s">
        <v>283</v>
      </c>
      <c r="C723" s="36">
        <f t="shared" si="442"/>
        <v>2.4740779299475255E-2</v>
      </c>
      <c r="D723" s="3">
        <f t="shared" si="443"/>
        <v>9.8963117197901018E-2</v>
      </c>
      <c r="F723">
        <v>1015000</v>
      </c>
      <c r="G723" t="s">
        <v>76</v>
      </c>
      <c r="H723">
        <v>1000000</v>
      </c>
      <c r="I723" s="22"/>
      <c r="J723">
        <v>1</v>
      </c>
      <c r="K723" s="22"/>
      <c r="M723" s="22">
        <v>0.10150000000000001</v>
      </c>
      <c r="N723" s="21">
        <v>43186</v>
      </c>
      <c r="O723" s="21">
        <v>46407</v>
      </c>
      <c r="P723">
        <f t="shared" si="444"/>
        <v>9</v>
      </c>
      <c r="Q723" s="6">
        <f t="shared" si="445"/>
        <v>0.1</v>
      </c>
      <c r="R723" s="5">
        <f t="shared" si="446"/>
        <v>4</v>
      </c>
      <c r="S723" t="s">
        <v>105</v>
      </c>
      <c r="U723">
        <f t="shared" si="447"/>
        <v>36</v>
      </c>
      <c r="V723">
        <f t="shared" si="448"/>
        <v>25375</v>
      </c>
      <c r="W723" s="28">
        <f t="shared" si="449"/>
        <v>2.4740779299475255E-2</v>
      </c>
      <c r="X723" s="27">
        <f t="shared" si="450"/>
        <v>9.8963117197901018E-2</v>
      </c>
      <c r="Y723" s="5">
        <f t="shared" si="451"/>
        <v>5.8421299409257177</v>
      </c>
      <c r="Z723" s="5">
        <f t="shared" si="452"/>
        <v>5.7010807600722853</v>
      </c>
      <c r="AA723" s="5">
        <f t="shared" si="453"/>
        <v>-5786596.9714733697</v>
      </c>
      <c r="AB723" t="s">
        <v>64</v>
      </c>
      <c r="AC723" t="s">
        <v>62</v>
      </c>
      <c r="AD723">
        <f t="shared" si="454"/>
        <v>4</v>
      </c>
    </row>
    <row r="724" spans="1:30" x14ac:dyDescent="0.35">
      <c r="A724" t="s">
        <v>1425</v>
      </c>
      <c r="B724" t="s">
        <v>923</v>
      </c>
      <c r="C724" s="36">
        <f t="shared" si="442"/>
        <v>0.12794708965325785</v>
      </c>
      <c r="D724" s="3">
        <f t="shared" si="443"/>
        <v>0.12794708965325785</v>
      </c>
      <c r="F724">
        <v>97500</v>
      </c>
      <c r="G724" t="s">
        <v>76</v>
      </c>
      <c r="H724">
        <v>100000</v>
      </c>
      <c r="I724" s="22"/>
      <c r="J724">
        <v>3</v>
      </c>
      <c r="K724" s="22"/>
      <c r="L724">
        <v>13.2730123593432</v>
      </c>
      <c r="M724" s="22">
        <v>0.113</v>
      </c>
      <c r="N724" s="21">
        <v>45680</v>
      </c>
      <c r="O724" s="21">
        <v>46410</v>
      </c>
      <c r="P724">
        <f t="shared" si="444"/>
        <v>2</v>
      </c>
      <c r="Q724" s="6">
        <f t="shared" si="445"/>
        <v>0.1158974358974359</v>
      </c>
      <c r="R724" s="5">
        <f t="shared" si="446"/>
        <v>1</v>
      </c>
      <c r="S724" t="s">
        <v>93</v>
      </c>
      <c r="U724">
        <f t="shared" si="447"/>
        <v>2</v>
      </c>
      <c r="V724">
        <f t="shared" si="448"/>
        <v>11300</v>
      </c>
      <c r="W724" s="28">
        <f t="shared" si="449"/>
        <v>0.12794708965325785</v>
      </c>
      <c r="X724" s="27">
        <f t="shared" si="450"/>
        <v>0.12794708965325785</v>
      </c>
      <c r="Y724" s="5">
        <f t="shared" si="451"/>
        <v>1.8972492265279355</v>
      </c>
      <c r="Z724" s="5">
        <f t="shared" si="452"/>
        <v>1.6820374323685419</v>
      </c>
      <c r="AA724" s="5">
        <f t="shared" si="453"/>
        <v>-163998.64965593282</v>
      </c>
      <c r="AB724" t="s">
        <v>64</v>
      </c>
      <c r="AC724" t="s">
        <v>62</v>
      </c>
      <c r="AD724">
        <f t="shared" si="454"/>
        <v>1</v>
      </c>
    </row>
    <row r="725" spans="1:30" x14ac:dyDescent="0.35">
      <c r="A725" t="s">
        <v>1424</v>
      </c>
      <c r="B725" t="s">
        <v>122</v>
      </c>
      <c r="C725" s="36">
        <f t="shared" si="442"/>
        <v>8.8251262007306083E-2</v>
      </c>
      <c r="D725" s="3">
        <f t="shared" si="443"/>
        <v>8.8251262007306083E-2</v>
      </c>
      <c r="F725">
        <v>1011.9</v>
      </c>
      <c r="G725" t="s">
        <v>76</v>
      </c>
      <c r="H725">
        <v>1000</v>
      </c>
      <c r="I725" s="22"/>
      <c r="J725">
        <v>458</v>
      </c>
      <c r="K725" s="22"/>
      <c r="L725">
        <v>8.6148704292789695</v>
      </c>
      <c r="M725" s="22">
        <v>9.5000000000000001E-2</v>
      </c>
      <c r="N725" s="21">
        <v>45681</v>
      </c>
      <c r="O725" s="21">
        <v>46411</v>
      </c>
      <c r="P725">
        <f t="shared" si="444"/>
        <v>2</v>
      </c>
      <c r="Q725" s="6">
        <f t="shared" si="445"/>
        <v>9.3882794742563502E-2</v>
      </c>
      <c r="R725" s="5">
        <f t="shared" si="446"/>
        <v>1</v>
      </c>
      <c r="S725" t="s">
        <v>93</v>
      </c>
      <c r="U725">
        <f t="shared" si="447"/>
        <v>2</v>
      </c>
      <c r="V725">
        <f t="shared" si="448"/>
        <v>95</v>
      </c>
      <c r="W725" s="28">
        <f t="shared" si="449"/>
        <v>8.8251262007306083E-2</v>
      </c>
      <c r="X725" s="27">
        <f t="shared" si="450"/>
        <v>8.8251262007306083E-2</v>
      </c>
      <c r="Y725" s="5">
        <f t="shared" si="451"/>
        <v>1.9137305895980361</v>
      </c>
      <c r="Z725" s="5">
        <f t="shared" si="452"/>
        <v>1.7585374411311163</v>
      </c>
      <c r="AA725" s="5">
        <f t="shared" si="453"/>
        <v>-1779.4640366805766</v>
      </c>
      <c r="AB725" t="s">
        <v>64</v>
      </c>
      <c r="AC725" t="s">
        <v>62</v>
      </c>
      <c r="AD725">
        <f t="shared" si="454"/>
        <v>1</v>
      </c>
    </row>
    <row r="726" spans="1:30" x14ac:dyDescent="0.35">
      <c r="C726" s="28"/>
      <c r="D726" s="27"/>
      <c r="I726" s="22"/>
      <c r="K726" s="22"/>
      <c r="M726" s="22"/>
      <c r="N726" s="21"/>
      <c r="O726" s="21"/>
      <c r="P726" s="5"/>
      <c r="Q726" s="6"/>
      <c r="R726" s="5"/>
      <c r="W726" s="28"/>
      <c r="Y726" s="33"/>
      <c r="Z726" s="33"/>
      <c r="AA726" s="33"/>
    </row>
    <row r="727" spans="1:30" x14ac:dyDescent="0.35">
      <c r="A727" t="s">
        <v>1422</v>
      </c>
      <c r="B727" t="s">
        <v>272</v>
      </c>
      <c r="C727" s="36">
        <f>RATE(U727,V727,-F727,H727)</f>
        <v>8.84090262770834E-2</v>
      </c>
      <c r="D727" s="3">
        <f>C727*AD727</f>
        <v>8.84090262770834E-2</v>
      </c>
      <c r="F727">
        <v>985</v>
      </c>
      <c r="G727" t="s">
        <v>76</v>
      </c>
      <c r="H727">
        <v>1000</v>
      </c>
      <c r="I727" s="22"/>
      <c r="J727">
        <v>15</v>
      </c>
      <c r="K727" s="22"/>
      <c r="L727">
        <v>9.3735475580748897</v>
      </c>
      <c r="M727" s="22">
        <v>8.2500000000000004E-2</v>
      </c>
      <c r="N727" s="21">
        <v>45316</v>
      </c>
      <c r="O727" s="21">
        <v>46412</v>
      </c>
      <c r="P727">
        <f>ROUND(YEARFRAC(N727,O727),0)</f>
        <v>3</v>
      </c>
      <c r="Q727" s="6">
        <f>(M727*H727)/F727</f>
        <v>8.3756345177664976E-2</v>
      </c>
      <c r="R727" s="5">
        <f>IF(S727="Quarterly",4,IF(S727="Semi-annual",2,IF(S727="Annual",1,IF(S727="Pays at maturity",0,IF(S727="Monthly",12,0)))))</f>
        <v>1</v>
      </c>
      <c r="S727" t="s">
        <v>93</v>
      </c>
      <c r="U727">
        <f>R727*P727</f>
        <v>3</v>
      </c>
      <c r="V727">
        <f>(H727*M727)/AD727</f>
        <v>82.5</v>
      </c>
      <c r="W727" s="28">
        <f>RATE(U727,V727,-F727,H727)</f>
        <v>8.84090262770834E-2</v>
      </c>
      <c r="X727" s="27">
        <f>W727*AD727</f>
        <v>8.84090262770834E-2</v>
      </c>
      <c r="Y727" s="5">
        <f>DURATION(N727,O727,M727,D727,AD727)</f>
        <v>2.7753917053286448</v>
      </c>
      <c r="Z727" s="5">
        <f>Y727/(1+C727)</f>
        <v>2.5499528562546994</v>
      </c>
      <c r="AA727" s="5">
        <f>-Z727*F727</f>
        <v>-2511.7035634108788</v>
      </c>
      <c r="AB727" t="s">
        <v>64</v>
      </c>
      <c r="AC727" t="s">
        <v>62</v>
      </c>
      <c r="AD727">
        <f>_xlfn.SWITCH(PROPER(TRIM(S727)),
   "Annual",1,
   "Semi-Annual",2,
   "Quarterly",4,
   "Monthly",12,
   "")</f>
        <v>1</v>
      </c>
    </row>
    <row r="728" spans="1:30" x14ac:dyDescent="0.35">
      <c r="C728" s="28"/>
      <c r="D728" s="27"/>
      <c r="I728" s="22"/>
      <c r="K728" s="22"/>
      <c r="M728" s="22"/>
      <c r="N728" s="21"/>
      <c r="O728" s="21"/>
      <c r="P728" s="5"/>
      <c r="Q728" s="6"/>
      <c r="R728" s="5"/>
      <c r="W728" s="28"/>
      <c r="Y728" s="33"/>
      <c r="Z728" s="33"/>
      <c r="AA728" s="33"/>
    </row>
    <row r="729" spans="1:30" x14ac:dyDescent="0.35">
      <c r="A729" t="s">
        <v>1420</v>
      </c>
      <c r="B729" t="s">
        <v>272</v>
      </c>
      <c r="C729" s="36">
        <f>RATE(U729,V729,-F729,H729)</f>
        <v>6.9820082387307109E-2</v>
      </c>
      <c r="D729" s="3">
        <f>C729*AD729</f>
        <v>6.9820082387307109E-2</v>
      </c>
      <c r="F729">
        <v>1039.8499999999999</v>
      </c>
      <c r="G729" t="s">
        <v>76</v>
      </c>
      <c r="H729">
        <v>1000</v>
      </c>
      <c r="I729" s="22"/>
      <c r="J729">
        <v>200</v>
      </c>
      <c r="K729" s="22"/>
      <c r="L729">
        <v>5.6764282623180602</v>
      </c>
      <c r="M729" s="22">
        <v>8.5000000000000006E-2</v>
      </c>
      <c r="N729" s="21">
        <v>45316</v>
      </c>
      <c r="O729" s="21">
        <v>46412</v>
      </c>
      <c r="P729">
        <f>ROUND(YEARFRAC(N729,O729),0)</f>
        <v>3</v>
      </c>
      <c r="Q729" s="6">
        <f>(M729*H729)/F729</f>
        <v>8.1742559022936007E-2</v>
      </c>
      <c r="R729" s="5">
        <f>IF(S729="Quarterly",4,IF(S729="Semi-annual",2,IF(S729="Annual",1,IF(S729="Pays at maturity",0,IF(S729="Monthly",12,0)))))</f>
        <v>1</v>
      </c>
      <c r="S729" t="s">
        <v>93</v>
      </c>
      <c r="U729">
        <f>R729*P729</f>
        <v>3</v>
      </c>
      <c r="V729">
        <f>(H729*M729)/AD729</f>
        <v>85</v>
      </c>
      <c r="W729" s="28">
        <f>RATE(U729,V729,-F729,H729)</f>
        <v>6.9820082387307109E-2</v>
      </c>
      <c r="X729" s="27">
        <f>W729*AD729</f>
        <v>6.9820082387307109E-2</v>
      </c>
      <c r="Y729" s="5">
        <f>DURATION(N729,O729,M729,D729,AD729)</f>
        <v>2.775763341210828</v>
      </c>
      <c r="Z729" s="5">
        <f>Y729/(1+C729)</f>
        <v>2.5946076231965121</v>
      </c>
      <c r="AA729" s="5">
        <f>-Z729*F729</f>
        <v>-2698.0027369808927</v>
      </c>
      <c r="AB729" t="s">
        <v>64</v>
      </c>
      <c r="AC729" t="s">
        <v>62</v>
      </c>
      <c r="AD729">
        <f>_xlfn.SWITCH(PROPER(TRIM(S729)),
   "Annual",1,
   "Semi-Annual",2,
   "Quarterly",4,
   "Monthly",12,
   "")</f>
        <v>1</v>
      </c>
    </row>
    <row r="730" spans="1:30" x14ac:dyDescent="0.35">
      <c r="A730" t="s">
        <v>1419</v>
      </c>
      <c r="B730" t="s">
        <v>772</v>
      </c>
      <c r="C730" s="36">
        <f>RATE(U730,V730,-F730,H730)</f>
        <v>1.6964101549255237E-2</v>
      </c>
      <c r="D730" s="3">
        <f>C730*AD730</f>
        <v>3.3928203098510475E-2</v>
      </c>
      <c r="F730">
        <v>958.8</v>
      </c>
      <c r="G730" t="s">
        <v>66</v>
      </c>
      <c r="H730">
        <v>1000</v>
      </c>
      <c r="I730" s="22"/>
      <c r="J730">
        <v>200000</v>
      </c>
      <c r="K730" s="22"/>
      <c r="M730" s="22">
        <v>2.4900000000000002E-2</v>
      </c>
      <c r="N730" s="21">
        <v>44587</v>
      </c>
      <c r="O730" s="21">
        <v>46413</v>
      </c>
      <c r="P730">
        <f>ROUND(YEARFRAC(N730,O730),0)</f>
        <v>5</v>
      </c>
      <c r="Q730" s="6">
        <f>(M730*H730)/F730</f>
        <v>2.5969962453066337E-2</v>
      </c>
      <c r="R730" s="5">
        <f>IF(S730="Quarterly",4,IF(S730="Semi-annual",2,IF(S730="Annual",1,IF(S730="Pays at maturity",0,IF(S730="Monthly",12,0)))))</f>
        <v>2</v>
      </c>
      <c r="S730" t="s">
        <v>65</v>
      </c>
      <c r="U730">
        <f>R730*P730</f>
        <v>10</v>
      </c>
      <c r="V730">
        <f>(H730*M730)/AD730</f>
        <v>12.450000000000001</v>
      </c>
      <c r="W730" s="28">
        <f>RATE(U730,V730,-F730,H730)</f>
        <v>1.6964101549255237E-2</v>
      </c>
      <c r="X730" s="27">
        <f>W730*AD730</f>
        <v>3.3928203098510475E-2</v>
      </c>
      <c r="Y730" s="5">
        <f>DURATION(N730,O730,M730,D730,AD730)</f>
        <v>4.7251252719276975</v>
      </c>
      <c r="Z730" s="5">
        <f>Y730/(1+C730)</f>
        <v>4.646304884045942</v>
      </c>
      <c r="AA730" s="5">
        <f>-Z730*F730</f>
        <v>-4454.877122823249</v>
      </c>
      <c r="AB730" t="s">
        <v>64</v>
      </c>
      <c r="AC730" t="s">
        <v>62</v>
      </c>
      <c r="AD730">
        <f>_xlfn.SWITCH(PROPER(TRIM(S730)),
   "Annual",1,
   "Semi-Annual",2,
   "Quarterly",4,
   "Monthly",12,
   "")</f>
        <v>2</v>
      </c>
    </row>
    <row r="731" spans="1:30" x14ac:dyDescent="0.35">
      <c r="A731" t="s">
        <v>1418</v>
      </c>
      <c r="B731" t="s">
        <v>390</v>
      </c>
      <c r="C731" s="36">
        <f>RATE(U731,V731,-F731,H731)</f>
        <v>0.11558827003622077</v>
      </c>
      <c r="D731" s="3">
        <f>C731*AD731</f>
        <v>0.11558827003622077</v>
      </c>
      <c r="F731">
        <v>999</v>
      </c>
      <c r="G731" t="s">
        <v>76</v>
      </c>
      <c r="H731">
        <v>1000</v>
      </c>
      <c r="I731" s="22"/>
      <c r="J731">
        <v>12</v>
      </c>
      <c r="K731" s="22"/>
      <c r="L731">
        <v>11.5651628133272</v>
      </c>
      <c r="M731" s="22">
        <v>0.115</v>
      </c>
      <c r="N731" s="21">
        <v>45684</v>
      </c>
      <c r="O731" s="21">
        <v>46414</v>
      </c>
      <c r="P731">
        <f>ROUND(YEARFRAC(N731,O731),0)</f>
        <v>2</v>
      </c>
      <c r="Q731" s="6">
        <f>(M731*H731)/F731</f>
        <v>0.11511511511511512</v>
      </c>
      <c r="R731" s="5">
        <f>IF(S731="Quarterly",4,IF(S731="Semi-annual",2,IF(S731="Annual",1,IF(S731="Pays at maturity",0,IF(S731="Monthly",12,0)))))</f>
        <v>1</v>
      </c>
      <c r="S731" t="s">
        <v>93</v>
      </c>
      <c r="U731">
        <f>R731*P731</f>
        <v>2</v>
      </c>
      <c r="V731">
        <f>(H731*M731)/AD731</f>
        <v>115</v>
      </c>
      <c r="W731" s="28">
        <f>RATE(U731,V731,-F731,H731)</f>
        <v>0.11558827003622077</v>
      </c>
      <c r="X731" s="27">
        <f>W731*AD731</f>
        <v>0.11558827003622077</v>
      </c>
      <c r="Y731" s="5">
        <f>DURATION(N731,O731,M731,D731,AD731)</f>
        <v>1.896812185815312</v>
      </c>
      <c r="Z731" s="5">
        <f>Y731/(1+C731)</f>
        <v>1.7002797866938191</v>
      </c>
      <c r="AA731" s="5">
        <f>-Z731*F731</f>
        <v>-1698.5795069071253</v>
      </c>
      <c r="AB731" t="s">
        <v>64</v>
      </c>
      <c r="AC731" t="s">
        <v>62</v>
      </c>
      <c r="AD731">
        <f>_xlfn.SWITCH(PROPER(TRIM(S731)),
   "Annual",1,
   "Semi-Annual",2,
   "Quarterly",4,
   "Monthly",12,
   "")</f>
        <v>1</v>
      </c>
    </row>
    <row r="732" spans="1:30" x14ac:dyDescent="0.35">
      <c r="C732" s="28"/>
      <c r="D732" s="27"/>
      <c r="I732" s="22"/>
      <c r="K732" s="22"/>
      <c r="M732" s="22"/>
      <c r="N732" s="21"/>
      <c r="O732" s="21"/>
      <c r="P732" s="5"/>
      <c r="Q732" s="6"/>
      <c r="R732" s="5"/>
      <c r="W732" s="28"/>
      <c r="Y732" s="33"/>
      <c r="Z732" s="33"/>
      <c r="AA732" s="33"/>
    </row>
    <row r="733" spans="1:30" x14ac:dyDescent="0.35">
      <c r="A733" t="s">
        <v>1416</v>
      </c>
      <c r="B733" t="s">
        <v>1270</v>
      </c>
      <c r="C733" s="36">
        <f>RATE(U733,V733,-F733,H733)</f>
        <v>0.10447200418866055</v>
      </c>
      <c r="D733" s="3">
        <f>C733*AD733</f>
        <v>0.10447200418866055</v>
      </c>
      <c r="F733">
        <v>9922.85</v>
      </c>
      <c r="G733" t="s">
        <v>76</v>
      </c>
      <c r="H733">
        <v>10000</v>
      </c>
      <c r="I733" s="22"/>
      <c r="J733">
        <v>11</v>
      </c>
      <c r="K733" s="22"/>
      <c r="L733">
        <v>10.5764966169179</v>
      </c>
      <c r="M733" s="22">
        <v>0.1</v>
      </c>
      <c r="N733" s="21">
        <v>45685</v>
      </c>
      <c r="O733" s="21">
        <v>46415</v>
      </c>
      <c r="P733">
        <f>ROUND(YEARFRAC(N733,O733),0)</f>
        <v>2</v>
      </c>
      <c r="Q733" s="6">
        <f>(M733*H733)/F733</f>
        <v>0.10077749840015721</v>
      </c>
      <c r="R733" s="5">
        <f>IF(S733="Quarterly",4,IF(S733="Semi-annual",2,IF(S733="Annual",1,IF(S733="Pays at maturity",0,IF(S733="Monthly",12,0)))))</f>
        <v>1</v>
      </c>
      <c r="S733" t="s">
        <v>93</v>
      </c>
      <c r="U733">
        <f>R733*P733</f>
        <v>2</v>
      </c>
      <c r="V733">
        <f>(H733*M733)/AD733</f>
        <v>1000</v>
      </c>
      <c r="W733" s="28">
        <f>RATE(U733,V733,-F733,H733)</f>
        <v>0.10447200418866055</v>
      </c>
      <c r="X733" s="27">
        <f>W733*AD733</f>
        <v>0.10447200418866055</v>
      </c>
      <c r="Y733" s="5">
        <f>DURATION(N733,O733,M733,D733,AD733)</f>
        <v>1.908755044928315</v>
      </c>
      <c r="Z733" s="5">
        <f>Y733/(1+C733)</f>
        <v>1.7282059098731766</v>
      </c>
      <c r="AA733" s="5">
        <f>-Z733*F733</f>
        <v>-17148.72801278505</v>
      </c>
      <c r="AB733" t="s">
        <v>64</v>
      </c>
      <c r="AC733" t="s">
        <v>62</v>
      </c>
      <c r="AD733">
        <f>_xlfn.SWITCH(PROPER(TRIM(S733)),
   "Annual",1,
   "Semi-Annual",2,
   "Quarterly",4,
   "Monthly",12,
   "")</f>
        <v>1</v>
      </c>
    </row>
    <row r="734" spans="1:30" x14ac:dyDescent="0.35">
      <c r="A734" t="s">
        <v>1415</v>
      </c>
      <c r="B734" t="s">
        <v>923</v>
      </c>
      <c r="C734" s="36">
        <f>RATE(U734,V734,-F734,H734)</f>
        <v>0.11991633060916482</v>
      </c>
      <c r="D734" s="3">
        <f>C734*AD734</f>
        <v>0.11991633060916482</v>
      </c>
      <c r="F734">
        <v>99000</v>
      </c>
      <c r="G734" t="s">
        <v>76</v>
      </c>
      <c r="H734">
        <v>100000</v>
      </c>
      <c r="I734" s="22"/>
      <c r="J734">
        <v>2</v>
      </c>
      <c r="K734" s="22"/>
      <c r="L734">
        <v>12.174698686326501</v>
      </c>
      <c r="M734" s="22">
        <v>0.114</v>
      </c>
      <c r="N734" s="21">
        <v>45503</v>
      </c>
      <c r="O734" s="21">
        <v>46415</v>
      </c>
      <c r="P734">
        <f>ROUND(YEARFRAC(N734,O734),0)</f>
        <v>2</v>
      </c>
      <c r="Q734" s="6">
        <f>(M734*H734)/F734</f>
        <v>0.11515151515151516</v>
      </c>
      <c r="R734" s="5">
        <f>IF(S734="Quarterly",4,IF(S734="Semi-annual",2,IF(S734="Annual",1,IF(S734="Pays at maturity",0,IF(S734="Monthly",12,0)))))</f>
        <v>1</v>
      </c>
      <c r="S734" t="s">
        <v>93</v>
      </c>
      <c r="U734">
        <f>R734*P734</f>
        <v>2</v>
      </c>
      <c r="V734">
        <f>(H734*M734)/AD734</f>
        <v>11400</v>
      </c>
      <c r="W734" s="28">
        <f>RATE(U734,V734,-F734,H734)</f>
        <v>0.11991633060916482</v>
      </c>
      <c r="X734" s="27">
        <f>W734*AD734</f>
        <v>0.11991633060916482</v>
      </c>
      <c r="Y734" s="5">
        <f>DURATION(N734,O734,M734,D734,AD734)</f>
        <v>2.1957186122555132</v>
      </c>
      <c r="Z734" s="5">
        <f>Y734/(1+C734)</f>
        <v>1.9606095136242712</v>
      </c>
      <c r="AA734" s="5">
        <f>-Z734*F734</f>
        <v>-194100.34184880284</v>
      </c>
      <c r="AB734" t="s">
        <v>64</v>
      </c>
      <c r="AC734" t="s">
        <v>62</v>
      </c>
      <c r="AD734">
        <f>_xlfn.SWITCH(PROPER(TRIM(S734)),
   "Annual",1,
   "Semi-Annual",2,
   "Quarterly",4,
   "Monthly",12,
   "")</f>
        <v>1</v>
      </c>
    </row>
    <row r="735" spans="1:30" x14ac:dyDescent="0.35">
      <c r="A735" t="s">
        <v>1414</v>
      </c>
      <c r="B735" t="s">
        <v>261</v>
      </c>
      <c r="C735" s="36">
        <f>RATE(U735,V735,-F735,H735)</f>
        <v>9.1251076653418597E-2</v>
      </c>
      <c r="D735" s="3">
        <f>C735*AD735</f>
        <v>9.1251076653418597E-2</v>
      </c>
      <c r="F735">
        <v>981.2</v>
      </c>
      <c r="G735" t="s">
        <v>76</v>
      </c>
      <c r="H735">
        <v>1000</v>
      </c>
      <c r="I735" s="22"/>
      <c r="J735">
        <v>138</v>
      </c>
      <c r="K735" s="22"/>
      <c r="L735">
        <v>10.164261012561999</v>
      </c>
      <c r="M735" s="22">
        <v>8.7499999999999994E-2</v>
      </c>
      <c r="N735" s="21">
        <v>43858</v>
      </c>
      <c r="O735" s="21">
        <v>46415</v>
      </c>
      <c r="P735">
        <f>ROUND(YEARFRAC(N735,O735),0)</f>
        <v>7</v>
      </c>
      <c r="Q735" s="6">
        <f>(M735*H735)/F735</f>
        <v>8.9176518548715861E-2</v>
      </c>
      <c r="R735" s="5">
        <f>IF(S735="Quarterly",4,IF(S735="Semi-annual",2,IF(S735="Annual",1,IF(S735="Pays at maturity",0,IF(S735="Monthly",12,0)))))</f>
        <v>1</v>
      </c>
      <c r="S735" t="s">
        <v>93</v>
      </c>
      <c r="U735">
        <f>R735*P735</f>
        <v>7</v>
      </c>
      <c r="V735">
        <f>(H735*M735)/AD735</f>
        <v>87.5</v>
      </c>
      <c r="W735" s="28">
        <f>RATE(U735,V735,-F735,H735)</f>
        <v>9.1251076653418597E-2</v>
      </c>
      <c r="X735" s="27">
        <f>W735*AD735</f>
        <v>9.1251076653418597E-2</v>
      </c>
      <c r="Y735" s="5">
        <f>DURATION(N735,O735,M735,D735,AD735)</f>
        <v>5.5040364888725479</v>
      </c>
      <c r="Z735" s="5">
        <f>Y735/(1+C735)</f>
        <v>5.0437856205851235</v>
      </c>
      <c r="AA735" s="5">
        <f>-Z735*F735</f>
        <v>-4948.9624509181231</v>
      </c>
      <c r="AB735" t="s">
        <v>64</v>
      </c>
      <c r="AC735" t="s">
        <v>62</v>
      </c>
      <c r="AD735">
        <f>_xlfn.SWITCH(PROPER(TRIM(S735)),
   "Annual",1,
   "Semi-Annual",2,
   "Quarterly",4,
   "Monthly",12,
   "")</f>
        <v>1</v>
      </c>
    </row>
    <row r="736" spans="1:30" x14ac:dyDescent="0.35">
      <c r="A736" t="s">
        <v>1413</v>
      </c>
      <c r="B736" t="s">
        <v>261</v>
      </c>
      <c r="C736" s="36">
        <f>RATE(U736,V736,-F736,H736)</f>
        <v>8.4753406398536374E-2</v>
      </c>
      <c r="D736" s="3">
        <f>C736*AD736</f>
        <v>8.4753406398536374E-2</v>
      </c>
      <c r="F736">
        <v>1032</v>
      </c>
      <c r="G736" t="s">
        <v>76</v>
      </c>
      <c r="H736">
        <v>1000</v>
      </c>
      <c r="I736" s="22"/>
      <c r="J736">
        <v>100</v>
      </c>
      <c r="K736" s="22"/>
      <c r="L736">
        <v>7.00116341284357</v>
      </c>
      <c r="M736" s="22">
        <v>9.0999999999999998E-2</v>
      </c>
      <c r="N736" s="21">
        <v>43858</v>
      </c>
      <c r="O736" s="21">
        <v>46415</v>
      </c>
      <c r="P736">
        <f>ROUND(YEARFRAC(N736,O736),0)</f>
        <v>7</v>
      </c>
      <c r="Q736" s="6">
        <f>(M736*H736)/F736</f>
        <v>8.8178294573643415E-2</v>
      </c>
      <c r="R736" s="5">
        <f>IF(S736="Quarterly",4,IF(S736="Semi-annual",2,IF(S736="Annual",1,IF(S736="Pays at maturity",0,IF(S736="Monthly",12,0)))))</f>
        <v>1</v>
      </c>
      <c r="S736" t="s">
        <v>93</v>
      </c>
      <c r="U736">
        <f>R736*P736</f>
        <v>7</v>
      </c>
      <c r="V736">
        <f>(H736*M736)/AD736</f>
        <v>91</v>
      </c>
      <c r="W736" s="28">
        <f>RATE(U736,V736,-F736,H736)</f>
        <v>8.4753406398536374E-2</v>
      </c>
      <c r="X736" s="27">
        <f>W736*AD736</f>
        <v>8.4753406398536374E-2</v>
      </c>
      <c r="Y736" s="5">
        <f>DURATION(N736,O736,M736,D736,AD736)</f>
        <v>5.4986530604513257</v>
      </c>
      <c r="Z736" s="5">
        <f>Y736/(1+C736)</f>
        <v>5.0690350710280514</v>
      </c>
      <c r="AA736" s="5">
        <f>-Z736*F736</f>
        <v>-5231.2441933009486</v>
      </c>
      <c r="AB736" t="s">
        <v>64</v>
      </c>
      <c r="AC736" t="s">
        <v>62</v>
      </c>
      <c r="AD736">
        <f>_xlfn.SWITCH(PROPER(TRIM(S736)),
   "Annual",1,
   "Semi-Annual",2,
   "Quarterly",4,
   "Monthly",12,
   "")</f>
        <v>1</v>
      </c>
    </row>
    <row r="737" spans="1:30" x14ac:dyDescent="0.35">
      <c r="C737" s="28"/>
      <c r="D737" s="27"/>
      <c r="I737" s="22"/>
      <c r="K737" s="22"/>
      <c r="M737" s="22"/>
      <c r="N737" s="21"/>
      <c r="O737" s="21"/>
      <c r="P737" s="5"/>
      <c r="Q737" s="6"/>
      <c r="R737" s="5"/>
      <c r="W737" s="28"/>
      <c r="Y737" s="33"/>
      <c r="Z737" s="33"/>
      <c r="AA737" s="33"/>
    </row>
    <row r="738" spans="1:30" x14ac:dyDescent="0.35">
      <c r="C738" s="28"/>
      <c r="D738" s="27"/>
      <c r="I738" s="22"/>
      <c r="K738" s="22"/>
      <c r="M738" s="22"/>
      <c r="N738" s="21"/>
      <c r="O738" s="21"/>
      <c r="P738" s="5"/>
      <c r="Q738" s="6"/>
      <c r="R738" s="5"/>
      <c r="W738" s="28"/>
      <c r="Y738" s="33"/>
      <c r="Z738" s="33"/>
      <c r="AA738" s="33"/>
    </row>
    <row r="739" spans="1:30" x14ac:dyDescent="0.35">
      <c r="A739" t="s">
        <v>1410</v>
      </c>
      <c r="B739" t="s">
        <v>241</v>
      </c>
      <c r="C739" s="36">
        <f t="shared" ref="C739:C744" si="455">RATE(U739,V739,-F739,H739)</f>
        <v>8.3082876393820893E-2</v>
      </c>
      <c r="D739" s="3">
        <f t="shared" ref="D739:D744" si="456">C739*AD739</f>
        <v>8.3082876393820893E-2</v>
      </c>
      <c r="F739">
        <v>1050</v>
      </c>
      <c r="G739" t="s">
        <v>76</v>
      </c>
      <c r="H739">
        <v>1000</v>
      </c>
      <c r="I739" s="22"/>
      <c r="J739">
        <v>100</v>
      </c>
      <c r="K739" s="22"/>
      <c r="L739">
        <v>6.6773871852405797</v>
      </c>
      <c r="M739" s="22">
        <v>9.4E-2</v>
      </c>
      <c r="N739" s="21">
        <v>44225</v>
      </c>
      <c r="O739" s="21">
        <v>46416</v>
      </c>
      <c r="P739">
        <f t="shared" ref="P739:P744" si="457">ROUND(YEARFRAC(N739,O739),0)</f>
        <v>6</v>
      </c>
      <c r="Q739" s="6">
        <f t="shared" ref="Q739:Q744" si="458">(M739*H739)/F739</f>
        <v>8.9523809523809519E-2</v>
      </c>
      <c r="R739" s="5">
        <f t="shared" ref="R739:R744" si="459">IF(S739="Quarterly",4,IF(S739="Semi-annual",2,IF(S739="Annual",1,IF(S739="Pays at maturity",0,IF(S739="Monthly",12,0)))))</f>
        <v>1</v>
      </c>
      <c r="S739" t="s">
        <v>93</v>
      </c>
      <c r="U739">
        <f t="shared" ref="U739:U744" si="460">R739*P739</f>
        <v>6</v>
      </c>
      <c r="V739">
        <f t="shared" ref="V739:V744" si="461">(H739*M739)/AD739</f>
        <v>94</v>
      </c>
      <c r="W739" s="28">
        <f t="shared" ref="W739:W744" si="462">RATE(U739,V739,-F739,H739)</f>
        <v>8.3082876393820893E-2</v>
      </c>
      <c r="X739" s="27">
        <f t="shared" ref="X739:X744" si="463">W739*AD739</f>
        <v>8.3082876393820893E-2</v>
      </c>
      <c r="Y739" s="5">
        <f t="shared" ref="Y739:Y744" si="464">DURATION(N739,O739,M739,D739,AD739)</f>
        <v>4.8798891356335874</v>
      </c>
      <c r="Z739" s="5">
        <f t="shared" ref="Z739:Z744" si="465">Y739/(1+C739)</f>
        <v>4.505554692066986</v>
      </c>
      <c r="AA739" s="5">
        <f t="shared" ref="AA739:AA744" si="466">-Z739*F739</f>
        <v>-4730.8324266703357</v>
      </c>
      <c r="AB739" t="s">
        <v>64</v>
      </c>
      <c r="AC739" t="s">
        <v>62</v>
      </c>
      <c r="AD739">
        <f t="shared" ref="AD739:AD744" si="467">_xlfn.SWITCH(PROPER(TRIM(S739)),
   "Annual",1,
   "Semi-Annual",2,
   "Quarterly",4,
   "Monthly",12,
   "")</f>
        <v>1</v>
      </c>
    </row>
    <row r="740" spans="1:30" x14ac:dyDescent="0.35">
      <c r="A740" t="s">
        <v>1409</v>
      </c>
      <c r="B740" t="s">
        <v>122</v>
      </c>
      <c r="C740" s="36">
        <f t="shared" si="455"/>
        <v>0.10126931490222425</v>
      </c>
      <c r="D740" s="3">
        <f t="shared" si="456"/>
        <v>0.10126931490222425</v>
      </c>
      <c r="F740">
        <v>977</v>
      </c>
      <c r="G740" t="s">
        <v>76</v>
      </c>
      <c r="H740">
        <v>1000</v>
      </c>
      <c r="I740" s="22"/>
      <c r="J740">
        <v>790</v>
      </c>
      <c r="K740" s="22"/>
      <c r="L740">
        <v>10.9648030835338</v>
      </c>
      <c r="M740" s="22">
        <v>9.1999999999999998E-2</v>
      </c>
      <c r="N740" s="21">
        <v>45320</v>
      </c>
      <c r="O740" s="21">
        <v>46416</v>
      </c>
      <c r="P740">
        <f t="shared" si="457"/>
        <v>3</v>
      </c>
      <c r="Q740" s="6">
        <f t="shared" si="458"/>
        <v>9.4165813715455474E-2</v>
      </c>
      <c r="R740" s="5">
        <f t="shared" si="459"/>
        <v>1</v>
      </c>
      <c r="S740" t="s">
        <v>93</v>
      </c>
      <c r="U740">
        <f t="shared" si="460"/>
        <v>3</v>
      </c>
      <c r="V740">
        <f t="shared" si="461"/>
        <v>92</v>
      </c>
      <c r="W740" s="28">
        <f t="shared" si="462"/>
        <v>0.10126931490222425</v>
      </c>
      <c r="X740" s="27">
        <f t="shared" si="463"/>
        <v>0.10126931490222425</v>
      </c>
      <c r="Y740" s="5">
        <f t="shared" si="464"/>
        <v>2.7513430721260117</v>
      </c>
      <c r="Z740" s="5">
        <f t="shared" si="465"/>
        <v>2.4983380857844826</v>
      </c>
      <c r="AA740" s="5">
        <f t="shared" si="466"/>
        <v>-2440.8763098114396</v>
      </c>
      <c r="AB740" t="s">
        <v>64</v>
      </c>
      <c r="AC740" t="s">
        <v>62</v>
      </c>
      <c r="AD740">
        <f t="shared" si="467"/>
        <v>1</v>
      </c>
    </row>
    <row r="741" spans="1:30" x14ac:dyDescent="0.35">
      <c r="A741" t="s">
        <v>1408</v>
      </c>
      <c r="B741" t="s">
        <v>241</v>
      </c>
      <c r="C741" s="36">
        <f t="shared" si="455"/>
        <v>9.2244133863225899E-2</v>
      </c>
      <c r="D741" s="3">
        <f t="shared" si="456"/>
        <v>9.2244133863225899E-2</v>
      </c>
      <c r="F741">
        <v>990</v>
      </c>
      <c r="G741" t="s">
        <v>76</v>
      </c>
      <c r="H741">
        <v>1000</v>
      </c>
      <c r="I741" s="22"/>
      <c r="J741">
        <v>100</v>
      </c>
      <c r="K741" s="22"/>
      <c r="L741">
        <v>9.7446092126943196</v>
      </c>
      <c r="M741" s="22">
        <v>0.09</v>
      </c>
      <c r="N741" s="21">
        <v>44225</v>
      </c>
      <c r="O741" s="21">
        <v>46416</v>
      </c>
      <c r="P741">
        <f t="shared" si="457"/>
        <v>6</v>
      </c>
      <c r="Q741" s="6">
        <f t="shared" si="458"/>
        <v>9.0909090909090912E-2</v>
      </c>
      <c r="R741" s="5">
        <f t="shared" si="459"/>
        <v>1</v>
      </c>
      <c r="S741" t="s">
        <v>93</v>
      </c>
      <c r="U741">
        <f t="shared" si="460"/>
        <v>6</v>
      </c>
      <c r="V741">
        <f t="shared" si="461"/>
        <v>90</v>
      </c>
      <c r="W741" s="28">
        <f t="shared" si="462"/>
        <v>9.2244133863225899E-2</v>
      </c>
      <c r="X741" s="27">
        <f t="shared" si="463"/>
        <v>9.2244133863225899E-2</v>
      </c>
      <c r="Y741" s="5">
        <f t="shared" si="464"/>
        <v>4.8835040301943398</v>
      </c>
      <c r="Z741" s="5">
        <f t="shared" si="465"/>
        <v>4.4710737085138392</v>
      </c>
      <c r="AA741" s="5">
        <f t="shared" si="466"/>
        <v>-4426.3629714287008</v>
      </c>
      <c r="AB741" t="s">
        <v>64</v>
      </c>
      <c r="AC741" t="s">
        <v>62</v>
      </c>
      <c r="AD741">
        <f t="shared" si="467"/>
        <v>1</v>
      </c>
    </row>
    <row r="742" spans="1:30" x14ac:dyDescent="0.35">
      <c r="A742" t="s">
        <v>1407</v>
      </c>
      <c r="B742" t="s">
        <v>122</v>
      </c>
      <c r="C742" s="36">
        <f t="shared" si="455"/>
        <v>8.6190612834052077E-2</v>
      </c>
      <c r="D742" s="3">
        <f t="shared" si="456"/>
        <v>8.6190612834052077E-2</v>
      </c>
      <c r="F742">
        <v>1025</v>
      </c>
      <c r="G742" t="s">
        <v>76</v>
      </c>
      <c r="H742">
        <v>1000</v>
      </c>
      <c r="I742" s="22"/>
      <c r="J742">
        <v>106</v>
      </c>
      <c r="K742" s="22"/>
      <c r="L742">
        <v>7.7675701712133796</v>
      </c>
      <c r="M742" s="22">
        <v>9.6000000000000002E-2</v>
      </c>
      <c r="N742" s="21">
        <v>45320</v>
      </c>
      <c r="O742" s="21">
        <v>46416</v>
      </c>
      <c r="P742">
        <f t="shared" si="457"/>
        <v>3</v>
      </c>
      <c r="Q742" s="6">
        <f t="shared" si="458"/>
        <v>9.3658536585365854E-2</v>
      </c>
      <c r="R742" s="5">
        <f t="shared" si="459"/>
        <v>1</v>
      </c>
      <c r="S742" t="s">
        <v>93</v>
      </c>
      <c r="U742">
        <f t="shared" si="460"/>
        <v>3</v>
      </c>
      <c r="V742">
        <f t="shared" si="461"/>
        <v>96</v>
      </c>
      <c r="W742" s="28">
        <f t="shared" si="462"/>
        <v>8.6190612834052077E-2</v>
      </c>
      <c r="X742" s="27">
        <f t="shared" si="463"/>
        <v>8.6190612834052077E-2</v>
      </c>
      <c r="Y742" s="5">
        <f t="shared" si="464"/>
        <v>2.7481623556779131</v>
      </c>
      <c r="Z742" s="5">
        <f t="shared" si="465"/>
        <v>2.5300921617316319</v>
      </c>
      <c r="AA742" s="5">
        <f t="shared" si="466"/>
        <v>-2593.3444657749228</v>
      </c>
      <c r="AB742" t="s">
        <v>64</v>
      </c>
      <c r="AC742" t="s">
        <v>62</v>
      </c>
      <c r="AD742">
        <f t="shared" si="467"/>
        <v>1</v>
      </c>
    </row>
    <row r="743" spans="1:30" x14ac:dyDescent="0.35">
      <c r="A743" t="s">
        <v>1406</v>
      </c>
      <c r="B743" t="s">
        <v>1405</v>
      </c>
      <c r="C743" s="36">
        <f t="shared" si="455"/>
        <v>4.6695846390644738E-2</v>
      </c>
      <c r="D743" s="3">
        <f t="shared" si="456"/>
        <v>0.18678338556257895</v>
      </c>
      <c r="F743">
        <v>84357.960999999996</v>
      </c>
      <c r="G743" t="s">
        <v>76</v>
      </c>
      <c r="H743">
        <v>100000</v>
      </c>
      <c r="I743" s="22"/>
      <c r="J743">
        <v>7</v>
      </c>
      <c r="K743" s="22"/>
      <c r="M743" s="22">
        <v>0.11749999999999999</v>
      </c>
      <c r="N743" s="21">
        <v>45322</v>
      </c>
      <c r="O743" s="21">
        <v>46418</v>
      </c>
      <c r="P743">
        <f t="shared" si="457"/>
        <v>3</v>
      </c>
      <c r="Q743" s="6">
        <f t="shared" si="458"/>
        <v>0.1392873874701642</v>
      </c>
      <c r="R743" s="5">
        <f t="shared" si="459"/>
        <v>4</v>
      </c>
      <c r="S743" t="s">
        <v>105</v>
      </c>
      <c r="U743">
        <f t="shared" si="460"/>
        <v>12</v>
      </c>
      <c r="V743">
        <f t="shared" si="461"/>
        <v>2937.5</v>
      </c>
      <c r="W743" s="28">
        <f t="shared" si="462"/>
        <v>4.6695846390644738E-2</v>
      </c>
      <c r="X743" s="27">
        <f t="shared" si="463"/>
        <v>0.18678338556257895</v>
      </c>
      <c r="Y743" s="5">
        <f t="shared" si="464"/>
        <v>2.5250641902256605</v>
      </c>
      <c r="Z743" s="5">
        <f t="shared" si="465"/>
        <v>2.4124144553863678</v>
      </c>
      <c r="AA743" s="5">
        <f t="shared" si="466"/>
        <v>-203506.36454331945</v>
      </c>
      <c r="AB743" t="s">
        <v>69</v>
      </c>
      <c r="AC743" t="s">
        <v>62</v>
      </c>
      <c r="AD743">
        <f t="shared" si="467"/>
        <v>4</v>
      </c>
    </row>
    <row r="744" spans="1:30" x14ac:dyDescent="0.35">
      <c r="A744" t="s">
        <v>1404</v>
      </c>
      <c r="B744" t="s">
        <v>241</v>
      </c>
      <c r="C744" s="36">
        <f t="shared" si="455"/>
        <v>9.4999999999999973E-2</v>
      </c>
      <c r="D744" s="3">
        <f t="shared" si="456"/>
        <v>9.4999999999999973E-2</v>
      </c>
      <c r="F744">
        <v>1000</v>
      </c>
      <c r="G744" t="s">
        <v>76</v>
      </c>
      <c r="H744">
        <v>1000</v>
      </c>
      <c r="I744" s="22"/>
      <c r="J744">
        <v>10</v>
      </c>
      <c r="K744" s="22"/>
      <c r="L744">
        <v>9.5</v>
      </c>
      <c r="M744" s="22">
        <v>9.5000000000000001E-2</v>
      </c>
      <c r="N744" s="21">
        <v>45322</v>
      </c>
      <c r="O744" s="21">
        <v>46418</v>
      </c>
      <c r="P744">
        <f t="shared" si="457"/>
        <v>3</v>
      </c>
      <c r="Q744" s="6">
        <f t="shared" si="458"/>
        <v>9.5000000000000001E-2</v>
      </c>
      <c r="R744" s="5">
        <f t="shared" si="459"/>
        <v>1</v>
      </c>
      <c r="S744" t="s">
        <v>93</v>
      </c>
      <c r="U744">
        <f t="shared" si="460"/>
        <v>3</v>
      </c>
      <c r="V744">
        <f t="shared" si="461"/>
        <v>95</v>
      </c>
      <c r="W744" s="28">
        <f t="shared" si="462"/>
        <v>9.4999999999999973E-2</v>
      </c>
      <c r="X744" s="27">
        <f t="shared" si="463"/>
        <v>9.4999999999999973E-2</v>
      </c>
      <c r="Y744" s="5">
        <f t="shared" si="464"/>
        <v>2.7472529763766396</v>
      </c>
      <c r="Z744" s="5">
        <f t="shared" si="465"/>
        <v>2.5089068277412232</v>
      </c>
      <c r="AA744" s="5">
        <f t="shared" si="466"/>
        <v>-2508.9068277412234</v>
      </c>
      <c r="AB744" t="s">
        <v>64</v>
      </c>
      <c r="AC744" t="s">
        <v>62</v>
      </c>
      <c r="AD744">
        <f t="shared" si="467"/>
        <v>1</v>
      </c>
    </row>
    <row r="745" spans="1:30" x14ac:dyDescent="0.35">
      <c r="C745" s="28"/>
      <c r="D745" s="27"/>
      <c r="I745" s="22"/>
      <c r="K745" s="22"/>
      <c r="M745" s="22"/>
      <c r="N745" s="21"/>
      <c r="O745" s="21"/>
      <c r="P745" s="5"/>
      <c r="Q745" s="6"/>
      <c r="R745" s="5"/>
      <c r="W745" s="28"/>
      <c r="Y745" s="33"/>
      <c r="Z745" s="33"/>
      <c r="AA745" s="33"/>
    </row>
    <row r="746" spans="1:30" x14ac:dyDescent="0.35">
      <c r="A746" t="s">
        <v>1402</v>
      </c>
      <c r="B746" t="s">
        <v>241</v>
      </c>
      <c r="C746" s="36">
        <f t="shared" ref="C746:C757" si="468">RATE(U746,V746,-F746,H746)</f>
        <v>9.609254270380975E-2</v>
      </c>
      <c r="D746" s="3">
        <f t="shared" ref="D746:D757" si="469">C746*AD746</f>
        <v>9.609254270380975E-2</v>
      </c>
      <c r="F746">
        <v>988.5</v>
      </c>
      <c r="G746" t="s">
        <v>76</v>
      </c>
      <c r="H746">
        <v>1000</v>
      </c>
      <c r="I746" s="22"/>
      <c r="J746">
        <v>155</v>
      </c>
      <c r="K746" s="22"/>
      <c r="L746">
        <v>10.016079367104499</v>
      </c>
      <c r="M746" s="22">
        <v>9.1499999999999998E-2</v>
      </c>
      <c r="N746" s="21">
        <v>45322</v>
      </c>
      <c r="O746" s="21">
        <v>46418</v>
      </c>
      <c r="P746">
        <f t="shared" ref="P746:P757" si="470">ROUND(YEARFRAC(N746,O746),0)</f>
        <v>3</v>
      </c>
      <c r="Q746" s="6">
        <f t="shared" ref="Q746:Q757" si="471">(M746*H746)/F746</f>
        <v>9.2564491654021239E-2</v>
      </c>
      <c r="R746" s="5">
        <f t="shared" ref="R746:R757" si="472">IF(S746="Quarterly",4,IF(S746="Semi-annual",2,IF(S746="Annual",1,IF(S746="Pays at maturity",0,IF(S746="Monthly",12,0)))))</f>
        <v>1</v>
      </c>
      <c r="S746" t="s">
        <v>93</v>
      </c>
      <c r="U746">
        <f t="shared" ref="U746:U757" si="473">R746*P746</f>
        <v>3</v>
      </c>
      <c r="V746">
        <f t="shared" ref="V746:V757" si="474">(H746*M746)/AD746</f>
        <v>91.5</v>
      </c>
      <c r="W746" s="28">
        <f t="shared" ref="W746:W757" si="475">RATE(U746,V746,-F746,H746)</f>
        <v>9.609254270380975E-2</v>
      </c>
      <c r="X746" s="27">
        <f t="shared" ref="X746:X757" si="476">W746*AD746</f>
        <v>9.609254270380975E-2</v>
      </c>
      <c r="Y746" s="5">
        <f t="shared" ref="Y746:Y757" si="477">DURATION(N746,O746,M746,D746,AD746)</f>
        <v>2.7540549769931775</v>
      </c>
      <c r="Z746" s="5">
        <f t="shared" ref="Z746:Z757" si="478">Y746/(1+C746)</f>
        <v>2.5126117272904289</v>
      </c>
      <c r="AA746" s="5">
        <f t="shared" ref="AA746:AA757" si="479">-Z746*F746</f>
        <v>-2483.7166924265889</v>
      </c>
      <c r="AB746" t="s">
        <v>64</v>
      </c>
      <c r="AC746" t="s">
        <v>62</v>
      </c>
      <c r="AD746">
        <f t="shared" ref="AD746:AD757" si="480">_xlfn.SWITCH(PROPER(TRIM(S746)),
   "Annual",1,
   "Semi-Annual",2,
   "Quarterly",4,
   "Monthly",12,
   "")</f>
        <v>1</v>
      </c>
    </row>
    <row r="747" spans="1:30" x14ac:dyDescent="0.35">
      <c r="A747" t="s">
        <v>1401</v>
      </c>
      <c r="B747" t="s">
        <v>749</v>
      </c>
      <c r="C747" s="36">
        <f t="shared" si="468"/>
        <v>8.4921703144923255E-2</v>
      </c>
      <c r="D747" s="3">
        <f t="shared" si="469"/>
        <v>8.4921703144923255E-2</v>
      </c>
      <c r="F747">
        <v>1000.2</v>
      </c>
      <c r="G747" t="s">
        <v>76</v>
      </c>
      <c r="H747">
        <v>1000</v>
      </c>
      <c r="I747" s="22"/>
      <c r="J747">
        <v>11</v>
      </c>
      <c r="K747" s="22"/>
      <c r="L747">
        <v>8.4857166497734902</v>
      </c>
      <c r="M747" s="22">
        <v>8.5000000000000006E-2</v>
      </c>
      <c r="N747" s="21">
        <v>45322</v>
      </c>
      <c r="O747" s="21">
        <v>46418</v>
      </c>
      <c r="P747">
        <f t="shared" si="470"/>
        <v>3</v>
      </c>
      <c r="Q747" s="6">
        <f t="shared" si="471"/>
        <v>8.4983003399320134E-2</v>
      </c>
      <c r="R747" s="5">
        <f t="shared" si="472"/>
        <v>1</v>
      </c>
      <c r="S747" t="s">
        <v>93</v>
      </c>
      <c r="U747">
        <f t="shared" si="473"/>
        <v>3</v>
      </c>
      <c r="V747">
        <f t="shared" si="474"/>
        <v>85</v>
      </c>
      <c r="W747" s="28">
        <f t="shared" si="475"/>
        <v>8.4921703144923255E-2</v>
      </c>
      <c r="X747" s="27">
        <f t="shared" si="476"/>
        <v>8.4921703144923255E-2</v>
      </c>
      <c r="Y747" s="5">
        <f t="shared" si="477"/>
        <v>2.7711383158488951</v>
      </c>
      <c r="Z747" s="5">
        <f t="shared" si="478"/>
        <v>2.5542288515531042</v>
      </c>
      <c r="AA747" s="5">
        <f t="shared" si="479"/>
        <v>-2554.7396973234149</v>
      </c>
      <c r="AB747" t="s">
        <v>64</v>
      </c>
      <c r="AC747" t="s">
        <v>62</v>
      </c>
      <c r="AD747">
        <f t="shared" si="480"/>
        <v>1</v>
      </c>
    </row>
    <row r="748" spans="1:30" x14ac:dyDescent="0.35">
      <c r="A748" t="s">
        <v>1397</v>
      </c>
      <c r="B748" t="s">
        <v>114</v>
      </c>
      <c r="C748" s="36">
        <f t="shared" si="468"/>
        <v>2.7661011260186483E-2</v>
      </c>
      <c r="D748" s="3">
        <f t="shared" si="469"/>
        <v>2.7661011260186483E-2</v>
      </c>
      <c r="F748">
        <v>998.61</v>
      </c>
      <c r="G748" t="s">
        <v>694</v>
      </c>
      <c r="H748">
        <v>1000</v>
      </c>
      <c r="I748" s="22"/>
      <c r="J748">
        <v>0</v>
      </c>
      <c r="K748" s="22"/>
      <c r="L748">
        <v>2.84487731854087</v>
      </c>
      <c r="M748" s="22">
        <v>2.75E-2</v>
      </c>
      <c r="N748" s="21">
        <v>42767</v>
      </c>
      <c r="O748" s="21">
        <v>46419</v>
      </c>
      <c r="P748">
        <f t="shared" si="470"/>
        <v>10</v>
      </c>
      <c r="Q748" s="6">
        <f t="shared" si="471"/>
        <v>2.7538278206707324E-2</v>
      </c>
      <c r="R748" s="5">
        <f t="shared" si="472"/>
        <v>1</v>
      </c>
      <c r="S748" t="s">
        <v>93</v>
      </c>
      <c r="U748">
        <f t="shared" si="473"/>
        <v>10</v>
      </c>
      <c r="V748">
        <f t="shared" si="474"/>
        <v>27.5</v>
      </c>
      <c r="W748" s="28">
        <f t="shared" si="475"/>
        <v>2.7661011260186483E-2</v>
      </c>
      <c r="X748" s="27">
        <f t="shared" si="476"/>
        <v>2.7661011260186483E-2</v>
      </c>
      <c r="Y748" s="5">
        <f t="shared" si="477"/>
        <v>8.8767385790171218</v>
      </c>
      <c r="Z748" s="5">
        <f t="shared" si="478"/>
        <v>8.6378080726560533</v>
      </c>
      <c r="AA748" s="5">
        <f t="shared" si="479"/>
        <v>-8625.801519435061</v>
      </c>
      <c r="AB748" t="s">
        <v>64</v>
      </c>
      <c r="AC748" t="s">
        <v>62</v>
      </c>
      <c r="AD748">
        <f t="shared" si="480"/>
        <v>1</v>
      </c>
    </row>
    <row r="749" spans="1:30" x14ac:dyDescent="0.35">
      <c r="A749" t="s">
        <v>1400</v>
      </c>
      <c r="B749" t="s">
        <v>241</v>
      </c>
      <c r="C749" s="36">
        <f t="shared" si="468"/>
        <v>9.3391276403650275E-2</v>
      </c>
      <c r="D749" s="3">
        <f t="shared" si="469"/>
        <v>9.3391276403650275E-2</v>
      </c>
      <c r="F749">
        <v>969.8</v>
      </c>
      <c r="G749" t="s">
        <v>76</v>
      </c>
      <c r="H749">
        <v>1000</v>
      </c>
      <c r="I749" s="22"/>
      <c r="J749">
        <v>25</v>
      </c>
      <c r="K749" s="22"/>
      <c r="L749">
        <v>10.607857290162899</v>
      </c>
      <c r="M749" s="22">
        <v>8.4000000000000005E-2</v>
      </c>
      <c r="N749" s="21">
        <v>44958</v>
      </c>
      <c r="O749" s="21">
        <v>46419</v>
      </c>
      <c r="P749">
        <f t="shared" si="470"/>
        <v>4</v>
      </c>
      <c r="Q749" s="6">
        <f t="shared" si="471"/>
        <v>8.6615797071561154E-2</v>
      </c>
      <c r="R749" s="5">
        <f t="shared" si="472"/>
        <v>1</v>
      </c>
      <c r="S749" t="s">
        <v>93</v>
      </c>
      <c r="U749">
        <f t="shared" si="473"/>
        <v>4</v>
      </c>
      <c r="V749">
        <f t="shared" si="474"/>
        <v>84</v>
      </c>
      <c r="W749" s="28">
        <f t="shared" si="475"/>
        <v>9.3391276403650275E-2</v>
      </c>
      <c r="X749" s="27">
        <f t="shared" si="476"/>
        <v>9.3391276403650275E-2</v>
      </c>
      <c r="Y749" s="5">
        <f t="shared" si="477"/>
        <v>3.5511819154796154</v>
      </c>
      <c r="Z749" s="5">
        <f t="shared" si="478"/>
        <v>3.2478601138652361</v>
      </c>
      <c r="AA749" s="5">
        <f t="shared" si="479"/>
        <v>-3149.7747384265058</v>
      </c>
      <c r="AB749" t="s">
        <v>64</v>
      </c>
      <c r="AC749" t="s">
        <v>62</v>
      </c>
      <c r="AD749">
        <f t="shared" si="480"/>
        <v>1</v>
      </c>
    </row>
    <row r="750" spans="1:30" x14ac:dyDescent="0.35">
      <c r="A750" t="s">
        <v>1399</v>
      </c>
      <c r="B750" t="s">
        <v>241</v>
      </c>
      <c r="C750" s="36">
        <f t="shared" si="468"/>
        <v>8.7000000000016439E-2</v>
      </c>
      <c r="D750" s="3">
        <f t="shared" si="469"/>
        <v>8.7000000000016439E-2</v>
      </c>
      <c r="F750">
        <v>1000</v>
      </c>
      <c r="G750" t="s">
        <v>76</v>
      </c>
      <c r="H750">
        <v>1000</v>
      </c>
      <c r="I750" s="22"/>
      <c r="J750">
        <v>6</v>
      </c>
      <c r="K750" s="22"/>
      <c r="L750">
        <v>8.6999999999999993</v>
      </c>
      <c r="M750" s="22">
        <v>8.6999999999999994E-2</v>
      </c>
      <c r="N750" s="21">
        <v>44958</v>
      </c>
      <c r="O750" s="21">
        <v>46419</v>
      </c>
      <c r="P750">
        <f t="shared" si="470"/>
        <v>4</v>
      </c>
      <c r="Q750" s="6">
        <f t="shared" si="471"/>
        <v>8.6999999999999994E-2</v>
      </c>
      <c r="R750" s="5">
        <f t="shared" si="472"/>
        <v>1</v>
      </c>
      <c r="S750" t="s">
        <v>93</v>
      </c>
      <c r="U750">
        <f t="shared" si="473"/>
        <v>4</v>
      </c>
      <c r="V750">
        <f t="shared" si="474"/>
        <v>87</v>
      </c>
      <c r="W750" s="28">
        <f t="shared" si="475"/>
        <v>8.7000000000016439E-2</v>
      </c>
      <c r="X750" s="27">
        <f t="shared" si="476"/>
        <v>8.7000000000016439E-2</v>
      </c>
      <c r="Y750" s="5">
        <f t="shared" si="477"/>
        <v>3.5448900584493379</v>
      </c>
      <c r="Z750" s="5">
        <f t="shared" si="478"/>
        <v>3.2611684070370601</v>
      </c>
      <c r="AA750" s="5">
        <f t="shared" si="479"/>
        <v>-3261.1684070370602</v>
      </c>
      <c r="AB750" t="s">
        <v>64</v>
      </c>
      <c r="AC750" t="s">
        <v>62</v>
      </c>
      <c r="AD750">
        <f t="shared" si="480"/>
        <v>1</v>
      </c>
    </row>
    <row r="751" spans="1:30" x14ac:dyDescent="0.35">
      <c r="A751" t="s">
        <v>1397</v>
      </c>
      <c r="B751" t="s">
        <v>114</v>
      </c>
      <c r="C751" s="36">
        <f t="shared" si="468"/>
        <v>2.7720154155548783E-2</v>
      </c>
      <c r="D751" s="3">
        <f t="shared" si="469"/>
        <v>2.7720154155548783E-2</v>
      </c>
      <c r="F751">
        <v>998.1</v>
      </c>
      <c r="G751" t="s">
        <v>694</v>
      </c>
      <c r="H751">
        <v>1000</v>
      </c>
      <c r="I751" s="22"/>
      <c r="J751">
        <v>0</v>
      </c>
      <c r="K751" s="22"/>
      <c r="L751">
        <v>2.8797546880291098</v>
      </c>
      <c r="M751" s="22">
        <v>2.75E-2</v>
      </c>
      <c r="N751" s="21">
        <v>42767</v>
      </c>
      <c r="O751" s="21">
        <v>46419</v>
      </c>
      <c r="P751">
        <f t="shared" si="470"/>
        <v>10</v>
      </c>
      <c r="Q751" s="6">
        <f t="shared" si="471"/>
        <v>2.7552349463981565E-2</v>
      </c>
      <c r="R751" s="5">
        <f t="shared" si="472"/>
        <v>1</v>
      </c>
      <c r="S751" t="s">
        <v>93</v>
      </c>
      <c r="U751">
        <f t="shared" si="473"/>
        <v>10</v>
      </c>
      <c r="V751">
        <f t="shared" si="474"/>
        <v>27.5</v>
      </c>
      <c r="W751" s="28">
        <f t="shared" si="475"/>
        <v>2.7720154155548783E-2</v>
      </c>
      <c r="X751" s="27">
        <f t="shared" si="476"/>
        <v>2.7720154155548783E-2</v>
      </c>
      <c r="Y751" s="5">
        <f t="shared" si="477"/>
        <v>8.8763932631307423</v>
      </c>
      <c r="Z751" s="5">
        <f t="shared" si="478"/>
        <v>8.6369749851059865</v>
      </c>
      <c r="AA751" s="5">
        <f t="shared" si="479"/>
        <v>-8620.564732634286</v>
      </c>
      <c r="AB751" t="s">
        <v>64</v>
      </c>
      <c r="AC751" t="s">
        <v>62</v>
      </c>
      <c r="AD751">
        <f t="shared" si="480"/>
        <v>1</v>
      </c>
    </row>
    <row r="752" spans="1:30" x14ac:dyDescent="0.35">
      <c r="A752" t="s">
        <v>1397</v>
      </c>
      <c r="B752" t="s">
        <v>114</v>
      </c>
      <c r="C752" s="36">
        <f t="shared" si="468"/>
        <v>2.7777011572404354E-2</v>
      </c>
      <c r="D752" s="3">
        <f t="shared" si="469"/>
        <v>2.7777011572404354E-2</v>
      </c>
      <c r="F752">
        <v>997.61</v>
      </c>
      <c r="G752" t="s">
        <v>694</v>
      </c>
      <c r="H752">
        <v>1000</v>
      </c>
      <c r="I752" s="22"/>
      <c r="J752">
        <v>0</v>
      </c>
      <c r="K752" s="22"/>
      <c r="L752">
        <v>2.9132979074468199</v>
      </c>
      <c r="M752" s="22">
        <v>2.75E-2</v>
      </c>
      <c r="N752" s="21">
        <v>42767</v>
      </c>
      <c r="O752" s="21">
        <v>46419</v>
      </c>
      <c r="P752">
        <f t="shared" si="470"/>
        <v>10</v>
      </c>
      <c r="Q752" s="6">
        <f t="shared" si="471"/>
        <v>2.7565882459077193E-2</v>
      </c>
      <c r="R752" s="5">
        <f t="shared" si="472"/>
        <v>1</v>
      </c>
      <c r="S752" t="s">
        <v>93</v>
      </c>
      <c r="U752">
        <f t="shared" si="473"/>
        <v>10</v>
      </c>
      <c r="V752">
        <f t="shared" si="474"/>
        <v>27.5</v>
      </c>
      <c r="W752" s="28">
        <f t="shared" si="475"/>
        <v>2.7777011572404354E-2</v>
      </c>
      <c r="X752" s="27">
        <f t="shared" si="476"/>
        <v>2.7777011572404354E-2</v>
      </c>
      <c r="Y752" s="5">
        <f t="shared" si="477"/>
        <v>8.8760612145761684</v>
      </c>
      <c r="Z752" s="5">
        <f t="shared" si="478"/>
        <v>8.6361741064791975</v>
      </c>
      <c r="AA752" s="5">
        <f t="shared" si="479"/>
        <v>-8615.5336503647122</v>
      </c>
      <c r="AB752" t="s">
        <v>64</v>
      </c>
      <c r="AC752" t="s">
        <v>62</v>
      </c>
      <c r="AD752">
        <f t="shared" si="480"/>
        <v>1</v>
      </c>
    </row>
    <row r="753" spans="1:30" x14ac:dyDescent="0.35">
      <c r="A753" t="s">
        <v>1398</v>
      </c>
      <c r="B753" t="s">
        <v>94</v>
      </c>
      <c r="C753" s="36">
        <f t="shared" si="468"/>
        <v>7.1578167565974557E-2</v>
      </c>
      <c r="D753" s="3">
        <f t="shared" si="469"/>
        <v>7.1578167565974557E-2</v>
      </c>
      <c r="F753">
        <v>1103</v>
      </c>
      <c r="G753" t="s">
        <v>76</v>
      </c>
      <c r="H753">
        <v>1000</v>
      </c>
      <c r="I753" s="22"/>
      <c r="J753">
        <v>454</v>
      </c>
      <c r="K753" s="22"/>
      <c r="L753">
        <v>1.4166317342406001</v>
      </c>
      <c r="M753" s="22">
        <v>8.3000000000000004E-2</v>
      </c>
      <c r="N753" s="21">
        <v>40940</v>
      </c>
      <c r="O753" s="21">
        <v>46419</v>
      </c>
      <c r="P753">
        <f t="shared" si="470"/>
        <v>15</v>
      </c>
      <c r="Q753" s="6">
        <f t="shared" si="471"/>
        <v>7.5249320036264736E-2</v>
      </c>
      <c r="R753" s="5">
        <f t="shared" si="472"/>
        <v>1</v>
      </c>
      <c r="S753" t="s">
        <v>93</v>
      </c>
      <c r="U753">
        <f t="shared" si="473"/>
        <v>15</v>
      </c>
      <c r="V753">
        <f t="shared" si="474"/>
        <v>83</v>
      </c>
      <c r="W753" s="28">
        <f t="shared" si="475"/>
        <v>7.1578167565974557E-2</v>
      </c>
      <c r="X753" s="27">
        <f t="shared" si="476"/>
        <v>7.1578167565974557E-2</v>
      </c>
      <c r="Y753" s="5">
        <f t="shared" si="477"/>
        <v>9.3895836222205684</v>
      </c>
      <c r="Z753" s="5">
        <f t="shared" si="478"/>
        <v>8.762387949306996</v>
      </c>
      <c r="AA753" s="5">
        <f t="shared" si="479"/>
        <v>-9664.9139080856166</v>
      </c>
      <c r="AB753" t="s">
        <v>64</v>
      </c>
      <c r="AC753" t="s">
        <v>62</v>
      </c>
      <c r="AD753">
        <f t="shared" si="480"/>
        <v>1</v>
      </c>
    </row>
    <row r="754" spans="1:30" x14ac:dyDescent="0.35">
      <c r="A754" t="s">
        <v>1397</v>
      </c>
      <c r="B754" t="s">
        <v>114</v>
      </c>
      <c r="C754" s="36">
        <f t="shared" si="468"/>
        <v>2.7746838197347589E-2</v>
      </c>
      <c r="D754" s="3">
        <f t="shared" si="469"/>
        <v>2.7746838197347589E-2</v>
      </c>
      <c r="F754">
        <v>997.87</v>
      </c>
      <c r="G754" t="s">
        <v>694</v>
      </c>
      <c r="H754">
        <v>1000</v>
      </c>
      <c r="I754" s="22"/>
      <c r="J754">
        <v>0</v>
      </c>
      <c r="K754" s="22"/>
      <c r="L754">
        <v>2.8954953621105401</v>
      </c>
      <c r="M754" s="22">
        <v>2.75E-2</v>
      </c>
      <c r="N754" s="21">
        <v>42767</v>
      </c>
      <c r="O754" s="21">
        <v>46419</v>
      </c>
      <c r="P754">
        <f t="shared" si="470"/>
        <v>10</v>
      </c>
      <c r="Q754" s="6">
        <f t="shared" si="471"/>
        <v>2.7558700031066172E-2</v>
      </c>
      <c r="R754" s="5">
        <f t="shared" si="472"/>
        <v>1</v>
      </c>
      <c r="S754" t="s">
        <v>93</v>
      </c>
      <c r="U754">
        <f t="shared" si="473"/>
        <v>10</v>
      </c>
      <c r="V754">
        <f t="shared" si="474"/>
        <v>27.5</v>
      </c>
      <c r="W754" s="28">
        <f t="shared" si="475"/>
        <v>2.7746838197347589E-2</v>
      </c>
      <c r="X754" s="27">
        <f t="shared" si="476"/>
        <v>2.7746838197347589E-2</v>
      </c>
      <c r="Y754" s="5">
        <f t="shared" si="477"/>
        <v>8.8762374371233008</v>
      </c>
      <c r="Z754" s="5">
        <f t="shared" si="478"/>
        <v>8.6365991187986406</v>
      </c>
      <c r="AA754" s="5">
        <f t="shared" si="479"/>
        <v>-8618.2031626755997</v>
      </c>
      <c r="AB754" t="s">
        <v>64</v>
      </c>
      <c r="AC754" t="s">
        <v>62</v>
      </c>
      <c r="AD754">
        <f t="shared" si="480"/>
        <v>1</v>
      </c>
    </row>
    <row r="755" spans="1:30" x14ac:dyDescent="0.35">
      <c r="A755" t="s">
        <v>1397</v>
      </c>
      <c r="B755" t="s">
        <v>114</v>
      </c>
      <c r="C755" s="36">
        <f t="shared" si="468"/>
        <v>2.7526623776447368E-2</v>
      </c>
      <c r="D755" s="3">
        <f t="shared" si="469"/>
        <v>2.7526623776447368E-2</v>
      </c>
      <c r="F755">
        <v>999.77</v>
      </c>
      <c r="G755" t="s">
        <v>694</v>
      </c>
      <c r="H755">
        <v>1000</v>
      </c>
      <c r="I755" s="22"/>
      <c r="J755">
        <v>0</v>
      </c>
      <c r="K755" s="22"/>
      <c r="L755">
        <v>2.7656539895052399</v>
      </c>
      <c r="M755" s="22">
        <v>2.75E-2</v>
      </c>
      <c r="N755" s="21">
        <v>42767</v>
      </c>
      <c r="O755" s="21">
        <v>46419</v>
      </c>
      <c r="P755">
        <f t="shared" si="470"/>
        <v>10</v>
      </c>
      <c r="Q755" s="6">
        <f t="shared" si="471"/>
        <v>2.7506326455084669E-2</v>
      </c>
      <c r="R755" s="5">
        <f t="shared" si="472"/>
        <v>1</v>
      </c>
      <c r="S755" t="s">
        <v>93</v>
      </c>
      <c r="U755">
        <f t="shared" si="473"/>
        <v>10</v>
      </c>
      <c r="V755">
        <f t="shared" si="474"/>
        <v>27.5</v>
      </c>
      <c r="W755" s="28">
        <f t="shared" si="475"/>
        <v>2.7526623776447368E-2</v>
      </c>
      <c r="X755" s="27">
        <f t="shared" si="476"/>
        <v>2.7526623776447368E-2</v>
      </c>
      <c r="Y755" s="5">
        <f t="shared" si="477"/>
        <v>8.8775229203554193</v>
      </c>
      <c r="Z755" s="5">
        <f t="shared" si="478"/>
        <v>8.6397011181355516</v>
      </c>
      <c r="AA755" s="5">
        <f t="shared" si="479"/>
        <v>-8637.7139868783797</v>
      </c>
      <c r="AB755" t="s">
        <v>64</v>
      </c>
      <c r="AC755" t="s">
        <v>62</v>
      </c>
      <c r="AD755">
        <f t="shared" si="480"/>
        <v>1</v>
      </c>
    </row>
    <row r="756" spans="1:30" x14ac:dyDescent="0.35">
      <c r="A756" t="s">
        <v>1397</v>
      </c>
      <c r="B756" t="s">
        <v>114</v>
      </c>
      <c r="C756" s="36">
        <f t="shared" si="468"/>
        <v>2.7836224972415557E-2</v>
      </c>
      <c r="D756" s="3">
        <f t="shared" si="469"/>
        <v>2.7836224972415557E-2</v>
      </c>
      <c r="F756">
        <v>997.1</v>
      </c>
      <c r="G756" t="s">
        <v>694</v>
      </c>
      <c r="H756">
        <v>1000</v>
      </c>
      <c r="I756" s="22"/>
      <c r="J756">
        <v>0</v>
      </c>
      <c r="K756" s="22"/>
      <c r="L756">
        <v>2.9482452517318101</v>
      </c>
      <c r="M756" s="22">
        <v>2.75E-2</v>
      </c>
      <c r="N756" s="21">
        <v>42767</v>
      </c>
      <c r="O756" s="21">
        <v>46419</v>
      </c>
      <c r="P756">
        <f t="shared" si="470"/>
        <v>10</v>
      </c>
      <c r="Q756" s="6">
        <f t="shared" si="471"/>
        <v>2.7579981947648179E-2</v>
      </c>
      <c r="R756" s="5">
        <f t="shared" si="472"/>
        <v>1</v>
      </c>
      <c r="S756" t="s">
        <v>93</v>
      </c>
      <c r="U756">
        <f t="shared" si="473"/>
        <v>10</v>
      </c>
      <c r="V756">
        <f t="shared" si="474"/>
        <v>27.5</v>
      </c>
      <c r="W756" s="28">
        <f t="shared" si="475"/>
        <v>2.7836224972415557E-2</v>
      </c>
      <c r="X756" s="27">
        <f t="shared" si="476"/>
        <v>2.7836224972415557E-2</v>
      </c>
      <c r="Y756" s="5">
        <f t="shared" si="477"/>
        <v>8.8757153269672742</v>
      </c>
      <c r="Z756" s="5">
        <f t="shared" si="478"/>
        <v>8.635340058388655</v>
      </c>
      <c r="AA756" s="5">
        <f t="shared" si="479"/>
        <v>-8610.2975722193278</v>
      </c>
      <c r="AB756" t="s">
        <v>64</v>
      </c>
      <c r="AC756" t="s">
        <v>62</v>
      </c>
      <c r="AD756">
        <f t="shared" si="480"/>
        <v>1</v>
      </c>
    </row>
    <row r="757" spans="1:30" x14ac:dyDescent="0.35">
      <c r="A757" t="s">
        <v>1396</v>
      </c>
      <c r="B757" t="s">
        <v>241</v>
      </c>
      <c r="C757" s="36">
        <f t="shared" si="468"/>
        <v>9.1706276451436392E-2</v>
      </c>
      <c r="D757" s="3">
        <f t="shared" si="469"/>
        <v>9.1706276451436392E-2</v>
      </c>
      <c r="F757">
        <v>974.03</v>
      </c>
      <c r="G757" t="s">
        <v>76</v>
      </c>
      <c r="H757">
        <v>1000</v>
      </c>
      <c r="I757" s="22"/>
      <c r="J757">
        <v>49</v>
      </c>
      <c r="K757" s="22"/>
      <c r="L757">
        <v>10.4309711293356</v>
      </c>
      <c r="M757" s="22">
        <v>8.5000000000000006E-2</v>
      </c>
      <c r="N757" s="21">
        <v>44594</v>
      </c>
      <c r="O757" s="21">
        <v>46420</v>
      </c>
      <c r="P757">
        <f t="shared" si="470"/>
        <v>5</v>
      </c>
      <c r="Q757" s="6">
        <f t="shared" si="471"/>
        <v>8.7266305965935348E-2</v>
      </c>
      <c r="R757" s="5">
        <f t="shared" si="472"/>
        <v>1</v>
      </c>
      <c r="S757" t="s">
        <v>93</v>
      </c>
      <c r="U757">
        <f t="shared" si="473"/>
        <v>5</v>
      </c>
      <c r="V757">
        <f t="shared" si="474"/>
        <v>85</v>
      </c>
      <c r="W757" s="28">
        <f t="shared" si="475"/>
        <v>9.1706276451436392E-2</v>
      </c>
      <c r="X757" s="27">
        <f t="shared" si="476"/>
        <v>9.1706276451436392E-2</v>
      </c>
      <c r="Y757" s="5">
        <f t="shared" si="477"/>
        <v>4.2650182125943878</v>
      </c>
      <c r="Z757" s="5">
        <f t="shared" si="478"/>
        <v>3.9067451608483204</v>
      </c>
      <c r="AA757" s="5">
        <f t="shared" si="479"/>
        <v>-3805.2869890210895</v>
      </c>
      <c r="AB757" t="s">
        <v>64</v>
      </c>
      <c r="AC757" t="s">
        <v>62</v>
      </c>
      <c r="AD757">
        <f t="shared" si="480"/>
        <v>1</v>
      </c>
    </row>
    <row r="758" spans="1:30" x14ac:dyDescent="0.35">
      <c r="C758" s="28"/>
      <c r="D758" s="27"/>
      <c r="I758" s="22"/>
      <c r="K758" s="22"/>
      <c r="M758" s="22"/>
      <c r="N758" s="21"/>
      <c r="O758" s="21"/>
      <c r="P758" s="5"/>
      <c r="Q758" s="6"/>
      <c r="R758" s="5"/>
      <c r="W758" s="28"/>
      <c r="Y758" s="33"/>
      <c r="Z758" s="33"/>
      <c r="AA758" s="33"/>
    </row>
    <row r="759" spans="1:30" x14ac:dyDescent="0.35">
      <c r="A759" t="s">
        <v>1394</v>
      </c>
      <c r="B759" t="s">
        <v>460</v>
      </c>
      <c r="C759" s="36">
        <f>RATE(U759,V759,-F759,H759)</f>
        <v>0.12120541920500709</v>
      </c>
      <c r="D759" s="3">
        <f>C759*AD759</f>
        <v>0.12120541920500709</v>
      </c>
      <c r="F759">
        <v>96000</v>
      </c>
      <c r="G759" t="s">
        <v>76</v>
      </c>
      <c r="H759">
        <v>100000</v>
      </c>
      <c r="I759" s="22"/>
      <c r="J759">
        <v>6</v>
      </c>
      <c r="K759" s="22"/>
      <c r="L759">
        <v>12.7604166666666</v>
      </c>
      <c r="M759" s="22">
        <v>9.7500000000000003E-2</v>
      </c>
      <c r="N759" s="21">
        <v>45694</v>
      </c>
      <c r="O759" s="21">
        <v>46424</v>
      </c>
      <c r="P759">
        <f>ROUND(YEARFRAC(N759,O759),0)</f>
        <v>2</v>
      </c>
      <c r="Q759" s="6">
        <f>(M759*H759)/F759</f>
        <v>0.1015625</v>
      </c>
      <c r="R759" s="5">
        <f>IF(S759="Quarterly",4,IF(S759="Semi-annual",2,IF(S759="Annual",1,IF(S759="Pays at maturity",0,IF(S759="Monthly",12,0)))))</f>
        <v>1</v>
      </c>
      <c r="S759" t="s">
        <v>93</v>
      </c>
      <c r="U759">
        <f>R759*P759</f>
        <v>2</v>
      </c>
      <c r="V759">
        <f>(H759*M759)/AD759</f>
        <v>9750</v>
      </c>
      <c r="W759" s="28">
        <f>RATE(U759,V759,-F759,H759)</f>
        <v>0.12120541920500709</v>
      </c>
      <c r="X759" s="27">
        <f>W759*AD759</f>
        <v>0.12120541920500709</v>
      </c>
      <c r="Y759" s="5">
        <f>DURATION(N759,O759,M759,D759,AD759)</f>
        <v>1.9094166882710815</v>
      </c>
      <c r="Z759" s="5">
        <f>Y759/(1+C759)</f>
        <v>1.703003442156886</v>
      </c>
      <c r="AA759" s="5">
        <f>-Z759*F759</f>
        <v>-163488.33044706105</v>
      </c>
      <c r="AB759" t="s">
        <v>64</v>
      </c>
      <c r="AC759" t="s">
        <v>62</v>
      </c>
      <c r="AD759">
        <f>_xlfn.SWITCH(PROPER(TRIM(S759)),
   "Annual",1,
   "Semi-Annual",2,
   "Quarterly",4,
   "Monthly",12,
   "")</f>
        <v>1</v>
      </c>
    </row>
    <row r="760" spans="1:30" x14ac:dyDescent="0.35">
      <c r="C760" s="28"/>
      <c r="D760" s="27"/>
      <c r="I760" s="22"/>
      <c r="K760" s="22"/>
      <c r="M760" s="22"/>
      <c r="N760" s="21"/>
      <c r="O760" s="21"/>
      <c r="P760" s="5"/>
      <c r="Q760" s="6"/>
      <c r="R760" s="5"/>
      <c r="W760" s="28"/>
      <c r="Y760" s="33"/>
      <c r="Z760" s="33"/>
      <c r="AA760" s="33"/>
    </row>
    <row r="761" spans="1:30" x14ac:dyDescent="0.35">
      <c r="C761" s="28"/>
      <c r="D761" s="27"/>
      <c r="I761" s="22"/>
      <c r="K761" s="22"/>
      <c r="M761" s="22"/>
      <c r="N761" s="21"/>
      <c r="O761" s="21"/>
      <c r="P761" s="5"/>
      <c r="Q761" s="6"/>
      <c r="R761" s="5"/>
      <c r="W761" s="28"/>
      <c r="Y761" s="33"/>
      <c r="Z761" s="33"/>
      <c r="AA761" s="33"/>
    </row>
    <row r="762" spans="1:30" x14ac:dyDescent="0.35">
      <c r="A762" t="s">
        <v>1391</v>
      </c>
      <c r="B762" t="s">
        <v>401</v>
      </c>
      <c r="C762" s="36">
        <f>RATE(U762,V762,-F762,H762)</f>
        <v>0.10072360981929497</v>
      </c>
      <c r="D762" s="3">
        <f>C762*AD762</f>
        <v>0.10072360981929497</v>
      </c>
      <c r="F762">
        <v>100308</v>
      </c>
      <c r="G762" t="s">
        <v>76</v>
      </c>
      <c r="H762">
        <v>100000</v>
      </c>
      <c r="I762" s="22"/>
      <c r="J762">
        <v>2</v>
      </c>
      <c r="K762" s="22"/>
      <c r="L762">
        <v>10.0344960510134</v>
      </c>
      <c r="M762" s="22">
        <v>0.10249999999999999</v>
      </c>
      <c r="N762" s="21">
        <v>45576</v>
      </c>
      <c r="O762" s="21">
        <v>46429</v>
      </c>
      <c r="P762">
        <f>ROUND(YEARFRAC(N762,O762),0)</f>
        <v>2</v>
      </c>
      <c r="Q762" s="6">
        <f>(M762*H762)/F762</f>
        <v>0.10218526937033935</v>
      </c>
      <c r="R762" s="5">
        <f>IF(S762="Quarterly",4,IF(S762="Semi-annual",2,IF(S762="Annual",1,IF(S762="Pays at maturity",0,IF(S762="Monthly",12,0)))))</f>
        <v>1</v>
      </c>
      <c r="S762" t="s">
        <v>93</v>
      </c>
      <c r="U762">
        <f>R762*P762</f>
        <v>2</v>
      </c>
      <c r="V762">
        <f>(H762*M762)/AD762</f>
        <v>10250</v>
      </c>
      <c r="W762" s="28">
        <f>RATE(U762,V762,-F762,H762)</f>
        <v>0.10072360981929497</v>
      </c>
      <c r="X762" s="27">
        <f>W762*AD762</f>
        <v>0.10072360981929497</v>
      </c>
      <c r="Y762" s="5">
        <f>DURATION(N762,O762,M762,D762,AD762)</f>
        <v>2.0636825066609359</v>
      </c>
      <c r="Z762" s="5">
        <f>Y762/(1+C762)</f>
        <v>1.8748416843713649</v>
      </c>
      <c r="AA762" s="5">
        <f>-Z762*F762</f>
        <v>-188061.61967592288</v>
      </c>
      <c r="AB762" t="s">
        <v>64</v>
      </c>
      <c r="AC762" t="s">
        <v>62</v>
      </c>
      <c r="AD762">
        <f>_xlfn.SWITCH(PROPER(TRIM(S762)),
   "Annual",1,
   "Semi-Annual",2,
   "Quarterly",4,
   "Monthly",12,
   "")</f>
        <v>1</v>
      </c>
    </row>
    <row r="763" spans="1:30" x14ac:dyDescent="0.35">
      <c r="C763" s="28"/>
      <c r="D763" s="27"/>
      <c r="I763" s="22"/>
      <c r="K763" s="22"/>
      <c r="M763" s="22"/>
      <c r="N763" s="21"/>
      <c r="O763" s="21"/>
      <c r="P763" s="5"/>
      <c r="Q763" s="6"/>
      <c r="R763" s="5"/>
      <c r="W763" s="28"/>
      <c r="Y763" s="33"/>
      <c r="Z763" s="33"/>
      <c r="AA763" s="33"/>
    </row>
    <row r="764" spans="1:30" x14ac:dyDescent="0.35">
      <c r="A764" t="s">
        <v>1389</v>
      </c>
      <c r="B764" t="s">
        <v>417</v>
      </c>
      <c r="C764" s="36">
        <f>RATE(U764,V764,-F764,H764)</f>
        <v>8.8644403572726294E-2</v>
      </c>
      <c r="D764" s="3">
        <f>C764*AD764</f>
        <v>8.8644403572726294E-2</v>
      </c>
      <c r="F764">
        <v>5120.08</v>
      </c>
      <c r="G764" t="s">
        <v>76</v>
      </c>
      <c r="H764">
        <v>5000</v>
      </c>
      <c r="I764" s="22"/>
      <c r="J764">
        <v>20</v>
      </c>
      <c r="K764" s="22"/>
      <c r="L764">
        <v>7.4991833953607996</v>
      </c>
      <c r="M764" s="22">
        <v>9.1600000000000001E-2</v>
      </c>
      <c r="N764" s="21">
        <v>40954</v>
      </c>
      <c r="O764" s="21">
        <v>46433</v>
      </c>
      <c r="P764">
        <f>ROUND(YEARFRAC(N764,O764),0)</f>
        <v>15</v>
      </c>
      <c r="Q764" s="6">
        <f>(M764*H764)/F764</f>
        <v>8.9451727316760682E-2</v>
      </c>
      <c r="R764" s="5">
        <f>IF(S764="Quarterly",4,IF(S764="Semi-annual",2,IF(S764="Annual",1,IF(S764="Pays at maturity",0,IF(S764="Monthly",12,0)))))</f>
        <v>1</v>
      </c>
      <c r="S764" t="s">
        <v>93</v>
      </c>
      <c r="U764">
        <f>R764*P764</f>
        <v>15</v>
      </c>
      <c r="V764">
        <f>(H764*M764)/AD764</f>
        <v>458</v>
      </c>
      <c r="W764" s="28">
        <f>RATE(U764,V764,-F764,H764)</f>
        <v>8.8644403572726294E-2</v>
      </c>
      <c r="X764" s="27">
        <f>W764*AD764</f>
        <v>8.8644403572726294E-2</v>
      </c>
      <c r="Y764" s="5">
        <f>DURATION(N764,O764,M764,D764,AD764)</f>
        <v>8.7898428654231822</v>
      </c>
      <c r="Z764" s="5">
        <f>Y764/(1+C764)</f>
        <v>8.0741175323885095</v>
      </c>
      <c r="AA764" s="5">
        <f>-Z764*F764</f>
        <v>-41340.127695231757</v>
      </c>
      <c r="AB764" t="s">
        <v>79</v>
      </c>
      <c r="AC764" t="s">
        <v>62</v>
      </c>
      <c r="AD764">
        <f>_xlfn.SWITCH(PROPER(TRIM(S764)),
   "Annual",1,
   "Semi-Annual",2,
   "Quarterly",4,
   "Monthly",12,
   "")</f>
        <v>1</v>
      </c>
    </row>
    <row r="765" spans="1:30" x14ac:dyDescent="0.35">
      <c r="A765" t="s">
        <v>1388</v>
      </c>
      <c r="B765" t="s">
        <v>465</v>
      </c>
      <c r="C765" s="36">
        <f>RATE(U765,V765,-F765,H765)</f>
        <v>0.11042393586035622</v>
      </c>
      <c r="D765" s="3">
        <f>C765*AD765</f>
        <v>0.11042393586035622</v>
      </c>
      <c r="F765">
        <v>992.86</v>
      </c>
      <c r="G765" t="s">
        <v>76</v>
      </c>
      <c r="H765">
        <v>1000</v>
      </c>
      <c r="I765" s="22"/>
      <c r="J765">
        <v>80</v>
      </c>
      <c r="K765" s="22"/>
      <c r="L765">
        <v>11.271442566932899</v>
      </c>
      <c r="M765" s="22">
        <v>0.1075</v>
      </c>
      <c r="N765" s="21">
        <v>45338</v>
      </c>
      <c r="O765" s="21">
        <v>46433</v>
      </c>
      <c r="P765">
        <f>ROUND(YEARFRAC(N765,O765),0)</f>
        <v>3</v>
      </c>
      <c r="Q765" s="6">
        <f>(M765*H765)/F765</f>
        <v>0.10827306971778498</v>
      </c>
      <c r="R765" s="5">
        <f>IF(S765="Quarterly",4,IF(S765="Semi-annual",2,IF(S765="Annual",1,IF(S765="Pays at maturity",0,IF(S765="Monthly",12,0)))))</f>
        <v>1</v>
      </c>
      <c r="S765" t="s">
        <v>93</v>
      </c>
      <c r="U765">
        <f>R765*P765</f>
        <v>3</v>
      </c>
      <c r="V765">
        <f>(H765*M765)/AD765</f>
        <v>107.5</v>
      </c>
      <c r="W765" s="28">
        <f>RATE(U765,V765,-F765,H765)</f>
        <v>0.11042393586035622</v>
      </c>
      <c r="X765" s="27">
        <f>W765*AD765</f>
        <v>0.11042393586035622</v>
      </c>
      <c r="Y765" s="5">
        <f>DURATION(N765,O765,M765,D765,AD765)</f>
        <v>2.7144003238288441</v>
      </c>
      <c r="Z765" s="5">
        <f>Y765/(1+C765)</f>
        <v>2.4444720940977622</v>
      </c>
      <c r="AA765" s="5">
        <f>-Z765*F765</f>
        <v>-2427.0185633459041</v>
      </c>
      <c r="AB765" t="s">
        <v>64</v>
      </c>
      <c r="AC765" t="s">
        <v>62</v>
      </c>
      <c r="AD765">
        <f>_xlfn.SWITCH(PROPER(TRIM(S765)),
   "Annual",1,
   "Semi-Annual",2,
   "Quarterly",4,
   "Monthly",12,
   "")</f>
        <v>1</v>
      </c>
    </row>
    <row r="766" spans="1:30" x14ac:dyDescent="0.35">
      <c r="C766" s="28"/>
      <c r="D766" s="27"/>
      <c r="I766" s="22"/>
      <c r="K766" s="22"/>
      <c r="M766" s="22"/>
      <c r="N766" s="21"/>
      <c r="O766" s="21"/>
      <c r="P766" s="5"/>
      <c r="Q766" s="6"/>
      <c r="R766" s="5"/>
      <c r="W766" s="28"/>
      <c r="Y766" s="33"/>
      <c r="Z766" s="33"/>
      <c r="AA766" s="33"/>
    </row>
    <row r="767" spans="1:30" x14ac:dyDescent="0.35">
      <c r="A767" t="s">
        <v>1386</v>
      </c>
      <c r="B767" t="s">
        <v>283</v>
      </c>
      <c r="C767" s="36">
        <f t="shared" ref="C767:C772" si="481">RATE(U767,V767,-F767,H767)</f>
        <v>2.1017631603863635E-2</v>
      </c>
      <c r="D767" s="3">
        <f t="shared" ref="D767:D772" si="482">C767*AD767</f>
        <v>8.4070526415454538E-2</v>
      </c>
      <c r="F767">
        <v>1037821</v>
      </c>
      <c r="G767" t="s">
        <v>76</v>
      </c>
      <c r="H767">
        <v>1000000</v>
      </c>
      <c r="I767" s="22"/>
      <c r="J767">
        <v>1</v>
      </c>
      <c r="K767" s="22"/>
      <c r="M767" s="22">
        <v>8.9700000000000002E-2</v>
      </c>
      <c r="N767" s="21">
        <v>42783</v>
      </c>
      <c r="O767" s="21">
        <v>46433</v>
      </c>
      <c r="P767">
        <f t="shared" ref="P767:P772" si="483">ROUND(YEARFRAC(N767,O767),0)</f>
        <v>10</v>
      </c>
      <c r="Q767" s="6">
        <f t="shared" ref="Q767:Q772" si="484">(M767*H767)/F767</f>
        <v>8.6431089754398879E-2</v>
      </c>
      <c r="R767" s="5">
        <f t="shared" ref="R767:R772" si="485">IF(S767="Quarterly",4,IF(S767="Semi-annual",2,IF(S767="Annual",1,IF(S767="Pays at maturity",0,IF(S767="Monthly",12,0)))))</f>
        <v>4</v>
      </c>
      <c r="S767" t="s">
        <v>105</v>
      </c>
      <c r="U767">
        <f t="shared" ref="U767:U772" si="486">R767*P767</f>
        <v>40</v>
      </c>
      <c r="V767">
        <f t="shared" ref="V767:V772" si="487">(H767*M767)/AD767</f>
        <v>22425</v>
      </c>
      <c r="W767" s="28">
        <f t="shared" ref="W767:W772" si="488">RATE(U767,V767,-F767,H767)</f>
        <v>2.1017631603863635E-2</v>
      </c>
      <c r="X767" s="27">
        <f t="shared" ref="X767:X772" si="489">W767*AD767</f>
        <v>8.4070526415454538E-2</v>
      </c>
      <c r="Y767" s="5">
        <f t="shared" ref="Y767:Y772" si="490">DURATION(N767,O767,M767,D767,AD767)</f>
        <v>6.7658618070592729</v>
      </c>
      <c r="Z767" s="5">
        <f t="shared" ref="Z767:Z772" si="491">Y767/(1+C767)</f>
        <v>6.6265866500572876</v>
      </c>
      <c r="AA767" s="5">
        <f t="shared" ref="AA767:AA772" si="492">-Z767*F767</f>
        <v>-6877210.7837491045</v>
      </c>
      <c r="AB767" t="s">
        <v>64</v>
      </c>
      <c r="AC767" t="s">
        <v>62</v>
      </c>
      <c r="AD767">
        <f t="shared" ref="AD767:AD772" si="493">_xlfn.SWITCH(PROPER(TRIM(S767)),
   "Annual",1,
   "Semi-Annual",2,
   "Quarterly",4,
   "Monthly",12,
   "")</f>
        <v>4</v>
      </c>
    </row>
    <row r="768" spans="1:30" x14ac:dyDescent="0.35">
      <c r="A768" t="s">
        <v>1385</v>
      </c>
      <c r="B768" t="s">
        <v>1247</v>
      </c>
      <c r="C768" s="36">
        <f t="shared" si="481"/>
        <v>0.10703887245788352</v>
      </c>
      <c r="D768" s="3">
        <f t="shared" si="482"/>
        <v>0.10703887245788352</v>
      </c>
      <c r="F768">
        <v>9836</v>
      </c>
      <c r="G768" t="s">
        <v>76</v>
      </c>
      <c r="H768">
        <v>10000</v>
      </c>
      <c r="I768" s="22"/>
      <c r="J768">
        <v>37</v>
      </c>
      <c r="K768" s="22"/>
      <c r="L768">
        <v>10.967298707467901</v>
      </c>
      <c r="M768" s="22">
        <v>9.7500000000000003E-2</v>
      </c>
      <c r="N768" s="21">
        <v>45706</v>
      </c>
      <c r="O768" s="21">
        <v>46436</v>
      </c>
      <c r="P768">
        <f t="shared" si="483"/>
        <v>2</v>
      </c>
      <c r="Q768" s="6">
        <f t="shared" si="484"/>
        <v>9.9125660837738924E-2</v>
      </c>
      <c r="R768" s="5">
        <f t="shared" si="485"/>
        <v>1</v>
      </c>
      <c r="S768" t="s">
        <v>93</v>
      </c>
      <c r="U768">
        <f t="shared" si="486"/>
        <v>2</v>
      </c>
      <c r="V768">
        <f t="shared" si="487"/>
        <v>975</v>
      </c>
      <c r="W768" s="28">
        <f t="shared" si="488"/>
        <v>0.10703887245788352</v>
      </c>
      <c r="X768" s="27">
        <f t="shared" si="489"/>
        <v>0.10703887245788352</v>
      </c>
      <c r="Y768" s="5">
        <f t="shared" si="490"/>
        <v>1.9104587351863653</v>
      </c>
      <c r="Z768" s="5">
        <f t="shared" si="491"/>
        <v>1.7257377159166083</v>
      </c>
      <c r="AA768" s="5">
        <f t="shared" si="492"/>
        <v>-16974.356173755757</v>
      </c>
      <c r="AB768" t="s">
        <v>64</v>
      </c>
      <c r="AC768" t="s">
        <v>62</v>
      </c>
      <c r="AD768">
        <f t="shared" si="493"/>
        <v>1</v>
      </c>
    </row>
    <row r="769" spans="1:30" x14ac:dyDescent="0.35">
      <c r="A769" t="s">
        <v>1384</v>
      </c>
      <c r="B769" t="s">
        <v>929</v>
      </c>
      <c r="C769" s="36">
        <f t="shared" si="481"/>
        <v>2.3679139860725701E-2</v>
      </c>
      <c r="D769" s="3">
        <f t="shared" si="482"/>
        <v>9.4716559442902803E-2</v>
      </c>
      <c r="F769">
        <v>101107.3</v>
      </c>
      <c r="G769" t="s">
        <v>76</v>
      </c>
      <c r="H769">
        <v>100000</v>
      </c>
      <c r="I769" s="22"/>
      <c r="J769">
        <v>20</v>
      </c>
      <c r="K769" s="22"/>
      <c r="M769" s="22">
        <v>9.9000000000000005E-2</v>
      </c>
      <c r="N769" s="21">
        <v>45343</v>
      </c>
      <c r="O769" s="21">
        <v>46439</v>
      </c>
      <c r="P769">
        <f t="shared" si="483"/>
        <v>3</v>
      </c>
      <c r="Q769" s="6">
        <f t="shared" si="484"/>
        <v>9.7915778583742216E-2</v>
      </c>
      <c r="R769" s="5">
        <f t="shared" si="485"/>
        <v>4</v>
      </c>
      <c r="S769" t="s">
        <v>105</v>
      </c>
      <c r="U769">
        <f t="shared" si="486"/>
        <v>12</v>
      </c>
      <c r="V769">
        <f t="shared" si="487"/>
        <v>2475</v>
      </c>
      <c r="W769" s="28">
        <f t="shared" si="488"/>
        <v>2.3679139860725701E-2</v>
      </c>
      <c r="X769" s="27">
        <f t="shared" si="489"/>
        <v>9.4716559442902803E-2</v>
      </c>
      <c r="Y769" s="5">
        <f t="shared" si="490"/>
        <v>2.6343363527569448</v>
      </c>
      <c r="Z769" s="5">
        <f t="shared" si="491"/>
        <v>2.5734004437321576</v>
      </c>
      <c r="AA769" s="5">
        <f t="shared" si="492"/>
        <v>-260189.57068456037</v>
      </c>
      <c r="AB769" t="s">
        <v>503</v>
      </c>
      <c r="AC769" t="s">
        <v>62</v>
      </c>
      <c r="AD769">
        <f t="shared" si="493"/>
        <v>4</v>
      </c>
    </row>
    <row r="770" spans="1:30" x14ac:dyDescent="0.35">
      <c r="A770" t="s">
        <v>1383</v>
      </c>
      <c r="B770" t="s">
        <v>1382</v>
      </c>
      <c r="C770" s="36">
        <f t="shared" si="481"/>
        <v>2.2740510931918728E-2</v>
      </c>
      <c r="D770" s="3">
        <f t="shared" si="482"/>
        <v>4.5481021863837456E-2</v>
      </c>
      <c r="F770">
        <v>971.5</v>
      </c>
      <c r="G770" t="s">
        <v>66</v>
      </c>
      <c r="H770">
        <v>1000</v>
      </c>
      <c r="I770" s="22"/>
      <c r="J770">
        <v>346640</v>
      </c>
      <c r="K770" s="22"/>
      <c r="M770" s="22">
        <v>0.04</v>
      </c>
      <c r="N770" s="21">
        <v>44249</v>
      </c>
      <c r="O770" s="21">
        <v>46440</v>
      </c>
      <c r="P770">
        <f t="shared" si="483"/>
        <v>6</v>
      </c>
      <c r="Q770" s="6">
        <f t="shared" si="484"/>
        <v>4.1173443129181676E-2</v>
      </c>
      <c r="R770" s="5">
        <f t="shared" si="485"/>
        <v>2</v>
      </c>
      <c r="S770" t="s">
        <v>65</v>
      </c>
      <c r="U770">
        <f t="shared" si="486"/>
        <v>12</v>
      </c>
      <c r="V770">
        <f t="shared" si="487"/>
        <v>20</v>
      </c>
      <c r="W770" s="28">
        <f t="shared" si="488"/>
        <v>2.2740510931918728E-2</v>
      </c>
      <c r="X770" s="27">
        <f t="shared" si="489"/>
        <v>4.5481021863837456E-2</v>
      </c>
      <c r="Y770" s="5">
        <f t="shared" si="490"/>
        <v>5.382598289851547</v>
      </c>
      <c r="Z770" s="5">
        <f t="shared" si="491"/>
        <v>5.2629168712080601</v>
      </c>
      <c r="AA770" s="5">
        <f t="shared" si="492"/>
        <v>-5112.9237403786301</v>
      </c>
      <c r="AB770" t="s">
        <v>69</v>
      </c>
      <c r="AC770" t="s">
        <v>62</v>
      </c>
      <c r="AD770">
        <f t="shared" si="493"/>
        <v>2</v>
      </c>
    </row>
    <row r="771" spans="1:30" x14ac:dyDescent="0.35">
      <c r="A771" t="s">
        <v>1381</v>
      </c>
      <c r="B771" t="s">
        <v>72</v>
      </c>
      <c r="C771" s="36">
        <f t="shared" si="481"/>
        <v>7.0627349578915907E-2</v>
      </c>
      <c r="D771" s="3">
        <f t="shared" si="482"/>
        <v>7.0627349578915907E-2</v>
      </c>
      <c r="F771">
        <v>1094.0999999999999</v>
      </c>
      <c r="G771" t="s">
        <v>76</v>
      </c>
      <c r="H771">
        <v>1000</v>
      </c>
      <c r="I771" s="22"/>
      <c r="J771">
        <v>80</v>
      </c>
      <c r="K771" s="22"/>
      <c r="L771">
        <v>2.0644899948828801</v>
      </c>
      <c r="M771" s="22">
        <v>8.1000000000000003E-2</v>
      </c>
      <c r="N771" s="21">
        <v>40962</v>
      </c>
      <c r="O771" s="21">
        <v>46441</v>
      </c>
      <c r="P771">
        <f t="shared" si="483"/>
        <v>15</v>
      </c>
      <c r="Q771" s="6">
        <f t="shared" si="484"/>
        <v>7.4033452152454077E-2</v>
      </c>
      <c r="R771" s="5">
        <f t="shared" si="485"/>
        <v>1</v>
      </c>
      <c r="S771" t="s">
        <v>93</v>
      </c>
      <c r="U771">
        <f t="shared" si="486"/>
        <v>15</v>
      </c>
      <c r="V771">
        <f t="shared" si="487"/>
        <v>81</v>
      </c>
      <c r="W771" s="28">
        <f t="shared" si="488"/>
        <v>7.0627349578915907E-2</v>
      </c>
      <c r="X771" s="27">
        <f t="shared" si="489"/>
        <v>7.0627349578915907E-2</v>
      </c>
      <c r="Y771" s="5">
        <f t="shared" si="490"/>
        <v>9.4576713268478798</v>
      </c>
      <c r="Z771" s="5">
        <f t="shared" si="491"/>
        <v>8.8337658575298299</v>
      </c>
      <c r="AA771" s="5">
        <f t="shared" si="492"/>
        <v>-9665.0232247233853</v>
      </c>
      <c r="AB771" t="s">
        <v>64</v>
      </c>
      <c r="AC771" t="s">
        <v>62</v>
      </c>
      <c r="AD771">
        <f t="shared" si="493"/>
        <v>1</v>
      </c>
    </row>
    <row r="772" spans="1:30" x14ac:dyDescent="0.35">
      <c r="A772" t="s">
        <v>1380</v>
      </c>
      <c r="B772" t="s">
        <v>241</v>
      </c>
      <c r="C772" s="36">
        <f t="shared" si="481"/>
        <v>9.9209265829786425E-2</v>
      </c>
      <c r="D772" s="3">
        <f t="shared" si="482"/>
        <v>9.9209265829786425E-2</v>
      </c>
      <c r="F772">
        <v>984</v>
      </c>
      <c r="G772" t="s">
        <v>76</v>
      </c>
      <c r="H772">
        <v>1000</v>
      </c>
      <c r="I772" s="22"/>
      <c r="J772">
        <v>10</v>
      </c>
      <c r="K772" s="22"/>
      <c r="L772">
        <v>10.164344782384299</v>
      </c>
      <c r="M772" s="22">
        <v>0.09</v>
      </c>
      <c r="N772" s="21">
        <v>45712</v>
      </c>
      <c r="O772" s="21">
        <v>46442</v>
      </c>
      <c r="P772">
        <f t="shared" si="483"/>
        <v>2</v>
      </c>
      <c r="Q772" s="6">
        <f t="shared" si="484"/>
        <v>9.1463414634146339E-2</v>
      </c>
      <c r="R772" s="5">
        <f t="shared" si="485"/>
        <v>1</v>
      </c>
      <c r="S772" t="s">
        <v>93</v>
      </c>
      <c r="U772">
        <f t="shared" si="486"/>
        <v>2</v>
      </c>
      <c r="V772">
        <f t="shared" si="487"/>
        <v>90</v>
      </c>
      <c r="W772" s="28">
        <f t="shared" si="488"/>
        <v>9.9209265829786425E-2</v>
      </c>
      <c r="X772" s="27">
        <f t="shared" si="489"/>
        <v>9.9209265829786425E-2</v>
      </c>
      <c r="Y772" s="5">
        <f t="shared" si="490"/>
        <v>1.9167916269654979</v>
      </c>
      <c r="Z772" s="5">
        <f t="shared" si="491"/>
        <v>1.7437913658037838</v>
      </c>
      <c r="AA772" s="5">
        <f t="shared" si="492"/>
        <v>-1715.8907039509234</v>
      </c>
      <c r="AB772" t="s">
        <v>64</v>
      </c>
      <c r="AC772" t="s">
        <v>62</v>
      </c>
      <c r="AD772">
        <f t="shared" si="493"/>
        <v>1</v>
      </c>
    </row>
    <row r="773" spans="1:30" x14ac:dyDescent="0.35">
      <c r="C773" s="28"/>
      <c r="D773" s="27"/>
      <c r="I773" s="22"/>
      <c r="K773" s="22"/>
      <c r="M773" s="22"/>
      <c r="N773" s="21"/>
      <c r="O773" s="21"/>
      <c r="P773" s="5"/>
      <c r="Q773" s="6"/>
      <c r="R773" s="5"/>
      <c r="W773" s="28"/>
      <c r="Y773" s="33"/>
      <c r="Z773" s="33"/>
      <c r="AA773" s="33"/>
    </row>
    <row r="774" spans="1:30" x14ac:dyDescent="0.35">
      <c r="A774" t="s">
        <v>1378</v>
      </c>
      <c r="B774" t="s">
        <v>241</v>
      </c>
      <c r="C774" s="36">
        <f>RATE(U774,V774,-F774,H774)</f>
        <v>9.3428885913162271E-2</v>
      </c>
      <c r="D774" s="3">
        <f>C774*AD774</f>
        <v>9.3428885913162271E-2</v>
      </c>
      <c r="F774">
        <v>1001</v>
      </c>
      <c r="G774" t="s">
        <v>76</v>
      </c>
      <c r="H774">
        <v>1000</v>
      </c>
      <c r="I774" s="22"/>
      <c r="J774">
        <v>20</v>
      </c>
      <c r="K774" s="22"/>
      <c r="L774">
        <v>9.3283849256545501</v>
      </c>
      <c r="M774" s="22">
        <v>9.4E-2</v>
      </c>
      <c r="N774" s="21">
        <v>45712</v>
      </c>
      <c r="O774" s="21">
        <v>46442</v>
      </c>
      <c r="P774">
        <f>ROUND(YEARFRAC(N774,O774),0)</f>
        <v>2</v>
      </c>
      <c r="Q774" s="6">
        <f>(M774*H774)/F774</f>
        <v>9.3906093906093904E-2</v>
      </c>
      <c r="R774" s="5">
        <f>IF(S774="Quarterly",4,IF(S774="Semi-annual",2,IF(S774="Annual",1,IF(S774="Pays at maturity",0,IF(S774="Monthly",12,0)))))</f>
        <v>1</v>
      </c>
      <c r="S774" t="s">
        <v>93</v>
      </c>
      <c r="U774">
        <f>R774*P774</f>
        <v>2</v>
      </c>
      <c r="V774">
        <f>(H774*M774)/AD774</f>
        <v>94</v>
      </c>
      <c r="W774" s="28">
        <f>RATE(U774,V774,-F774,H774)</f>
        <v>9.3428885913162271E-2</v>
      </c>
      <c r="X774" s="27">
        <f>W774*AD774</f>
        <v>9.3428885913162271E-2</v>
      </c>
      <c r="Y774" s="5">
        <f>DURATION(N774,O774,M774,D774,AD774)</f>
        <v>1.9141177856959326</v>
      </c>
      <c r="Z774" s="5">
        <f>Y774/(1+C774)</f>
        <v>1.7505644951910917</v>
      </c>
      <c r="AA774" s="5">
        <f>-Z774*F774</f>
        <v>-1752.3150596862829</v>
      </c>
      <c r="AB774" t="s">
        <v>64</v>
      </c>
      <c r="AC774" t="s">
        <v>62</v>
      </c>
      <c r="AD774">
        <f>_xlfn.SWITCH(PROPER(TRIM(S774)),
   "Annual",1,
   "Semi-Annual",2,
   "Quarterly",4,
   "Monthly",12,
   "")</f>
        <v>1</v>
      </c>
    </row>
    <row r="775" spans="1:30" x14ac:dyDescent="0.35">
      <c r="C775" s="28"/>
      <c r="D775" s="27"/>
      <c r="I775" s="22"/>
      <c r="K775" s="22"/>
      <c r="M775" s="22"/>
      <c r="N775" s="21"/>
      <c r="O775" s="21"/>
      <c r="P775" s="5"/>
      <c r="Q775" s="6"/>
      <c r="R775" s="5"/>
      <c r="W775" s="28"/>
      <c r="Y775" s="33"/>
      <c r="Z775" s="33"/>
      <c r="AA775" s="33"/>
    </row>
    <row r="776" spans="1:30" x14ac:dyDescent="0.35">
      <c r="A776" t="s">
        <v>1376</v>
      </c>
      <c r="B776" t="s">
        <v>357</v>
      </c>
      <c r="C776" s="36">
        <f>RATE(U776,V776,-F776,H776)</f>
        <v>4.0785092247376462E-2</v>
      </c>
      <c r="D776" s="3">
        <f>C776*AD776</f>
        <v>4.0785092247376462E-2</v>
      </c>
      <c r="F776">
        <v>1143.3</v>
      </c>
      <c r="G776" t="s">
        <v>76</v>
      </c>
      <c r="H776">
        <v>1000</v>
      </c>
      <c r="I776" s="22"/>
      <c r="J776">
        <v>1</v>
      </c>
      <c r="K776" s="22"/>
      <c r="L776">
        <v>3.56551994361334</v>
      </c>
      <c r="M776" s="22">
        <v>9.2499999999999999E-2</v>
      </c>
      <c r="N776" s="21">
        <v>45349</v>
      </c>
      <c r="O776" s="21">
        <v>46445</v>
      </c>
      <c r="P776">
        <f>ROUND(YEARFRAC(N776,O776),0)</f>
        <v>3</v>
      </c>
      <c r="Q776" s="6">
        <f>(M776*H776)/F776</f>
        <v>8.0906148867313912E-2</v>
      </c>
      <c r="R776" s="5">
        <f>IF(S776="Quarterly",4,IF(S776="Semi-annual",2,IF(S776="Annual",1,IF(S776="Pays at maturity",0,IF(S776="Monthly",12,0)))))</f>
        <v>1</v>
      </c>
      <c r="S776" t="s">
        <v>93</v>
      </c>
      <c r="U776">
        <f>R776*P776</f>
        <v>3</v>
      </c>
      <c r="V776">
        <f>(H776*M776)/AD776</f>
        <v>92.5</v>
      </c>
      <c r="W776" s="28">
        <f>RATE(U776,V776,-F776,H776)</f>
        <v>4.0785092247376462E-2</v>
      </c>
      <c r="X776" s="27">
        <f>W776*AD776</f>
        <v>4.0785092247376462E-2</v>
      </c>
      <c r="Y776" s="5">
        <f>DURATION(N776,O776,M776,D776,AD776)</f>
        <v>2.7698391425503459</v>
      </c>
      <c r="Z776" s="5">
        <f>Y776/(1+C776)</f>
        <v>2.6612978636823166</v>
      </c>
      <c r="AA776" s="5">
        <f>-Z776*F776</f>
        <v>-3042.6618475479922</v>
      </c>
      <c r="AB776" t="s">
        <v>64</v>
      </c>
      <c r="AC776" t="s">
        <v>62</v>
      </c>
      <c r="AD776">
        <f>_xlfn.SWITCH(PROPER(TRIM(S776)),
   "Annual",1,
   "Semi-Annual",2,
   "Quarterly",4,
   "Monthly",12,
   "")</f>
        <v>1</v>
      </c>
    </row>
    <row r="777" spans="1:30" x14ac:dyDescent="0.35">
      <c r="A777" t="s">
        <v>1375</v>
      </c>
      <c r="B777" t="s">
        <v>417</v>
      </c>
      <c r="C777" s="36">
        <f>RATE(U777,V777,-F777,H777)</f>
        <v>0.10430557557981329</v>
      </c>
      <c r="D777" s="3">
        <f>C777*AD777</f>
        <v>0.10430557557981329</v>
      </c>
      <c r="F777">
        <v>10200</v>
      </c>
      <c r="G777" t="s">
        <v>76</v>
      </c>
      <c r="H777">
        <v>10000</v>
      </c>
      <c r="I777" s="22"/>
      <c r="J777">
        <v>100</v>
      </c>
      <c r="K777" s="22"/>
      <c r="L777">
        <v>9.5138164406280907</v>
      </c>
      <c r="M777" s="22">
        <v>0.107</v>
      </c>
      <c r="N777" s="21">
        <v>40967</v>
      </c>
      <c r="O777" s="21">
        <v>46446</v>
      </c>
      <c r="P777">
        <f>ROUND(YEARFRAC(N777,O777),0)</f>
        <v>15</v>
      </c>
      <c r="Q777" s="6">
        <f>(M777*H777)/F777</f>
        <v>0.10490196078431373</v>
      </c>
      <c r="R777" s="5">
        <f>IF(S777="Quarterly",4,IF(S777="Semi-annual",2,IF(S777="Annual",1,IF(S777="Pays at maturity",0,IF(S777="Monthly",12,0)))))</f>
        <v>1</v>
      </c>
      <c r="S777" t="s">
        <v>93</v>
      </c>
      <c r="U777">
        <f>R777*P777</f>
        <v>15</v>
      </c>
      <c r="V777">
        <f>(H777*M777)/AD777</f>
        <v>1070</v>
      </c>
      <c r="W777" s="28">
        <f>RATE(U777,V777,-F777,H777)</f>
        <v>0.10430557557981329</v>
      </c>
      <c r="X777" s="27">
        <f>W777*AD777</f>
        <v>0.10430557557981329</v>
      </c>
      <c r="Y777" s="5">
        <f>DURATION(N777,O777,M777,D777,AD777)</f>
        <v>7.3890801207586554</v>
      </c>
      <c r="Z777" s="5">
        <f>Y777/(1+C777)</f>
        <v>6.6911553143965925</v>
      </c>
      <c r="AA777" s="5">
        <f>-Z777*F777</f>
        <v>-68249.784206845245</v>
      </c>
      <c r="AB777" t="s">
        <v>69</v>
      </c>
      <c r="AC777" t="s">
        <v>62</v>
      </c>
      <c r="AD777">
        <f>_xlfn.SWITCH(PROPER(TRIM(S777)),
   "Annual",1,
   "Semi-Annual",2,
   "Quarterly",4,
   "Monthly",12,
   "")</f>
        <v>1</v>
      </c>
    </row>
    <row r="778" spans="1:30" x14ac:dyDescent="0.35">
      <c r="C778" s="28"/>
      <c r="D778" s="27"/>
      <c r="I778" s="22"/>
      <c r="K778" s="22"/>
      <c r="M778" s="22"/>
      <c r="N778" s="21"/>
      <c r="O778" s="21"/>
      <c r="P778" s="5"/>
      <c r="Q778" s="6"/>
      <c r="R778" s="5"/>
      <c r="W778" s="28"/>
      <c r="Y778" s="33"/>
      <c r="Z778" s="33"/>
      <c r="AA778" s="33"/>
    </row>
    <row r="779" spans="1:30" x14ac:dyDescent="0.35">
      <c r="A779" t="s">
        <v>1373</v>
      </c>
      <c r="B779" t="s">
        <v>119</v>
      </c>
      <c r="C779" s="36">
        <f t="shared" ref="C779:C790" si="494">RATE(U779,V779,-F779,H779)</f>
        <v>9.5800000000000024E-2</v>
      </c>
      <c r="D779" s="3">
        <f t="shared" ref="D779:D790" si="495">C779*AD779</f>
        <v>9.5800000000000024E-2</v>
      </c>
      <c r="F779">
        <v>1000</v>
      </c>
      <c r="G779" t="s">
        <v>76</v>
      </c>
      <c r="H779">
        <v>1000</v>
      </c>
      <c r="I779" s="22"/>
      <c r="J779">
        <v>1</v>
      </c>
      <c r="K779" s="22"/>
      <c r="L779">
        <v>9.58</v>
      </c>
      <c r="M779" s="22">
        <v>9.5799999999999996E-2</v>
      </c>
      <c r="N779" s="21">
        <v>45352</v>
      </c>
      <c r="O779" s="21">
        <v>46447</v>
      </c>
      <c r="P779">
        <f t="shared" ref="P779:P790" si="496">ROUND(YEARFRAC(N779,O779),0)</f>
        <v>3</v>
      </c>
      <c r="Q779" s="6">
        <f t="shared" ref="Q779:Q790" si="497">(M779*H779)/F779</f>
        <v>9.5799999999999996E-2</v>
      </c>
      <c r="R779" s="5">
        <f t="shared" ref="R779:R790" si="498">IF(S779="Quarterly",4,IF(S779="Semi-annual",2,IF(S779="Annual",1,IF(S779="Pays at maturity",0,IF(S779="Monthly",12,0)))))</f>
        <v>1</v>
      </c>
      <c r="S779" t="s">
        <v>93</v>
      </c>
      <c r="U779">
        <f t="shared" ref="U779:U790" si="499">R779*P779</f>
        <v>3</v>
      </c>
      <c r="V779">
        <f t="shared" ref="V779:V790" si="500">(H779*M779)/AD779</f>
        <v>95.8</v>
      </c>
      <c r="W779" s="28">
        <f t="shared" ref="W779:W790" si="501">RATE(U779,V779,-F779,H779)</f>
        <v>9.5800000000000024E-2</v>
      </c>
      <c r="X779" s="27">
        <f t="shared" ref="X779:X790" si="502">W779*AD779</f>
        <v>9.5800000000000024E-2</v>
      </c>
      <c r="Y779" s="5">
        <f t="shared" ref="Y779:Y790" si="503">DURATION(N779,O779,M779,D779,AD779)</f>
        <v>2.7453689427461359</v>
      </c>
      <c r="Z779" s="5">
        <f t="shared" ref="Z779:Z790" si="504">Y779/(1+C779)</f>
        <v>2.5053558521136483</v>
      </c>
      <c r="AA779" s="5">
        <f t="shared" ref="AA779:AA790" si="505">-Z779*F779</f>
        <v>-2505.3558521136483</v>
      </c>
      <c r="AB779" t="s">
        <v>64</v>
      </c>
      <c r="AC779" t="s">
        <v>62</v>
      </c>
      <c r="AD779">
        <f t="shared" ref="AD779:AD790" si="506">_xlfn.SWITCH(PROPER(TRIM(S779)),
   "Annual",1,
   "Semi-Annual",2,
   "Quarterly",4,
   "Monthly",12,
   "")</f>
        <v>1</v>
      </c>
    </row>
    <row r="780" spans="1:30" x14ac:dyDescent="0.35">
      <c r="A780" t="s">
        <v>1372</v>
      </c>
      <c r="B780" t="s">
        <v>119</v>
      </c>
      <c r="C780" s="36">
        <f t="shared" si="494"/>
        <v>0.10396828514857109</v>
      </c>
      <c r="D780" s="3">
        <f t="shared" si="495"/>
        <v>0.10396828514857109</v>
      </c>
      <c r="F780">
        <v>990.2</v>
      </c>
      <c r="G780" t="s">
        <v>76</v>
      </c>
      <c r="H780">
        <v>1000</v>
      </c>
      <c r="I780" s="22"/>
      <c r="J780">
        <v>5</v>
      </c>
      <c r="K780" s="22"/>
      <c r="L780">
        <v>10.688268687295301</v>
      </c>
      <c r="M780" s="22">
        <v>0.1</v>
      </c>
      <c r="N780" s="21">
        <v>45352</v>
      </c>
      <c r="O780" s="21">
        <v>46447</v>
      </c>
      <c r="P780">
        <f t="shared" si="496"/>
        <v>3</v>
      </c>
      <c r="Q780" s="6">
        <f t="shared" si="497"/>
        <v>0.10098969905069682</v>
      </c>
      <c r="R780" s="5">
        <f t="shared" si="498"/>
        <v>1</v>
      </c>
      <c r="S780" t="s">
        <v>93</v>
      </c>
      <c r="U780">
        <f t="shared" si="499"/>
        <v>3</v>
      </c>
      <c r="V780">
        <f t="shared" si="500"/>
        <v>100</v>
      </c>
      <c r="W780" s="28">
        <f t="shared" si="501"/>
        <v>0.10396828514857109</v>
      </c>
      <c r="X780" s="27">
        <f t="shared" si="502"/>
        <v>0.10396828514857109</v>
      </c>
      <c r="Y780" s="5">
        <f t="shared" si="503"/>
        <v>2.7341787742853323</v>
      </c>
      <c r="Z780" s="5">
        <f t="shared" si="504"/>
        <v>2.4766823567919518</v>
      </c>
      <c r="AA780" s="5">
        <f t="shared" si="505"/>
        <v>-2452.4108696953908</v>
      </c>
      <c r="AB780" t="s">
        <v>64</v>
      </c>
      <c r="AC780" t="s">
        <v>62</v>
      </c>
      <c r="AD780">
        <f t="shared" si="506"/>
        <v>1</v>
      </c>
    </row>
    <row r="781" spans="1:30" x14ac:dyDescent="0.35">
      <c r="A781" t="s">
        <v>1371</v>
      </c>
      <c r="B781" t="s">
        <v>1370</v>
      </c>
      <c r="C781" s="36">
        <f t="shared" si="494"/>
        <v>2.9706309528011288E-2</v>
      </c>
      <c r="D781" s="3">
        <f t="shared" si="495"/>
        <v>5.9412619056022575E-2</v>
      </c>
      <c r="F781">
        <v>996.25</v>
      </c>
      <c r="G781" t="s">
        <v>66</v>
      </c>
      <c r="H781">
        <v>1000</v>
      </c>
      <c r="I781" s="22"/>
      <c r="J781">
        <v>200000</v>
      </c>
      <c r="K781" s="22"/>
      <c r="M781" s="22">
        <v>5.8749999999999997E-2</v>
      </c>
      <c r="N781" s="21">
        <v>43859</v>
      </c>
      <c r="O781" s="21">
        <v>46451</v>
      </c>
      <c r="P781">
        <f t="shared" si="496"/>
        <v>7</v>
      </c>
      <c r="Q781" s="6">
        <f t="shared" si="497"/>
        <v>5.8971141781681308E-2</v>
      </c>
      <c r="R781" s="5">
        <f t="shared" si="498"/>
        <v>2</v>
      </c>
      <c r="S781" t="s">
        <v>65</v>
      </c>
      <c r="U781">
        <f t="shared" si="499"/>
        <v>14</v>
      </c>
      <c r="V781">
        <f t="shared" si="500"/>
        <v>29.375</v>
      </c>
      <c r="W781" s="28">
        <f t="shared" si="501"/>
        <v>2.9706309528011288E-2</v>
      </c>
      <c r="X781" s="27">
        <f t="shared" si="502"/>
        <v>5.9412619056022575E-2</v>
      </c>
      <c r="Y781" s="5">
        <f t="shared" si="503"/>
        <v>5.7690369010226483</v>
      </c>
      <c r="Z781" s="5">
        <f t="shared" si="504"/>
        <v>5.6026042063071504</v>
      </c>
      <c r="AA781" s="5">
        <f t="shared" si="505"/>
        <v>-5581.5944405334985</v>
      </c>
      <c r="AB781" t="s">
        <v>69</v>
      </c>
      <c r="AC781" t="s">
        <v>62</v>
      </c>
      <c r="AD781">
        <f t="shared" si="506"/>
        <v>2</v>
      </c>
    </row>
    <row r="782" spans="1:30" x14ac:dyDescent="0.35">
      <c r="A782" t="s">
        <v>1369</v>
      </c>
      <c r="B782" t="s">
        <v>923</v>
      </c>
      <c r="C782" s="36">
        <f t="shared" si="494"/>
        <v>0.11890849592923834</v>
      </c>
      <c r="D782" s="3">
        <f t="shared" si="495"/>
        <v>0.11890849592923834</v>
      </c>
      <c r="F782">
        <v>99000</v>
      </c>
      <c r="G782" t="s">
        <v>76</v>
      </c>
      <c r="H782">
        <v>100000</v>
      </c>
      <c r="I782" s="22"/>
      <c r="J782">
        <v>2</v>
      </c>
      <c r="K782" s="22"/>
      <c r="L782">
        <v>12.0369232869232</v>
      </c>
      <c r="M782" s="22">
        <v>0.113</v>
      </c>
      <c r="N782" s="21">
        <v>45722</v>
      </c>
      <c r="O782" s="21">
        <v>46452</v>
      </c>
      <c r="P782">
        <f t="shared" si="496"/>
        <v>2</v>
      </c>
      <c r="Q782" s="6">
        <f t="shared" si="497"/>
        <v>0.11414141414141414</v>
      </c>
      <c r="R782" s="5">
        <f t="shared" si="498"/>
        <v>1</v>
      </c>
      <c r="S782" t="s">
        <v>93</v>
      </c>
      <c r="U782">
        <f t="shared" si="499"/>
        <v>2</v>
      </c>
      <c r="V782">
        <f t="shared" si="500"/>
        <v>11300</v>
      </c>
      <c r="W782" s="28">
        <f t="shared" si="501"/>
        <v>0.11890849592923834</v>
      </c>
      <c r="X782" s="27">
        <f t="shared" si="502"/>
        <v>0.11890849592923834</v>
      </c>
      <c r="Y782" s="5">
        <f t="shared" si="503"/>
        <v>1.8979886071500234</v>
      </c>
      <c r="Z782" s="5">
        <f t="shared" si="504"/>
        <v>1.6962858125174656</v>
      </c>
      <c r="AA782" s="5">
        <f t="shared" si="505"/>
        <v>-167932.29543922908</v>
      </c>
      <c r="AB782" t="s">
        <v>64</v>
      </c>
      <c r="AC782" t="s">
        <v>62</v>
      </c>
      <c r="AD782">
        <f t="shared" si="506"/>
        <v>1</v>
      </c>
    </row>
    <row r="783" spans="1:30" x14ac:dyDescent="0.35">
      <c r="A783" t="s">
        <v>1368</v>
      </c>
      <c r="B783" t="s">
        <v>353</v>
      </c>
      <c r="C783" s="36">
        <f t="shared" si="494"/>
        <v>0.11000000000000014</v>
      </c>
      <c r="D783" s="3">
        <f t="shared" si="495"/>
        <v>0.11000000000000014</v>
      </c>
      <c r="F783">
        <v>1000</v>
      </c>
      <c r="G783" t="s">
        <v>76</v>
      </c>
      <c r="H783">
        <v>1000</v>
      </c>
      <c r="I783" s="22"/>
      <c r="J783">
        <v>300</v>
      </c>
      <c r="K783" s="22"/>
      <c r="L783">
        <v>11</v>
      </c>
      <c r="M783" s="22">
        <v>0.11</v>
      </c>
      <c r="N783" s="21">
        <v>45362</v>
      </c>
      <c r="O783" s="21">
        <v>46456</v>
      </c>
      <c r="P783">
        <f t="shared" si="496"/>
        <v>3</v>
      </c>
      <c r="Q783" s="6">
        <f t="shared" si="497"/>
        <v>0.11</v>
      </c>
      <c r="R783" s="5">
        <f t="shared" si="498"/>
        <v>1</v>
      </c>
      <c r="S783" t="s">
        <v>93</v>
      </c>
      <c r="U783">
        <f t="shared" si="499"/>
        <v>3</v>
      </c>
      <c r="V783">
        <f t="shared" si="500"/>
        <v>110</v>
      </c>
      <c r="W783" s="28">
        <f t="shared" si="501"/>
        <v>0.11000000000000014</v>
      </c>
      <c r="X783" s="27">
        <f t="shared" si="502"/>
        <v>0.11000000000000014</v>
      </c>
      <c r="Y783" s="5">
        <f t="shared" si="503"/>
        <v>2.7097455563671784</v>
      </c>
      <c r="Z783" s="5">
        <f t="shared" si="504"/>
        <v>2.441212212943404</v>
      </c>
      <c r="AA783" s="5">
        <f t="shared" si="505"/>
        <v>-2441.2122129434038</v>
      </c>
      <c r="AB783" t="s">
        <v>64</v>
      </c>
      <c r="AC783" t="s">
        <v>62</v>
      </c>
      <c r="AD783">
        <f t="shared" si="506"/>
        <v>1</v>
      </c>
    </row>
    <row r="784" spans="1:30" x14ac:dyDescent="0.35">
      <c r="A784" t="s">
        <v>1367</v>
      </c>
      <c r="B784" t="s">
        <v>1103</v>
      </c>
      <c r="C784" s="36">
        <f t="shared" si="494"/>
        <v>2.468624803960608E-2</v>
      </c>
      <c r="D784" s="3">
        <f t="shared" si="495"/>
        <v>4.9372496079212159E-2</v>
      </c>
      <c r="F784">
        <v>100173</v>
      </c>
      <c r="G784" t="s">
        <v>76</v>
      </c>
      <c r="H784">
        <v>100000</v>
      </c>
      <c r="I784" s="22"/>
      <c r="J784">
        <v>1</v>
      </c>
      <c r="K784" s="22"/>
      <c r="M784" s="22">
        <v>0.05</v>
      </c>
      <c r="N784" s="21">
        <v>45364</v>
      </c>
      <c r="O784" s="21">
        <v>46458</v>
      </c>
      <c r="P784">
        <f t="shared" si="496"/>
        <v>3</v>
      </c>
      <c r="Q784" s="6">
        <f t="shared" si="497"/>
        <v>4.9913649386561246E-2</v>
      </c>
      <c r="R784" s="5">
        <f t="shared" si="498"/>
        <v>2</v>
      </c>
      <c r="S784" t="s">
        <v>65</v>
      </c>
      <c r="U784">
        <f t="shared" si="499"/>
        <v>6</v>
      </c>
      <c r="V784">
        <f t="shared" si="500"/>
        <v>2500</v>
      </c>
      <c r="W784" s="28">
        <f t="shared" si="501"/>
        <v>2.468624803960608E-2</v>
      </c>
      <c r="X784" s="27">
        <f t="shared" si="502"/>
        <v>4.9372496079212159E-2</v>
      </c>
      <c r="Y784" s="5">
        <f t="shared" si="503"/>
        <v>2.8203180215149661</v>
      </c>
      <c r="Z784" s="5">
        <f t="shared" si="504"/>
        <v>2.7523722767927254</v>
      </c>
      <c r="AA784" s="5">
        <f t="shared" si="505"/>
        <v>-275713.38808315771</v>
      </c>
      <c r="AB784" t="s">
        <v>64</v>
      </c>
      <c r="AC784" t="s">
        <v>62</v>
      </c>
      <c r="AD784">
        <f t="shared" si="506"/>
        <v>2</v>
      </c>
    </row>
    <row r="785" spans="1:30" x14ac:dyDescent="0.35">
      <c r="A785" t="s">
        <v>1366</v>
      </c>
      <c r="B785" t="s">
        <v>882</v>
      </c>
      <c r="C785" s="36">
        <f t="shared" si="494"/>
        <v>9.2074200868984421E-2</v>
      </c>
      <c r="D785" s="3">
        <f t="shared" si="495"/>
        <v>9.2074200868984421E-2</v>
      </c>
      <c r="F785">
        <v>1050</v>
      </c>
      <c r="G785" t="s">
        <v>76</v>
      </c>
      <c r="H785">
        <v>1000</v>
      </c>
      <c r="I785" s="22"/>
      <c r="J785">
        <v>35</v>
      </c>
      <c r="K785" s="22"/>
      <c r="L785">
        <v>7.7937240134933701</v>
      </c>
      <c r="M785" s="22">
        <v>0.1119</v>
      </c>
      <c r="N785" s="21">
        <v>45364</v>
      </c>
      <c r="O785" s="21">
        <v>46459</v>
      </c>
      <c r="P785">
        <f t="shared" si="496"/>
        <v>3</v>
      </c>
      <c r="Q785" s="6">
        <f t="shared" si="497"/>
        <v>0.10657142857142858</v>
      </c>
      <c r="R785" s="5">
        <f t="shared" si="498"/>
        <v>1</v>
      </c>
      <c r="S785" t="s">
        <v>93</v>
      </c>
      <c r="U785">
        <f t="shared" si="499"/>
        <v>3</v>
      </c>
      <c r="V785">
        <f t="shared" si="500"/>
        <v>111.9</v>
      </c>
      <c r="W785" s="28">
        <f t="shared" si="501"/>
        <v>9.2074200868984421E-2</v>
      </c>
      <c r="X785" s="27">
        <f t="shared" si="502"/>
        <v>9.2074200868984421E-2</v>
      </c>
      <c r="Y785" s="5">
        <f t="shared" si="503"/>
        <v>2.715468867166372</v>
      </c>
      <c r="Z785" s="5">
        <f t="shared" si="504"/>
        <v>2.4865241436942851</v>
      </c>
      <c r="AA785" s="5">
        <f t="shared" si="505"/>
        <v>-2610.8503508789995</v>
      </c>
      <c r="AB785" t="s">
        <v>64</v>
      </c>
      <c r="AC785" t="s">
        <v>62</v>
      </c>
      <c r="AD785">
        <f t="shared" si="506"/>
        <v>1</v>
      </c>
    </row>
    <row r="786" spans="1:30" x14ac:dyDescent="0.35">
      <c r="A786" t="s">
        <v>1365</v>
      </c>
      <c r="B786" t="s">
        <v>882</v>
      </c>
      <c r="C786" s="36">
        <f t="shared" si="494"/>
        <v>9.6508858266547204E-2</v>
      </c>
      <c r="D786" s="3">
        <f t="shared" si="495"/>
        <v>9.6508858266547204E-2</v>
      </c>
      <c r="F786">
        <v>1025</v>
      </c>
      <c r="G786" t="s">
        <v>76</v>
      </c>
      <c r="H786">
        <v>1000</v>
      </c>
      <c r="I786" s="22"/>
      <c r="J786">
        <v>118</v>
      </c>
      <c r="K786" s="22"/>
      <c r="L786">
        <v>8.9040270369314705</v>
      </c>
      <c r="M786" s="22">
        <v>0.1065</v>
      </c>
      <c r="N786" s="21">
        <v>45364</v>
      </c>
      <c r="O786" s="21">
        <v>46459</v>
      </c>
      <c r="P786">
        <f t="shared" si="496"/>
        <v>3</v>
      </c>
      <c r="Q786" s="6">
        <f t="shared" si="497"/>
        <v>0.10390243902439024</v>
      </c>
      <c r="R786" s="5">
        <f t="shared" si="498"/>
        <v>1</v>
      </c>
      <c r="S786" t="s">
        <v>93</v>
      </c>
      <c r="U786">
        <f t="shared" si="499"/>
        <v>3</v>
      </c>
      <c r="V786">
        <f t="shared" si="500"/>
        <v>106.5</v>
      </c>
      <c r="W786" s="28">
        <f t="shared" si="501"/>
        <v>9.6508858266547204E-2</v>
      </c>
      <c r="X786" s="27">
        <f t="shared" si="502"/>
        <v>9.6508858266547204E-2</v>
      </c>
      <c r="Y786" s="5">
        <f t="shared" si="503"/>
        <v>2.7240675471268507</v>
      </c>
      <c r="Z786" s="5">
        <f t="shared" si="504"/>
        <v>2.4843096584128688</v>
      </c>
      <c r="AA786" s="5">
        <f t="shared" si="505"/>
        <v>-2546.4173998731903</v>
      </c>
      <c r="AB786" t="s">
        <v>64</v>
      </c>
      <c r="AC786" t="s">
        <v>62</v>
      </c>
      <c r="AD786">
        <f t="shared" si="506"/>
        <v>1</v>
      </c>
    </row>
    <row r="787" spans="1:30" x14ac:dyDescent="0.35">
      <c r="A787" t="s">
        <v>1364</v>
      </c>
      <c r="B787" t="s">
        <v>1363</v>
      </c>
      <c r="C787" s="36">
        <f t="shared" si="494"/>
        <v>0.12001535944471595</v>
      </c>
      <c r="D787" s="3">
        <f t="shared" si="495"/>
        <v>0.12001535944471595</v>
      </c>
      <c r="F787">
        <v>9957.49</v>
      </c>
      <c r="G787" t="s">
        <v>76</v>
      </c>
      <c r="H787">
        <v>10000</v>
      </c>
      <c r="I787" s="22"/>
      <c r="J787">
        <v>10</v>
      </c>
      <c r="K787" s="22"/>
      <c r="L787">
        <v>12.060737586785701</v>
      </c>
      <c r="M787" s="22">
        <v>0.11749999999999999</v>
      </c>
      <c r="N787" s="21">
        <v>45729</v>
      </c>
      <c r="O787" s="21">
        <v>46459</v>
      </c>
      <c r="P787">
        <f t="shared" si="496"/>
        <v>2</v>
      </c>
      <c r="Q787" s="6">
        <f t="shared" si="497"/>
        <v>0.11800162490748171</v>
      </c>
      <c r="R787" s="5">
        <f t="shared" si="498"/>
        <v>1</v>
      </c>
      <c r="S787" t="s">
        <v>93</v>
      </c>
      <c r="U787">
        <f t="shared" si="499"/>
        <v>2</v>
      </c>
      <c r="V787">
        <f t="shared" si="500"/>
        <v>1175</v>
      </c>
      <c r="W787" s="28">
        <f t="shared" si="501"/>
        <v>0.12001535944471595</v>
      </c>
      <c r="X787" s="27">
        <f t="shared" si="502"/>
        <v>0.12001535944471595</v>
      </c>
      <c r="Y787" s="5">
        <f t="shared" si="503"/>
        <v>1.8946428511784115</v>
      </c>
      <c r="Z787" s="5">
        <f t="shared" si="504"/>
        <v>1.6916222042863254</v>
      </c>
      <c r="AA787" s="5">
        <f t="shared" si="505"/>
        <v>-16844.311182959042</v>
      </c>
      <c r="AB787" t="s">
        <v>64</v>
      </c>
      <c r="AC787" t="s">
        <v>62</v>
      </c>
      <c r="AD787">
        <f t="shared" si="506"/>
        <v>1</v>
      </c>
    </row>
    <row r="788" spans="1:30" x14ac:dyDescent="0.35">
      <c r="A788" t="s">
        <v>1362</v>
      </c>
      <c r="B788" t="s">
        <v>714</v>
      </c>
      <c r="C788" s="36">
        <f t="shared" si="494"/>
        <v>9.1576693034972761E-2</v>
      </c>
      <c r="D788" s="3">
        <f t="shared" si="495"/>
        <v>9.1576693034972761E-2</v>
      </c>
      <c r="F788">
        <v>102000</v>
      </c>
      <c r="G788" t="s">
        <v>76</v>
      </c>
      <c r="H788">
        <v>100000</v>
      </c>
      <c r="I788" s="22"/>
      <c r="J788">
        <v>1</v>
      </c>
      <c r="K788" s="22"/>
      <c r="L788">
        <v>8.6521496117707404</v>
      </c>
      <c r="M788" s="22">
        <v>9.9499999999999991E-2</v>
      </c>
      <c r="N788" s="21">
        <v>45365</v>
      </c>
      <c r="O788" s="21">
        <v>46461</v>
      </c>
      <c r="P788">
        <f t="shared" si="496"/>
        <v>3</v>
      </c>
      <c r="Q788" s="6">
        <f t="shared" si="497"/>
        <v>9.7549019607843138E-2</v>
      </c>
      <c r="R788" s="5">
        <f t="shared" si="498"/>
        <v>1</v>
      </c>
      <c r="S788" t="s">
        <v>93</v>
      </c>
      <c r="U788">
        <f t="shared" si="499"/>
        <v>3</v>
      </c>
      <c r="V788">
        <f t="shared" si="500"/>
        <v>9950</v>
      </c>
      <c r="W788" s="28">
        <f t="shared" si="501"/>
        <v>9.1576693034972761E-2</v>
      </c>
      <c r="X788" s="27">
        <f t="shared" si="502"/>
        <v>9.1576693034972761E-2</v>
      </c>
      <c r="Y788" s="5">
        <f t="shared" si="503"/>
        <v>2.4987040806711307</v>
      </c>
      <c r="Z788" s="5">
        <f t="shared" si="504"/>
        <v>2.2890778967841841</v>
      </c>
      <c r="AA788" s="5">
        <f t="shared" si="505"/>
        <v>-233485.94547198678</v>
      </c>
      <c r="AB788" t="s">
        <v>64</v>
      </c>
      <c r="AC788" t="s">
        <v>62</v>
      </c>
      <c r="AD788">
        <f t="shared" si="506"/>
        <v>1</v>
      </c>
    </row>
    <row r="789" spans="1:30" x14ac:dyDescent="0.35">
      <c r="A789" t="s">
        <v>1361</v>
      </c>
      <c r="B789" t="s">
        <v>241</v>
      </c>
      <c r="C789" s="36">
        <f t="shared" si="494"/>
        <v>9.5118081350735698E-2</v>
      </c>
      <c r="D789" s="3">
        <f t="shared" si="495"/>
        <v>9.5118081350735698E-2</v>
      </c>
      <c r="F789">
        <v>995.06</v>
      </c>
      <c r="G789" t="s">
        <v>76</v>
      </c>
      <c r="H789">
        <v>1000</v>
      </c>
      <c r="I789" s="22"/>
      <c r="J789">
        <v>580</v>
      </c>
      <c r="K789" s="22"/>
      <c r="L789">
        <v>9.7389329092166896</v>
      </c>
      <c r="M789" s="22">
        <v>9.4E-2</v>
      </c>
      <c r="N789" s="21">
        <v>44270</v>
      </c>
      <c r="O789" s="21">
        <v>46461</v>
      </c>
      <c r="P789">
        <f t="shared" si="496"/>
        <v>6</v>
      </c>
      <c r="Q789" s="6">
        <f t="shared" si="497"/>
        <v>9.4466665326713967E-2</v>
      </c>
      <c r="R789" s="5">
        <f t="shared" si="498"/>
        <v>1</v>
      </c>
      <c r="S789" t="s">
        <v>93</v>
      </c>
      <c r="U789">
        <f t="shared" si="499"/>
        <v>6</v>
      </c>
      <c r="V789">
        <f t="shared" si="500"/>
        <v>94</v>
      </c>
      <c r="W789" s="28">
        <f t="shared" si="501"/>
        <v>9.5118081350735698E-2</v>
      </c>
      <c r="X789" s="27">
        <f t="shared" si="502"/>
        <v>9.5118081350735698E-2</v>
      </c>
      <c r="Y789" s="5">
        <f t="shared" si="503"/>
        <v>4.84649601840818</v>
      </c>
      <c r="Z789" s="5">
        <f t="shared" si="504"/>
        <v>4.4255465241067302</v>
      </c>
      <c r="AA789" s="5">
        <f t="shared" si="505"/>
        <v>-4403.6843242776431</v>
      </c>
      <c r="AB789" t="s">
        <v>64</v>
      </c>
      <c r="AC789" t="s">
        <v>62</v>
      </c>
      <c r="AD789">
        <f t="shared" si="506"/>
        <v>1</v>
      </c>
    </row>
    <row r="790" spans="1:30" x14ac:dyDescent="0.35">
      <c r="A790" t="s">
        <v>1360</v>
      </c>
      <c r="B790" t="s">
        <v>283</v>
      </c>
      <c r="C790" s="36">
        <f t="shared" si="494"/>
        <v>2.1366348477352571E-2</v>
      </c>
      <c r="D790" s="3">
        <f t="shared" si="495"/>
        <v>8.5465393909410284E-2</v>
      </c>
      <c r="F790">
        <v>995556.62</v>
      </c>
      <c r="G790" t="s">
        <v>76</v>
      </c>
      <c r="H790">
        <v>1000000</v>
      </c>
      <c r="I790" s="22"/>
      <c r="J790">
        <v>1</v>
      </c>
      <c r="K790" s="22"/>
      <c r="M790" s="22">
        <v>8.48E-2</v>
      </c>
      <c r="N790" s="21">
        <v>42821</v>
      </c>
      <c r="O790" s="21">
        <v>46461</v>
      </c>
      <c r="P790">
        <f t="shared" si="496"/>
        <v>10</v>
      </c>
      <c r="Q790" s="6">
        <f t="shared" si="497"/>
        <v>8.5178480356044445E-2</v>
      </c>
      <c r="R790" s="5">
        <f t="shared" si="498"/>
        <v>4</v>
      </c>
      <c r="S790" t="s">
        <v>105</v>
      </c>
      <c r="U790">
        <f t="shared" si="499"/>
        <v>40</v>
      </c>
      <c r="V790">
        <f t="shared" si="500"/>
        <v>21200</v>
      </c>
      <c r="W790" s="28">
        <f t="shared" si="501"/>
        <v>2.1366348477352571E-2</v>
      </c>
      <c r="X790" s="27">
        <f t="shared" si="502"/>
        <v>8.5465393909410284E-2</v>
      </c>
      <c r="Y790" s="5">
        <f t="shared" si="503"/>
        <v>6.7978399501042253</v>
      </c>
      <c r="Z790" s="5">
        <f t="shared" si="504"/>
        <v>6.6556333682213129</v>
      </c>
      <c r="AA790" s="5">
        <f t="shared" si="505"/>
        <v>-6626059.8600256257</v>
      </c>
      <c r="AB790" t="s">
        <v>64</v>
      </c>
      <c r="AC790" t="s">
        <v>62</v>
      </c>
      <c r="AD790">
        <f t="shared" si="506"/>
        <v>4</v>
      </c>
    </row>
    <row r="791" spans="1:30" x14ac:dyDescent="0.35">
      <c r="C791" s="28"/>
      <c r="D791" s="27"/>
      <c r="I791" s="22"/>
      <c r="K791" s="22"/>
      <c r="M791" s="22"/>
      <c r="N791" s="21"/>
      <c r="O791" s="21"/>
      <c r="P791" s="5"/>
      <c r="Q791" s="6"/>
      <c r="R791" s="5"/>
      <c r="W791" s="28"/>
      <c r="Y791" s="33"/>
      <c r="Z791" s="33"/>
      <c r="AA791" s="33"/>
    </row>
    <row r="792" spans="1:30" x14ac:dyDescent="0.35">
      <c r="A792" t="s">
        <v>1358</v>
      </c>
      <c r="B792" t="s">
        <v>460</v>
      </c>
      <c r="C792" s="36">
        <f>RATE(U792,V792,-F792,H792)</f>
        <v>0.10000000000000002</v>
      </c>
      <c r="D792" s="3">
        <f>C792*AD792</f>
        <v>0.10000000000000002</v>
      </c>
      <c r="F792">
        <v>1000</v>
      </c>
      <c r="G792" t="s">
        <v>76</v>
      </c>
      <c r="H792">
        <v>1000</v>
      </c>
      <c r="I792" s="22"/>
      <c r="J792">
        <v>200</v>
      </c>
      <c r="K792" s="22"/>
      <c r="L792">
        <v>10</v>
      </c>
      <c r="M792" s="22">
        <v>0.1</v>
      </c>
      <c r="N792" s="21">
        <v>44455</v>
      </c>
      <c r="O792" s="21">
        <v>46461</v>
      </c>
      <c r="P792">
        <f>ROUND(YEARFRAC(N792,O792),0)</f>
        <v>5</v>
      </c>
      <c r="Q792" s="6">
        <f>(M792*H792)/F792</f>
        <v>0.1</v>
      </c>
      <c r="R792" s="5">
        <f>IF(S792="Quarterly",4,IF(S792="Semi-annual",2,IF(S792="Annual",1,IF(S792="Pays at maturity",0,IF(S792="Monthly",12,0)))))</f>
        <v>1</v>
      </c>
      <c r="S792" t="s">
        <v>93</v>
      </c>
      <c r="U792">
        <f>R792*P792</f>
        <v>5</v>
      </c>
      <c r="V792">
        <f>(H792*M792)/AD792</f>
        <v>100</v>
      </c>
      <c r="W792" s="28">
        <f>RATE(U792,V792,-F792,H792)</f>
        <v>0.10000000000000002</v>
      </c>
      <c r="X792" s="27">
        <f>W792*AD792</f>
        <v>0.10000000000000002</v>
      </c>
      <c r="Y792" s="5">
        <f>DURATION(N792,O792,M792,D792,AD792)</f>
        <v>4.2880089916306696</v>
      </c>
      <c r="Z792" s="5">
        <f>Y792/(1+C792)</f>
        <v>3.8981899923915173</v>
      </c>
      <c r="AA792" s="5">
        <f>-Z792*F792</f>
        <v>-3898.1899923915175</v>
      </c>
      <c r="AB792" t="s">
        <v>64</v>
      </c>
      <c r="AC792" t="s">
        <v>62</v>
      </c>
      <c r="AD792">
        <f>_xlfn.SWITCH(PROPER(TRIM(S792)),
   "Annual",1,
   "Semi-Annual",2,
   "Quarterly",4,
   "Monthly",12,
   "")</f>
        <v>1</v>
      </c>
    </row>
    <row r="793" spans="1:30" x14ac:dyDescent="0.35">
      <c r="A793" t="s">
        <v>1357</v>
      </c>
      <c r="B793" t="s">
        <v>1356</v>
      </c>
      <c r="C793" s="36">
        <f>RATE(U793,V793,-F793,H793)</f>
        <v>4.8265323787541246E-2</v>
      </c>
      <c r="D793" s="3">
        <f>C793*AD793</f>
        <v>9.6530647575082493E-2</v>
      </c>
      <c r="F793">
        <v>100439.58</v>
      </c>
      <c r="G793" t="s">
        <v>76</v>
      </c>
      <c r="H793">
        <v>100000</v>
      </c>
      <c r="I793" s="22"/>
      <c r="J793">
        <v>1</v>
      </c>
      <c r="K793" s="22"/>
      <c r="M793" s="22">
        <v>9.9000000000000005E-2</v>
      </c>
      <c r="N793" s="21">
        <v>45609</v>
      </c>
      <c r="O793" s="21">
        <v>46461</v>
      </c>
      <c r="P793">
        <f>ROUND(YEARFRAC(N793,O793),0)</f>
        <v>2</v>
      </c>
      <c r="Q793" s="6">
        <f>(M793*H793)/F793</f>
        <v>9.8566720410419875E-2</v>
      </c>
      <c r="R793" s="5">
        <f>IF(S793="Quarterly",4,IF(S793="Semi-annual",2,IF(S793="Annual",1,IF(S793="Pays at maturity",0,IF(S793="Monthly",12,0)))))</f>
        <v>2</v>
      </c>
      <c r="S793" t="s">
        <v>65</v>
      </c>
      <c r="U793">
        <f>R793*P793</f>
        <v>4</v>
      </c>
      <c r="V793">
        <f>(H793*M793)/AD793</f>
        <v>4950</v>
      </c>
      <c r="W793" s="28">
        <f>RATE(U793,V793,-F793,H793)</f>
        <v>4.8265323787541246E-2</v>
      </c>
      <c r="X793" s="27">
        <f>W793*AD793</f>
        <v>9.6530647575082493E-2</v>
      </c>
      <c r="Y793" s="5">
        <f>DURATION(N793,O793,M793,D793,AD793)</f>
        <v>2.1146121846312464</v>
      </c>
      <c r="Z793" s="5">
        <f>Y793/(1+C793)</f>
        <v>2.0172490080954244</v>
      </c>
      <c r="AA793" s="5">
        <f>-Z793*F793</f>
        <v>-202611.64312852104</v>
      </c>
      <c r="AB793" t="s">
        <v>64</v>
      </c>
      <c r="AC793" t="s">
        <v>62</v>
      </c>
      <c r="AD793">
        <f>_xlfn.SWITCH(PROPER(TRIM(S793)),
   "Annual",1,
   "Semi-Annual",2,
   "Quarterly",4,
   "Monthly",12,
   "")</f>
        <v>2</v>
      </c>
    </row>
    <row r="794" spans="1:30" x14ac:dyDescent="0.35">
      <c r="A794" t="s">
        <v>1355</v>
      </c>
      <c r="B794" t="s">
        <v>241</v>
      </c>
      <c r="C794" s="36">
        <f>RATE(U794,V794,-F794,H794)</f>
        <v>9.337753982014059E-2</v>
      </c>
      <c r="D794" s="3">
        <f>C794*AD794</f>
        <v>9.337753982014059E-2</v>
      </c>
      <c r="F794">
        <v>985</v>
      </c>
      <c r="G794" t="s">
        <v>76</v>
      </c>
      <c r="H794">
        <v>1000</v>
      </c>
      <c r="I794" s="22"/>
      <c r="J794">
        <v>200</v>
      </c>
      <c r="K794" s="22"/>
      <c r="L794">
        <v>10.000157644165499</v>
      </c>
      <c r="M794" s="22">
        <v>0.09</v>
      </c>
      <c r="N794" s="21">
        <v>44270</v>
      </c>
      <c r="O794" s="21">
        <v>46461</v>
      </c>
      <c r="P794">
        <f>ROUND(YEARFRAC(N794,O794),0)</f>
        <v>6</v>
      </c>
      <c r="Q794" s="6">
        <f>(M794*H794)/F794</f>
        <v>9.1370558375634514E-2</v>
      </c>
      <c r="R794" s="5">
        <f>IF(S794="Quarterly",4,IF(S794="Semi-annual",2,IF(S794="Annual",1,IF(S794="Pays at maturity",0,IF(S794="Monthly",12,0)))))</f>
        <v>1</v>
      </c>
      <c r="S794" t="s">
        <v>93</v>
      </c>
      <c r="U794">
        <f>R794*P794</f>
        <v>6</v>
      </c>
      <c r="V794">
        <f>(H794*M794)/AD794</f>
        <v>90</v>
      </c>
      <c r="W794" s="28">
        <f>RATE(U794,V794,-F794,H794)</f>
        <v>9.337753982014059E-2</v>
      </c>
      <c r="X794" s="27">
        <f>W794*AD794</f>
        <v>9.337753982014059E-2</v>
      </c>
      <c r="Y794" s="5">
        <f>DURATION(N794,O794,M794,D794,AD794)</f>
        <v>4.8803940286307039</v>
      </c>
      <c r="Z794" s="5">
        <f>Y794/(1+C794)</f>
        <v>4.4635945507290407</v>
      </c>
      <c r="AA794" s="5">
        <f>-Z794*F794</f>
        <v>-4396.6406324681047</v>
      </c>
      <c r="AB794" t="s">
        <v>64</v>
      </c>
      <c r="AC794" t="s">
        <v>62</v>
      </c>
      <c r="AD794">
        <f>_xlfn.SWITCH(PROPER(TRIM(S794)),
   "Annual",1,
   "Semi-Annual",2,
   "Quarterly",4,
   "Monthly",12,
   "")</f>
        <v>1</v>
      </c>
    </row>
    <row r="795" spans="1:30" x14ac:dyDescent="0.35">
      <c r="A795" t="s">
        <v>1354</v>
      </c>
      <c r="B795" t="s">
        <v>326</v>
      </c>
      <c r="C795" s="36">
        <f>RATE(U795,V795,-F795,H795)</f>
        <v>0.11135747431996572</v>
      </c>
      <c r="D795" s="3">
        <f>C795*AD795</f>
        <v>0.11135747431996572</v>
      </c>
      <c r="F795">
        <v>995</v>
      </c>
      <c r="G795" t="s">
        <v>76</v>
      </c>
      <c r="H795">
        <v>1000</v>
      </c>
      <c r="I795" s="22"/>
      <c r="J795">
        <v>24</v>
      </c>
      <c r="K795" s="22"/>
      <c r="L795">
        <v>11.3594506529329</v>
      </c>
      <c r="M795" s="22">
        <v>0.11</v>
      </c>
      <c r="N795" s="21">
        <v>44637</v>
      </c>
      <c r="O795" s="21">
        <v>46462</v>
      </c>
      <c r="P795">
        <f>ROUND(YEARFRAC(N795,O795),0)</f>
        <v>5</v>
      </c>
      <c r="Q795" s="6">
        <f>(M795*H795)/F795</f>
        <v>0.11055276381909548</v>
      </c>
      <c r="R795" s="5">
        <f>IF(S795="Quarterly",4,IF(S795="Semi-annual",2,IF(S795="Annual",1,IF(S795="Pays at maturity",0,IF(S795="Monthly",12,0)))))</f>
        <v>1</v>
      </c>
      <c r="S795" t="s">
        <v>93</v>
      </c>
      <c r="U795">
        <f>R795*P795</f>
        <v>5</v>
      </c>
      <c r="V795">
        <f>(H795*M795)/AD795</f>
        <v>110</v>
      </c>
      <c r="W795" s="28">
        <f>RATE(U795,V795,-F795,H795)</f>
        <v>0.11135747431996572</v>
      </c>
      <c r="X795" s="27">
        <f>W795*AD795</f>
        <v>0.11135747431996572</v>
      </c>
      <c r="Y795" s="5">
        <f>DURATION(N795,O795,M795,D795,AD795)</f>
        <v>4.0972482404020338</v>
      </c>
      <c r="Z795" s="5">
        <f>Y795/(1+C795)</f>
        <v>3.686705974519243</v>
      </c>
      <c r="AA795" s="5">
        <f>-Z795*F795</f>
        <v>-3668.2724446466468</v>
      </c>
      <c r="AB795" t="s">
        <v>64</v>
      </c>
      <c r="AC795" t="s">
        <v>62</v>
      </c>
      <c r="AD795">
        <f>_xlfn.SWITCH(PROPER(TRIM(S795)),
   "Annual",1,
   "Semi-Annual",2,
   "Quarterly",4,
   "Monthly",12,
   "")</f>
        <v>1</v>
      </c>
    </row>
    <row r="796" spans="1:30" x14ac:dyDescent="0.35">
      <c r="A796" t="s">
        <v>1353</v>
      </c>
      <c r="B796" t="s">
        <v>326</v>
      </c>
      <c r="C796" s="36">
        <f>RATE(U796,V796,-F796,H796)</f>
        <v>9.5717763300408237E-2</v>
      </c>
      <c r="D796" s="3">
        <f>C796*AD796</f>
        <v>9.5717763300408237E-2</v>
      </c>
      <c r="F796">
        <v>1064.32</v>
      </c>
      <c r="G796" t="s">
        <v>76</v>
      </c>
      <c r="H796">
        <v>1000</v>
      </c>
      <c r="I796" s="22"/>
      <c r="J796">
        <v>40</v>
      </c>
      <c r="K796" s="22"/>
      <c r="L796">
        <v>7.7054503674317303</v>
      </c>
      <c r="M796" s="22">
        <v>0.1125</v>
      </c>
      <c r="N796" s="21">
        <v>44637</v>
      </c>
      <c r="O796" s="21">
        <v>46462</v>
      </c>
      <c r="P796">
        <f>ROUND(YEARFRAC(N796,O796),0)</f>
        <v>5</v>
      </c>
      <c r="Q796" s="6">
        <f>(M796*H796)/F796</f>
        <v>0.10570129284425737</v>
      </c>
      <c r="R796" s="5">
        <f>IF(S796="Quarterly",4,IF(S796="Semi-annual",2,IF(S796="Annual",1,IF(S796="Pays at maturity",0,IF(S796="Monthly",12,0)))))</f>
        <v>1</v>
      </c>
      <c r="S796" t="s">
        <v>93</v>
      </c>
      <c r="U796">
        <f>R796*P796</f>
        <v>5</v>
      </c>
      <c r="V796">
        <f>(H796*M796)/AD796</f>
        <v>112.5</v>
      </c>
      <c r="W796" s="28">
        <f>RATE(U796,V796,-F796,H796)</f>
        <v>9.5717763300408237E-2</v>
      </c>
      <c r="X796" s="27">
        <f>W796*AD796</f>
        <v>9.5717763300408237E-2</v>
      </c>
      <c r="Y796" s="5">
        <f>DURATION(N796,O796,M796,D796,AD796)</f>
        <v>4.1131999555158059</v>
      </c>
      <c r="Z796" s="5">
        <f>Y796/(1+C796)</f>
        <v>3.7538863503740676</v>
      </c>
      <c r="AA796" s="5">
        <f>-Z796*F796</f>
        <v>-3995.3363204301272</v>
      </c>
      <c r="AB796" t="s">
        <v>64</v>
      </c>
      <c r="AC796" t="s">
        <v>62</v>
      </c>
      <c r="AD796">
        <f>_xlfn.SWITCH(PROPER(TRIM(S796)),
   "Annual",1,
   "Semi-Annual",2,
   "Quarterly",4,
   "Monthly",12,
   "")</f>
        <v>1</v>
      </c>
    </row>
    <row r="797" spans="1:30" x14ac:dyDescent="0.35">
      <c r="C797" s="28"/>
      <c r="D797" s="27"/>
      <c r="I797" s="22"/>
      <c r="K797" s="22"/>
      <c r="M797" s="22"/>
      <c r="N797" s="21"/>
      <c r="O797" s="21"/>
      <c r="P797" s="5"/>
      <c r="Q797" s="6"/>
      <c r="R797" s="5"/>
      <c r="W797" s="28"/>
      <c r="Y797" s="33"/>
      <c r="Z797" s="33"/>
      <c r="AA797" s="33"/>
    </row>
    <row r="798" spans="1:30" x14ac:dyDescent="0.35">
      <c r="A798" t="s">
        <v>1351</v>
      </c>
      <c r="B798" t="s">
        <v>465</v>
      </c>
      <c r="C798" s="36">
        <f>RATE(U798,V798,-F798,H798)</f>
        <v>0.12319530362217802</v>
      </c>
      <c r="D798" s="3">
        <f>C798*AD798</f>
        <v>0.12319530362217802</v>
      </c>
      <c r="F798">
        <v>98200</v>
      </c>
      <c r="G798" t="s">
        <v>76</v>
      </c>
      <c r="H798">
        <v>100000</v>
      </c>
      <c r="I798" s="22"/>
      <c r="J798">
        <v>1</v>
      </c>
      <c r="K798" s="22"/>
      <c r="L798">
        <v>12.558423954072801</v>
      </c>
      <c r="M798" s="22">
        <v>0.1125</v>
      </c>
      <c r="N798" s="21">
        <v>45825</v>
      </c>
      <c r="O798" s="21">
        <v>46463</v>
      </c>
      <c r="P798">
        <f>ROUND(YEARFRAC(N798,O798),0)</f>
        <v>2</v>
      </c>
      <c r="Q798" s="6">
        <f>(M798*H798)/F798</f>
        <v>0.11456211812627291</v>
      </c>
      <c r="R798" s="5">
        <f>IF(S798="Quarterly",4,IF(S798="Semi-annual",2,IF(S798="Annual",1,IF(S798="Pays at maturity",0,IF(S798="Monthly",12,0)))))</f>
        <v>1</v>
      </c>
      <c r="S798" t="s">
        <v>93</v>
      </c>
      <c r="U798">
        <f>R798*P798</f>
        <v>2</v>
      </c>
      <c r="V798">
        <f>(H798*M798)/AD798</f>
        <v>11250</v>
      </c>
      <c r="W798" s="28">
        <f>RATE(U798,V798,-F798,H798)</f>
        <v>0.12319530362217802</v>
      </c>
      <c r="X798" s="27">
        <f>W798*AD798</f>
        <v>0.12319530362217802</v>
      </c>
      <c r="Y798" s="5">
        <f>DURATION(N798,O798,M798,D798,AD798)</f>
        <v>1.648003385736369</v>
      </c>
      <c r="Z798" s="5">
        <f>Y798/(1+C798)</f>
        <v>1.4672456165207814</v>
      </c>
      <c r="AA798" s="5">
        <f>-Z798*F798</f>
        <v>-144083.51954234074</v>
      </c>
      <c r="AB798" t="s">
        <v>64</v>
      </c>
      <c r="AC798" t="s">
        <v>62</v>
      </c>
      <c r="AD798">
        <f>_xlfn.SWITCH(PROPER(TRIM(S798)),
   "Annual",1,
   "Semi-Annual",2,
   "Quarterly",4,
   "Monthly",12,
   "")</f>
        <v>1</v>
      </c>
    </row>
    <row r="799" spans="1:30" x14ac:dyDescent="0.35">
      <c r="C799" s="28"/>
      <c r="D799" s="27"/>
      <c r="I799" s="22"/>
      <c r="K799" s="22"/>
      <c r="M799" s="22"/>
      <c r="N799" s="21"/>
      <c r="O799" s="21"/>
      <c r="P799" s="5"/>
      <c r="Q799" s="6"/>
      <c r="R799" s="5"/>
      <c r="W799" s="28"/>
      <c r="Y799" s="33"/>
      <c r="Z799" s="33"/>
      <c r="AA799" s="33"/>
    </row>
    <row r="800" spans="1:30" x14ac:dyDescent="0.35">
      <c r="A800" t="s">
        <v>1349</v>
      </c>
      <c r="B800" t="s">
        <v>128</v>
      </c>
      <c r="C800" s="36">
        <f t="shared" ref="C800:C811" si="507">RATE(U800,V800,-F800,H800)</f>
        <v>0.10814999082137379</v>
      </c>
      <c r="D800" s="3">
        <f t="shared" ref="D800:D811" si="508">C800*AD800</f>
        <v>0.10814999082137379</v>
      </c>
      <c r="F800">
        <v>980</v>
      </c>
      <c r="G800" t="s">
        <v>76</v>
      </c>
      <c r="H800">
        <v>1000</v>
      </c>
      <c r="I800" s="22"/>
      <c r="J800">
        <v>20</v>
      </c>
      <c r="K800" s="22"/>
      <c r="L800">
        <v>10.989420308000501</v>
      </c>
      <c r="M800" s="22">
        <v>9.6500000000000002E-2</v>
      </c>
      <c r="N800" s="21">
        <v>45735</v>
      </c>
      <c r="O800" s="21">
        <v>46465</v>
      </c>
      <c r="P800">
        <f t="shared" ref="P800:P811" si="509">ROUND(YEARFRAC(N800,O800),0)</f>
        <v>2</v>
      </c>
      <c r="Q800" s="6">
        <f t="shared" ref="Q800:Q811" si="510">(M800*H800)/F800</f>
        <v>9.8469387755102042E-2</v>
      </c>
      <c r="R800" s="5">
        <f t="shared" ref="R800:R811" si="511">IF(S800="Quarterly",4,IF(S800="Semi-annual",2,IF(S800="Annual",1,IF(S800="Pays at maturity",0,IF(S800="Monthly",12,0)))))</f>
        <v>1</v>
      </c>
      <c r="S800" t="s">
        <v>93</v>
      </c>
      <c r="U800">
        <f t="shared" ref="U800:U811" si="512">R800*P800</f>
        <v>2</v>
      </c>
      <c r="V800">
        <f t="shared" ref="V800:V811" si="513">(H800*M800)/AD800</f>
        <v>96.5</v>
      </c>
      <c r="W800" s="28">
        <f t="shared" ref="W800:W811" si="514">RATE(U800,V800,-F800,H800)</f>
        <v>0.10814999082137379</v>
      </c>
      <c r="X800" s="27">
        <f t="shared" ref="X800:X811" si="515">W800*AD800</f>
        <v>0.10814999082137379</v>
      </c>
      <c r="Y800" s="5">
        <f t="shared" ref="Y800:Y811" si="516">DURATION(N800,O800,M800,D800,AD800)</f>
        <v>1.9111407403594209</v>
      </c>
      <c r="Z800" s="5">
        <f t="shared" ref="Z800:Z811" si="517">Y800/(1+C800)</f>
        <v>1.7246228003330675</v>
      </c>
      <c r="AA800" s="5">
        <f t="shared" ref="AA800:AA811" si="518">-Z800*F800</f>
        <v>-1690.1303443264062</v>
      </c>
      <c r="AB800" t="s">
        <v>64</v>
      </c>
      <c r="AC800" t="s">
        <v>62</v>
      </c>
      <c r="AD800">
        <f t="shared" ref="AD800:AD811" si="519">_xlfn.SWITCH(PROPER(TRIM(S800)),
   "Annual",1,
   "Semi-Annual",2,
   "Quarterly",4,
   "Monthly",12,
   "")</f>
        <v>1</v>
      </c>
    </row>
    <row r="801" spans="1:30" x14ac:dyDescent="0.35">
      <c r="A801" t="s">
        <v>1348</v>
      </c>
      <c r="B801" t="s">
        <v>128</v>
      </c>
      <c r="C801" s="36">
        <f t="shared" si="507"/>
        <v>0.14375928360646231</v>
      </c>
      <c r="D801" s="3">
        <f t="shared" si="508"/>
        <v>0.14375928360646231</v>
      </c>
      <c r="F801">
        <v>916</v>
      </c>
      <c r="G801" t="s">
        <v>76</v>
      </c>
      <c r="H801">
        <v>1000</v>
      </c>
      <c r="I801" s="22"/>
      <c r="J801">
        <v>8</v>
      </c>
      <c r="K801" s="22"/>
      <c r="L801">
        <v>15.5056225352907</v>
      </c>
      <c r="M801" s="22">
        <v>9.2499999999999999E-2</v>
      </c>
      <c r="N801" s="21">
        <v>45735</v>
      </c>
      <c r="O801" s="21">
        <v>46465</v>
      </c>
      <c r="P801">
        <f t="shared" si="509"/>
        <v>2</v>
      </c>
      <c r="Q801" s="6">
        <f t="shared" si="510"/>
        <v>0.1009825327510917</v>
      </c>
      <c r="R801" s="5">
        <f t="shared" si="511"/>
        <v>1</v>
      </c>
      <c r="S801" t="s">
        <v>93</v>
      </c>
      <c r="U801">
        <f t="shared" si="512"/>
        <v>2</v>
      </c>
      <c r="V801">
        <f t="shared" si="513"/>
        <v>92.5</v>
      </c>
      <c r="W801" s="28">
        <f t="shared" si="514"/>
        <v>0.14375928360646231</v>
      </c>
      <c r="X801" s="27">
        <f t="shared" si="515"/>
        <v>0.14375928360646231</v>
      </c>
      <c r="Y801" s="5">
        <f t="shared" si="516"/>
        <v>1.9117099776163655</v>
      </c>
      <c r="Z801" s="5">
        <f t="shared" si="517"/>
        <v>1.6714268509265582</v>
      </c>
      <c r="AA801" s="5">
        <f t="shared" si="518"/>
        <v>-1531.0269954487273</v>
      </c>
      <c r="AB801" t="s">
        <v>64</v>
      </c>
      <c r="AC801" t="s">
        <v>62</v>
      </c>
      <c r="AD801">
        <f t="shared" si="519"/>
        <v>1</v>
      </c>
    </row>
    <row r="802" spans="1:30" x14ac:dyDescent="0.35">
      <c r="A802" t="s">
        <v>1347</v>
      </c>
      <c r="B802" t="s">
        <v>1270</v>
      </c>
      <c r="C802" s="36">
        <f t="shared" si="507"/>
        <v>0.10404984922010593</v>
      </c>
      <c r="D802" s="3">
        <f t="shared" si="508"/>
        <v>0.10404984922010593</v>
      </c>
      <c r="F802">
        <v>99000</v>
      </c>
      <c r="G802" t="s">
        <v>76</v>
      </c>
      <c r="H802">
        <v>100000</v>
      </c>
      <c r="I802" s="22"/>
      <c r="J802">
        <v>1</v>
      </c>
      <c r="K802" s="22"/>
      <c r="L802">
        <v>10.631494804156601</v>
      </c>
      <c r="M802" s="22">
        <v>0.1</v>
      </c>
      <c r="N802" s="21">
        <v>45370</v>
      </c>
      <c r="O802" s="21">
        <v>46465</v>
      </c>
      <c r="P802">
        <f t="shared" si="509"/>
        <v>3</v>
      </c>
      <c r="Q802" s="6">
        <f t="shared" si="510"/>
        <v>0.10101010101010101</v>
      </c>
      <c r="R802" s="5">
        <f t="shared" si="511"/>
        <v>1</v>
      </c>
      <c r="S802" t="s">
        <v>93</v>
      </c>
      <c r="U802">
        <f t="shared" si="512"/>
        <v>3</v>
      </c>
      <c r="V802">
        <f t="shared" si="513"/>
        <v>10000</v>
      </c>
      <c r="W802" s="28">
        <f t="shared" si="514"/>
        <v>0.10404984922010593</v>
      </c>
      <c r="X802" s="27">
        <f t="shared" si="515"/>
        <v>0.10404984922010593</v>
      </c>
      <c r="Y802" s="5">
        <f t="shared" si="516"/>
        <v>2.7341508376253594</v>
      </c>
      <c r="Z802" s="5">
        <f t="shared" si="517"/>
        <v>2.4764740827207641</v>
      </c>
      <c r="AA802" s="5">
        <f t="shared" si="518"/>
        <v>-245170.93418935564</v>
      </c>
      <c r="AB802" t="s">
        <v>79</v>
      </c>
      <c r="AC802" t="s">
        <v>62</v>
      </c>
      <c r="AD802">
        <f t="shared" si="519"/>
        <v>1</v>
      </c>
    </row>
    <row r="803" spans="1:30" x14ac:dyDescent="0.35">
      <c r="A803" t="s">
        <v>1346</v>
      </c>
      <c r="B803" t="s">
        <v>1247</v>
      </c>
      <c r="C803" s="36">
        <f t="shared" si="507"/>
        <v>9.8618210139483145E-2</v>
      </c>
      <c r="D803" s="3">
        <f t="shared" si="508"/>
        <v>9.8618210139483145E-2</v>
      </c>
      <c r="F803">
        <v>99805.57</v>
      </c>
      <c r="G803" t="s">
        <v>76</v>
      </c>
      <c r="H803">
        <v>100000</v>
      </c>
      <c r="I803" s="22"/>
      <c r="J803">
        <v>1</v>
      </c>
      <c r="K803" s="22"/>
      <c r="L803">
        <v>9.8741790616157594</v>
      </c>
      <c r="M803" s="22">
        <v>9.7500000000000003E-2</v>
      </c>
      <c r="N803" s="21">
        <v>45735</v>
      </c>
      <c r="O803" s="21">
        <v>46465</v>
      </c>
      <c r="P803">
        <f t="shared" si="509"/>
        <v>2</v>
      </c>
      <c r="Q803" s="6">
        <f t="shared" si="510"/>
        <v>9.7689938547517938E-2</v>
      </c>
      <c r="R803" s="5">
        <f t="shared" si="511"/>
        <v>1</v>
      </c>
      <c r="S803" t="s">
        <v>93</v>
      </c>
      <c r="U803">
        <f t="shared" si="512"/>
        <v>2</v>
      </c>
      <c r="V803">
        <f t="shared" si="513"/>
        <v>9750</v>
      </c>
      <c r="W803" s="28">
        <f t="shared" si="514"/>
        <v>9.8618210139483145E-2</v>
      </c>
      <c r="X803" s="27">
        <f t="shared" si="515"/>
        <v>9.8618210139483145E-2</v>
      </c>
      <c r="Y803" s="5">
        <f t="shared" si="516"/>
        <v>1.9110792651660897</v>
      </c>
      <c r="Z803" s="5">
        <f t="shared" si="517"/>
        <v>1.7395299363583774</v>
      </c>
      <c r="AA803" s="5">
        <f t="shared" si="518"/>
        <v>-173614.7768303116</v>
      </c>
      <c r="AB803" t="s">
        <v>64</v>
      </c>
      <c r="AC803" t="s">
        <v>62</v>
      </c>
      <c r="AD803">
        <f t="shared" si="519"/>
        <v>1</v>
      </c>
    </row>
    <row r="804" spans="1:30" x14ac:dyDescent="0.35">
      <c r="A804" t="s">
        <v>1345</v>
      </c>
      <c r="B804" t="s">
        <v>94</v>
      </c>
      <c r="C804" s="36">
        <f t="shared" si="507"/>
        <v>3.7097452886843567E-2</v>
      </c>
      <c r="D804" s="3">
        <f t="shared" si="508"/>
        <v>7.4194905773687134E-2</v>
      </c>
      <c r="F804">
        <v>1023047.1</v>
      </c>
      <c r="G804" t="s">
        <v>76</v>
      </c>
      <c r="H804">
        <v>1000000</v>
      </c>
      <c r="I804" s="22"/>
      <c r="J804">
        <v>1</v>
      </c>
      <c r="K804" s="22"/>
      <c r="M804" s="22">
        <v>7.7499999999999999E-2</v>
      </c>
      <c r="N804" s="21">
        <v>42816</v>
      </c>
      <c r="O804" s="21">
        <v>46468</v>
      </c>
      <c r="P804">
        <f t="shared" si="509"/>
        <v>10</v>
      </c>
      <c r="Q804" s="6">
        <f t="shared" si="510"/>
        <v>7.575408795939112E-2</v>
      </c>
      <c r="R804" s="5">
        <f t="shared" si="511"/>
        <v>2</v>
      </c>
      <c r="S804" t="s">
        <v>65</v>
      </c>
      <c r="U804">
        <f t="shared" si="512"/>
        <v>20</v>
      </c>
      <c r="V804">
        <f t="shared" si="513"/>
        <v>38750</v>
      </c>
      <c r="W804" s="28">
        <f t="shared" si="514"/>
        <v>3.7097452886843567E-2</v>
      </c>
      <c r="X804" s="27">
        <f t="shared" si="515"/>
        <v>7.4194905773687134E-2</v>
      </c>
      <c r="Y804" s="5">
        <f t="shared" si="516"/>
        <v>7.1737223979494491</v>
      </c>
      <c r="Z804" s="5">
        <f t="shared" si="517"/>
        <v>6.9171150483311097</v>
      </c>
      <c r="AA804" s="5">
        <f t="shared" si="518"/>
        <v>-7076534.4905615011</v>
      </c>
      <c r="AB804" t="s">
        <v>64</v>
      </c>
      <c r="AC804" t="s">
        <v>62</v>
      </c>
      <c r="AD804">
        <f t="shared" si="519"/>
        <v>2</v>
      </c>
    </row>
    <row r="805" spans="1:30" x14ac:dyDescent="0.35">
      <c r="A805" t="s">
        <v>1344</v>
      </c>
      <c r="B805" t="s">
        <v>882</v>
      </c>
      <c r="C805" s="36">
        <f t="shared" si="507"/>
        <v>0.1061908824365469</v>
      </c>
      <c r="D805" s="3">
        <f t="shared" si="508"/>
        <v>0.1061908824365469</v>
      </c>
      <c r="F805">
        <v>98934.41</v>
      </c>
      <c r="G805" t="s">
        <v>76</v>
      </c>
      <c r="H805">
        <v>100000</v>
      </c>
      <c r="I805" s="22"/>
      <c r="J805">
        <v>4</v>
      </c>
      <c r="K805" s="22"/>
      <c r="L805">
        <v>10.7511265133011</v>
      </c>
      <c r="M805" s="22">
        <v>0.1</v>
      </c>
      <c r="N805" s="21">
        <v>45833</v>
      </c>
      <c r="O805" s="21">
        <v>46471</v>
      </c>
      <c r="P805">
        <f t="shared" si="509"/>
        <v>2</v>
      </c>
      <c r="Q805" s="6">
        <f t="shared" si="510"/>
        <v>0.10107706711951887</v>
      </c>
      <c r="R805" s="5">
        <f t="shared" si="511"/>
        <v>1</v>
      </c>
      <c r="S805" t="s">
        <v>93</v>
      </c>
      <c r="U805">
        <f t="shared" si="512"/>
        <v>2</v>
      </c>
      <c r="V805">
        <f t="shared" si="513"/>
        <v>10000</v>
      </c>
      <c r="W805" s="28">
        <f t="shared" si="514"/>
        <v>0.1061908824365469</v>
      </c>
      <c r="X805" s="27">
        <f t="shared" si="515"/>
        <v>0.1061908824365469</v>
      </c>
      <c r="Y805" s="5">
        <f t="shared" si="516"/>
        <v>1.6586260167893607</v>
      </c>
      <c r="Z805" s="5">
        <f t="shared" si="517"/>
        <v>1.4994030805388621</v>
      </c>
      <c r="AA805" s="5">
        <f t="shared" si="518"/>
        <v>-148342.55912529479</v>
      </c>
      <c r="AB805" t="s">
        <v>64</v>
      </c>
      <c r="AC805" t="s">
        <v>62</v>
      </c>
      <c r="AD805">
        <f t="shared" si="519"/>
        <v>1</v>
      </c>
    </row>
    <row r="806" spans="1:30" x14ac:dyDescent="0.35">
      <c r="A806" t="s">
        <v>1343</v>
      </c>
      <c r="B806" t="s">
        <v>145</v>
      </c>
      <c r="C806" s="36">
        <f t="shared" si="507"/>
        <v>9.4445659734052723E-2</v>
      </c>
      <c r="D806" s="3">
        <f t="shared" si="508"/>
        <v>9.4445659734052723E-2</v>
      </c>
      <c r="F806">
        <v>97000</v>
      </c>
      <c r="G806" t="s">
        <v>76</v>
      </c>
      <c r="H806">
        <v>100000</v>
      </c>
      <c r="I806" s="22"/>
      <c r="J806">
        <v>1</v>
      </c>
      <c r="K806" s="22"/>
      <c r="L806">
        <v>9.9788700169578206</v>
      </c>
      <c r="M806" s="22">
        <v>8.2500000000000004E-2</v>
      </c>
      <c r="N806" s="21">
        <v>45320</v>
      </c>
      <c r="O806" s="21">
        <v>46471</v>
      </c>
      <c r="P806">
        <f t="shared" si="509"/>
        <v>3</v>
      </c>
      <c r="Q806" s="6">
        <f t="shared" si="510"/>
        <v>8.505154639175258E-2</v>
      </c>
      <c r="R806" s="5">
        <f t="shared" si="511"/>
        <v>1</v>
      </c>
      <c r="S806" t="s">
        <v>93</v>
      </c>
      <c r="U806">
        <f t="shared" si="512"/>
        <v>3</v>
      </c>
      <c r="V806">
        <f t="shared" si="513"/>
        <v>8250</v>
      </c>
      <c r="W806" s="28">
        <f t="shared" si="514"/>
        <v>9.4445659734052723E-2</v>
      </c>
      <c r="X806" s="27">
        <f t="shared" si="515"/>
        <v>9.4445659734052723E-2</v>
      </c>
      <c r="Y806" s="5">
        <f t="shared" si="516"/>
        <v>2.7117200427878352</v>
      </c>
      <c r="Z806" s="5">
        <f t="shared" si="517"/>
        <v>2.4777109933870776</v>
      </c>
      <c r="AA806" s="5">
        <f t="shared" si="518"/>
        <v>-240337.96635854652</v>
      </c>
      <c r="AB806" t="s">
        <v>64</v>
      </c>
      <c r="AC806" t="s">
        <v>62</v>
      </c>
      <c r="AD806">
        <f t="shared" si="519"/>
        <v>1</v>
      </c>
    </row>
    <row r="807" spans="1:30" x14ac:dyDescent="0.35">
      <c r="A807" t="s">
        <v>1342</v>
      </c>
      <c r="B807" t="s">
        <v>1341</v>
      </c>
      <c r="C807" s="36">
        <f t="shared" si="507"/>
        <v>7.6124373770249665E-2</v>
      </c>
      <c r="D807" s="3">
        <f t="shared" si="508"/>
        <v>7.6124373770249665E-2</v>
      </c>
      <c r="F807">
        <v>1050368</v>
      </c>
      <c r="G807" t="s">
        <v>76</v>
      </c>
      <c r="H807">
        <v>1000000</v>
      </c>
      <c r="I807" s="22"/>
      <c r="J807">
        <v>1</v>
      </c>
      <c r="K807" s="22"/>
      <c r="L807">
        <v>5.6158958891867696</v>
      </c>
      <c r="M807" s="22">
        <v>8.3499999999999991E-2</v>
      </c>
      <c r="N807" s="21">
        <v>42821</v>
      </c>
      <c r="O807" s="21">
        <v>46472</v>
      </c>
      <c r="P807">
        <f t="shared" si="509"/>
        <v>10</v>
      </c>
      <c r="Q807" s="6">
        <f t="shared" si="510"/>
        <v>7.9495948086765772E-2</v>
      </c>
      <c r="R807" s="5">
        <f t="shared" si="511"/>
        <v>1</v>
      </c>
      <c r="S807" t="s">
        <v>93</v>
      </c>
      <c r="U807">
        <f t="shared" si="512"/>
        <v>10</v>
      </c>
      <c r="V807">
        <f t="shared" si="513"/>
        <v>83499.999999999985</v>
      </c>
      <c r="W807" s="28">
        <f t="shared" si="514"/>
        <v>7.6124373770249665E-2</v>
      </c>
      <c r="X807" s="27">
        <f t="shared" si="515"/>
        <v>7.6124373770249665E-2</v>
      </c>
      <c r="Y807" s="5">
        <f t="shared" si="516"/>
        <v>7.2286323001255548</v>
      </c>
      <c r="Z807" s="5">
        <f t="shared" si="517"/>
        <v>6.7172833143809569</v>
      </c>
      <c r="AA807" s="5">
        <f t="shared" si="518"/>
        <v>-7055619.4403596967</v>
      </c>
      <c r="AB807" t="s">
        <v>69</v>
      </c>
      <c r="AC807" t="s">
        <v>62</v>
      </c>
      <c r="AD807">
        <f t="shared" si="519"/>
        <v>1</v>
      </c>
    </row>
    <row r="808" spans="1:30" x14ac:dyDescent="0.35">
      <c r="A808" t="s">
        <v>1340</v>
      </c>
      <c r="B808" t="s">
        <v>128</v>
      </c>
      <c r="C808" s="36">
        <f t="shared" si="507"/>
        <v>0.1071436335819914</v>
      </c>
      <c r="D808" s="3">
        <f t="shared" si="508"/>
        <v>0.1071436335819914</v>
      </c>
      <c r="F808">
        <v>980</v>
      </c>
      <c r="G808" t="s">
        <v>76</v>
      </c>
      <c r="H808">
        <v>1000</v>
      </c>
      <c r="I808" s="22"/>
      <c r="J808">
        <v>1</v>
      </c>
      <c r="K808" s="22"/>
      <c r="L808">
        <v>11.2088728507747</v>
      </c>
      <c r="M808" s="22">
        <v>9.9000000000000005E-2</v>
      </c>
      <c r="N808" s="21">
        <v>45377</v>
      </c>
      <c r="O808" s="21">
        <v>46472</v>
      </c>
      <c r="P808">
        <f t="shared" si="509"/>
        <v>3</v>
      </c>
      <c r="Q808" s="6">
        <f t="shared" si="510"/>
        <v>0.10102040816326531</v>
      </c>
      <c r="R808" s="5">
        <f t="shared" si="511"/>
        <v>1</v>
      </c>
      <c r="S808" t="s">
        <v>93</v>
      </c>
      <c r="U808">
        <f t="shared" si="512"/>
        <v>3</v>
      </c>
      <c r="V808">
        <f t="shared" si="513"/>
        <v>99</v>
      </c>
      <c r="W808" s="28">
        <f t="shared" si="514"/>
        <v>0.1071436335819914</v>
      </c>
      <c r="X808" s="27">
        <f t="shared" si="515"/>
        <v>0.1071436335819914</v>
      </c>
      <c r="Y808" s="5">
        <f t="shared" si="516"/>
        <v>2.7350976123852502</v>
      </c>
      <c r="Z808" s="5">
        <f t="shared" si="517"/>
        <v>2.470409014173045</v>
      </c>
      <c r="AA808" s="5">
        <f t="shared" si="518"/>
        <v>-2421.0008338895841</v>
      </c>
      <c r="AB808" t="s">
        <v>64</v>
      </c>
      <c r="AC808" t="s">
        <v>62</v>
      </c>
      <c r="AD808">
        <f t="shared" si="519"/>
        <v>1</v>
      </c>
    </row>
    <row r="809" spans="1:30" x14ac:dyDescent="0.35">
      <c r="A809" t="s">
        <v>1339</v>
      </c>
      <c r="B809" t="s">
        <v>128</v>
      </c>
      <c r="C809" s="36">
        <f t="shared" si="507"/>
        <v>0.10494042265581244</v>
      </c>
      <c r="D809" s="3">
        <f t="shared" si="508"/>
        <v>0.10494042265581244</v>
      </c>
      <c r="F809">
        <v>975</v>
      </c>
      <c r="G809" t="s">
        <v>76</v>
      </c>
      <c r="H809">
        <v>1000</v>
      </c>
      <c r="I809" s="22"/>
      <c r="J809">
        <v>64</v>
      </c>
      <c r="K809" s="22"/>
      <c r="L809">
        <v>11.215736310473099</v>
      </c>
      <c r="M809" s="22">
        <v>9.4800000000000009E-2</v>
      </c>
      <c r="N809" s="21">
        <v>45377</v>
      </c>
      <c r="O809" s="21">
        <v>46472</v>
      </c>
      <c r="P809">
        <f t="shared" si="509"/>
        <v>3</v>
      </c>
      <c r="Q809" s="6">
        <f t="shared" si="510"/>
        <v>9.7230769230769246E-2</v>
      </c>
      <c r="R809" s="5">
        <f t="shared" si="511"/>
        <v>1</v>
      </c>
      <c r="S809" t="s">
        <v>93</v>
      </c>
      <c r="U809">
        <f t="shared" si="512"/>
        <v>3</v>
      </c>
      <c r="V809">
        <f t="shared" si="513"/>
        <v>94.800000000000011</v>
      </c>
      <c r="W809" s="28">
        <f t="shared" si="514"/>
        <v>0.10494042265581244</v>
      </c>
      <c r="X809" s="27">
        <f t="shared" si="515"/>
        <v>0.10494042265581244</v>
      </c>
      <c r="Y809" s="5">
        <f t="shared" si="516"/>
        <v>2.7443681817959051</v>
      </c>
      <c r="Z809" s="5">
        <f t="shared" si="517"/>
        <v>2.4837250276350624</v>
      </c>
      <c r="AA809" s="5">
        <f t="shared" si="518"/>
        <v>-2421.6319019441858</v>
      </c>
      <c r="AB809" t="s">
        <v>64</v>
      </c>
      <c r="AC809" t="s">
        <v>62</v>
      </c>
      <c r="AD809">
        <f t="shared" si="519"/>
        <v>1</v>
      </c>
    </row>
    <row r="810" spans="1:30" x14ac:dyDescent="0.35">
      <c r="A810" t="s">
        <v>1338</v>
      </c>
      <c r="B810" t="s">
        <v>101</v>
      </c>
      <c r="C810" s="36">
        <f t="shared" si="507"/>
        <v>7.6510419500660537E-2</v>
      </c>
      <c r="D810" s="3">
        <f t="shared" si="508"/>
        <v>7.6510419500660537E-2</v>
      </c>
      <c r="F810">
        <v>1041.01</v>
      </c>
      <c r="G810" t="s">
        <v>76</v>
      </c>
      <c r="H810">
        <v>1000</v>
      </c>
      <c r="I810" s="22"/>
      <c r="J810">
        <v>127</v>
      </c>
      <c r="K810" s="22"/>
      <c r="L810">
        <v>5.4506125367313896</v>
      </c>
      <c r="M810" s="22">
        <v>8.1199999999999994E-2</v>
      </c>
      <c r="N810" s="21">
        <v>40995</v>
      </c>
      <c r="O810" s="21">
        <v>46473</v>
      </c>
      <c r="P810">
        <f t="shared" si="509"/>
        <v>15</v>
      </c>
      <c r="Q810" s="6">
        <f t="shared" si="510"/>
        <v>7.8001171938790206E-2</v>
      </c>
      <c r="R810" s="5">
        <f t="shared" si="511"/>
        <v>1</v>
      </c>
      <c r="S810" t="s">
        <v>93</v>
      </c>
      <c r="U810">
        <f t="shared" si="512"/>
        <v>15</v>
      </c>
      <c r="V810">
        <f t="shared" si="513"/>
        <v>81.199999999999989</v>
      </c>
      <c r="W810" s="28">
        <f t="shared" si="514"/>
        <v>7.6510419500660537E-2</v>
      </c>
      <c r="X810" s="27">
        <f t="shared" si="515"/>
        <v>7.6510419500660537E-2</v>
      </c>
      <c r="Y810" s="5">
        <f t="shared" si="516"/>
        <v>9.3051566402909867</v>
      </c>
      <c r="Z810" s="5">
        <f t="shared" si="517"/>
        <v>8.6438147478472018</v>
      </c>
      <c r="AA810" s="5">
        <f t="shared" si="518"/>
        <v>-8998.2975906564152</v>
      </c>
      <c r="AB810" t="s">
        <v>64</v>
      </c>
      <c r="AC810" t="s">
        <v>62</v>
      </c>
      <c r="AD810">
        <f t="shared" si="519"/>
        <v>1</v>
      </c>
    </row>
    <row r="811" spans="1:30" x14ac:dyDescent="0.35">
      <c r="A811" t="s">
        <v>1337</v>
      </c>
      <c r="B811" t="s">
        <v>1336</v>
      </c>
      <c r="C811" s="36">
        <f t="shared" si="507"/>
        <v>8.8741690469293866E-2</v>
      </c>
      <c r="D811" s="3">
        <f t="shared" si="508"/>
        <v>8.8741690469293866E-2</v>
      </c>
      <c r="F811">
        <v>5112</v>
      </c>
      <c r="G811" t="s">
        <v>76</v>
      </c>
      <c r="H811">
        <v>5000</v>
      </c>
      <c r="I811" s="22"/>
      <c r="J811">
        <v>4</v>
      </c>
      <c r="K811" s="22"/>
      <c r="L811">
        <v>7.9190060177790604</v>
      </c>
      <c r="M811" s="22">
        <v>9.1499999999999998E-2</v>
      </c>
      <c r="N811" s="21">
        <v>40998</v>
      </c>
      <c r="O811" s="21">
        <v>46476</v>
      </c>
      <c r="P811">
        <f t="shared" si="509"/>
        <v>15</v>
      </c>
      <c r="Q811" s="6">
        <f t="shared" si="510"/>
        <v>8.949530516431925E-2</v>
      </c>
      <c r="R811" s="5">
        <f t="shared" si="511"/>
        <v>1</v>
      </c>
      <c r="S811" t="s">
        <v>93</v>
      </c>
      <c r="U811">
        <f t="shared" si="512"/>
        <v>15</v>
      </c>
      <c r="V811">
        <f t="shared" si="513"/>
        <v>457.5</v>
      </c>
      <c r="W811" s="28">
        <f t="shared" si="514"/>
        <v>8.8741690469293866E-2</v>
      </c>
      <c r="X811" s="27">
        <f t="shared" si="515"/>
        <v>8.8741690469293866E-2</v>
      </c>
      <c r="Y811" s="5">
        <f t="shared" si="516"/>
        <v>8.7892811034699676</v>
      </c>
      <c r="Z811" s="5">
        <f t="shared" si="517"/>
        <v>8.0728800783603809</v>
      </c>
      <c r="AA811" s="5">
        <f t="shared" si="518"/>
        <v>-41268.562960578267</v>
      </c>
      <c r="AB811" t="s">
        <v>79</v>
      </c>
      <c r="AC811" t="s">
        <v>62</v>
      </c>
      <c r="AD811">
        <f t="shared" si="519"/>
        <v>1</v>
      </c>
    </row>
    <row r="812" spans="1:30" x14ac:dyDescent="0.35">
      <c r="C812" s="28"/>
      <c r="D812" s="27"/>
      <c r="I812" s="22"/>
      <c r="K812" s="22"/>
      <c r="M812" s="22"/>
      <c r="N812" s="21"/>
      <c r="O812" s="21"/>
      <c r="P812" s="5"/>
      <c r="Q812" s="6"/>
      <c r="R812" s="5"/>
      <c r="W812" s="28"/>
      <c r="Y812" s="33"/>
      <c r="Z812" s="33"/>
      <c r="AA812" s="33"/>
    </row>
    <row r="813" spans="1:30" x14ac:dyDescent="0.35">
      <c r="A813" t="s">
        <v>1334</v>
      </c>
      <c r="B813" t="s">
        <v>283</v>
      </c>
      <c r="C813" s="36">
        <f>RATE(U813,V813,-F813,H813)</f>
        <v>2.3023301287623581E-2</v>
      </c>
      <c r="D813" s="3">
        <f>C813*AD813</f>
        <v>9.2093205150494323E-2</v>
      </c>
      <c r="F813">
        <v>1024550</v>
      </c>
      <c r="G813" t="s">
        <v>76</v>
      </c>
      <c r="H813">
        <v>1000000</v>
      </c>
      <c r="I813" s="22"/>
      <c r="J813">
        <v>1</v>
      </c>
      <c r="K813" s="22"/>
      <c r="M813" s="22">
        <v>9.9499999999999991E-2</v>
      </c>
      <c r="N813" s="21">
        <v>44841</v>
      </c>
      <c r="O813" s="21">
        <v>46477</v>
      </c>
      <c r="P813">
        <f>ROUND(YEARFRAC(N813,O813),0)</f>
        <v>4</v>
      </c>
      <c r="Q813" s="6">
        <f>(M813*H813)/F813</f>
        <v>9.7115806939632024E-2</v>
      </c>
      <c r="R813" s="5">
        <f>IF(S813="Quarterly",4,IF(S813="Semi-annual",2,IF(S813="Annual",1,IF(S813="Pays at maturity",0,IF(S813="Monthly",12,0)))))</f>
        <v>4</v>
      </c>
      <c r="S813" t="s">
        <v>105</v>
      </c>
      <c r="U813">
        <f>R813*P813</f>
        <v>16</v>
      </c>
      <c r="V813">
        <f>(H813*M813)/AD813</f>
        <v>24874.999999999996</v>
      </c>
      <c r="W813" s="28">
        <f>RATE(U813,V813,-F813,H813)</f>
        <v>2.3023301287623581E-2</v>
      </c>
      <c r="X813" s="27">
        <f>W813*AD813</f>
        <v>9.2093205150494323E-2</v>
      </c>
      <c r="Y813" s="5">
        <f>DURATION(N813,O813,M813,D813,AD813)</f>
        <v>3.6750548316685872</v>
      </c>
      <c r="Z813" s="5">
        <f>Y813/(1+C813)</f>
        <v>3.5923471411090993</v>
      </c>
      <c r="AA813" s="5">
        <f>-Z813*F813</f>
        <v>-3680539.2634233278</v>
      </c>
      <c r="AB813" t="s">
        <v>64</v>
      </c>
      <c r="AC813" t="s">
        <v>62</v>
      </c>
      <c r="AD813">
        <f>_xlfn.SWITCH(PROPER(TRIM(S813)),
   "Annual",1,
   "Semi-Annual",2,
   "Quarterly",4,
   "Monthly",12,
   "")</f>
        <v>4</v>
      </c>
    </row>
    <row r="814" spans="1:30" x14ac:dyDescent="0.35">
      <c r="C814" s="28"/>
      <c r="D814" s="27"/>
      <c r="I814" s="22"/>
      <c r="K814" s="22"/>
      <c r="M814" s="22"/>
      <c r="N814" s="21"/>
      <c r="O814" s="21"/>
      <c r="P814" s="5"/>
      <c r="Q814" s="6"/>
      <c r="R814" s="5"/>
      <c r="W814" s="28"/>
      <c r="Y814" s="33"/>
      <c r="Z814" s="33"/>
      <c r="AA814" s="33"/>
    </row>
    <row r="815" spans="1:30" x14ac:dyDescent="0.35">
      <c r="A815" t="s">
        <v>1332</v>
      </c>
      <c r="B815" t="s">
        <v>281</v>
      </c>
      <c r="C815" s="36">
        <f>RATE(U815,V815,-F815,H815)</f>
        <v>2.299127442667398E-2</v>
      </c>
      <c r="D815" s="3">
        <f>C815*AD815</f>
        <v>9.196509770669592E-2</v>
      </c>
      <c r="F815">
        <v>1020000</v>
      </c>
      <c r="G815" t="s">
        <v>76</v>
      </c>
      <c r="H815">
        <v>1000000</v>
      </c>
      <c r="I815" s="22"/>
      <c r="J815">
        <v>1</v>
      </c>
      <c r="K815" s="22"/>
      <c r="M815" s="22">
        <v>9.6999999999999989E-2</v>
      </c>
      <c r="N815" s="21">
        <v>44650</v>
      </c>
      <c r="O815" s="21">
        <v>46477</v>
      </c>
      <c r="P815">
        <f>ROUND(YEARFRAC(N815,O815),0)</f>
        <v>5</v>
      </c>
      <c r="Q815" s="6">
        <f>(M815*H815)/F815</f>
        <v>9.5098039215686256E-2</v>
      </c>
      <c r="R815" s="5">
        <f>IF(S815="Quarterly",4,IF(S815="Semi-annual",2,IF(S815="Annual",1,IF(S815="Pays at maturity",0,IF(S815="Monthly",12,0)))))</f>
        <v>4</v>
      </c>
      <c r="S815" t="s">
        <v>105</v>
      </c>
      <c r="U815">
        <f>R815*P815</f>
        <v>20</v>
      </c>
      <c r="V815">
        <f>(H815*M815)/AD815</f>
        <v>24249.999999999996</v>
      </c>
      <c r="W815" s="28">
        <f>RATE(U815,V815,-F815,H815)</f>
        <v>2.299127442667398E-2</v>
      </c>
      <c r="X815" s="27">
        <f>W815*AD815</f>
        <v>9.196509770669592E-2</v>
      </c>
      <c r="Y815" s="5">
        <f>DURATION(N815,O815,M815,D815,AD815)</f>
        <v>3.9380735217087515</v>
      </c>
      <c r="Z815" s="5">
        <f>Y815/(1+C815)</f>
        <v>3.8495670688059467</v>
      </c>
      <c r="AA815" s="5">
        <f>-Z815*F815</f>
        <v>-3926558.4101820658</v>
      </c>
      <c r="AB815" t="s">
        <v>64</v>
      </c>
      <c r="AC815" t="s">
        <v>62</v>
      </c>
      <c r="AD815">
        <f>_xlfn.SWITCH(PROPER(TRIM(S815)),
   "Annual",1,
   "Semi-Annual",2,
   "Quarterly",4,
   "Monthly",12,
   "")</f>
        <v>4</v>
      </c>
    </row>
    <row r="816" spans="1:30" x14ac:dyDescent="0.35">
      <c r="A816" t="s">
        <v>1331</v>
      </c>
      <c r="B816" t="s">
        <v>1086</v>
      </c>
      <c r="C816" s="36">
        <f>RATE(U816,V816,-F816,H816)</f>
        <v>0.10736237664642992</v>
      </c>
      <c r="D816" s="3">
        <f>C816*AD816</f>
        <v>0.10736237664642992</v>
      </c>
      <c r="F816">
        <v>98906.6</v>
      </c>
      <c r="G816" t="s">
        <v>76</v>
      </c>
      <c r="H816">
        <v>100000</v>
      </c>
      <c r="I816" s="22"/>
      <c r="J816">
        <v>5</v>
      </c>
      <c r="K816" s="22"/>
      <c r="L816">
        <v>10.787264642038201</v>
      </c>
      <c r="M816" s="22">
        <v>0.10099999999999999</v>
      </c>
      <c r="N816" s="21">
        <v>45657</v>
      </c>
      <c r="O816" s="21">
        <v>46477</v>
      </c>
      <c r="P816">
        <f>ROUND(YEARFRAC(N816,O816),0)</f>
        <v>2</v>
      </c>
      <c r="Q816" s="6">
        <f>(M816*H816)/F816</f>
        <v>0.10211654227321533</v>
      </c>
      <c r="R816" s="5">
        <f>IF(S816="Quarterly",4,IF(S816="Semi-annual",2,IF(S816="Annual",1,IF(S816="Pays at maturity",0,IF(S816="Monthly",12,0)))))</f>
        <v>1</v>
      </c>
      <c r="S816" t="s">
        <v>93</v>
      </c>
      <c r="U816">
        <f>R816*P816</f>
        <v>2</v>
      </c>
      <c r="V816">
        <f>(H816*M816)/AD816</f>
        <v>10100</v>
      </c>
      <c r="W816" s="28">
        <f>RATE(U816,V816,-F816,H816)</f>
        <v>0.10736237664642992</v>
      </c>
      <c r="X816" s="27">
        <f>W816*AD816</f>
        <v>0.10736237664642992</v>
      </c>
      <c r="Y816" s="5">
        <f>DURATION(N816,O816,M816,D816,AD816)</f>
        <v>1.9810183767052472</v>
      </c>
      <c r="Z816" s="5">
        <f>Y816/(1+C816)</f>
        <v>1.7889522151769537</v>
      </c>
      <c r="AA816" s="5">
        <f>-Z816*F816</f>
        <v>-176939.18116562089</v>
      </c>
      <c r="AB816" t="s">
        <v>64</v>
      </c>
      <c r="AC816" t="s">
        <v>62</v>
      </c>
      <c r="AD816">
        <f>_xlfn.SWITCH(PROPER(TRIM(S816)),
   "Annual",1,
   "Semi-Annual",2,
   "Quarterly",4,
   "Monthly",12,
   "")</f>
        <v>1</v>
      </c>
    </row>
    <row r="817" spans="1:30" x14ac:dyDescent="0.35">
      <c r="A817" t="s">
        <v>1330</v>
      </c>
      <c r="B817" t="s">
        <v>417</v>
      </c>
      <c r="C817" s="36">
        <f>RATE(U817,V817,-F817,H817)</f>
        <v>8.4794560504782956E-2</v>
      </c>
      <c r="D817" s="3">
        <f>C817*AD817</f>
        <v>8.4794560504782956E-2</v>
      </c>
      <c r="F817">
        <v>5100</v>
      </c>
      <c r="G817" t="s">
        <v>76</v>
      </c>
      <c r="H817">
        <v>5000</v>
      </c>
      <c r="I817" s="22"/>
      <c r="J817">
        <v>18</v>
      </c>
      <c r="K817" s="22"/>
      <c r="L817">
        <v>7.4254932742327702</v>
      </c>
      <c r="M817" s="22">
        <v>8.72E-2</v>
      </c>
      <c r="N817" s="21">
        <v>40999</v>
      </c>
      <c r="O817" s="21">
        <v>46477</v>
      </c>
      <c r="P817">
        <f>ROUND(YEARFRAC(N817,O817),0)</f>
        <v>15</v>
      </c>
      <c r="Q817" s="6">
        <f>(M817*H817)/F817</f>
        <v>8.5490196078431377E-2</v>
      </c>
      <c r="R817" s="5">
        <f>IF(S817="Quarterly",4,IF(S817="Semi-annual",2,IF(S817="Annual",1,IF(S817="Pays at maturity",0,IF(S817="Monthly",12,0)))))</f>
        <v>1</v>
      </c>
      <c r="S817" t="s">
        <v>93</v>
      </c>
      <c r="U817">
        <f>R817*P817</f>
        <v>15</v>
      </c>
      <c r="V817">
        <f>(H817*M817)/AD817</f>
        <v>436</v>
      </c>
      <c r="W817" s="28">
        <f>RATE(U817,V817,-F817,H817)</f>
        <v>8.4794560504782956E-2</v>
      </c>
      <c r="X817" s="27">
        <f>W817*AD817</f>
        <v>8.4794560504782956E-2</v>
      </c>
      <c r="Y817" s="5">
        <f>DURATION(N817,O817,M817,D817,AD817)</f>
        <v>8.970449758890183</v>
      </c>
      <c r="Z817" s="5">
        <f>Y817/(1+C817)</f>
        <v>8.269261374905863</v>
      </c>
      <c r="AA817" s="5">
        <f>-Z817*F817</f>
        <v>-42173.233012019904</v>
      </c>
      <c r="AB817" t="s">
        <v>79</v>
      </c>
      <c r="AC817" t="s">
        <v>62</v>
      </c>
      <c r="AD817">
        <f>_xlfn.SWITCH(PROPER(TRIM(S817)),
   "Annual",1,
   "Semi-Annual",2,
   "Quarterly",4,
   "Monthly",12,
   "")</f>
        <v>1</v>
      </c>
    </row>
    <row r="818" spans="1:30" x14ac:dyDescent="0.35">
      <c r="C818" s="28"/>
      <c r="D818" s="27"/>
      <c r="I818" s="22"/>
      <c r="K818" s="22"/>
      <c r="M818" s="22"/>
      <c r="N818" s="21"/>
      <c r="O818" s="21"/>
      <c r="P818" s="5"/>
      <c r="Q818" s="6"/>
      <c r="R818" s="5"/>
      <c r="W818" s="28"/>
      <c r="Y818" s="33"/>
      <c r="Z818" s="33"/>
      <c r="AA818" s="33"/>
    </row>
    <row r="819" spans="1:30" x14ac:dyDescent="0.35">
      <c r="A819" t="s">
        <v>1328</v>
      </c>
      <c r="B819" t="s">
        <v>119</v>
      </c>
      <c r="C819" s="36">
        <f>RATE(U819,V819,-F819,H819)</f>
        <v>0.13089064335257664</v>
      </c>
      <c r="D819" s="3">
        <f>C819*AD819</f>
        <v>0.13089064335257664</v>
      </c>
      <c r="F819">
        <v>940.2</v>
      </c>
      <c r="G819" t="s">
        <v>76</v>
      </c>
      <c r="H819">
        <v>1000</v>
      </c>
      <c r="I819" s="22"/>
      <c r="J819">
        <v>5</v>
      </c>
      <c r="K819" s="22"/>
      <c r="L819">
        <v>13.697928706295899</v>
      </c>
      <c r="M819" s="22">
        <v>9.5000000000000001E-2</v>
      </c>
      <c r="N819" s="21">
        <v>45750</v>
      </c>
      <c r="O819" s="21">
        <v>46480</v>
      </c>
      <c r="P819">
        <f>ROUND(YEARFRAC(N819,O819),0)</f>
        <v>2</v>
      </c>
      <c r="Q819" s="6">
        <f>(M819*H819)/F819</f>
        <v>0.10104233141884705</v>
      </c>
      <c r="R819" s="5">
        <f>IF(S819="Quarterly",4,IF(S819="Semi-annual",2,IF(S819="Annual",1,IF(S819="Pays at maturity",0,IF(S819="Monthly",12,0)))))</f>
        <v>1</v>
      </c>
      <c r="S819" t="s">
        <v>93</v>
      </c>
      <c r="U819">
        <f>R819*P819</f>
        <v>2</v>
      </c>
      <c r="V819">
        <f>(H819*M819)/AD819</f>
        <v>95</v>
      </c>
      <c r="W819" s="28">
        <f>RATE(U819,V819,-F819,H819)</f>
        <v>0.13089064335257664</v>
      </c>
      <c r="X819" s="27">
        <f>W819*AD819</f>
        <v>0.13089064335257664</v>
      </c>
      <c r="Y819" s="5">
        <f>DURATION(N819,O819,M819,D819,AD819)</f>
        <v>1.910652429558261</v>
      </c>
      <c r="Z819" s="5">
        <f>Y819/(1+C819)</f>
        <v>1.6895112191343673</v>
      </c>
      <c r="AA819" s="5">
        <f>-Z819*F819</f>
        <v>-1588.4784482301322</v>
      </c>
      <c r="AB819" t="s">
        <v>64</v>
      </c>
      <c r="AC819" t="s">
        <v>62</v>
      </c>
      <c r="AD819">
        <f>_xlfn.SWITCH(PROPER(TRIM(S819)),
   "Annual",1,
   "Semi-Annual",2,
   "Quarterly",4,
   "Monthly",12,
   "")</f>
        <v>1</v>
      </c>
    </row>
    <row r="820" spans="1:30" x14ac:dyDescent="0.35">
      <c r="A820" t="s">
        <v>1327</v>
      </c>
      <c r="B820" t="s">
        <v>278</v>
      </c>
      <c r="C820" s="36">
        <f>RATE(U820,V820,-F820,H820)</f>
        <v>2.3015225089338266E-2</v>
      </c>
      <c r="D820" s="3">
        <f>C820*AD820</f>
        <v>4.6030450178676532E-2</v>
      </c>
      <c r="F820">
        <v>966.1</v>
      </c>
      <c r="G820" t="s">
        <v>66</v>
      </c>
      <c r="H820">
        <v>1000</v>
      </c>
      <c r="I820" s="22"/>
      <c r="J820">
        <v>0</v>
      </c>
      <c r="K820" s="22"/>
      <c r="M820" s="22">
        <v>3.95E-2</v>
      </c>
      <c r="N820" s="21">
        <v>44462</v>
      </c>
      <c r="O820" s="21">
        <v>46482</v>
      </c>
      <c r="P820">
        <f>ROUND(YEARFRAC(N820,O820),0)</f>
        <v>6</v>
      </c>
      <c r="Q820" s="6">
        <f>(M820*H820)/F820</f>
        <v>4.0886036642169547E-2</v>
      </c>
      <c r="R820" s="5">
        <f>IF(S820="Quarterly",4,IF(S820="Semi-annual",2,IF(S820="Annual",1,IF(S820="Pays at maturity",0,IF(S820="Monthly",12,0)))))</f>
        <v>2</v>
      </c>
      <c r="S820" t="s">
        <v>65</v>
      </c>
      <c r="U820">
        <f>R820*P820</f>
        <v>12</v>
      </c>
      <c r="V820">
        <f>(H820*M820)/AD820</f>
        <v>19.75</v>
      </c>
      <c r="W820" s="28">
        <f>RATE(U820,V820,-F820,H820)</f>
        <v>2.3015225089338266E-2</v>
      </c>
      <c r="X820" s="27">
        <f>W820*AD820</f>
        <v>4.6030450178676532E-2</v>
      </c>
      <c r="Y820" s="5">
        <f>DURATION(N820,O820,M820,D820,AD820)</f>
        <v>4.9209280346560504</v>
      </c>
      <c r="Z820" s="5">
        <f>Y820/(1+C820)</f>
        <v>4.8102197445070418</v>
      </c>
      <c r="AA820" s="5">
        <f>-Z820*F820</f>
        <v>-4647.153295168253</v>
      </c>
      <c r="AB820" t="s">
        <v>69</v>
      </c>
      <c r="AC820" t="s">
        <v>62</v>
      </c>
      <c r="AD820">
        <f>_xlfn.SWITCH(PROPER(TRIM(S820)),
   "Annual",1,
   "Semi-Annual",2,
   "Quarterly",4,
   "Monthly",12,
   "")</f>
        <v>2</v>
      </c>
    </row>
    <row r="821" spans="1:30" x14ac:dyDescent="0.35">
      <c r="A821" t="s">
        <v>1326</v>
      </c>
      <c r="B821" t="s">
        <v>278</v>
      </c>
      <c r="C821" s="36">
        <f>RATE(U821,V821,-F821,H821)</f>
        <v>2.2701354799883385E-2</v>
      </c>
      <c r="D821" s="3">
        <f>C821*AD821</f>
        <v>4.540270959976677E-2</v>
      </c>
      <c r="F821">
        <v>969.3</v>
      </c>
      <c r="G821" t="s">
        <v>66</v>
      </c>
      <c r="H821">
        <v>1000</v>
      </c>
      <c r="I821" s="22"/>
      <c r="J821">
        <v>1000000</v>
      </c>
      <c r="K821" s="22"/>
      <c r="M821" s="22">
        <v>3.95E-2</v>
      </c>
      <c r="N821" s="21">
        <v>44462</v>
      </c>
      <c r="O821" s="21">
        <v>46482</v>
      </c>
      <c r="P821">
        <f>ROUND(YEARFRAC(N821,O821),0)</f>
        <v>6</v>
      </c>
      <c r="Q821" s="6">
        <f>(M821*H821)/F821</f>
        <v>4.0751057464149386E-2</v>
      </c>
      <c r="R821" s="5">
        <f>IF(S821="Quarterly",4,IF(S821="Semi-annual",2,IF(S821="Annual",1,IF(S821="Pays at maturity",0,IF(S821="Monthly",12,0)))))</f>
        <v>2</v>
      </c>
      <c r="S821" t="s">
        <v>65</v>
      </c>
      <c r="U821">
        <f>R821*P821</f>
        <v>12</v>
      </c>
      <c r="V821">
        <f>(H821*M821)/AD821</f>
        <v>19.75</v>
      </c>
      <c r="W821" s="28">
        <f>RATE(U821,V821,-F821,H821)</f>
        <v>2.2701354799883385E-2</v>
      </c>
      <c r="X821" s="27">
        <f>W821*AD821</f>
        <v>4.540270959976677E-2</v>
      </c>
      <c r="Y821" s="5">
        <f>DURATION(N821,O821,M821,D821,AD821)</f>
        <v>4.9221676981928457</v>
      </c>
      <c r="Z821" s="5">
        <f>Y821/(1+C821)</f>
        <v>4.8129081623794159</v>
      </c>
      <c r="AA821" s="5">
        <f>-Z821*F821</f>
        <v>-4665.1518817943679</v>
      </c>
      <c r="AB821" t="s">
        <v>69</v>
      </c>
      <c r="AC821" t="s">
        <v>62</v>
      </c>
      <c r="AD821">
        <f>_xlfn.SWITCH(PROPER(TRIM(S821)),
   "Annual",1,
   "Semi-Annual",2,
   "Quarterly",4,
   "Monthly",12,
   "")</f>
        <v>2</v>
      </c>
    </row>
    <row r="822" spans="1:30" x14ac:dyDescent="0.35">
      <c r="C822" s="28"/>
      <c r="D822" s="27"/>
      <c r="I822" s="22"/>
      <c r="K822" s="22"/>
      <c r="M822" s="22"/>
      <c r="N822" s="21"/>
      <c r="O822" s="21"/>
      <c r="P822" s="5"/>
      <c r="Q822" s="6"/>
      <c r="R822" s="5"/>
      <c r="W822" s="28"/>
      <c r="Y822" s="33"/>
      <c r="Z822" s="33"/>
      <c r="AA822" s="33"/>
    </row>
    <row r="823" spans="1:30" x14ac:dyDescent="0.35">
      <c r="A823" t="s">
        <v>1324</v>
      </c>
      <c r="B823" t="s">
        <v>1019</v>
      </c>
      <c r="C823" s="36">
        <f>RATE(U823,V823,-F823,H823)</f>
        <v>5.8666296187437565E-2</v>
      </c>
      <c r="D823" s="3">
        <f>C823*AD823</f>
        <v>5.8666296187437565E-2</v>
      </c>
      <c r="F823">
        <v>116000</v>
      </c>
      <c r="G823" t="s">
        <v>76</v>
      </c>
      <c r="H823">
        <v>100000</v>
      </c>
      <c r="I823" s="22"/>
      <c r="J823">
        <v>1</v>
      </c>
      <c r="K823" s="22"/>
      <c r="L823">
        <v>1.7715641458809499</v>
      </c>
      <c r="M823" s="22">
        <v>0.1047</v>
      </c>
      <c r="N823" s="21">
        <v>45135</v>
      </c>
      <c r="O823" s="21">
        <v>46486</v>
      </c>
      <c r="P823">
        <f>ROUND(YEARFRAC(N823,O823),0)</f>
        <v>4</v>
      </c>
      <c r="Q823" s="6">
        <f>(M823*H823)/F823</f>
        <v>9.0258620689655178E-2</v>
      </c>
      <c r="R823" s="5">
        <f>IF(S823="Quarterly",4,IF(S823="Semi-annual",2,IF(S823="Annual",1,IF(S823="Pays at maturity",0,IF(S823="Monthly",12,0)))))</f>
        <v>1</v>
      </c>
      <c r="S823" t="s">
        <v>93</v>
      </c>
      <c r="U823">
        <f>R823*P823</f>
        <v>4</v>
      </c>
      <c r="V823">
        <f>(H823*M823)/AD823</f>
        <v>10470</v>
      </c>
      <c r="W823" s="28">
        <f>RATE(U823,V823,-F823,H823)</f>
        <v>5.8666296187437565E-2</v>
      </c>
      <c r="X823" s="27">
        <f>W823*AD823</f>
        <v>5.8666296187437565E-2</v>
      </c>
      <c r="Y823" s="5">
        <f>DURATION(N823,O823,M823,D823,AD823)</f>
        <v>3.204317075682853</v>
      </c>
      <c r="Z823" s="5">
        <f>Y823/(1+C823)</f>
        <v>3.0267489266660537</v>
      </c>
      <c r="AA823" s="5">
        <f>-Z823*F823</f>
        <v>-351102.8754932622</v>
      </c>
      <c r="AB823" t="s">
        <v>64</v>
      </c>
      <c r="AC823" t="s">
        <v>62</v>
      </c>
      <c r="AD823">
        <f>_xlfn.SWITCH(PROPER(TRIM(S823)),
   "Annual",1,
   "Semi-Annual",2,
   "Quarterly",4,
   "Monthly",12,
   "")</f>
        <v>1</v>
      </c>
    </row>
    <row r="824" spans="1:30" x14ac:dyDescent="0.35">
      <c r="A824" t="s">
        <v>1323</v>
      </c>
      <c r="B824" t="s">
        <v>316</v>
      </c>
      <c r="C824" s="36">
        <f>RATE(U824,V824,-F824,H824)</f>
        <v>0.10251577401253813</v>
      </c>
      <c r="D824" s="3">
        <f>C824*AD824</f>
        <v>0.10251577401253813</v>
      </c>
      <c r="F824">
        <v>987</v>
      </c>
      <c r="G824" t="s">
        <v>76</v>
      </c>
      <c r="H824">
        <v>1000</v>
      </c>
      <c r="I824" s="22"/>
      <c r="J824">
        <v>10</v>
      </c>
      <c r="K824" s="22"/>
      <c r="L824">
        <v>10.373958027566999</v>
      </c>
      <c r="M824" s="22">
        <v>9.5000000000000001E-2</v>
      </c>
      <c r="N824" s="21">
        <v>45762</v>
      </c>
      <c r="O824" s="21">
        <v>46491</v>
      </c>
      <c r="P824">
        <f>ROUND(YEARFRAC(N824,O824),0)</f>
        <v>2</v>
      </c>
      <c r="Q824" s="6">
        <f>(M824*H824)/F824</f>
        <v>9.6251266464032426E-2</v>
      </c>
      <c r="R824" s="5">
        <f>IF(S824="Quarterly",4,IF(S824="Semi-annual",2,IF(S824="Annual",1,IF(S824="Pays at maturity",0,IF(S824="Monthly",12,0)))))</f>
        <v>1</v>
      </c>
      <c r="S824" t="s">
        <v>93</v>
      </c>
      <c r="U824">
        <f>R824*P824</f>
        <v>2</v>
      </c>
      <c r="V824">
        <f>(H824*M824)/AD824</f>
        <v>95</v>
      </c>
      <c r="W824" s="28">
        <f>RATE(U824,V824,-F824,H824)</f>
        <v>0.10251577401253813</v>
      </c>
      <c r="X824" s="27">
        <f>W824*AD824</f>
        <v>0.10251577401253813</v>
      </c>
      <c r="Y824" s="5">
        <f>DURATION(N824,O824,M824,D824,AD824)</f>
        <v>1.9099207352659588</v>
      </c>
      <c r="Z824" s="5">
        <f>Y824/(1+C824)</f>
        <v>1.7323296231081757</v>
      </c>
      <c r="AA824" s="5">
        <f>-Z824*F824</f>
        <v>-1709.8093380077694</v>
      </c>
      <c r="AB824" t="s">
        <v>64</v>
      </c>
      <c r="AC824" t="s">
        <v>62</v>
      </c>
      <c r="AD824">
        <f>_xlfn.SWITCH(PROPER(TRIM(S824)),
   "Annual",1,
   "Semi-Annual",2,
   "Quarterly",4,
   "Monthly",12,
   "")</f>
        <v>1</v>
      </c>
    </row>
    <row r="825" spans="1:30" x14ac:dyDescent="0.35">
      <c r="A825" t="s">
        <v>1322</v>
      </c>
      <c r="B825" t="s">
        <v>527</v>
      </c>
      <c r="C825" s="36">
        <f>RATE(U825,V825,-F825,H825)</f>
        <v>8.329980045564242E-2</v>
      </c>
      <c r="D825" s="3">
        <f>C825*AD825</f>
        <v>8.329980045564242E-2</v>
      </c>
      <c r="F825">
        <v>1021</v>
      </c>
      <c r="G825" t="s">
        <v>76</v>
      </c>
      <c r="H825">
        <v>1000</v>
      </c>
      <c r="I825" s="22"/>
      <c r="J825">
        <v>187</v>
      </c>
      <c r="K825" s="22"/>
      <c r="L825">
        <v>7.3480350146914697</v>
      </c>
      <c r="M825" s="22">
        <v>8.6999999999999994E-2</v>
      </c>
      <c r="N825" s="21">
        <v>43570</v>
      </c>
      <c r="O825" s="21">
        <v>46492</v>
      </c>
      <c r="P825">
        <f>ROUND(YEARFRAC(N825,O825),0)</f>
        <v>8</v>
      </c>
      <c r="Q825" s="6">
        <f>(M825*H825)/F825</f>
        <v>8.5210577864838391E-2</v>
      </c>
      <c r="R825" s="5">
        <f>IF(S825="Quarterly",4,IF(S825="Semi-annual",2,IF(S825="Annual",1,IF(S825="Pays at maturity",0,IF(S825="Monthly",12,0)))))</f>
        <v>1</v>
      </c>
      <c r="S825" t="s">
        <v>93</v>
      </c>
      <c r="U825">
        <f>R825*P825</f>
        <v>8</v>
      </c>
      <c r="V825">
        <f>(H825*M825)/AD825</f>
        <v>87</v>
      </c>
      <c r="W825" s="28">
        <f>RATE(U825,V825,-F825,H825)</f>
        <v>8.329980045564242E-2</v>
      </c>
      <c r="X825" s="27">
        <f>W825*AD825</f>
        <v>8.329980045564242E-2</v>
      </c>
      <c r="Y825" s="5">
        <f>DURATION(N825,O825,M825,D825,AD825)</f>
        <v>6.1056474486315944</v>
      </c>
      <c r="Z825" s="5">
        <f>Y825/(1+C825)</f>
        <v>5.6361567186327575</v>
      </c>
      <c r="AA825" s="5">
        <f>-Z825*F825</f>
        <v>-5754.516009724045</v>
      </c>
      <c r="AB825" t="s">
        <v>64</v>
      </c>
      <c r="AC825" t="s">
        <v>62</v>
      </c>
      <c r="AD825">
        <f>_xlfn.SWITCH(PROPER(TRIM(S825)),
   "Annual",1,
   "Semi-Annual",2,
   "Quarterly",4,
   "Monthly",12,
   "")</f>
        <v>1</v>
      </c>
    </row>
    <row r="826" spans="1:30" x14ac:dyDescent="0.35">
      <c r="A826" t="s">
        <v>1321</v>
      </c>
      <c r="B826" t="s">
        <v>527</v>
      </c>
      <c r="C826" s="36">
        <f>RATE(U826,V826,-F826,H826)</f>
        <v>8.4136777311852318E-2</v>
      </c>
      <c r="D826" s="3">
        <f>C826*AD826</f>
        <v>8.4136777311852318E-2</v>
      </c>
      <c r="F826">
        <v>1036</v>
      </c>
      <c r="G826" t="s">
        <v>76</v>
      </c>
      <c r="H826">
        <v>1000</v>
      </c>
      <c r="I826" s="22"/>
      <c r="J826">
        <v>26</v>
      </c>
      <c r="K826" s="22"/>
      <c r="L826">
        <v>6.7254740590715203</v>
      </c>
      <c r="M826" s="22">
        <v>9.0500000000000011E-2</v>
      </c>
      <c r="N826" s="21">
        <v>43570</v>
      </c>
      <c r="O826" s="21">
        <v>46492</v>
      </c>
      <c r="P826">
        <f>ROUND(YEARFRAC(N826,O826),0)</f>
        <v>8</v>
      </c>
      <c r="Q826" s="6">
        <f>(M826*H826)/F826</f>
        <v>8.7355212355212375E-2</v>
      </c>
      <c r="R826" s="5">
        <f>IF(S826="Quarterly",4,IF(S826="Semi-annual",2,IF(S826="Annual",1,IF(S826="Pays at maturity",0,IF(S826="Monthly",12,0)))))</f>
        <v>1</v>
      </c>
      <c r="S826" t="s">
        <v>93</v>
      </c>
      <c r="U826">
        <f>R826*P826</f>
        <v>8</v>
      </c>
      <c r="V826">
        <f>(H826*M826)/AD826</f>
        <v>90.500000000000014</v>
      </c>
      <c r="W826" s="28">
        <f>RATE(U826,V826,-F826,H826)</f>
        <v>8.4136777311852318E-2</v>
      </c>
      <c r="X826" s="27">
        <f>W826*AD826</f>
        <v>8.4136777311852318E-2</v>
      </c>
      <c r="Y826" s="5">
        <f>DURATION(N826,O826,M826,D826,AD826)</f>
        <v>6.0621177937383059</v>
      </c>
      <c r="Z826" s="5">
        <f>Y826/(1+C826)</f>
        <v>5.591654042739421</v>
      </c>
      <c r="AA826" s="5">
        <f>-Z826*F826</f>
        <v>-5792.9535882780401</v>
      </c>
      <c r="AB826" t="s">
        <v>64</v>
      </c>
      <c r="AC826" t="s">
        <v>62</v>
      </c>
      <c r="AD826">
        <f>_xlfn.SWITCH(PROPER(TRIM(S826)),
   "Annual",1,
   "Semi-Annual",2,
   "Quarterly",4,
   "Monthly",12,
   "")</f>
        <v>1</v>
      </c>
    </row>
    <row r="827" spans="1:30" x14ac:dyDescent="0.35">
      <c r="C827" s="28"/>
      <c r="D827" s="27"/>
      <c r="I827" s="22"/>
      <c r="K827" s="22"/>
      <c r="M827" s="22"/>
      <c r="N827" s="21"/>
      <c r="O827" s="21"/>
      <c r="P827" s="5"/>
      <c r="Q827" s="6"/>
      <c r="R827" s="5"/>
      <c r="W827" s="28"/>
      <c r="Y827" s="33"/>
      <c r="Z827" s="33"/>
      <c r="AA827" s="33"/>
    </row>
    <row r="828" spans="1:30" x14ac:dyDescent="0.35">
      <c r="A828" t="s">
        <v>1319</v>
      </c>
      <c r="B828" t="s">
        <v>316</v>
      </c>
      <c r="C828" s="36">
        <f>RATE(U828,V828,-F828,H828)</f>
        <v>0.14151274810936293</v>
      </c>
      <c r="D828" s="3">
        <f>C828*AD828</f>
        <v>0.14151274810936293</v>
      </c>
      <c r="F828">
        <v>858</v>
      </c>
      <c r="G828" t="s">
        <v>76</v>
      </c>
      <c r="H828">
        <v>1000</v>
      </c>
      <c r="I828" s="22"/>
      <c r="J828">
        <v>200</v>
      </c>
      <c r="K828" s="22"/>
      <c r="L828">
        <v>21.168070774369902</v>
      </c>
      <c r="M828" s="22">
        <v>0.1</v>
      </c>
      <c r="N828" s="21">
        <v>44669</v>
      </c>
      <c r="O828" s="21">
        <v>46494</v>
      </c>
      <c r="P828">
        <f>ROUND(YEARFRAC(N828,O828),0)</f>
        <v>5</v>
      </c>
      <c r="Q828" s="6">
        <f>(M828*H828)/F828</f>
        <v>0.11655011655011654</v>
      </c>
      <c r="R828" s="5">
        <f>IF(S828="Quarterly",4,IF(S828="Semi-annual",2,IF(S828="Annual",1,IF(S828="Pays at maturity",0,IF(S828="Monthly",12,0)))))</f>
        <v>1</v>
      </c>
      <c r="S828" t="s">
        <v>93</v>
      </c>
      <c r="U828">
        <f>R828*P828</f>
        <v>5</v>
      </c>
      <c r="V828">
        <f>(H828*M828)/AD828</f>
        <v>100</v>
      </c>
      <c r="W828" s="28">
        <f>RATE(U828,V828,-F828,H828)</f>
        <v>0.14151274810936293</v>
      </c>
      <c r="X828" s="27">
        <f>W828*AD828</f>
        <v>0.14151274810936293</v>
      </c>
      <c r="Y828" s="5">
        <f>DURATION(N828,O828,M828,D828,AD828)</f>
        <v>4.0951311176035663</v>
      </c>
      <c r="Z828" s="5">
        <f>Y828/(1+C828)</f>
        <v>3.5874598197752507</v>
      </c>
      <c r="AA828" s="5">
        <f>-Z828*F828</f>
        <v>-3078.0405253671652</v>
      </c>
      <c r="AB828" t="s">
        <v>64</v>
      </c>
      <c r="AC828" t="s">
        <v>62</v>
      </c>
      <c r="AD828">
        <f>_xlfn.SWITCH(PROPER(TRIM(S828)),
   "Annual",1,
   "Semi-Annual",2,
   "Quarterly",4,
   "Monthly",12,
   "")</f>
        <v>1</v>
      </c>
    </row>
    <row r="829" spans="1:30" x14ac:dyDescent="0.35">
      <c r="A829" t="s">
        <v>1318</v>
      </c>
      <c r="B829" t="s">
        <v>1317</v>
      </c>
      <c r="C829" s="36">
        <f>RATE(U829,V829,-F829,H829)</f>
        <v>2.7061428638861244E-2</v>
      </c>
      <c r="D829" s="3">
        <f>C829*AD829</f>
        <v>5.4122857277722487E-2</v>
      </c>
      <c r="F829">
        <v>960.5</v>
      </c>
      <c r="G829" t="s">
        <v>66</v>
      </c>
      <c r="H829">
        <v>1000</v>
      </c>
      <c r="I829" s="22"/>
      <c r="J829">
        <v>400000</v>
      </c>
      <c r="K829" s="22"/>
      <c r="M829" s="22">
        <v>4.4999999999999998E-2</v>
      </c>
      <c r="N829" s="21">
        <v>44579</v>
      </c>
      <c r="O829" s="21">
        <v>46495</v>
      </c>
      <c r="P829">
        <f>ROUND(YEARFRAC(N829,O829),0)</f>
        <v>5</v>
      </c>
      <c r="Q829" s="6">
        <f>(M829*H829)/F829</f>
        <v>4.6850598646538261E-2</v>
      </c>
      <c r="R829" s="5">
        <f>IF(S829="Quarterly",4,IF(S829="Semi-annual",2,IF(S829="Annual",1,IF(S829="Pays at maturity",0,IF(S829="Monthly",12,0)))))</f>
        <v>2</v>
      </c>
      <c r="S829" t="s">
        <v>65</v>
      </c>
      <c r="U829">
        <f>R829*P829</f>
        <v>10</v>
      </c>
      <c r="V829">
        <f>(H829*M829)/AD829</f>
        <v>22.5</v>
      </c>
      <c r="W829" s="28">
        <f>RATE(U829,V829,-F829,H829)</f>
        <v>2.7061428638861244E-2</v>
      </c>
      <c r="X829" s="27">
        <f>W829*AD829</f>
        <v>5.4122857277722487E-2</v>
      </c>
      <c r="Y829" s="5">
        <f>DURATION(N829,O829,M829,D829,AD829)</f>
        <v>4.6677766817051758</v>
      </c>
      <c r="Z829" s="5">
        <f>Y829/(1+C829)</f>
        <v>4.54478821962116</v>
      </c>
      <c r="AA829" s="5">
        <f>-Z829*F829</f>
        <v>-4365.2690849461242</v>
      </c>
      <c r="AB829" t="s">
        <v>69</v>
      </c>
      <c r="AC829" t="s">
        <v>62</v>
      </c>
      <c r="AD829">
        <f>_xlfn.SWITCH(PROPER(TRIM(S829)),
   "Annual",1,
   "Semi-Annual",2,
   "Quarterly",4,
   "Monthly",12,
   "")</f>
        <v>2</v>
      </c>
    </row>
    <row r="830" spans="1:30" x14ac:dyDescent="0.35">
      <c r="A830" t="s">
        <v>1316</v>
      </c>
      <c r="B830" t="s">
        <v>390</v>
      </c>
      <c r="C830" s="36">
        <f>RATE(U830,V830,-F830,H830)</f>
        <v>0.20366710573552554</v>
      </c>
      <c r="D830" s="3">
        <f>C830*AD830</f>
        <v>0.20366710573552554</v>
      </c>
      <c r="F830">
        <v>830</v>
      </c>
      <c r="G830" t="s">
        <v>76</v>
      </c>
      <c r="H830">
        <v>1000</v>
      </c>
      <c r="I830" s="22"/>
      <c r="J830">
        <v>100</v>
      </c>
      <c r="K830" s="22"/>
      <c r="L830">
        <v>24.6477975393638</v>
      </c>
      <c r="M830" s="22">
        <v>0.1225</v>
      </c>
      <c r="N830" s="21">
        <v>45401</v>
      </c>
      <c r="O830" s="21">
        <v>46496</v>
      </c>
      <c r="P830">
        <f>ROUND(YEARFRAC(N830,O830),0)</f>
        <v>3</v>
      </c>
      <c r="Q830" s="6">
        <f>(M830*H830)/F830</f>
        <v>0.14759036144578314</v>
      </c>
      <c r="R830" s="5">
        <f>IF(S830="Quarterly",4,IF(S830="Semi-annual",2,IF(S830="Annual",1,IF(S830="Pays at maturity",0,IF(S830="Monthly",12,0)))))</f>
        <v>1</v>
      </c>
      <c r="S830" t="s">
        <v>93</v>
      </c>
      <c r="U830">
        <f>R830*P830</f>
        <v>3</v>
      </c>
      <c r="V830">
        <f>(H830*M830)/AD830</f>
        <v>122.5</v>
      </c>
      <c r="W830" s="28">
        <f>RATE(U830,V830,-F830,H830)</f>
        <v>0.20366710573552554</v>
      </c>
      <c r="X830" s="27">
        <f>W830*AD830</f>
        <v>0.20366710573552554</v>
      </c>
      <c r="Y830" s="5">
        <f>DURATION(N830,O830,M830,D830,AD830)</f>
        <v>2.6528957383148772</v>
      </c>
      <c r="Z830" s="5">
        <f>Y830/(1+C830)</f>
        <v>2.2040111636130248</v>
      </c>
      <c r="AA830" s="5">
        <f>-Z830*F830</f>
        <v>-1829.3292657988106</v>
      </c>
      <c r="AB830" t="s">
        <v>64</v>
      </c>
      <c r="AC830" t="s">
        <v>62</v>
      </c>
      <c r="AD830">
        <f>_xlfn.SWITCH(PROPER(TRIM(S830)),
   "Annual",1,
   "Semi-Annual",2,
   "Quarterly",4,
   "Monthly",12,
   "")</f>
        <v>1</v>
      </c>
    </row>
    <row r="831" spans="1:30" x14ac:dyDescent="0.35">
      <c r="C831" s="28"/>
      <c r="D831" s="27"/>
      <c r="I831" s="22"/>
      <c r="K831" s="22"/>
      <c r="M831" s="22"/>
      <c r="N831" s="21"/>
      <c r="O831" s="21"/>
      <c r="P831" s="5"/>
      <c r="Q831" s="6"/>
      <c r="R831" s="5"/>
      <c r="W831" s="28"/>
      <c r="Y831" s="33"/>
      <c r="Z831" s="33"/>
      <c r="AA831" s="33"/>
    </row>
    <row r="832" spans="1:30" x14ac:dyDescent="0.35">
      <c r="A832" t="s">
        <v>1314</v>
      </c>
      <c r="B832" t="s">
        <v>390</v>
      </c>
      <c r="C832" s="36">
        <f t="shared" ref="C832:C839" si="520">RATE(U832,V832,-F832,H832)</f>
        <v>0.12125173448941574</v>
      </c>
      <c r="D832" s="3">
        <f t="shared" ref="D832:D839" si="521">C832*AD832</f>
        <v>0.12125173448941574</v>
      </c>
      <c r="F832">
        <v>997</v>
      </c>
      <c r="G832" t="s">
        <v>76</v>
      </c>
      <c r="H832">
        <v>1000</v>
      </c>
      <c r="I832" s="22"/>
      <c r="J832">
        <v>44</v>
      </c>
      <c r="K832" s="22"/>
      <c r="L832">
        <v>12.204043322628401</v>
      </c>
      <c r="M832" s="22">
        <v>0.12</v>
      </c>
      <c r="N832" s="21">
        <v>45401</v>
      </c>
      <c r="O832" s="21">
        <v>46496</v>
      </c>
      <c r="P832">
        <f t="shared" ref="P832:P839" si="522">ROUND(YEARFRAC(N832,O832),0)</f>
        <v>3</v>
      </c>
      <c r="Q832" s="6">
        <f t="shared" ref="Q832:Q839" si="523">(M832*H832)/F832</f>
        <v>0.12036108324974924</v>
      </c>
      <c r="R832" s="5">
        <f t="shared" ref="R832:R839" si="524">IF(S832="Quarterly",4,IF(S832="Semi-annual",2,IF(S832="Annual",1,IF(S832="Pays at maturity",0,IF(S832="Monthly",12,0)))))</f>
        <v>1</v>
      </c>
      <c r="S832" t="s">
        <v>93</v>
      </c>
      <c r="U832">
        <f t="shared" ref="U832:U839" si="525">R832*P832</f>
        <v>3</v>
      </c>
      <c r="V832">
        <f t="shared" ref="V832:V839" si="526">(H832*M832)/AD832</f>
        <v>120</v>
      </c>
      <c r="W832" s="28">
        <f t="shared" ref="W832:W839" si="527">RATE(U832,V832,-F832,H832)</f>
        <v>0.12125173448941574</v>
      </c>
      <c r="X832" s="27">
        <f t="shared" ref="X832:X839" si="528">W832*AD832</f>
        <v>0.12125173448941574</v>
      </c>
      <c r="Y832" s="5">
        <f t="shared" ref="Y832:Y839" si="529">DURATION(N832,O832,M832,D832,AD832)</f>
        <v>2.6895724327977626</v>
      </c>
      <c r="Z832" s="5">
        <f t="shared" ref="Z832:Z839" si="530">Y832/(1+C832)</f>
        <v>2.3987230967562452</v>
      </c>
      <c r="AA832" s="5">
        <f t="shared" ref="AA832:AA839" si="531">-Z832*F832</f>
        <v>-2391.5269274659763</v>
      </c>
      <c r="AB832" t="s">
        <v>64</v>
      </c>
      <c r="AC832" t="s">
        <v>62</v>
      </c>
      <c r="AD832">
        <f t="shared" ref="AD832:AD839" si="532">_xlfn.SWITCH(PROPER(TRIM(S832)),
   "Annual",1,
   "Semi-Annual",2,
   "Quarterly",4,
   "Monthly",12,
   "")</f>
        <v>1</v>
      </c>
    </row>
    <row r="833" spans="1:30" x14ac:dyDescent="0.35">
      <c r="A833" t="s">
        <v>1313</v>
      </c>
      <c r="B833" t="s">
        <v>483</v>
      </c>
      <c r="C833" s="36">
        <f t="shared" si="520"/>
        <v>9.3759921566940949E-2</v>
      </c>
      <c r="D833" s="3">
        <f t="shared" si="521"/>
        <v>9.3759921566940949E-2</v>
      </c>
      <c r="F833">
        <v>998.67</v>
      </c>
      <c r="G833" t="s">
        <v>76</v>
      </c>
      <c r="H833">
        <v>1000</v>
      </c>
      <c r="I833" s="22"/>
      <c r="J833">
        <v>47</v>
      </c>
      <c r="K833" s="22"/>
      <c r="L833">
        <v>9.3848290655782307</v>
      </c>
      <c r="M833" s="22">
        <v>9.3000000000000013E-2</v>
      </c>
      <c r="N833" s="21">
        <v>45768</v>
      </c>
      <c r="O833" s="21">
        <v>46498</v>
      </c>
      <c r="P833">
        <f t="shared" si="522"/>
        <v>2</v>
      </c>
      <c r="Q833" s="6">
        <f t="shared" si="523"/>
        <v>9.3123854726786651E-2</v>
      </c>
      <c r="R833" s="5">
        <f t="shared" si="524"/>
        <v>1</v>
      </c>
      <c r="S833" t="s">
        <v>93</v>
      </c>
      <c r="U833">
        <f t="shared" si="525"/>
        <v>2</v>
      </c>
      <c r="V833">
        <f t="shared" si="526"/>
        <v>93.000000000000014</v>
      </c>
      <c r="W833" s="28">
        <f t="shared" si="527"/>
        <v>9.3759921566940949E-2</v>
      </c>
      <c r="X833" s="27">
        <f t="shared" si="528"/>
        <v>9.3759921566940949E-2</v>
      </c>
      <c r="Y833" s="5">
        <f t="shared" si="529"/>
        <v>1.9148589622908299</v>
      </c>
      <c r="Z833" s="5">
        <f t="shared" si="530"/>
        <v>1.7507123131258706</v>
      </c>
      <c r="AA833" s="5">
        <f t="shared" si="531"/>
        <v>-1748.3838657494132</v>
      </c>
      <c r="AB833" t="s">
        <v>64</v>
      </c>
      <c r="AC833" t="s">
        <v>62</v>
      </c>
      <c r="AD833">
        <f t="shared" si="532"/>
        <v>1</v>
      </c>
    </row>
    <row r="834" spans="1:30" x14ac:dyDescent="0.35">
      <c r="A834" t="s">
        <v>1312</v>
      </c>
      <c r="B834" t="s">
        <v>1311</v>
      </c>
      <c r="C834" s="36">
        <f t="shared" si="520"/>
        <v>2.0583032814448371E-2</v>
      </c>
      <c r="D834" s="3">
        <f t="shared" si="521"/>
        <v>4.1166065628896742E-2</v>
      </c>
      <c r="F834">
        <v>990.52</v>
      </c>
      <c r="G834" t="s">
        <v>66</v>
      </c>
      <c r="H834">
        <v>1000</v>
      </c>
      <c r="I834" s="22"/>
      <c r="J834">
        <v>600000</v>
      </c>
      <c r="K834" s="22"/>
      <c r="M834" s="22">
        <v>0.04</v>
      </c>
      <c r="N834" s="21">
        <v>42846</v>
      </c>
      <c r="O834" s="21">
        <v>46498</v>
      </c>
      <c r="P834">
        <f t="shared" si="522"/>
        <v>10</v>
      </c>
      <c r="Q834" s="6">
        <f t="shared" si="523"/>
        <v>4.0382829221015222E-2</v>
      </c>
      <c r="R834" s="5">
        <f t="shared" si="524"/>
        <v>2</v>
      </c>
      <c r="S834" t="s">
        <v>65</v>
      </c>
      <c r="U834">
        <f t="shared" si="525"/>
        <v>20</v>
      </c>
      <c r="V834">
        <f t="shared" si="526"/>
        <v>20</v>
      </c>
      <c r="W834" s="28">
        <f t="shared" si="527"/>
        <v>2.0583032814448371E-2</v>
      </c>
      <c r="X834" s="27">
        <f t="shared" si="528"/>
        <v>4.1166065628896742E-2</v>
      </c>
      <c r="Y834" s="5">
        <f t="shared" si="529"/>
        <v>8.3296378100956243</v>
      </c>
      <c r="Z834" s="5">
        <f t="shared" si="530"/>
        <v>8.1616463749403056</v>
      </c>
      <c r="AA834" s="5">
        <f t="shared" si="531"/>
        <v>-8084.2739673058713</v>
      </c>
      <c r="AB834" t="s">
        <v>64</v>
      </c>
      <c r="AC834" t="s">
        <v>62</v>
      </c>
      <c r="AD834">
        <f t="shared" si="532"/>
        <v>2</v>
      </c>
    </row>
    <row r="835" spans="1:30" x14ac:dyDescent="0.35">
      <c r="A835" t="s">
        <v>1310</v>
      </c>
      <c r="B835" t="s">
        <v>261</v>
      </c>
      <c r="C835" s="36">
        <f t="shared" si="520"/>
        <v>3.0609400895231238E-2</v>
      </c>
      <c r="D835" s="3">
        <f t="shared" si="521"/>
        <v>6.1218801790462476E-2</v>
      </c>
      <c r="F835">
        <v>1013.6</v>
      </c>
      <c r="G835" t="s">
        <v>66</v>
      </c>
      <c r="H835">
        <v>1000</v>
      </c>
      <c r="I835" s="22"/>
      <c r="J835">
        <v>0</v>
      </c>
      <c r="K835" s="22"/>
      <c r="M835" s="22">
        <v>6.6250000000000003E-2</v>
      </c>
      <c r="N835" s="21">
        <v>45313</v>
      </c>
      <c r="O835" s="21">
        <v>46499</v>
      </c>
      <c r="P835">
        <f t="shared" si="522"/>
        <v>3</v>
      </c>
      <c r="Q835" s="6">
        <f t="shared" si="523"/>
        <v>6.5361089187056035E-2</v>
      </c>
      <c r="R835" s="5">
        <f t="shared" si="524"/>
        <v>2</v>
      </c>
      <c r="S835" t="s">
        <v>65</v>
      </c>
      <c r="U835">
        <f t="shared" si="525"/>
        <v>6</v>
      </c>
      <c r="V835">
        <f t="shared" si="526"/>
        <v>33.125</v>
      </c>
      <c r="W835" s="28">
        <f t="shared" si="527"/>
        <v>3.0609400895231238E-2</v>
      </c>
      <c r="X835" s="27">
        <f t="shared" si="528"/>
        <v>6.1218801790462476E-2</v>
      </c>
      <c r="Y835" s="5">
        <f t="shared" si="529"/>
        <v>2.93368202180263</v>
      </c>
      <c r="Z835" s="5">
        <f t="shared" si="530"/>
        <v>2.8465508069830419</v>
      </c>
      <c r="AA835" s="5">
        <f t="shared" si="531"/>
        <v>-2885.2638979580115</v>
      </c>
      <c r="AB835" t="s">
        <v>64</v>
      </c>
      <c r="AC835" t="s">
        <v>62</v>
      </c>
      <c r="AD835">
        <f t="shared" si="532"/>
        <v>2</v>
      </c>
    </row>
    <row r="836" spans="1:30" x14ac:dyDescent="0.35">
      <c r="A836" t="s">
        <v>1309</v>
      </c>
      <c r="B836" t="s">
        <v>923</v>
      </c>
      <c r="C836" s="36">
        <f t="shared" si="520"/>
        <v>0.12644941539055291</v>
      </c>
      <c r="D836" s="3">
        <f t="shared" si="521"/>
        <v>0.12644941539055291</v>
      </c>
      <c r="F836">
        <v>97042.69</v>
      </c>
      <c r="G836" t="s">
        <v>76</v>
      </c>
      <c r="H836">
        <v>100000</v>
      </c>
      <c r="I836" s="22"/>
      <c r="J836">
        <v>4</v>
      </c>
      <c r="K836" s="22"/>
      <c r="L836">
        <v>13.3712213869051</v>
      </c>
      <c r="M836" s="22">
        <v>0.114</v>
      </c>
      <c r="N836" s="21">
        <v>45587</v>
      </c>
      <c r="O836" s="21">
        <v>46499</v>
      </c>
      <c r="P836">
        <f t="shared" si="522"/>
        <v>3</v>
      </c>
      <c r="Q836" s="6">
        <f t="shared" si="523"/>
        <v>0.11747407249325013</v>
      </c>
      <c r="R836" s="5">
        <f t="shared" si="524"/>
        <v>1</v>
      </c>
      <c r="S836" t="s">
        <v>93</v>
      </c>
      <c r="U836">
        <f t="shared" si="525"/>
        <v>3</v>
      </c>
      <c r="V836">
        <f t="shared" si="526"/>
        <v>11400</v>
      </c>
      <c r="W836" s="28">
        <f t="shared" si="527"/>
        <v>0.12644941539055291</v>
      </c>
      <c r="X836" s="27">
        <f t="shared" si="528"/>
        <v>0.12644941539055291</v>
      </c>
      <c r="Y836" s="5">
        <f t="shared" si="529"/>
        <v>2.1988456135600711</v>
      </c>
      <c r="Z836" s="5">
        <f t="shared" si="530"/>
        <v>1.9520145188212523</v>
      </c>
      <c r="AA836" s="5">
        <f t="shared" si="531"/>
        <v>-189428.73982546997</v>
      </c>
      <c r="AB836" t="s">
        <v>64</v>
      </c>
      <c r="AC836" t="s">
        <v>62</v>
      </c>
      <c r="AD836">
        <f t="shared" si="532"/>
        <v>1</v>
      </c>
    </row>
    <row r="837" spans="1:30" x14ac:dyDescent="0.35">
      <c r="A837" t="s">
        <v>1308</v>
      </c>
      <c r="B837" t="s">
        <v>598</v>
      </c>
      <c r="C837" s="36">
        <f t="shared" si="520"/>
        <v>0.1072581042327008</v>
      </c>
      <c r="D837" s="3">
        <f t="shared" si="521"/>
        <v>0.1072581042327008</v>
      </c>
      <c r="F837">
        <v>992</v>
      </c>
      <c r="G837" t="s">
        <v>76</v>
      </c>
      <c r="H837">
        <v>1000</v>
      </c>
      <c r="I837" s="22"/>
      <c r="J837">
        <v>10</v>
      </c>
      <c r="K837" s="22"/>
      <c r="L837">
        <v>10.9025833983389</v>
      </c>
      <c r="M837" s="22">
        <v>0.10400000000000001</v>
      </c>
      <c r="N837" s="21">
        <v>45589</v>
      </c>
      <c r="O837" s="21">
        <v>46501</v>
      </c>
      <c r="P837">
        <f t="shared" si="522"/>
        <v>3</v>
      </c>
      <c r="Q837" s="6">
        <f t="shared" si="523"/>
        <v>0.10483870967741937</v>
      </c>
      <c r="R837" s="5">
        <f t="shared" si="524"/>
        <v>1</v>
      </c>
      <c r="S837" t="s">
        <v>93</v>
      </c>
      <c r="U837">
        <f t="shared" si="525"/>
        <v>3</v>
      </c>
      <c r="V837">
        <f t="shared" si="526"/>
        <v>104.00000000000001</v>
      </c>
      <c r="W837" s="28">
        <f t="shared" si="527"/>
        <v>0.1072581042327008</v>
      </c>
      <c r="X837" s="27">
        <f t="shared" si="528"/>
        <v>0.1072581042327008</v>
      </c>
      <c r="Y837" s="5">
        <f t="shared" si="529"/>
        <v>2.2251222724645814</v>
      </c>
      <c r="Z837" s="5">
        <f t="shared" si="530"/>
        <v>2.0095786736250889</v>
      </c>
      <c r="AA837" s="5">
        <f t="shared" si="531"/>
        <v>-1993.5020442360883</v>
      </c>
      <c r="AB837" t="s">
        <v>64</v>
      </c>
      <c r="AC837" t="s">
        <v>62</v>
      </c>
      <c r="AD837">
        <f t="shared" si="532"/>
        <v>1</v>
      </c>
    </row>
    <row r="838" spans="1:30" x14ac:dyDescent="0.35">
      <c r="A838" t="s">
        <v>1307</v>
      </c>
      <c r="B838" t="s">
        <v>478</v>
      </c>
      <c r="C838" s="36">
        <f t="shared" si="520"/>
        <v>9.6507438603273446E-2</v>
      </c>
      <c r="D838" s="3">
        <f t="shared" si="521"/>
        <v>9.6507438603273446E-2</v>
      </c>
      <c r="F838">
        <v>1006.09</v>
      </c>
      <c r="G838" t="s">
        <v>76</v>
      </c>
      <c r="H838">
        <v>1000</v>
      </c>
      <c r="I838" s="22"/>
      <c r="J838">
        <v>50</v>
      </c>
      <c r="K838" s="22"/>
      <c r="L838">
        <v>9.5974570592644906</v>
      </c>
      <c r="M838" s="22">
        <v>0.1</v>
      </c>
      <c r="N838" s="21">
        <v>45771</v>
      </c>
      <c r="O838" s="21">
        <v>46501</v>
      </c>
      <c r="P838">
        <f t="shared" si="522"/>
        <v>2</v>
      </c>
      <c r="Q838" s="6">
        <f t="shared" si="523"/>
        <v>9.9394686360067194E-2</v>
      </c>
      <c r="R838" s="5">
        <f t="shared" si="524"/>
        <v>1</v>
      </c>
      <c r="S838" t="s">
        <v>93</v>
      </c>
      <c r="U838">
        <f t="shared" si="525"/>
        <v>2</v>
      </c>
      <c r="V838">
        <f t="shared" si="526"/>
        <v>100</v>
      </c>
      <c r="W838" s="28">
        <f t="shared" si="527"/>
        <v>9.6507438603273446E-2</v>
      </c>
      <c r="X838" s="27">
        <f t="shared" si="528"/>
        <v>9.6507438603273446E-2</v>
      </c>
      <c r="Y838" s="5">
        <f t="shared" si="529"/>
        <v>1.9093533861597096</v>
      </c>
      <c r="Z838" s="5">
        <f t="shared" si="530"/>
        <v>1.7413045447204956</v>
      </c>
      <c r="AA838" s="5">
        <f t="shared" si="531"/>
        <v>-1751.9090893978434</v>
      </c>
      <c r="AB838" t="s">
        <v>64</v>
      </c>
      <c r="AC838" t="s">
        <v>62</v>
      </c>
      <c r="AD838">
        <f t="shared" si="532"/>
        <v>1</v>
      </c>
    </row>
    <row r="839" spans="1:30" x14ac:dyDescent="0.35">
      <c r="A839" t="s">
        <v>1306</v>
      </c>
      <c r="B839" t="s">
        <v>598</v>
      </c>
      <c r="C839" s="36">
        <f t="shared" si="520"/>
        <v>0.10731855256463999</v>
      </c>
      <c r="D839" s="3">
        <f t="shared" si="521"/>
        <v>0.10731855256463999</v>
      </c>
      <c r="F839">
        <v>990</v>
      </c>
      <c r="G839" t="s">
        <v>76</v>
      </c>
      <c r="H839">
        <v>1000</v>
      </c>
      <c r="I839" s="22"/>
      <c r="J839">
        <v>201</v>
      </c>
      <c r="K839" s="22"/>
      <c r="L839">
        <v>10.827699774657599</v>
      </c>
      <c r="M839" s="22">
        <v>0.10150000000000001</v>
      </c>
      <c r="N839" s="21">
        <v>45771</v>
      </c>
      <c r="O839" s="21">
        <v>46501</v>
      </c>
      <c r="P839">
        <f t="shared" si="522"/>
        <v>2</v>
      </c>
      <c r="Q839" s="6">
        <f t="shared" si="523"/>
        <v>0.10252525252525252</v>
      </c>
      <c r="R839" s="5">
        <f t="shared" si="524"/>
        <v>1</v>
      </c>
      <c r="S839" t="s">
        <v>93</v>
      </c>
      <c r="U839">
        <f t="shared" si="525"/>
        <v>2</v>
      </c>
      <c r="V839">
        <f t="shared" si="526"/>
        <v>101.5</v>
      </c>
      <c r="W839" s="28">
        <f t="shared" si="527"/>
        <v>0.10731855256463999</v>
      </c>
      <c r="X839" s="27">
        <f t="shared" si="528"/>
        <v>0.10731855256463999</v>
      </c>
      <c r="Y839" s="5">
        <f t="shared" si="529"/>
        <v>1.9074112392610096</v>
      </c>
      <c r="Z839" s="5">
        <f t="shared" si="530"/>
        <v>1.722549698858824</v>
      </c>
      <c r="AA839" s="5">
        <f t="shared" si="531"/>
        <v>-1705.3242018702358</v>
      </c>
      <c r="AB839" t="s">
        <v>64</v>
      </c>
      <c r="AC839" t="s">
        <v>62</v>
      </c>
      <c r="AD839">
        <f t="shared" si="532"/>
        <v>1</v>
      </c>
    </row>
    <row r="840" spans="1:30" x14ac:dyDescent="0.35">
      <c r="C840" s="28"/>
      <c r="D840" s="27"/>
      <c r="I840" s="22"/>
      <c r="K840" s="22"/>
      <c r="M840" s="22"/>
      <c r="N840" s="21"/>
      <c r="O840" s="21"/>
      <c r="P840" s="5"/>
      <c r="Q840" s="6"/>
      <c r="R840" s="5"/>
      <c r="W840" s="28"/>
      <c r="Y840" s="33"/>
      <c r="Z840" s="33"/>
      <c r="AA840" s="33"/>
    </row>
    <row r="841" spans="1:30" x14ac:dyDescent="0.35">
      <c r="A841" t="s">
        <v>1304</v>
      </c>
      <c r="B841" t="s">
        <v>316</v>
      </c>
      <c r="C841" s="36">
        <f>RATE(U841,V841,-F841,H841)</f>
        <v>0.10763342346190424</v>
      </c>
      <c r="D841" s="3">
        <f>C841*AD841</f>
        <v>0.10763342346190424</v>
      </c>
      <c r="F841">
        <v>969</v>
      </c>
      <c r="G841" t="s">
        <v>76</v>
      </c>
      <c r="H841">
        <v>1000</v>
      </c>
      <c r="I841" s="22"/>
      <c r="J841">
        <v>20</v>
      </c>
      <c r="K841" s="22"/>
      <c r="L841">
        <v>11.592127783651501</v>
      </c>
      <c r="M841" s="22">
        <v>9.5000000000000001E-2</v>
      </c>
      <c r="N841" s="21">
        <v>45408</v>
      </c>
      <c r="O841" s="21">
        <v>46502</v>
      </c>
      <c r="P841">
        <f>ROUND(YEARFRAC(N841,O841),0)</f>
        <v>3</v>
      </c>
      <c r="Q841" s="6">
        <f>(M841*H841)/F841</f>
        <v>9.8039215686274508E-2</v>
      </c>
      <c r="R841" s="5">
        <f>IF(S841="Quarterly",4,IF(S841="Semi-annual",2,IF(S841="Annual",1,IF(S841="Pays at maturity",0,IF(S841="Monthly",12,0)))))</f>
        <v>1</v>
      </c>
      <c r="S841" t="s">
        <v>93</v>
      </c>
      <c r="U841">
        <f>R841*P841</f>
        <v>3</v>
      </c>
      <c r="V841">
        <f>(H841*M841)/AD841</f>
        <v>95</v>
      </c>
      <c r="W841" s="28">
        <f>RATE(U841,V841,-F841,H841)</f>
        <v>0.10763342346190424</v>
      </c>
      <c r="X841" s="27">
        <f>W841*AD841</f>
        <v>0.10763342346190424</v>
      </c>
      <c r="Y841" s="5">
        <f>DURATION(N841,O841,M841,D841,AD841)</f>
        <v>2.7402863480631217</v>
      </c>
      <c r="Z841" s="5">
        <f>Y841/(1+C841)</f>
        <v>2.4740011361325362</v>
      </c>
      <c r="AA841" s="5">
        <f>-Z841*F841</f>
        <v>-2397.3071009124278</v>
      </c>
      <c r="AB841" t="s">
        <v>64</v>
      </c>
      <c r="AC841" t="s">
        <v>62</v>
      </c>
      <c r="AD841">
        <f>_xlfn.SWITCH(PROPER(TRIM(S841)),
   "Annual",1,
   "Semi-Annual",2,
   "Quarterly",4,
   "Monthly",12,
   "")</f>
        <v>1</v>
      </c>
    </row>
    <row r="842" spans="1:30" x14ac:dyDescent="0.35">
      <c r="A842" t="s">
        <v>1303</v>
      </c>
      <c r="B842" t="s">
        <v>460</v>
      </c>
      <c r="C842" s="36">
        <f>RATE(U842,V842,-F842,H842)</f>
        <v>0.10404984922010593</v>
      </c>
      <c r="D842" s="3">
        <f>C842*AD842</f>
        <v>0.10404984922010593</v>
      </c>
      <c r="F842">
        <v>99000</v>
      </c>
      <c r="G842" t="s">
        <v>76</v>
      </c>
      <c r="H842">
        <v>100000</v>
      </c>
      <c r="I842" s="22"/>
      <c r="J842">
        <v>1</v>
      </c>
      <c r="K842" s="22"/>
      <c r="L842">
        <v>10.6630327666913</v>
      </c>
      <c r="M842" s="22">
        <v>0.1</v>
      </c>
      <c r="N842" s="21">
        <v>45407</v>
      </c>
      <c r="O842" s="21">
        <v>46502</v>
      </c>
      <c r="P842">
        <f>ROUND(YEARFRAC(N842,O842),0)</f>
        <v>3</v>
      </c>
      <c r="Q842" s="6">
        <f>(M842*H842)/F842</f>
        <v>0.10101010101010101</v>
      </c>
      <c r="R842" s="5">
        <f>IF(S842="Quarterly",4,IF(S842="Semi-annual",2,IF(S842="Annual",1,IF(S842="Pays at maturity",0,IF(S842="Monthly",12,0)))))</f>
        <v>1</v>
      </c>
      <c r="S842" t="s">
        <v>93</v>
      </c>
      <c r="U842">
        <f>R842*P842</f>
        <v>3</v>
      </c>
      <c r="V842">
        <f>(H842*M842)/AD842</f>
        <v>10000</v>
      </c>
      <c r="W842" s="28">
        <f>RATE(U842,V842,-F842,H842)</f>
        <v>0.10404984922010593</v>
      </c>
      <c r="X842" s="27">
        <f>W842*AD842</f>
        <v>0.10404984922010593</v>
      </c>
      <c r="Y842" s="5">
        <f>DURATION(N842,O842,M842,D842,AD842)</f>
        <v>2.7341508376253594</v>
      </c>
      <c r="Z842" s="5">
        <f>Y842/(1+C842)</f>
        <v>2.4764740827207641</v>
      </c>
      <c r="AA842" s="5">
        <f>-Z842*F842</f>
        <v>-245170.93418935564</v>
      </c>
      <c r="AB842" t="s">
        <v>64</v>
      </c>
      <c r="AC842" t="s">
        <v>62</v>
      </c>
      <c r="AD842">
        <f>_xlfn.SWITCH(PROPER(TRIM(S842)),
   "Annual",1,
   "Semi-Annual",2,
   "Quarterly",4,
   "Monthly",12,
   "")</f>
        <v>1</v>
      </c>
    </row>
    <row r="843" spans="1:30" x14ac:dyDescent="0.35">
      <c r="C843" s="28"/>
      <c r="D843" s="27"/>
      <c r="I843" s="22"/>
      <c r="K843" s="22"/>
      <c r="M843" s="22"/>
      <c r="N843" s="21"/>
      <c r="O843" s="21"/>
      <c r="P843" s="5"/>
      <c r="Q843" s="6"/>
      <c r="R843" s="5"/>
      <c r="W843" s="28"/>
      <c r="Y843" s="33"/>
      <c r="Z843" s="33"/>
      <c r="AA843" s="33"/>
    </row>
    <row r="844" spans="1:30" x14ac:dyDescent="0.35">
      <c r="A844" t="s">
        <v>1301</v>
      </c>
      <c r="B844" t="s">
        <v>128</v>
      </c>
      <c r="C844" s="36">
        <f>RATE(U844,V844,-F844,H844)</f>
        <v>9.6420846936660379E-2</v>
      </c>
      <c r="D844" s="3">
        <f>C844*AD844</f>
        <v>9.6420846936660379E-2</v>
      </c>
      <c r="F844">
        <v>985</v>
      </c>
      <c r="G844" t="s">
        <v>76</v>
      </c>
      <c r="H844">
        <v>1000</v>
      </c>
      <c r="I844" s="22"/>
      <c r="J844">
        <v>137</v>
      </c>
      <c r="K844" s="22"/>
      <c r="L844">
        <v>10.2473152761374</v>
      </c>
      <c r="M844" s="22">
        <v>9.2499999999999999E-2</v>
      </c>
      <c r="N844" s="21">
        <v>44679</v>
      </c>
      <c r="O844" s="21">
        <v>46505</v>
      </c>
      <c r="P844">
        <f>ROUND(YEARFRAC(N844,O844),0)</f>
        <v>5</v>
      </c>
      <c r="Q844" s="6">
        <f>(M844*H844)/F844</f>
        <v>9.3908629441624369E-2</v>
      </c>
      <c r="R844" s="5">
        <f>IF(S844="Quarterly",4,IF(S844="Semi-annual",2,IF(S844="Annual",1,IF(S844="Pays at maturity",0,IF(S844="Monthly",12,0)))))</f>
        <v>1</v>
      </c>
      <c r="S844" t="s">
        <v>93</v>
      </c>
      <c r="U844">
        <f>R844*P844</f>
        <v>5</v>
      </c>
      <c r="V844">
        <f>(H844*M844)/AD844</f>
        <v>92.5</v>
      </c>
      <c r="W844" s="28">
        <f>RATE(U844,V844,-F844,H844)</f>
        <v>9.6420846936660379E-2</v>
      </c>
      <c r="X844" s="27">
        <f>W844*AD844</f>
        <v>9.6420846936660379E-2</v>
      </c>
      <c r="Y844" s="5">
        <f>DURATION(N844,O844,M844,D844,AD844)</f>
        <v>4.2155666165849137</v>
      </c>
      <c r="Z844" s="5">
        <f>Y844/(1+C844)</f>
        <v>3.8448435455810381</v>
      </c>
      <c r="AA844" s="5">
        <f>-Z844*F844</f>
        <v>-3787.1708923973224</v>
      </c>
      <c r="AB844" t="s">
        <v>64</v>
      </c>
      <c r="AC844" t="s">
        <v>62</v>
      </c>
      <c r="AD844">
        <f>_xlfn.SWITCH(PROPER(TRIM(S844)),
   "Annual",1,
   "Semi-Annual",2,
   "Quarterly",4,
   "Monthly",12,
   "")</f>
        <v>1</v>
      </c>
    </row>
    <row r="845" spans="1:30" x14ac:dyDescent="0.35">
      <c r="A845" t="s">
        <v>1300</v>
      </c>
      <c r="B845" t="s">
        <v>316</v>
      </c>
      <c r="C845" s="36">
        <f>RATE(U845,V845,-F845,H845)</f>
        <v>9.5343526377681204E-2</v>
      </c>
      <c r="D845" s="3">
        <f>C845*AD845</f>
        <v>9.5343526377681204E-2</v>
      </c>
      <c r="F845">
        <v>998.9</v>
      </c>
      <c r="G845" t="s">
        <v>76</v>
      </c>
      <c r="H845">
        <v>1000</v>
      </c>
      <c r="I845" s="22"/>
      <c r="J845">
        <v>83</v>
      </c>
      <c r="K845" s="22"/>
      <c r="L845">
        <v>9.5707226975159898</v>
      </c>
      <c r="M845" s="22">
        <v>9.5000000000000001E-2</v>
      </c>
      <c r="N845" s="21">
        <v>45045</v>
      </c>
      <c r="O845" s="21">
        <v>46505</v>
      </c>
      <c r="P845">
        <f>ROUND(YEARFRAC(N845,O845),0)</f>
        <v>4</v>
      </c>
      <c r="Q845" s="6">
        <f>(M845*H845)/F845</f>
        <v>9.5104615076584242E-2</v>
      </c>
      <c r="R845" s="5">
        <f>IF(S845="Quarterly",4,IF(S845="Semi-annual",2,IF(S845="Annual",1,IF(S845="Pays at maturity",0,IF(S845="Monthly",12,0)))))</f>
        <v>1</v>
      </c>
      <c r="S845" t="s">
        <v>93</v>
      </c>
      <c r="U845">
        <f>R845*P845</f>
        <v>4</v>
      </c>
      <c r="V845">
        <f>(H845*M845)/AD845</f>
        <v>95</v>
      </c>
      <c r="W845" s="28">
        <f>RATE(U845,V845,-F845,H845)</f>
        <v>9.5343526377681204E-2</v>
      </c>
      <c r="X845" s="27">
        <f>W845*AD845</f>
        <v>9.5343526377681204E-2</v>
      </c>
      <c r="Y845" s="5">
        <f>DURATION(N845,O845,M845,D845,AD845)</f>
        <v>3.5058375921696401</v>
      </c>
      <c r="Z845" s="5">
        <f>Y845/(1+C845)</f>
        <v>3.2006740422007165</v>
      </c>
      <c r="AA845" s="5">
        <f>-Z845*F845</f>
        <v>-3197.1533007542957</v>
      </c>
      <c r="AB845" t="s">
        <v>64</v>
      </c>
      <c r="AC845" t="s">
        <v>62</v>
      </c>
      <c r="AD845">
        <f>_xlfn.SWITCH(PROPER(TRIM(S845)),
   "Annual",1,
   "Semi-Annual",2,
   "Quarterly",4,
   "Monthly",12,
   "")</f>
        <v>1</v>
      </c>
    </row>
    <row r="846" spans="1:30" x14ac:dyDescent="0.35">
      <c r="A846" t="s">
        <v>1299</v>
      </c>
      <c r="B846" t="s">
        <v>128</v>
      </c>
      <c r="C846" s="36">
        <f>RATE(U846,V846,-F846,H846)</f>
        <v>9.9409650211512574E-2</v>
      </c>
      <c r="D846" s="3">
        <f>C846*AD846</f>
        <v>9.9409650211512574E-2</v>
      </c>
      <c r="F846">
        <v>960.1</v>
      </c>
      <c r="G846" t="s">
        <v>76</v>
      </c>
      <c r="H846">
        <v>1000</v>
      </c>
      <c r="I846" s="22"/>
      <c r="J846">
        <v>195</v>
      </c>
      <c r="K846" s="22"/>
      <c r="L846">
        <v>11.5895185649344</v>
      </c>
      <c r="M846" s="22">
        <v>8.8900000000000007E-2</v>
      </c>
      <c r="N846" s="21">
        <v>44679</v>
      </c>
      <c r="O846" s="21">
        <v>46505</v>
      </c>
      <c r="P846">
        <f>ROUND(YEARFRAC(N846,O846),0)</f>
        <v>5</v>
      </c>
      <c r="Q846" s="6">
        <f>(M846*H846)/F846</f>
        <v>9.2594521404020413E-2</v>
      </c>
      <c r="R846" s="5">
        <f>IF(S846="Quarterly",4,IF(S846="Semi-annual",2,IF(S846="Annual",1,IF(S846="Pays at maturity",0,IF(S846="Monthly",12,0)))))</f>
        <v>1</v>
      </c>
      <c r="S846" t="s">
        <v>93</v>
      </c>
      <c r="U846">
        <f>R846*P846</f>
        <v>5</v>
      </c>
      <c r="V846">
        <f>(H846*M846)/AD846</f>
        <v>88.9</v>
      </c>
      <c r="W846" s="28">
        <f>RATE(U846,V846,-F846,H846)</f>
        <v>9.9409650211512574E-2</v>
      </c>
      <c r="X846" s="27">
        <f>W846*AD846</f>
        <v>9.9409650211512574E-2</v>
      </c>
      <c r="Y846" s="5">
        <f>DURATION(N846,O846,M846,D846,AD846)</f>
        <v>4.2305532642937598</v>
      </c>
      <c r="Z846" s="5">
        <f>Y846/(1+C846)</f>
        <v>3.8480226760606064</v>
      </c>
      <c r="AA846" s="5">
        <f>-Z846*F846</f>
        <v>-3694.4865712857882</v>
      </c>
      <c r="AB846" t="s">
        <v>64</v>
      </c>
      <c r="AC846" t="s">
        <v>62</v>
      </c>
      <c r="AD846">
        <f>_xlfn.SWITCH(PROPER(TRIM(S846)),
   "Annual",1,
   "Semi-Annual",2,
   "Quarterly",4,
   "Monthly",12,
   "")</f>
        <v>1</v>
      </c>
    </row>
    <row r="847" spans="1:30" x14ac:dyDescent="0.35">
      <c r="A847" t="s">
        <v>1298</v>
      </c>
      <c r="B847" t="s">
        <v>1297</v>
      </c>
      <c r="C847" s="36">
        <f>RATE(U847,V847,-F847,H847)</f>
        <v>2.6627798178413202E-2</v>
      </c>
      <c r="D847" s="3">
        <f>C847*AD847</f>
        <v>5.3255596356826404E-2</v>
      </c>
      <c r="F847">
        <v>994.2</v>
      </c>
      <c r="G847" t="s">
        <v>66</v>
      </c>
      <c r="H847">
        <v>1000</v>
      </c>
      <c r="I847" s="22"/>
      <c r="J847">
        <v>200000</v>
      </c>
      <c r="K847" s="22"/>
      <c r="M847" s="22">
        <v>5.2499999999999998E-2</v>
      </c>
      <c r="N847" s="21">
        <v>42853</v>
      </c>
      <c r="O847" s="21">
        <v>46505</v>
      </c>
      <c r="P847">
        <f>ROUND(YEARFRAC(N847,O847),0)</f>
        <v>10</v>
      </c>
      <c r="Q847" s="6">
        <f>(M847*H847)/F847</f>
        <v>5.2806276403138203E-2</v>
      </c>
      <c r="R847" s="5">
        <f>IF(S847="Quarterly",4,IF(S847="Semi-annual",2,IF(S847="Annual",1,IF(S847="Pays at maturity",0,IF(S847="Monthly",12,0)))))</f>
        <v>2</v>
      </c>
      <c r="S847" t="s">
        <v>65</v>
      </c>
      <c r="U847">
        <f>R847*P847</f>
        <v>20</v>
      </c>
      <c r="V847">
        <f>(H847*M847)/AD847</f>
        <v>26.25</v>
      </c>
      <c r="W847" s="28">
        <f>RATE(U847,V847,-F847,H847)</f>
        <v>2.6627798178413202E-2</v>
      </c>
      <c r="X847" s="27">
        <f>W847*AD847</f>
        <v>5.3255596356826404E-2</v>
      </c>
      <c r="Y847" s="5">
        <f>DURATION(N847,O847,M847,D847,AD847)</f>
        <v>7.8983352610048252</v>
      </c>
      <c r="Z847" s="5">
        <f>Y847/(1+C847)</f>
        <v>7.6934749624149656</v>
      </c>
      <c r="AA847" s="5">
        <f>-Z847*F847</f>
        <v>-7648.8528076329594</v>
      </c>
      <c r="AB847" t="s">
        <v>69</v>
      </c>
      <c r="AC847" t="s">
        <v>62</v>
      </c>
      <c r="AD847">
        <f>_xlfn.SWITCH(PROPER(TRIM(S847)),
   "Annual",1,
   "Semi-Annual",2,
   "Quarterly",4,
   "Monthly",12,
   "")</f>
        <v>2</v>
      </c>
    </row>
    <row r="848" spans="1:30" x14ac:dyDescent="0.35">
      <c r="A848" t="s">
        <v>1296</v>
      </c>
      <c r="B848" t="s">
        <v>122</v>
      </c>
      <c r="C848" s="36">
        <f>RATE(U848,V848,-F848,H848)</f>
        <v>0.10456588356056847</v>
      </c>
      <c r="D848" s="3">
        <f>C848*AD848</f>
        <v>0.10456588356056847</v>
      </c>
      <c r="F848">
        <v>969</v>
      </c>
      <c r="G848" t="s">
        <v>76</v>
      </c>
      <c r="H848">
        <v>1000</v>
      </c>
      <c r="I848" s="22"/>
      <c r="J848">
        <v>100</v>
      </c>
      <c r="K848" s="22"/>
      <c r="L848">
        <v>11.299113316521501</v>
      </c>
      <c r="M848" s="22">
        <v>9.1999999999999998E-2</v>
      </c>
      <c r="N848" s="21">
        <v>45411</v>
      </c>
      <c r="O848" s="21">
        <v>46506</v>
      </c>
      <c r="P848">
        <f>ROUND(YEARFRAC(N848,O848),0)</f>
        <v>3</v>
      </c>
      <c r="Q848" s="6">
        <f>(M848*H848)/F848</f>
        <v>9.4943240454076372E-2</v>
      </c>
      <c r="R848" s="5">
        <f>IF(S848="Quarterly",4,IF(S848="Semi-annual",2,IF(S848="Annual",1,IF(S848="Pays at maturity",0,IF(S848="Monthly",12,0)))))</f>
        <v>1</v>
      </c>
      <c r="S848" t="s">
        <v>93</v>
      </c>
      <c r="U848">
        <f>R848*P848</f>
        <v>3</v>
      </c>
      <c r="V848">
        <f>(H848*M848)/AD848</f>
        <v>92</v>
      </c>
      <c r="W848" s="28">
        <f>RATE(U848,V848,-F848,H848)</f>
        <v>0.10456588356056847</v>
      </c>
      <c r="X848" s="27">
        <f>W848*AD848</f>
        <v>0.10456588356056847</v>
      </c>
      <c r="Y848" s="5">
        <f>DURATION(N848,O848,M848,D848,AD848)</f>
        <v>2.7502713614046845</v>
      </c>
      <c r="Z848" s="5">
        <f>Y848/(1+C848)</f>
        <v>2.4899115592264933</v>
      </c>
      <c r="AA848" s="5">
        <f>-Z848*F848</f>
        <v>-2412.724300890472</v>
      </c>
      <c r="AB848" t="s">
        <v>64</v>
      </c>
      <c r="AC848" t="s">
        <v>62</v>
      </c>
      <c r="AD848">
        <f>_xlfn.SWITCH(PROPER(TRIM(S848)),
   "Annual",1,
   "Semi-Annual",2,
   "Quarterly",4,
   "Monthly",12,
   "")</f>
        <v>1</v>
      </c>
    </row>
    <row r="849" spans="1:30" x14ac:dyDescent="0.35">
      <c r="C849" s="28"/>
      <c r="D849" s="27"/>
      <c r="I849" s="22"/>
      <c r="K849" s="22"/>
      <c r="M849" s="22"/>
      <c r="N849" s="21"/>
      <c r="O849" s="21"/>
      <c r="P849" s="5"/>
      <c r="Q849" s="6"/>
      <c r="R849" s="5"/>
      <c r="W849" s="28"/>
      <c r="Y849" s="33"/>
      <c r="Z849" s="33"/>
      <c r="AA849" s="33"/>
    </row>
    <row r="850" spans="1:30" x14ac:dyDescent="0.35">
      <c r="C850" s="28"/>
      <c r="D850" s="27"/>
      <c r="I850" s="22"/>
      <c r="K850" s="22"/>
      <c r="M850" s="22"/>
      <c r="N850" s="21"/>
      <c r="O850" s="21"/>
      <c r="P850" s="5"/>
      <c r="Q850" s="6"/>
      <c r="R850" s="5"/>
      <c r="W850" s="28"/>
      <c r="Y850" s="33"/>
      <c r="Z850" s="33"/>
      <c r="AA850" s="33"/>
    </row>
    <row r="851" spans="1:30" x14ac:dyDescent="0.35">
      <c r="A851" t="s">
        <v>1293</v>
      </c>
      <c r="B851" t="s">
        <v>119</v>
      </c>
      <c r="C851" s="36">
        <f>RATE(U851,V851,-F851,H851)</f>
        <v>0.10007506221311167</v>
      </c>
      <c r="D851" s="3">
        <f>C851*AD851</f>
        <v>0.10007506221311167</v>
      </c>
      <c r="F851">
        <v>967.5</v>
      </c>
      <c r="G851" t="s">
        <v>76</v>
      </c>
      <c r="H851">
        <v>1000</v>
      </c>
      <c r="I851" s="22"/>
      <c r="J851">
        <v>1161</v>
      </c>
      <c r="K851" s="22"/>
      <c r="L851">
        <v>11.358291769324699</v>
      </c>
      <c r="M851" s="22">
        <v>9.1499999999999998E-2</v>
      </c>
      <c r="N851" s="21">
        <v>44680</v>
      </c>
      <c r="O851" s="21">
        <v>46506</v>
      </c>
      <c r="P851">
        <f>ROUND(YEARFRAC(N851,O851),0)</f>
        <v>5</v>
      </c>
      <c r="Q851" s="6">
        <f>(M851*H851)/F851</f>
        <v>9.4573643410852712E-2</v>
      </c>
      <c r="R851" s="5">
        <f>IF(S851="Quarterly",4,IF(S851="Semi-annual",2,IF(S851="Annual",1,IF(S851="Pays at maturity",0,IF(S851="Monthly",12,0)))))</f>
        <v>1</v>
      </c>
      <c r="S851" t="s">
        <v>93</v>
      </c>
      <c r="U851">
        <f>R851*P851</f>
        <v>5</v>
      </c>
      <c r="V851">
        <f>(H851*M851)/AD851</f>
        <v>91.5</v>
      </c>
      <c r="W851" s="28">
        <f>RATE(U851,V851,-F851,H851)</f>
        <v>0.10007506221311167</v>
      </c>
      <c r="X851" s="27">
        <f>W851*AD851</f>
        <v>0.10007506221311167</v>
      </c>
      <c r="Y851" s="5">
        <f>DURATION(N851,O851,M851,D851,AD851)</f>
        <v>4.2150136874353379</v>
      </c>
      <c r="Z851" s="5">
        <f>Y851/(1+C851)</f>
        <v>3.8315691648855736</v>
      </c>
      <c r="AA851" s="5">
        <f>-Z851*F851</f>
        <v>-3707.0431670267926</v>
      </c>
      <c r="AB851" t="s">
        <v>64</v>
      </c>
      <c r="AC851" t="s">
        <v>62</v>
      </c>
      <c r="AD851">
        <f>_xlfn.SWITCH(PROPER(TRIM(S851)),
   "Annual",1,
   "Semi-Annual",2,
   "Quarterly",4,
   "Monthly",12,
   "")</f>
        <v>1</v>
      </c>
    </row>
    <row r="852" spans="1:30" x14ac:dyDescent="0.35">
      <c r="A852" t="s">
        <v>1292</v>
      </c>
      <c r="B852" t="s">
        <v>119</v>
      </c>
      <c r="C852" s="36">
        <f>RATE(U852,V852,-F852,H852)</f>
        <v>9.7597442609635737E-2</v>
      </c>
      <c r="D852" s="3">
        <f>C852*AD852</f>
        <v>9.7597442609635737E-2</v>
      </c>
      <c r="F852">
        <v>992</v>
      </c>
      <c r="G852" t="s">
        <v>76</v>
      </c>
      <c r="H852">
        <v>1000</v>
      </c>
      <c r="I852" s="22"/>
      <c r="J852">
        <v>964</v>
      </c>
      <c r="K852" s="22"/>
      <c r="L852">
        <v>10.0770999802702</v>
      </c>
      <c r="M852" s="22">
        <v>9.5500000000000002E-2</v>
      </c>
      <c r="N852" s="21">
        <v>44680</v>
      </c>
      <c r="O852" s="21">
        <v>46506</v>
      </c>
      <c r="P852">
        <f>ROUND(YEARFRAC(N852,O852),0)</f>
        <v>5</v>
      </c>
      <c r="Q852" s="6">
        <f>(M852*H852)/F852</f>
        <v>9.6270161290322578E-2</v>
      </c>
      <c r="R852" s="5">
        <f>IF(S852="Quarterly",4,IF(S852="Semi-annual",2,IF(S852="Annual",1,IF(S852="Pays at maturity",0,IF(S852="Monthly",12,0)))))</f>
        <v>1</v>
      </c>
      <c r="S852" t="s">
        <v>93</v>
      </c>
      <c r="U852">
        <f>R852*P852</f>
        <v>5</v>
      </c>
      <c r="V852">
        <f>(H852*M852)/AD852</f>
        <v>95.5</v>
      </c>
      <c r="W852" s="28">
        <f>RATE(U852,V852,-F852,H852)</f>
        <v>9.7597442609635737E-2</v>
      </c>
      <c r="X852" s="27">
        <f>W852*AD852</f>
        <v>9.7597442609635737E-2</v>
      </c>
      <c r="Y852" s="5">
        <f>DURATION(N852,O852,M852,D852,AD852)</f>
        <v>4.1974861331422364</v>
      </c>
      <c r="Z852" s="5">
        <f>Y852/(1+C852)</f>
        <v>3.8242491920920831</v>
      </c>
      <c r="AA852" s="5">
        <f>-Z852*F852</f>
        <v>-3793.6551985553465</v>
      </c>
      <c r="AB852" t="s">
        <v>64</v>
      </c>
      <c r="AC852" t="s">
        <v>62</v>
      </c>
      <c r="AD852">
        <f>_xlfn.SWITCH(PROPER(TRIM(S852)),
   "Annual",1,
   "Semi-Annual",2,
   "Quarterly",4,
   "Monthly",12,
   "")</f>
        <v>1</v>
      </c>
    </row>
    <row r="853" spans="1:30" x14ac:dyDescent="0.35">
      <c r="A853" t="s">
        <v>1291</v>
      </c>
      <c r="B853" t="s">
        <v>357</v>
      </c>
      <c r="C853" s="36">
        <f>RATE(U853,V853,-F853,H853)</f>
        <v>0.14982826089675433</v>
      </c>
      <c r="D853" s="3">
        <f>C853*AD853</f>
        <v>0.14982826089675433</v>
      </c>
      <c r="F853">
        <v>832.9</v>
      </c>
      <c r="G853" t="s">
        <v>76</v>
      </c>
      <c r="H853">
        <v>1000</v>
      </c>
      <c r="I853" s="22"/>
      <c r="J853">
        <v>61</v>
      </c>
      <c r="K853" s="22"/>
      <c r="L853">
        <v>23.359402703359201</v>
      </c>
      <c r="M853" s="22">
        <v>0.1</v>
      </c>
      <c r="N853" s="21">
        <v>44680</v>
      </c>
      <c r="O853" s="21">
        <v>46506</v>
      </c>
      <c r="P853">
        <f>ROUND(YEARFRAC(N853,O853),0)</f>
        <v>5</v>
      </c>
      <c r="Q853" s="6">
        <f>(M853*H853)/F853</f>
        <v>0.12006243246488174</v>
      </c>
      <c r="R853" s="5">
        <f>IF(S853="Quarterly",4,IF(S853="Semi-annual",2,IF(S853="Annual",1,IF(S853="Pays at maturity",0,IF(S853="Monthly",12,0)))))</f>
        <v>1</v>
      </c>
      <c r="S853" t="s">
        <v>93</v>
      </c>
      <c r="U853">
        <f>R853*P853</f>
        <v>5</v>
      </c>
      <c r="V853">
        <f>(H853*M853)/AD853</f>
        <v>100</v>
      </c>
      <c r="W853" s="28">
        <f>RATE(U853,V853,-F853,H853)</f>
        <v>0.14982826089675433</v>
      </c>
      <c r="X853" s="27">
        <f>W853*AD853</f>
        <v>0.14982826089675433</v>
      </c>
      <c r="Y853" s="5">
        <f>DURATION(N853,O853,M853,D853,AD853)</f>
        <v>4.0832505975301494</v>
      </c>
      <c r="Z853" s="5">
        <f>Y853/(1+C853)</f>
        <v>3.5511830213197326</v>
      </c>
      <c r="AA853" s="5">
        <f>-Z853*F853</f>
        <v>-2957.7803384572053</v>
      </c>
      <c r="AB853" t="s">
        <v>64</v>
      </c>
      <c r="AC853" t="s">
        <v>62</v>
      </c>
      <c r="AD853">
        <f>_xlfn.SWITCH(PROPER(TRIM(S853)),
   "Annual",1,
   "Semi-Annual",2,
   "Quarterly",4,
   "Monthly",12,
   "")</f>
        <v>1</v>
      </c>
    </row>
    <row r="854" spans="1:30" x14ac:dyDescent="0.35">
      <c r="A854" t="s">
        <v>1290</v>
      </c>
      <c r="B854" t="s">
        <v>122</v>
      </c>
      <c r="C854" s="36">
        <f>RATE(U854,V854,-F854,H854)</f>
        <v>0.10144233963890983</v>
      </c>
      <c r="D854" s="3">
        <f>C854*AD854</f>
        <v>0.10144233963890983</v>
      </c>
      <c r="F854">
        <v>986.5</v>
      </c>
      <c r="G854" t="s">
        <v>76</v>
      </c>
      <c r="H854">
        <v>1000</v>
      </c>
      <c r="I854" s="22"/>
      <c r="J854">
        <v>82</v>
      </c>
      <c r="K854" s="22"/>
      <c r="L854">
        <v>10.481363268996301</v>
      </c>
      <c r="M854" s="22">
        <v>9.6000000000000002E-2</v>
      </c>
      <c r="N854" s="21">
        <v>45411</v>
      </c>
      <c r="O854" s="21">
        <v>46506</v>
      </c>
      <c r="P854">
        <f>ROUND(YEARFRAC(N854,O854),0)</f>
        <v>3</v>
      </c>
      <c r="Q854" s="6">
        <f>(M854*H854)/F854</f>
        <v>9.7313735428281811E-2</v>
      </c>
      <c r="R854" s="5">
        <f>IF(S854="Quarterly",4,IF(S854="Semi-annual",2,IF(S854="Annual",1,IF(S854="Pays at maturity",0,IF(S854="Monthly",12,0)))))</f>
        <v>1</v>
      </c>
      <c r="S854" t="s">
        <v>93</v>
      </c>
      <c r="U854">
        <f>R854*P854</f>
        <v>3</v>
      </c>
      <c r="V854">
        <f>(H854*M854)/AD854</f>
        <v>96</v>
      </c>
      <c r="W854" s="28">
        <f>RATE(U854,V854,-F854,H854)</f>
        <v>0.10144233963890983</v>
      </c>
      <c r="X854" s="27">
        <f>W854*AD854</f>
        <v>0.10144233963890983</v>
      </c>
      <c r="Y854" s="5">
        <f>DURATION(N854,O854,M854,D854,AD854)</f>
        <v>2.7430835503324937</v>
      </c>
      <c r="Z854" s="5">
        <f>Y854/(1+C854)</f>
        <v>2.4904468001763664</v>
      </c>
      <c r="AA854" s="5">
        <f>-Z854*F854</f>
        <v>-2456.8257683739853</v>
      </c>
      <c r="AB854" t="s">
        <v>64</v>
      </c>
      <c r="AC854" t="s">
        <v>62</v>
      </c>
      <c r="AD854">
        <f>_xlfn.SWITCH(PROPER(TRIM(S854)),
   "Annual",1,
   "Semi-Annual",2,
   "Quarterly",4,
   "Monthly",12,
   "")</f>
        <v>1</v>
      </c>
    </row>
    <row r="855" spans="1:30" x14ac:dyDescent="0.35">
      <c r="C855" s="28"/>
      <c r="D855" s="27"/>
      <c r="I855" s="22"/>
      <c r="K855" s="22"/>
      <c r="M855" s="22"/>
      <c r="N855" s="21"/>
      <c r="O855" s="21"/>
      <c r="P855" s="5"/>
      <c r="Q855" s="6"/>
      <c r="R855" s="5"/>
      <c r="W855" s="28"/>
      <c r="Y855" s="33"/>
      <c r="Z855" s="33"/>
      <c r="AA855" s="33"/>
    </row>
    <row r="856" spans="1:30" x14ac:dyDescent="0.35">
      <c r="C856" s="28"/>
      <c r="D856" s="27"/>
      <c r="I856" s="22"/>
      <c r="K856" s="22"/>
      <c r="M856" s="22"/>
      <c r="N856" s="21"/>
      <c r="O856" s="21"/>
      <c r="P856" s="5"/>
      <c r="Q856" s="6"/>
      <c r="R856" s="5"/>
      <c r="W856" s="28"/>
      <c r="Y856" s="33"/>
      <c r="Z856" s="33"/>
      <c r="AA856" s="33"/>
    </row>
    <row r="857" spans="1:30" x14ac:dyDescent="0.35">
      <c r="A857" t="s">
        <v>1287</v>
      </c>
      <c r="B857" t="s">
        <v>1086</v>
      </c>
      <c r="C857" s="36">
        <f>RATE(U857,V857,-F857,H857)</f>
        <v>0.10499999999999997</v>
      </c>
      <c r="D857" s="3">
        <f>C857*AD857</f>
        <v>0.10499999999999997</v>
      </c>
      <c r="F857">
        <v>100000</v>
      </c>
      <c r="G857" t="s">
        <v>76</v>
      </c>
      <c r="H857">
        <v>100000</v>
      </c>
      <c r="I857" s="22"/>
      <c r="J857">
        <v>2</v>
      </c>
      <c r="K857" s="22"/>
      <c r="L857">
        <v>10.5</v>
      </c>
      <c r="M857" s="22">
        <v>0.105</v>
      </c>
      <c r="N857" s="21">
        <v>45412</v>
      </c>
      <c r="O857" s="21">
        <v>46507</v>
      </c>
      <c r="P857">
        <f>ROUND(YEARFRAC(N857,O857),0)</f>
        <v>3</v>
      </c>
      <c r="Q857" s="6">
        <f>(M857*H857)/F857</f>
        <v>0.105</v>
      </c>
      <c r="R857" s="5">
        <f>IF(S857="Quarterly",4,IF(S857="Semi-annual",2,IF(S857="Annual",1,IF(S857="Pays at maturity",0,IF(S857="Monthly",12,0)))))</f>
        <v>1</v>
      </c>
      <c r="S857" t="s">
        <v>93</v>
      </c>
      <c r="U857">
        <f>R857*P857</f>
        <v>3</v>
      </c>
      <c r="V857">
        <f>(H857*M857)/AD857</f>
        <v>10500</v>
      </c>
      <c r="W857" s="28">
        <f>RATE(U857,V857,-F857,H857)</f>
        <v>0.10499999999999997</v>
      </c>
      <c r="X857" s="27">
        <f>W857*AD857</f>
        <v>0.10499999999999997</v>
      </c>
      <c r="Y857" s="5">
        <f>DURATION(N857,O857,M857,D857,AD857)</f>
        <v>2.7239614258512308</v>
      </c>
      <c r="Z857" s="5">
        <f>Y857/(1+C857)</f>
        <v>2.4651234623088061</v>
      </c>
      <c r="AA857" s="5">
        <f>-Z857*F857</f>
        <v>-246512.34623088062</v>
      </c>
      <c r="AB857" t="s">
        <v>64</v>
      </c>
      <c r="AC857" t="s">
        <v>62</v>
      </c>
      <c r="AD857">
        <f>_xlfn.SWITCH(PROPER(TRIM(S857)),
   "Annual",1,
   "Semi-Annual",2,
   "Quarterly",4,
   "Monthly",12,
   "")</f>
        <v>1</v>
      </c>
    </row>
    <row r="858" spans="1:30" x14ac:dyDescent="0.35">
      <c r="A858" t="s">
        <v>1286</v>
      </c>
      <c r="B858" t="s">
        <v>122</v>
      </c>
      <c r="C858" s="36">
        <f>RATE(U858,V858,-F858,H858)</f>
        <v>0.11027545027096644</v>
      </c>
      <c r="D858" s="3">
        <f>C858*AD858</f>
        <v>0.11027545027096644</v>
      </c>
      <c r="F858">
        <v>973.85</v>
      </c>
      <c r="G858" t="s">
        <v>76</v>
      </c>
      <c r="H858">
        <v>1000</v>
      </c>
      <c r="I858" s="22"/>
      <c r="J858">
        <v>210</v>
      </c>
      <c r="K858" s="22"/>
      <c r="L858">
        <v>11.207102774592601</v>
      </c>
      <c r="M858" s="22">
        <v>9.5000000000000001E-2</v>
      </c>
      <c r="N858" s="21">
        <v>45777</v>
      </c>
      <c r="O858" s="21">
        <v>46507</v>
      </c>
      <c r="P858">
        <f>ROUND(YEARFRAC(N858,O858),0)</f>
        <v>2</v>
      </c>
      <c r="Q858" s="6">
        <f>(M858*H858)/F858</f>
        <v>9.755095753966217E-2</v>
      </c>
      <c r="R858" s="5">
        <f>IF(S858="Quarterly",4,IF(S858="Semi-annual",2,IF(S858="Annual",1,IF(S858="Pays at maturity",0,IF(S858="Monthly",12,0)))))</f>
        <v>1</v>
      </c>
      <c r="S858" t="s">
        <v>93</v>
      </c>
      <c r="U858">
        <f>R858*P858</f>
        <v>2</v>
      </c>
      <c r="V858">
        <f>(H858*M858)/AD858</f>
        <v>95</v>
      </c>
      <c r="W858" s="28">
        <f>RATE(U858,V858,-F858,H858)</f>
        <v>0.11027545027096644</v>
      </c>
      <c r="X858" s="27">
        <f>W858*AD858</f>
        <v>0.11027545027096644</v>
      </c>
      <c r="Y858" s="5">
        <f>DURATION(N858,O858,M858,D858,AD858)</f>
        <v>1.912138057708243</v>
      </c>
      <c r="Z858" s="5">
        <f>Y858/(1+C858)</f>
        <v>1.7222195242104825</v>
      </c>
      <c r="AA858" s="5">
        <f>-Z858*F858</f>
        <v>-1677.1834836523785</v>
      </c>
      <c r="AB858" t="s">
        <v>64</v>
      </c>
      <c r="AC858" t="s">
        <v>62</v>
      </c>
      <c r="AD858">
        <f>_xlfn.SWITCH(PROPER(TRIM(S858)),
   "Annual",1,
   "Semi-Annual",2,
   "Quarterly",4,
   "Monthly",12,
   "")</f>
        <v>1</v>
      </c>
    </row>
    <row r="859" spans="1:30" x14ac:dyDescent="0.35">
      <c r="A859" t="s">
        <v>1285</v>
      </c>
      <c r="B859" t="s">
        <v>568</v>
      </c>
      <c r="C859" s="36">
        <f>RATE(U859,V859,-F859,H859)</f>
        <v>8.5436371008542414E-2</v>
      </c>
      <c r="D859" s="3">
        <f>C859*AD859</f>
        <v>8.5436371008542414E-2</v>
      </c>
      <c r="F859">
        <v>107900</v>
      </c>
      <c r="G859" t="s">
        <v>76</v>
      </c>
      <c r="H859">
        <v>100000</v>
      </c>
      <c r="I859" s="22"/>
      <c r="J859">
        <v>40</v>
      </c>
      <c r="K859" s="22"/>
      <c r="L859">
        <v>5.5382625952864997</v>
      </c>
      <c r="M859" s="22">
        <v>9.7500000000000003E-2</v>
      </c>
      <c r="N859" s="21">
        <v>42860</v>
      </c>
      <c r="O859" s="21">
        <v>46507</v>
      </c>
      <c r="P859">
        <f>ROUND(YEARFRAC(N859,O859),0)</f>
        <v>10</v>
      </c>
      <c r="Q859" s="6">
        <f>(M859*H859)/F859</f>
        <v>9.036144578313253E-2</v>
      </c>
      <c r="R859" s="5">
        <f>IF(S859="Quarterly",4,IF(S859="Semi-annual",2,IF(S859="Annual",1,IF(S859="Pays at maturity",0,IF(S859="Monthly",12,0)))))</f>
        <v>1</v>
      </c>
      <c r="S859" t="s">
        <v>93</v>
      </c>
      <c r="U859">
        <f>R859*P859</f>
        <v>10</v>
      </c>
      <c r="V859">
        <f>(H859*M859)/AD859</f>
        <v>9750</v>
      </c>
      <c r="W859" s="28">
        <f>RATE(U859,V859,-F859,H859)</f>
        <v>8.5436371008542414E-2</v>
      </c>
      <c r="X859" s="27">
        <f>W859*AD859</f>
        <v>8.5436371008542414E-2</v>
      </c>
      <c r="Y859" s="5">
        <f>DURATION(N859,O859,M859,D859,AD859)</f>
        <v>6.9275036195562274</v>
      </c>
      <c r="Z859" s="5">
        <f>Y859/(1+C859)</f>
        <v>6.3822291242364386</v>
      </c>
      <c r="AA859" s="5">
        <f>-Z859*F859</f>
        <v>-688642.52250511176</v>
      </c>
      <c r="AB859" t="s">
        <v>64</v>
      </c>
      <c r="AC859" t="s">
        <v>62</v>
      </c>
      <c r="AD859">
        <f>_xlfn.SWITCH(PROPER(TRIM(S859)),
   "Annual",1,
   "Semi-Annual",2,
   "Quarterly",4,
   "Monthly",12,
   "")</f>
        <v>1</v>
      </c>
    </row>
    <row r="860" spans="1:30" x14ac:dyDescent="0.35">
      <c r="A860" t="s">
        <v>1284</v>
      </c>
      <c r="B860" t="s">
        <v>634</v>
      </c>
      <c r="C860" s="36">
        <f>RATE(U860,V860,-F860,H860)</f>
        <v>2.8478137980224645E-2</v>
      </c>
      <c r="D860" s="3">
        <f>C860*AD860</f>
        <v>0.11391255192089858</v>
      </c>
      <c r="F860">
        <v>97510.7</v>
      </c>
      <c r="G860" t="s">
        <v>76</v>
      </c>
      <c r="H860">
        <v>100000</v>
      </c>
      <c r="I860" s="22"/>
      <c r="J860">
        <v>1</v>
      </c>
      <c r="K860" s="22"/>
      <c r="M860" s="22">
        <v>0.10400000000000001</v>
      </c>
      <c r="N860" s="21">
        <v>45414</v>
      </c>
      <c r="O860" s="21">
        <v>46507</v>
      </c>
      <c r="P860">
        <f>ROUND(YEARFRAC(N860,O860),0)</f>
        <v>3</v>
      </c>
      <c r="Q860" s="6">
        <f>(M860*H860)/F860</f>
        <v>0.10665496196827633</v>
      </c>
      <c r="R860" s="5">
        <f>IF(S860="Quarterly",4,IF(S860="Semi-annual",2,IF(S860="Annual",1,IF(S860="Pays at maturity",0,IF(S860="Monthly",12,0)))))</f>
        <v>4</v>
      </c>
      <c r="S860" t="s">
        <v>105</v>
      </c>
      <c r="U860">
        <f>R860*P860</f>
        <v>12</v>
      </c>
      <c r="V860">
        <f>(H860*M860)/AD860</f>
        <v>2600.0000000000005</v>
      </c>
      <c r="W860" s="28">
        <f>RATE(U860,V860,-F860,H860)</f>
        <v>2.8478137980224645E-2</v>
      </c>
      <c r="X860" s="27">
        <f>W860*AD860</f>
        <v>0.11391255192089858</v>
      </c>
      <c r="Y860" s="5">
        <f>DURATION(N860,O860,M860,D860,AD860)</f>
        <v>2.6038030765735969</v>
      </c>
      <c r="Z860" s="5">
        <f>Y860/(1+C860)</f>
        <v>2.5317048369030695</v>
      </c>
      <c r="AA860" s="5">
        <f>-Z860*F860</f>
        <v>-246868.31083980412</v>
      </c>
      <c r="AB860" t="s">
        <v>64</v>
      </c>
      <c r="AC860" t="s">
        <v>62</v>
      </c>
      <c r="AD860">
        <f>_xlfn.SWITCH(PROPER(TRIM(S860)),
   "Annual",1,
   "Semi-Annual",2,
   "Quarterly",4,
   "Monthly",12,
   "")</f>
        <v>4</v>
      </c>
    </row>
    <row r="861" spans="1:30" x14ac:dyDescent="0.35">
      <c r="C861" s="28"/>
      <c r="D861" s="27"/>
      <c r="I861" s="22"/>
      <c r="K861" s="22"/>
      <c r="M861" s="22"/>
      <c r="N861" s="21"/>
      <c r="O861" s="21"/>
      <c r="P861" s="5"/>
      <c r="Q861" s="6"/>
      <c r="R861" s="5"/>
      <c r="W861" s="28"/>
      <c r="Y861" s="33"/>
      <c r="Z861" s="33"/>
      <c r="AA861" s="33"/>
    </row>
    <row r="862" spans="1:30" x14ac:dyDescent="0.35">
      <c r="A862" t="s">
        <v>1282</v>
      </c>
      <c r="B862" t="s">
        <v>272</v>
      </c>
      <c r="C862" s="36">
        <f>RATE(U862,V862,-F862,H862)</f>
        <v>7.617784969820432E-2</v>
      </c>
      <c r="D862" s="3">
        <f>C862*AD862</f>
        <v>7.617784969820432E-2</v>
      </c>
      <c r="F862">
        <v>965</v>
      </c>
      <c r="G862" t="s">
        <v>76</v>
      </c>
      <c r="H862">
        <v>1000</v>
      </c>
      <c r="I862" s="22"/>
      <c r="J862">
        <v>95</v>
      </c>
      <c r="K862" s="22"/>
      <c r="L862">
        <v>9.0252392002288602</v>
      </c>
      <c r="M862" s="22">
        <v>6.7500000000000004E-2</v>
      </c>
      <c r="N862" s="21">
        <v>44686</v>
      </c>
      <c r="O862" s="21">
        <v>46512</v>
      </c>
      <c r="P862">
        <f>ROUND(YEARFRAC(N862,O862),0)</f>
        <v>5</v>
      </c>
      <c r="Q862" s="6">
        <f>(M862*H862)/F862</f>
        <v>6.9948186528497408E-2</v>
      </c>
      <c r="R862" s="5">
        <f>IF(S862="Quarterly",4,IF(S862="Semi-annual",2,IF(S862="Annual",1,IF(S862="Pays at maturity",0,IF(S862="Monthly",12,0)))))</f>
        <v>1</v>
      </c>
      <c r="S862" t="s">
        <v>93</v>
      </c>
      <c r="U862">
        <f>R862*P862</f>
        <v>5</v>
      </c>
      <c r="V862">
        <f>(H862*M862)/AD862</f>
        <v>67.5</v>
      </c>
      <c r="W862" s="28">
        <f>RATE(U862,V862,-F862,H862)</f>
        <v>7.617784969820432E-2</v>
      </c>
      <c r="X862" s="27">
        <f>W862*AD862</f>
        <v>7.617784969820432E-2</v>
      </c>
      <c r="Y862" s="5">
        <f>DURATION(N862,O862,M862,D862,AD862)</f>
        <v>4.3944344306654228</v>
      </c>
      <c r="Z862" s="5">
        <f>Y862/(1+C862)</f>
        <v>4.0833719369877075</v>
      </c>
      <c r="AA862" s="5">
        <f>-Z862*F862</f>
        <v>-3940.4539191931376</v>
      </c>
      <c r="AB862" t="s">
        <v>64</v>
      </c>
      <c r="AC862" t="s">
        <v>62</v>
      </c>
      <c r="AD862">
        <f>_xlfn.SWITCH(PROPER(TRIM(S862)),
   "Annual",1,
   "Semi-Annual",2,
   "Quarterly",4,
   "Monthly",12,
   "")</f>
        <v>1</v>
      </c>
    </row>
    <row r="863" spans="1:30" x14ac:dyDescent="0.35">
      <c r="A863" t="s">
        <v>1281</v>
      </c>
      <c r="B863" t="s">
        <v>272</v>
      </c>
      <c r="C863" s="36">
        <f>RATE(U863,V863,-F863,H863)</f>
        <v>7.3943543423877919E-2</v>
      </c>
      <c r="D863" s="3">
        <f>C863*AD863</f>
        <v>7.3943543423877919E-2</v>
      </c>
      <c r="F863">
        <v>984</v>
      </c>
      <c r="G863" t="s">
        <v>76</v>
      </c>
      <c r="H863">
        <v>1000</v>
      </c>
      <c r="I863" s="22"/>
      <c r="J863">
        <v>500</v>
      </c>
      <c r="K863" s="22"/>
      <c r="L863">
        <v>8.0144219499858096</v>
      </c>
      <c r="M863" s="22">
        <v>7.0000000000000007E-2</v>
      </c>
      <c r="N863" s="21">
        <v>44686</v>
      </c>
      <c r="O863" s="21">
        <v>46512</v>
      </c>
      <c r="P863">
        <f>ROUND(YEARFRAC(N863,O863),0)</f>
        <v>5</v>
      </c>
      <c r="Q863" s="6">
        <f>(M863*H863)/F863</f>
        <v>7.113821138211382E-2</v>
      </c>
      <c r="R863" s="5">
        <f>IF(S863="Quarterly",4,IF(S863="Semi-annual",2,IF(S863="Annual",1,IF(S863="Pays at maturity",0,IF(S863="Monthly",12,0)))))</f>
        <v>1</v>
      </c>
      <c r="S863" t="s">
        <v>93</v>
      </c>
      <c r="U863">
        <f>R863*P863</f>
        <v>5</v>
      </c>
      <c r="V863">
        <f>(H863*M863)/AD863</f>
        <v>70</v>
      </c>
      <c r="W863" s="28">
        <f>RATE(U863,V863,-F863,H863)</f>
        <v>7.3943543423877919E-2</v>
      </c>
      <c r="X863" s="27">
        <f>W863*AD863</f>
        <v>7.3943543423877919E-2</v>
      </c>
      <c r="Y863" s="5">
        <f>DURATION(N863,O863,M863,D863,AD863)</f>
        <v>4.3816576587755831</v>
      </c>
      <c r="Z863" s="5">
        <f>Y863/(1+C863)</f>
        <v>4.0799702047709721</v>
      </c>
      <c r="AA863" s="5">
        <f>-Z863*F863</f>
        <v>-4014.6906814946365</v>
      </c>
      <c r="AB863" t="s">
        <v>64</v>
      </c>
      <c r="AC863" t="s">
        <v>62</v>
      </c>
      <c r="AD863">
        <f>_xlfn.SWITCH(PROPER(TRIM(S863)),
   "Annual",1,
   "Semi-Annual",2,
   "Quarterly",4,
   "Monthly",12,
   "")</f>
        <v>1</v>
      </c>
    </row>
    <row r="864" spans="1:30" x14ac:dyDescent="0.35">
      <c r="C864" s="28"/>
      <c r="D864" s="27"/>
      <c r="I864" s="22"/>
      <c r="K864" s="22"/>
      <c r="M864" s="22"/>
      <c r="N864" s="21"/>
      <c r="O864" s="21"/>
      <c r="P864" s="5"/>
      <c r="Q864" s="6"/>
      <c r="R864" s="5"/>
      <c r="W864" s="28"/>
      <c r="Y864" s="33"/>
      <c r="Z864" s="33"/>
      <c r="AA864" s="33"/>
    </row>
    <row r="865" spans="1:30" x14ac:dyDescent="0.35">
      <c r="A865" t="s">
        <v>1279</v>
      </c>
      <c r="B865" t="s">
        <v>465</v>
      </c>
      <c r="C865" s="36">
        <f>RATE(U865,V865,-F865,H865)</f>
        <v>0.14022126816797936</v>
      </c>
      <c r="D865" s="3">
        <f>C865*AD865</f>
        <v>0.14022126816797936</v>
      </c>
      <c r="F865">
        <v>950.25</v>
      </c>
      <c r="G865" t="s">
        <v>76</v>
      </c>
      <c r="H865">
        <v>1000</v>
      </c>
      <c r="I865" s="22"/>
      <c r="J865">
        <v>2</v>
      </c>
      <c r="K865" s="22"/>
      <c r="L865">
        <v>14.271168340007</v>
      </c>
      <c r="M865" s="22">
        <v>0.11</v>
      </c>
      <c r="N865" s="21">
        <v>45604</v>
      </c>
      <c r="O865" s="21">
        <v>46514</v>
      </c>
      <c r="P865">
        <f>ROUND(YEARFRAC(N865,O865),0)</f>
        <v>2</v>
      </c>
      <c r="Q865" s="6">
        <f>(M865*H865)/F865</f>
        <v>0.1157590107866351</v>
      </c>
      <c r="R865" s="5">
        <f>IF(S865="Quarterly",4,IF(S865="Semi-annual",2,IF(S865="Annual",1,IF(S865="Pays at maturity",0,IF(S865="Monthly",12,0)))))</f>
        <v>1</v>
      </c>
      <c r="S865" t="s">
        <v>93</v>
      </c>
      <c r="U865">
        <f>R865*P865</f>
        <v>2</v>
      </c>
      <c r="V865">
        <f>(H865*M865)/AD865</f>
        <v>110</v>
      </c>
      <c r="W865" s="28">
        <f>RATE(U865,V865,-F865,H865)</f>
        <v>0.14022126816797936</v>
      </c>
      <c r="X865" s="27">
        <f>W865*AD865</f>
        <v>0.14022126816797936</v>
      </c>
      <c r="Y865" s="5">
        <f>DURATION(N865,O865,M865,D865,AD865)</f>
        <v>2.1987336551381871</v>
      </c>
      <c r="Z865" s="5">
        <f>Y865/(1+C865)</f>
        <v>1.9283394517547852</v>
      </c>
      <c r="AA865" s="5">
        <f>-Z865*F865</f>
        <v>-1832.4045640299846</v>
      </c>
      <c r="AB865" t="s">
        <v>64</v>
      </c>
      <c r="AC865" t="s">
        <v>62</v>
      </c>
      <c r="AD865">
        <f>_xlfn.SWITCH(PROPER(TRIM(S865)),
   "Annual",1,
   "Semi-Annual",2,
   "Quarterly",4,
   "Monthly",12,
   "")</f>
        <v>1</v>
      </c>
    </row>
    <row r="866" spans="1:30" x14ac:dyDescent="0.35">
      <c r="C866" s="28"/>
      <c r="D866" s="27"/>
      <c r="I866" s="22"/>
      <c r="K866" s="22"/>
      <c r="M866" s="22"/>
      <c r="N866" s="21"/>
      <c r="O866" s="21"/>
      <c r="P866" s="5"/>
      <c r="Q866" s="6"/>
      <c r="R866" s="5"/>
      <c r="W866" s="28"/>
      <c r="Y866" s="33"/>
      <c r="Z866" s="33"/>
      <c r="AA866" s="33"/>
    </row>
    <row r="867" spans="1:30" x14ac:dyDescent="0.35">
      <c r="A867" t="s">
        <v>1277</v>
      </c>
      <c r="B867" t="s">
        <v>193</v>
      </c>
      <c r="C867" s="36">
        <f>RATE(U867,V867,-F867,H867)</f>
        <v>8.35000000000055E-2</v>
      </c>
      <c r="D867" s="3">
        <f>C867*AD867</f>
        <v>8.35000000000055E-2</v>
      </c>
      <c r="F867">
        <v>100000</v>
      </c>
      <c r="G867" t="s">
        <v>76</v>
      </c>
      <c r="H867">
        <v>100000</v>
      </c>
      <c r="I867" s="22"/>
      <c r="J867">
        <v>1</v>
      </c>
      <c r="K867" s="22"/>
      <c r="L867">
        <v>8.35</v>
      </c>
      <c r="M867" s="22">
        <v>8.3499999999999991E-2</v>
      </c>
      <c r="N867" s="21">
        <v>45358</v>
      </c>
      <c r="O867" s="21">
        <v>46514</v>
      </c>
      <c r="P867">
        <f>ROUND(YEARFRAC(N867,O867),0)</f>
        <v>3</v>
      </c>
      <c r="Q867" s="6">
        <f>(M867*H867)/F867</f>
        <v>8.3499999999999977E-2</v>
      </c>
      <c r="R867" s="5">
        <f>IF(S867="Quarterly",4,IF(S867="Semi-annual",2,IF(S867="Annual",1,IF(S867="Pays at maturity",0,IF(S867="Monthly",12,0)))))</f>
        <v>1</v>
      </c>
      <c r="S867" t="s">
        <v>93</v>
      </c>
      <c r="U867">
        <f>R867*P867</f>
        <v>3</v>
      </c>
      <c r="V867">
        <f>(H867*M867)/AD867</f>
        <v>8349.9999999999982</v>
      </c>
      <c r="W867" s="28">
        <f>RATE(U867,V867,-F867,H867)</f>
        <v>8.35000000000055E-2</v>
      </c>
      <c r="X867" s="27">
        <f>W867*AD867</f>
        <v>8.35000000000055E-2</v>
      </c>
      <c r="Y867" s="5">
        <f>DURATION(N867,O867,M867,D867,AD867)</f>
        <v>2.7275746720196148</v>
      </c>
      <c r="Z867" s="5">
        <f>Y867/(1+C867)</f>
        <v>2.5173739474107992</v>
      </c>
      <c r="AA867" s="5">
        <f>-Z867*F867</f>
        <v>-251737.39474107992</v>
      </c>
      <c r="AB867" t="s">
        <v>64</v>
      </c>
      <c r="AC867" t="s">
        <v>62</v>
      </c>
      <c r="AD867">
        <f>_xlfn.SWITCH(PROPER(TRIM(S867)),
   "Annual",1,
   "Semi-Annual",2,
   "Quarterly",4,
   "Monthly",12,
   "")</f>
        <v>1</v>
      </c>
    </row>
    <row r="868" spans="1:30" x14ac:dyDescent="0.35">
      <c r="A868" t="s">
        <v>1276</v>
      </c>
      <c r="B868" t="s">
        <v>241</v>
      </c>
      <c r="C868" s="36">
        <f>RATE(U868,V868,-F868,H868)</f>
        <v>9.7783035554636022E-2</v>
      </c>
      <c r="D868" s="3">
        <f>C868*AD868</f>
        <v>9.7783035554636022E-2</v>
      </c>
      <c r="F868">
        <v>987.8</v>
      </c>
      <c r="G868" t="s">
        <v>76</v>
      </c>
      <c r="H868">
        <v>1000</v>
      </c>
      <c r="I868" s="22"/>
      <c r="J868">
        <v>108</v>
      </c>
      <c r="K868" s="22"/>
      <c r="L868">
        <v>10.305575347483501</v>
      </c>
      <c r="M868" s="22">
        <v>9.5000000000000001E-2</v>
      </c>
      <c r="N868" s="21">
        <v>44323</v>
      </c>
      <c r="O868" s="21">
        <v>46514</v>
      </c>
      <c r="P868">
        <f>ROUND(YEARFRAC(N868,O868),0)</f>
        <v>6</v>
      </c>
      <c r="Q868" s="6">
        <f>(M868*H868)/F868</f>
        <v>9.6173314436120677E-2</v>
      </c>
      <c r="R868" s="5">
        <f>IF(S868="Quarterly",4,IF(S868="Semi-annual",2,IF(S868="Annual",1,IF(S868="Pays at maturity",0,IF(S868="Monthly",12,0)))))</f>
        <v>1</v>
      </c>
      <c r="S868" t="s">
        <v>93</v>
      </c>
      <c r="U868">
        <f>R868*P868</f>
        <v>6</v>
      </c>
      <c r="V868">
        <f>(H868*M868)/AD868</f>
        <v>95</v>
      </c>
      <c r="W868" s="28">
        <f>RATE(U868,V868,-F868,H868)</f>
        <v>9.7783035554636022E-2</v>
      </c>
      <c r="X868" s="27">
        <f>W868*AD868</f>
        <v>9.7783035554636022E-2</v>
      </c>
      <c r="Y868" s="5">
        <f>DURATION(N868,O868,M868,D868,AD868)</f>
        <v>4.8319054974944633</v>
      </c>
      <c r="Z868" s="5">
        <f>Y868/(1+C868)</f>
        <v>4.4015122669965709</v>
      </c>
      <c r="AA868" s="5">
        <f>-Z868*F868</f>
        <v>-4347.8138173392126</v>
      </c>
      <c r="AB868" t="s">
        <v>64</v>
      </c>
      <c r="AC868" t="s">
        <v>62</v>
      </c>
      <c r="AD868">
        <f>_xlfn.SWITCH(PROPER(TRIM(S868)),
   "Annual",1,
   "Semi-Annual",2,
   "Quarterly",4,
   "Monthly",12,
   "")</f>
        <v>1</v>
      </c>
    </row>
    <row r="869" spans="1:30" x14ac:dyDescent="0.35">
      <c r="A869" t="s">
        <v>1275</v>
      </c>
      <c r="B869" t="s">
        <v>357</v>
      </c>
      <c r="C869" s="36">
        <f>RATE(U869,V869,-F869,H869)</f>
        <v>0.15284487382639964</v>
      </c>
      <c r="D869" s="3">
        <f>C869*AD869</f>
        <v>0.15284487382639964</v>
      </c>
      <c r="F869">
        <v>835.79998999999998</v>
      </c>
      <c r="G869" t="s">
        <v>76</v>
      </c>
      <c r="H869">
        <v>1000</v>
      </c>
      <c r="I869" s="22"/>
      <c r="J869">
        <v>1160</v>
      </c>
      <c r="K869" s="22"/>
      <c r="L869">
        <v>17.336992815886699</v>
      </c>
      <c r="M869" s="22">
        <v>9.5000000000000001E-2</v>
      </c>
      <c r="N869" s="21">
        <v>45054</v>
      </c>
      <c r="O869" s="21">
        <v>46515</v>
      </c>
      <c r="P869">
        <f>ROUND(YEARFRAC(N869,O869),0)</f>
        <v>4</v>
      </c>
      <c r="Q869" s="6">
        <f>(M869*H869)/F869</f>
        <v>0.11366355723454842</v>
      </c>
      <c r="R869" s="5">
        <f>IF(S869="Quarterly",4,IF(S869="Semi-annual",2,IF(S869="Annual",1,IF(S869="Pays at maturity",0,IF(S869="Monthly",12,0)))))</f>
        <v>1</v>
      </c>
      <c r="S869" t="s">
        <v>93</v>
      </c>
      <c r="U869">
        <f>R869*P869</f>
        <v>4</v>
      </c>
      <c r="V869">
        <f>(H869*M869)/AD869</f>
        <v>95</v>
      </c>
      <c r="W869" s="28">
        <f>RATE(U869,V869,-F869,H869)</f>
        <v>0.15284487382639964</v>
      </c>
      <c r="X869" s="27">
        <f>W869*AD869</f>
        <v>0.15284487382639964</v>
      </c>
      <c r="Y869" s="5">
        <f>DURATION(N869,O869,M869,D869,AD869)</f>
        <v>3.4589897060860606</v>
      </c>
      <c r="Z869" s="5">
        <f>Y869/(1+C869)</f>
        <v>3.0003947492131799</v>
      </c>
      <c r="AA869" s="5">
        <f>-Z869*F869</f>
        <v>-2507.7299013884281</v>
      </c>
      <c r="AB869" t="s">
        <v>64</v>
      </c>
      <c r="AC869" t="s">
        <v>62</v>
      </c>
      <c r="AD869">
        <f>_xlfn.SWITCH(PROPER(TRIM(S869)),
   "Annual",1,
   "Semi-Annual",2,
   "Quarterly",4,
   "Monthly",12,
   "")</f>
        <v>1</v>
      </c>
    </row>
    <row r="870" spans="1:30" x14ac:dyDescent="0.35">
      <c r="C870" s="28"/>
      <c r="D870" s="27"/>
      <c r="I870" s="22"/>
      <c r="K870" s="22"/>
      <c r="M870" s="22"/>
      <c r="N870" s="21"/>
      <c r="O870" s="21"/>
      <c r="P870" s="5"/>
      <c r="Q870" s="6"/>
      <c r="R870" s="5"/>
      <c r="W870" s="28"/>
      <c r="Y870" s="33"/>
      <c r="Z870" s="33"/>
      <c r="AA870" s="33"/>
    </row>
    <row r="871" spans="1:30" x14ac:dyDescent="0.35">
      <c r="A871" t="s">
        <v>1273</v>
      </c>
      <c r="B871" t="s">
        <v>162</v>
      </c>
      <c r="C871" s="36">
        <f>RATE(U871,V871,-F871,H871)</f>
        <v>8.31945552958301E-2</v>
      </c>
      <c r="D871" s="3">
        <f>C871*AD871</f>
        <v>8.31945552958301E-2</v>
      </c>
      <c r="F871">
        <v>1020</v>
      </c>
      <c r="G871" t="s">
        <v>76</v>
      </c>
      <c r="H871">
        <v>1000</v>
      </c>
      <c r="I871" s="22"/>
      <c r="J871">
        <v>50</v>
      </c>
      <c r="K871" s="22"/>
      <c r="L871">
        <v>7.8485757121439201</v>
      </c>
      <c r="M871" s="22">
        <v>9.0999999999999998E-2</v>
      </c>
      <c r="N871" s="21">
        <v>45421</v>
      </c>
      <c r="O871" s="21">
        <v>46516</v>
      </c>
      <c r="P871">
        <f>ROUND(YEARFRAC(N871,O871),0)</f>
        <v>3</v>
      </c>
      <c r="Q871" s="6">
        <f>(M871*H871)/F871</f>
        <v>8.9215686274509806E-2</v>
      </c>
      <c r="R871" s="5">
        <f>IF(S871="Quarterly",4,IF(S871="Semi-annual",2,IF(S871="Annual",1,IF(S871="Pays at maturity",0,IF(S871="Monthly",12,0)))))</f>
        <v>1</v>
      </c>
      <c r="S871" t="s">
        <v>93</v>
      </c>
      <c r="U871">
        <f>R871*P871</f>
        <v>3</v>
      </c>
      <c r="V871">
        <f>(H871*M871)/AD871</f>
        <v>91</v>
      </c>
      <c r="W871" s="28">
        <f>RATE(U871,V871,-F871,H871)</f>
        <v>8.31945552958301E-2</v>
      </c>
      <c r="X871" s="27">
        <f>W871*AD871</f>
        <v>8.31945552958301E-2</v>
      </c>
      <c r="Y871" s="5">
        <f>DURATION(N871,O871,M871,D871,AD871)</f>
        <v>2.7592354361045039</v>
      </c>
      <c r="Z871" s="5">
        <f>Y871/(1+C871)</f>
        <v>2.5473128743256392</v>
      </c>
      <c r="AA871" s="5">
        <f>-Z871*F871</f>
        <v>-2598.2591318121522</v>
      </c>
      <c r="AB871" t="s">
        <v>64</v>
      </c>
      <c r="AC871" t="s">
        <v>62</v>
      </c>
      <c r="AD871">
        <f>_xlfn.SWITCH(PROPER(TRIM(S871)),
   "Annual",1,
   "Semi-Annual",2,
   "Quarterly",4,
   "Monthly",12,
   "")</f>
        <v>1</v>
      </c>
    </row>
    <row r="872" spans="1:30" x14ac:dyDescent="0.35">
      <c r="A872" t="s">
        <v>1272</v>
      </c>
      <c r="B872" t="s">
        <v>390</v>
      </c>
      <c r="C872" s="36">
        <f>RATE(U872,V872,-F872,H872)</f>
        <v>0.11795052543084517</v>
      </c>
      <c r="D872" s="3">
        <f>C872*AD872</f>
        <v>0.11795052543084517</v>
      </c>
      <c r="F872">
        <v>995</v>
      </c>
      <c r="G872" t="s">
        <v>76</v>
      </c>
      <c r="H872">
        <v>1000</v>
      </c>
      <c r="I872" s="22"/>
      <c r="J872">
        <v>35</v>
      </c>
      <c r="K872" s="22"/>
      <c r="L872">
        <v>11.8283156193949</v>
      </c>
      <c r="M872" s="22">
        <v>0.115</v>
      </c>
      <c r="N872" s="21">
        <v>45793</v>
      </c>
      <c r="O872" s="21">
        <v>46523</v>
      </c>
      <c r="P872">
        <f>ROUND(YEARFRAC(N872,O872),0)</f>
        <v>2</v>
      </c>
      <c r="Q872" s="6">
        <f>(M872*H872)/F872</f>
        <v>0.11557788944723618</v>
      </c>
      <c r="R872" s="5">
        <f>IF(S872="Quarterly",4,IF(S872="Semi-annual",2,IF(S872="Annual",1,IF(S872="Pays at maturity",0,IF(S872="Monthly",12,0)))))</f>
        <v>1</v>
      </c>
      <c r="S872" t="s">
        <v>93</v>
      </c>
      <c r="U872">
        <f>R872*P872</f>
        <v>2</v>
      </c>
      <c r="V872">
        <f>(H872*M872)/AD872</f>
        <v>115</v>
      </c>
      <c r="W872" s="28">
        <f>RATE(U872,V872,-F872,H872)</f>
        <v>0.11795052543084517</v>
      </c>
      <c r="X872" s="27">
        <f>W872*AD872</f>
        <v>0.11795052543084517</v>
      </c>
      <c r="Y872" s="5">
        <f>DURATION(N872,O872,M872,D872,AD872)</f>
        <v>1.8966162752124527</v>
      </c>
      <c r="Z872" s="5">
        <f>Y872/(1+C872)</f>
        <v>1.6965118152089234</v>
      </c>
      <c r="AA872" s="5">
        <f>-Z872*F872</f>
        <v>-1688.0292561328788</v>
      </c>
      <c r="AB872" t="s">
        <v>64</v>
      </c>
      <c r="AC872" t="s">
        <v>62</v>
      </c>
      <c r="AD872">
        <f>_xlfn.SWITCH(PROPER(TRIM(S872)),
   "Annual",1,
   "Semi-Annual",2,
   "Quarterly",4,
   "Monthly",12,
   "")</f>
        <v>1</v>
      </c>
    </row>
    <row r="873" spans="1:30" x14ac:dyDescent="0.35">
      <c r="A873" t="s">
        <v>1271</v>
      </c>
      <c r="B873" t="s">
        <v>1270</v>
      </c>
      <c r="C873" s="36">
        <f>RATE(U873,V873,-F873,H873)</f>
        <v>0.10201771987839341</v>
      </c>
      <c r="D873" s="3">
        <f>C873*AD873</f>
        <v>0.10201771987839341</v>
      </c>
      <c r="F873">
        <v>99500</v>
      </c>
      <c r="G873" t="s">
        <v>76</v>
      </c>
      <c r="H873">
        <v>100000</v>
      </c>
      <c r="I873" s="22"/>
      <c r="J873">
        <v>3</v>
      </c>
      <c r="K873" s="22"/>
      <c r="L873">
        <v>10.3273163400081</v>
      </c>
      <c r="M873" s="22">
        <v>0.1</v>
      </c>
      <c r="N873" s="21">
        <v>45428</v>
      </c>
      <c r="O873" s="21">
        <v>46523</v>
      </c>
      <c r="P873">
        <f>ROUND(YEARFRAC(N873,O873),0)</f>
        <v>3</v>
      </c>
      <c r="Q873" s="6">
        <f>(M873*H873)/F873</f>
        <v>0.10050251256281408</v>
      </c>
      <c r="R873" s="5">
        <f>IF(S873="Quarterly",4,IF(S873="Semi-annual",2,IF(S873="Annual",1,IF(S873="Pays at maturity",0,IF(S873="Monthly",12,0)))))</f>
        <v>1</v>
      </c>
      <c r="S873" t="s">
        <v>93</v>
      </c>
      <c r="U873">
        <f>R873*P873</f>
        <v>3</v>
      </c>
      <c r="V873">
        <f>(H873*M873)/AD873</f>
        <v>10000</v>
      </c>
      <c r="W873" s="28">
        <f>RATE(U873,V873,-F873,H873)</f>
        <v>0.10201771987839341</v>
      </c>
      <c r="X873" s="27">
        <f>W873*AD873</f>
        <v>0.10201771987839341</v>
      </c>
      <c r="Y873" s="5">
        <f>DURATION(N873,O873,M873,D873,AD873)</f>
        <v>2.7348466766476687</v>
      </c>
      <c r="Z873" s="5">
        <f>Y873/(1+C873)</f>
        <v>2.4816721431207625</v>
      </c>
      <c r="AA873" s="5">
        <f>-Z873*F873</f>
        <v>-246926.37824051586</v>
      </c>
      <c r="AB873" t="s">
        <v>79</v>
      </c>
      <c r="AC873" t="s">
        <v>62</v>
      </c>
      <c r="AD873">
        <f>_xlfn.SWITCH(PROPER(TRIM(S873)),
   "Annual",1,
   "Semi-Annual",2,
   "Quarterly",4,
   "Monthly",12,
   "")</f>
        <v>1</v>
      </c>
    </row>
    <row r="874" spans="1:30" x14ac:dyDescent="0.35">
      <c r="A874" t="s">
        <v>1269</v>
      </c>
      <c r="B874" t="s">
        <v>241</v>
      </c>
      <c r="C874" s="36">
        <f>RATE(U874,V874,-F874,H874)</f>
        <v>9.4114328635625785E-2</v>
      </c>
      <c r="D874" s="3">
        <f>C874*AD874</f>
        <v>9.4114328635625785E-2</v>
      </c>
      <c r="F874">
        <v>999.8</v>
      </c>
      <c r="G874" t="s">
        <v>76</v>
      </c>
      <c r="H874">
        <v>1000</v>
      </c>
      <c r="I874" s="22"/>
      <c r="J874">
        <v>13</v>
      </c>
      <c r="K874" s="22"/>
      <c r="L874">
        <v>9.4127780780036598</v>
      </c>
      <c r="M874" s="22">
        <v>9.4E-2</v>
      </c>
      <c r="N874" s="21">
        <v>45796</v>
      </c>
      <c r="O874" s="21">
        <v>46526</v>
      </c>
      <c r="P874">
        <f>ROUND(YEARFRAC(N874,O874),0)</f>
        <v>2</v>
      </c>
      <c r="Q874" s="6">
        <f>(M874*H874)/F874</f>
        <v>9.4018803760752154E-2</v>
      </c>
      <c r="R874" s="5">
        <f>IF(S874="Quarterly",4,IF(S874="Semi-annual",2,IF(S874="Annual",1,IF(S874="Pays at maturity",0,IF(S874="Monthly",12,0)))))</f>
        <v>1</v>
      </c>
      <c r="S874" t="s">
        <v>93</v>
      </c>
      <c r="U874">
        <f>R874*P874</f>
        <v>2</v>
      </c>
      <c r="V874">
        <f>(H874*M874)/AD874</f>
        <v>94</v>
      </c>
      <c r="W874" s="28">
        <f>RATE(U874,V874,-F874,H874)</f>
        <v>9.4114328635625785E-2</v>
      </c>
      <c r="X874" s="27">
        <f>W874*AD874</f>
        <v>9.4114328635625785E-2</v>
      </c>
      <c r="Y874" s="5">
        <f>DURATION(N874,O874,M874,D874,AD874)</f>
        <v>1.9140685746451287</v>
      </c>
      <c r="Z874" s="5">
        <f>Y874/(1+C874)</f>
        <v>1.7494228204030524</v>
      </c>
      <c r="AA874" s="5">
        <f>-Z874*F874</f>
        <v>-1749.0729358389717</v>
      </c>
      <c r="AB874" t="s">
        <v>64</v>
      </c>
      <c r="AC874" t="s">
        <v>62</v>
      </c>
      <c r="AD874">
        <f>_xlfn.SWITCH(PROPER(TRIM(S874)),
   "Annual",1,
   "Semi-Annual",2,
   "Quarterly",4,
   "Monthly",12,
   "")</f>
        <v>1</v>
      </c>
    </row>
    <row r="875" spans="1:30" x14ac:dyDescent="0.35">
      <c r="C875" s="28"/>
      <c r="D875" s="27"/>
      <c r="I875" s="22"/>
      <c r="K875" s="22"/>
      <c r="M875" s="22"/>
      <c r="N875" s="21"/>
      <c r="O875" s="21"/>
      <c r="P875" s="5"/>
      <c r="Q875" s="6"/>
      <c r="R875" s="5"/>
      <c r="W875" s="28"/>
      <c r="Y875" s="33"/>
      <c r="Z875" s="33"/>
      <c r="AA875" s="33"/>
    </row>
    <row r="876" spans="1:30" x14ac:dyDescent="0.35">
      <c r="A876" t="s">
        <v>1267</v>
      </c>
      <c r="B876" t="s">
        <v>241</v>
      </c>
      <c r="C876" s="36">
        <f t="shared" ref="C876:C885" si="533">RATE(U876,V876,-F876,H876)</f>
        <v>9.6885398188019417E-2</v>
      </c>
      <c r="D876" s="3">
        <f t="shared" ref="D876:D885" si="534">C876*AD876</f>
        <v>9.6885398188019417E-2</v>
      </c>
      <c r="F876">
        <v>988</v>
      </c>
      <c r="G876" t="s">
        <v>76</v>
      </c>
      <c r="H876">
        <v>1000</v>
      </c>
      <c r="I876" s="22"/>
      <c r="J876">
        <v>79</v>
      </c>
      <c r="K876" s="22"/>
      <c r="L876">
        <v>9.7759581139082492</v>
      </c>
      <c r="M876" s="22">
        <v>0.09</v>
      </c>
      <c r="N876" s="21">
        <v>45796</v>
      </c>
      <c r="O876" s="21">
        <v>46526</v>
      </c>
      <c r="P876">
        <f t="shared" ref="P876:P885" si="535">ROUND(YEARFRAC(N876,O876),0)</f>
        <v>2</v>
      </c>
      <c r="Q876" s="6">
        <f t="shared" ref="Q876:Q885" si="536">(M876*H876)/F876</f>
        <v>9.1093117408906882E-2</v>
      </c>
      <c r="R876" s="5">
        <f t="shared" ref="R876:R885" si="537">IF(S876="Quarterly",4,IF(S876="Semi-annual",2,IF(S876="Annual",1,IF(S876="Pays at maturity",0,IF(S876="Monthly",12,0)))))</f>
        <v>1</v>
      </c>
      <c r="S876" t="s">
        <v>93</v>
      </c>
      <c r="U876">
        <f t="shared" ref="U876:U885" si="538">R876*P876</f>
        <v>2</v>
      </c>
      <c r="V876">
        <f t="shared" ref="V876:V885" si="539">(H876*M876)/AD876</f>
        <v>90</v>
      </c>
      <c r="W876" s="28">
        <f t="shared" ref="W876:W885" si="540">RATE(U876,V876,-F876,H876)</f>
        <v>9.6885398188019417E-2</v>
      </c>
      <c r="X876" s="27">
        <f t="shared" ref="X876:X885" si="541">W876*AD876</f>
        <v>9.6885398188019417E-2</v>
      </c>
      <c r="Y876" s="5">
        <f t="shared" ref="Y876:Y885" si="542">DURATION(N876,O876,M876,D876,AD876)</f>
        <v>1.9169529309448445</v>
      </c>
      <c r="Z876" s="5">
        <f t="shared" ref="Z876:Z885" si="543">Y876/(1+C876)</f>
        <v>1.7476328284718909</v>
      </c>
      <c r="AA876" s="5">
        <f t="shared" ref="AA876:AA885" si="544">-Z876*F876</f>
        <v>-1726.6612345302283</v>
      </c>
      <c r="AB876" t="s">
        <v>64</v>
      </c>
      <c r="AC876" t="s">
        <v>62</v>
      </c>
      <c r="AD876">
        <f t="shared" ref="AD876:AD885" si="545">_xlfn.SWITCH(PROPER(TRIM(S876)),
   "Annual",1,
   "Semi-Annual",2,
   "Quarterly",4,
   "Monthly",12,
   "")</f>
        <v>1</v>
      </c>
    </row>
    <row r="877" spans="1:30" x14ac:dyDescent="0.35">
      <c r="A877" t="s">
        <v>1266</v>
      </c>
      <c r="B877" t="s">
        <v>644</v>
      </c>
      <c r="C877" s="36">
        <f t="shared" si="533"/>
        <v>0.14679385911595252</v>
      </c>
      <c r="D877" s="3">
        <f t="shared" si="534"/>
        <v>0.14679385911595252</v>
      </c>
      <c r="F877">
        <v>8500000</v>
      </c>
      <c r="G877" t="s">
        <v>76</v>
      </c>
      <c r="H877">
        <v>10000000</v>
      </c>
      <c r="I877" s="22"/>
      <c r="J877">
        <v>1</v>
      </c>
      <c r="K877" s="22"/>
      <c r="L877">
        <v>20.4262574595055</v>
      </c>
      <c r="M877" s="22">
        <v>0.1075</v>
      </c>
      <c r="N877" s="21">
        <v>44489</v>
      </c>
      <c r="O877" s="21">
        <v>46527</v>
      </c>
      <c r="P877">
        <f t="shared" si="535"/>
        <v>6</v>
      </c>
      <c r="Q877" s="6">
        <f t="shared" si="536"/>
        <v>0.12647058823529411</v>
      </c>
      <c r="R877" s="5">
        <f t="shared" si="537"/>
        <v>1</v>
      </c>
      <c r="S877" t="s">
        <v>93</v>
      </c>
      <c r="U877">
        <f t="shared" si="538"/>
        <v>6</v>
      </c>
      <c r="V877">
        <f t="shared" si="539"/>
        <v>1075000</v>
      </c>
      <c r="W877" s="28">
        <f t="shared" si="540"/>
        <v>0.14679385911595252</v>
      </c>
      <c r="X877" s="27">
        <f t="shared" si="541"/>
        <v>0.14679385911595252</v>
      </c>
      <c r="Y877" s="5">
        <f t="shared" si="542"/>
        <v>4.1856885884244965</v>
      </c>
      <c r="Z877" s="5">
        <f t="shared" si="543"/>
        <v>3.6499049547153888</v>
      </c>
      <c r="AA877" s="5">
        <f t="shared" si="544"/>
        <v>-31024192.115080804</v>
      </c>
      <c r="AB877" t="s">
        <v>64</v>
      </c>
      <c r="AC877" t="s">
        <v>62</v>
      </c>
      <c r="AD877">
        <f t="shared" si="545"/>
        <v>1</v>
      </c>
    </row>
    <row r="878" spans="1:30" x14ac:dyDescent="0.35">
      <c r="A878" t="s">
        <v>1265</v>
      </c>
      <c r="B878" t="s">
        <v>882</v>
      </c>
      <c r="C878" s="36">
        <f t="shared" si="533"/>
        <v>0.10599999999936233</v>
      </c>
      <c r="D878" s="3">
        <f t="shared" si="534"/>
        <v>0.10599999999936233</v>
      </c>
      <c r="F878">
        <v>10000</v>
      </c>
      <c r="G878" t="s">
        <v>76</v>
      </c>
      <c r="H878">
        <v>10000</v>
      </c>
      <c r="I878" s="22"/>
      <c r="J878">
        <v>13</v>
      </c>
      <c r="K878" s="22"/>
      <c r="L878">
        <v>10.6</v>
      </c>
      <c r="M878" s="22">
        <v>0.106</v>
      </c>
      <c r="N878" s="21">
        <v>45709</v>
      </c>
      <c r="O878" s="21">
        <v>46528</v>
      </c>
      <c r="P878">
        <f t="shared" si="535"/>
        <v>2</v>
      </c>
      <c r="Q878" s="6">
        <f t="shared" si="536"/>
        <v>0.106</v>
      </c>
      <c r="R878" s="5">
        <f t="shared" si="537"/>
        <v>1</v>
      </c>
      <c r="S878" t="s">
        <v>93</v>
      </c>
      <c r="U878">
        <f t="shared" si="538"/>
        <v>2</v>
      </c>
      <c r="V878">
        <f t="shared" si="539"/>
        <v>1060</v>
      </c>
      <c r="W878" s="28">
        <f t="shared" si="540"/>
        <v>0.10599999999936233</v>
      </c>
      <c r="X878" s="27">
        <f t="shared" si="541"/>
        <v>0.10599999999936233</v>
      </c>
      <c r="Y878" s="5">
        <f t="shared" si="542"/>
        <v>1.9716628679995329</v>
      </c>
      <c r="Z878" s="5">
        <f t="shared" si="543"/>
        <v>1.7826969873423777</v>
      </c>
      <c r="AA878" s="5">
        <f t="shared" si="544"/>
        <v>-17826.969873423775</v>
      </c>
      <c r="AB878" t="s">
        <v>64</v>
      </c>
      <c r="AC878" t="s">
        <v>62</v>
      </c>
      <c r="AD878">
        <f t="shared" si="545"/>
        <v>1</v>
      </c>
    </row>
    <row r="879" spans="1:30" x14ac:dyDescent="0.35">
      <c r="A879" t="s">
        <v>1264</v>
      </c>
      <c r="B879" t="s">
        <v>1111</v>
      </c>
      <c r="C879" s="36">
        <f t="shared" si="533"/>
        <v>7.5761674877184132E-2</v>
      </c>
      <c r="D879" s="3">
        <f t="shared" si="534"/>
        <v>7.5761674877184132E-2</v>
      </c>
      <c r="F879">
        <v>1005000</v>
      </c>
      <c r="G879" t="s">
        <v>76</v>
      </c>
      <c r="H879">
        <v>1000000</v>
      </c>
      <c r="I879" s="22"/>
      <c r="J879">
        <v>1</v>
      </c>
      <c r="K879" s="22"/>
      <c r="L879">
        <v>7.4062878294882797</v>
      </c>
      <c r="M879" s="22">
        <v>7.6999999999999999E-2</v>
      </c>
      <c r="N879" s="21">
        <v>44704</v>
      </c>
      <c r="O879" s="21">
        <v>46528</v>
      </c>
      <c r="P879">
        <f t="shared" si="535"/>
        <v>5</v>
      </c>
      <c r="Q879" s="6">
        <f t="shared" si="536"/>
        <v>7.6616915422885568E-2</v>
      </c>
      <c r="R879" s="5">
        <f t="shared" si="537"/>
        <v>1</v>
      </c>
      <c r="S879" t="s">
        <v>93</v>
      </c>
      <c r="U879">
        <f t="shared" si="538"/>
        <v>5</v>
      </c>
      <c r="V879">
        <f t="shared" si="539"/>
        <v>77000</v>
      </c>
      <c r="W879" s="28">
        <f t="shared" si="540"/>
        <v>7.5761674877184132E-2</v>
      </c>
      <c r="X879" s="27">
        <f t="shared" si="541"/>
        <v>7.5761674877184132E-2</v>
      </c>
      <c r="Y879" s="5">
        <f t="shared" si="542"/>
        <v>4.3306504502001477</v>
      </c>
      <c r="Z879" s="5">
        <f t="shared" si="543"/>
        <v>4.0256597268112966</v>
      </c>
      <c r="AA879" s="5">
        <f t="shared" si="544"/>
        <v>-4045788.0254453532</v>
      </c>
      <c r="AB879" t="s">
        <v>64</v>
      </c>
      <c r="AC879" t="s">
        <v>62</v>
      </c>
      <c r="AD879">
        <f t="shared" si="545"/>
        <v>1</v>
      </c>
    </row>
    <row r="880" spans="1:30" x14ac:dyDescent="0.35">
      <c r="A880" t="s">
        <v>1263</v>
      </c>
      <c r="B880" t="s">
        <v>338</v>
      </c>
      <c r="C880" s="36">
        <f t="shared" si="533"/>
        <v>0.11160354827965194</v>
      </c>
      <c r="D880" s="3">
        <f t="shared" si="534"/>
        <v>0.11160354827965194</v>
      </c>
      <c r="F880">
        <v>990</v>
      </c>
      <c r="G880" t="s">
        <v>76</v>
      </c>
      <c r="H880">
        <v>1000</v>
      </c>
      <c r="I880" s="22"/>
      <c r="J880">
        <v>25</v>
      </c>
      <c r="K880" s="22"/>
      <c r="L880">
        <v>11.3071100297377</v>
      </c>
      <c r="M880" s="22">
        <v>0.1075</v>
      </c>
      <c r="N880" s="21">
        <v>45439</v>
      </c>
      <c r="O880" s="21">
        <v>46534</v>
      </c>
      <c r="P880">
        <f t="shared" si="535"/>
        <v>3</v>
      </c>
      <c r="Q880" s="6">
        <f t="shared" si="536"/>
        <v>0.10858585858585859</v>
      </c>
      <c r="R880" s="5">
        <f t="shared" si="537"/>
        <v>1</v>
      </c>
      <c r="S880" t="s">
        <v>93</v>
      </c>
      <c r="U880">
        <f t="shared" si="538"/>
        <v>3</v>
      </c>
      <c r="V880">
        <f t="shared" si="539"/>
        <v>107.5</v>
      </c>
      <c r="W880" s="28">
        <f t="shared" si="540"/>
        <v>0.11160354827965194</v>
      </c>
      <c r="X880" s="27">
        <f t="shared" si="541"/>
        <v>0.11160354827965194</v>
      </c>
      <c r="Y880" s="5">
        <f t="shared" si="542"/>
        <v>2.7167554048508791</v>
      </c>
      <c r="Z880" s="5">
        <f t="shared" si="543"/>
        <v>2.4439967010319497</v>
      </c>
      <c r="AA880" s="5">
        <f t="shared" si="544"/>
        <v>-2419.5567340216303</v>
      </c>
      <c r="AB880" t="s">
        <v>64</v>
      </c>
      <c r="AC880" t="s">
        <v>62</v>
      </c>
      <c r="AD880">
        <f t="shared" si="545"/>
        <v>1</v>
      </c>
    </row>
    <row r="881" spans="1:30" x14ac:dyDescent="0.35">
      <c r="A881" t="s">
        <v>1262</v>
      </c>
      <c r="B881" t="s">
        <v>316</v>
      </c>
      <c r="C881" s="36">
        <f t="shared" si="533"/>
        <v>0.10250000000000002</v>
      </c>
      <c r="D881" s="3">
        <f t="shared" si="534"/>
        <v>0.10250000000000002</v>
      </c>
      <c r="F881">
        <v>1000</v>
      </c>
      <c r="G881" t="s">
        <v>76</v>
      </c>
      <c r="H881">
        <v>1000</v>
      </c>
      <c r="I881" s="22"/>
      <c r="J881">
        <v>88</v>
      </c>
      <c r="K881" s="22"/>
      <c r="L881">
        <v>10.25</v>
      </c>
      <c r="M881" s="22">
        <v>0.10249999999999999</v>
      </c>
      <c r="N881" s="21">
        <v>43980</v>
      </c>
      <c r="O881" s="21">
        <v>46535</v>
      </c>
      <c r="P881">
        <f t="shared" si="535"/>
        <v>7</v>
      </c>
      <c r="Q881" s="6">
        <f t="shared" si="536"/>
        <v>0.10249999999999999</v>
      </c>
      <c r="R881" s="5">
        <f t="shared" si="537"/>
        <v>1</v>
      </c>
      <c r="S881" t="s">
        <v>93</v>
      </c>
      <c r="U881">
        <f t="shared" si="538"/>
        <v>7</v>
      </c>
      <c r="V881">
        <f t="shared" si="539"/>
        <v>102.5</v>
      </c>
      <c r="W881" s="28">
        <f t="shared" si="540"/>
        <v>0.10250000000000002</v>
      </c>
      <c r="X881" s="27">
        <f t="shared" si="541"/>
        <v>0.10250000000000002</v>
      </c>
      <c r="Y881" s="5">
        <f t="shared" si="542"/>
        <v>5.3207596058557876</v>
      </c>
      <c r="Z881" s="5">
        <f t="shared" si="543"/>
        <v>4.8260858103000341</v>
      </c>
      <c r="AA881" s="5">
        <f t="shared" si="544"/>
        <v>-4826.0858103000337</v>
      </c>
      <c r="AB881" t="s">
        <v>64</v>
      </c>
      <c r="AC881" t="s">
        <v>62</v>
      </c>
      <c r="AD881">
        <f t="shared" si="545"/>
        <v>1</v>
      </c>
    </row>
    <row r="882" spans="1:30" x14ac:dyDescent="0.35">
      <c r="A882" t="s">
        <v>1261</v>
      </c>
      <c r="B882" t="s">
        <v>128</v>
      </c>
      <c r="C882" s="36">
        <f t="shared" si="533"/>
        <v>0.10853901853586645</v>
      </c>
      <c r="D882" s="3">
        <f t="shared" si="534"/>
        <v>0.10853901853586645</v>
      </c>
      <c r="F882">
        <v>976.63</v>
      </c>
      <c r="G882" t="s">
        <v>76</v>
      </c>
      <c r="H882">
        <v>1000</v>
      </c>
      <c r="I882" s="22"/>
      <c r="J882">
        <v>242</v>
      </c>
      <c r="K882" s="22"/>
      <c r="L882">
        <v>11.4101015961683</v>
      </c>
      <c r="M882" s="22">
        <v>9.9000000000000005E-2</v>
      </c>
      <c r="N882" s="21">
        <v>45443</v>
      </c>
      <c r="O882" s="21">
        <v>46538</v>
      </c>
      <c r="P882">
        <f t="shared" si="535"/>
        <v>3</v>
      </c>
      <c r="Q882" s="6">
        <f t="shared" si="536"/>
        <v>0.10136899337517791</v>
      </c>
      <c r="R882" s="5">
        <f t="shared" si="537"/>
        <v>1</v>
      </c>
      <c r="S882" t="s">
        <v>93</v>
      </c>
      <c r="U882">
        <f t="shared" si="538"/>
        <v>3</v>
      </c>
      <c r="V882">
        <f t="shared" si="539"/>
        <v>99</v>
      </c>
      <c r="W882" s="28">
        <f t="shared" si="540"/>
        <v>0.10853901853586645</v>
      </c>
      <c r="X882" s="27">
        <f t="shared" si="541"/>
        <v>0.10853901853586645</v>
      </c>
      <c r="Y882" s="5">
        <f t="shared" si="542"/>
        <v>2.734622094901574</v>
      </c>
      <c r="Z882" s="5">
        <f t="shared" si="543"/>
        <v>2.4668704025532646</v>
      </c>
      <c r="AA882" s="5">
        <f t="shared" si="544"/>
        <v>-2409.2196412455946</v>
      </c>
      <c r="AB882" t="s">
        <v>64</v>
      </c>
      <c r="AC882" t="s">
        <v>62</v>
      </c>
      <c r="AD882">
        <f t="shared" si="545"/>
        <v>1</v>
      </c>
    </row>
    <row r="883" spans="1:30" x14ac:dyDescent="0.35">
      <c r="A883" t="s">
        <v>1260</v>
      </c>
      <c r="B883" t="s">
        <v>128</v>
      </c>
      <c r="C883" s="36">
        <f t="shared" si="533"/>
        <v>9.4210952197083891E-2</v>
      </c>
      <c r="D883" s="3">
        <f t="shared" si="534"/>
        <v>9.4210952197083891E-2</v>
      </c>
      <c r="F883">
        <v>999.47</v>
      </c>
      <c r="G883" t="s">
        <v>76</v>
      </c>
      <c r="H883">
        <v>1000</v>
      </c>
      <c r="I883" s="22"/>
      <c r="J883">
        <v>10</v>
      </c>
      <c r="K883" s="22"/>
      <c r="L883">
        <v>9.4284171579460097</v>
      </c>
      <c r="M883" s="22">
        <v>9.4E-2</v>
      </c>
      <c r="N883" s="21">
        <v>45443</v>
      </c>
      <c r="O883" s="21">
        <v>46538</v>
      </c>
      <c r="P883">
        <f t="shared" si="535"/>
        <v>3</v>
      </c>
      <c r="Q883" s="6">
        <f t="shared" si="536"/>
        <v>9.4049846418601854E-2</v>
      </c>
      <c r="R883" s="5">
        <f t="shared" si="537"/>
        <v>1</v>
      </c>
      <c r="S883" t="s">
        <v>93</v>
      </c>
      <c r="U883">
        <f t="shared" si="538"/>
        <v>3</v>
      </c>
      <c r="V883">
        <f t="shared" si="539"/>
        <v>94</v>
      </c>
      <c r="W883" s="28">
        <f t="shared" si="540"/>
        <v>9.4210952197083891E-2</v>
      </c>
      <c r="X883" s="27">
        <f t="shared" si="541"/>
        <v>9.4210952197083891E-2</v>
      </c>
      <c r="Y883" s="5">
        <f t="shared" si="542"/>
        <v>2.749543815635012</v>
      </c>
      <c r="Z883" s="5">
        <f t="shared" si="543"/>
        <v>2.5128096279005052</v>
      </c>
      <c r="AA883" s="5">
        <f t="shared" si="544"/>
        <v>-2511.4778387977181</v>
      </c>
      <c r="AB883" t="s">
        <v>64</v>
      </c>
      <c r="AC883" t="s">
        <v>62</v>
      </c>
      <c r="AD883">
        <f t="shared" si="545"/>
        <v>1</v>
      </c>
    </row>
    <row r="884" spans="1:30" x14ac:dyDescent="0.35">
      <c r="A884" t="s">
        <v>1259</v>
      </c>
      <c r="B884" t="s">
        <v>128</v>
      </c>
      <c r="C884" s="36">
        <f t="shared" si="533"/>
        <v>0.12318298778306981</v>
      </c>
      <c r="D884" s="3">
        <f t="shared" si="534"/>
        <v>0.12318298778306981</v>
      </c>
      <c r="F884">
        <v>932.2</v>
      </c>
      <c r="G884" t="s">
        <v>76</v>
      </c>
      <c r="H884">
        <v>1000</v>
      </c>
      <c r="I884" s="22"/>
      <c r="J884">
        <v>25</v>
      </c>
      <c r="K884" s="22"/>
      <c r="L884">
        <v>14.056296555040801</v>
      </c>
      <c r="M884" s="22">
        <v>9.4800000000000009E-2</v>
      </c>
      <c r="N884" s="21">
        <v>45443</v>
      </c>
      <c r="O884" s="21">
        <v>46538</v>
      </c>
      <c r="P884">
        <f t="shared" si="535"/>
        <v>3</v>
      </c>
      <c r="Q884" s="6">
        <f t="shared" si="536"/>
        <v>0.10169491525423729</v>
      </c>
      <c r="R884" s="5">
        <f t="shared" si="537"/>
        <v>1</v>
      </c>
      <c r="S884" t="s">
        <v>93</v>
      </c>
      <c r="U884">
        <f t="shared" si="538"/>
        <v>3</v>
      </c>
      <c r="V884">
        <f t="shared" si="539"/>
        <v>94.800000000000011</v>
      </c>
      <c r="W884" s="28">
        <f t="shared" si="540"/>
        <v>0.12318298778306981</v>
      </c>
      <c r="X884" s="27">
        <f t="shared" si="541"/>
        <v>0.12318298778306981</v>
      </c>
      <c r="Y884" s="5">
        <f t="shared" si="542"/>
        <v>2.7383048444940612</v>
      </c>
      <c r="Z884" s="5">
        <f t="shared" si="543"/>
        <v>2.4379863960536889</v>
      </c>
      <c r="AA884" s="5">
        <f t="shared" si="544"/>
        <v>-2272.6909184012488</v>
      </c>
      <c r="AB884" t="s">
        <v>64</v>
      </c>
      <c r="AC884" t="s">
        <v>62</v>
      </c>
      <c r="AD884">
        <f t="shared" si="545"/>
        <v>1</v>
      </c>
    </row>
    <row r="885" spans="1:30" x14ac:dyDescent="0.35">
      <c r="A885" t="s">
        <v>1258</v>
      </c>
      <c r="B885" t="s">
        <v>249</v>
      </c>
      <c r="C885" s="36">
        <f t="shared" si="533"/>
        <v>2.3543855130484102E-2</v>
      </c>
      <c r="D885" s="3">
        <f t="shared" si="534"/>
        <v>9.4175420521936407E-2</v>
      </c>
      <c r="F885">
        <v>1008000</v>
      </c>
      <c r="G885" t="s">
        <v>76</v>
      </c>
      <c r="H885">
        <v>1000000</v>
      </c>
      <c r="I885" s="22"/>
      <c r="J885">
        <v>2</v>
      </c>
      <c r="K885" s="22"/>
      <c r="M885" s="22">
        <v>9.6199999999999994E-2</v>
      </c>
      <c r="N885" s="21">
        <v>44726</v>
      </c>
      <c r="O885" s="21">
        <v>46538</v>
      </c>
      <c r="P885">
        <f t="shared" si="535"/>
        <v>5</v>
      </c>
      <c r="Q885" s="6">
        <f t="shared" si="536"/>
        <v>9.5436507936507931E-2</v>
      </c>
      <c r="R885" s="5">
        <f t="shared" si="537"/>
        <v>4</v>
      </c>
      <c r="S885" t="s">
        <v>105</v>
      </c>
      <c r="U885">
        <f t="shared" si="538"/>
        <v>20</v>
      </c>
      <c r="V885">
        <f t="shared" si="539"/>
        <v>24050</v>
      </c>
      <c r="W885" s="28">
        <f t="shared" si="540"/>
        <v>2.3543855130484102E-2</v>
      </c>
      <c r="X885" s="27">
        <f t="shared" si="541"/>
        <v>9.4175420521936407E-2</v>
      </c>
      <c r="Y885" s="5">
        <f t="shared" si="542"/>
        <v>3.9927857072101816</v>
      </c>
      <c r="Z885" s="5">
        <f t="shared" si="543"/>
        <v>3.9009424825291639</v>
      </c>
      <c r="AA885" s="5">
        <f t="shared" si="544"/>
        <v>-3932150.022389397</v>
      </c>
      <c r="AB885" t="s">
        <v>64</v>
      </c>
      <c r="AC885" t="s">
        <v>62</v>
      </c>
      <c r="AD885">
        <f t="shared" si="545"/>
        <v>4</v>
      </c>
    </row>
    <row r="886" spans="1:30" x14ac:dyDescent="0.35">
      <c r="C886" s="28"/>
      <c r="D886" s="27"/>
      <c r="I886" s="22"/>
      <c r="K886" s="22"/>
      <c r="M886" s="22"/>
      <c r="N886" s="21"/>
      <c r="O886" s="21"/>
      <c r="P886" s="5"/>
      <c r="Q886" s="6"/>
      <c r="R886" s="5"/>
      <c r="W886" s="28"/>
      <c r="Y886" s="33"/>
      <c r="Z886" s="33"/>
      <c r="AA886" s="33"/>
    </row>
    <row r="887" spans="1:30" x14ac:dyDescent="0.35">
      <c r="A887" t="s">
        <v>1256</v>
      </c>
      <c r="B887" t="s">
        <v>184</v>
      </c>
      <c r="C887" s="36">
        <f t="shared" ref="C887:C898" si="546">RATE(U887,V887,-F887,H887)</f>
        <v>0.12378572063329912</v>
      </c>
      <c r="D887" s="3">
        <f t="shared" ref="D887:D898" si="547">C887*AD887</f>
        <v>0.12378572063329912</v>
      </c>
      <c r="F887">
        <v>96000</v>
      </c>
      <c r="G887" t="s">
        <v>76</v>
      </c>
      <c r="H887">
        <v>100000</v>
      </c>
      <c r="I887" s="22"/>
      <c r="J887">
        <v>2</v>
      </c>
      <c r="K887" s="22"/>
      <c r="L887">
        <v>12.6368613138686</v>
      </c>
      <c r="M887" s="22">
        <v>0.1</v>
      </c>
      <c r="N887" s="21">
        <v>45811</v>
      </c>
      <c r="O887" s="21">
        <v>46541</v>
      </c>
      <c r="P887">
        <f t="shared" ref="P887:P898" si="548">ROUND(YEARFRAC(N887,O887),0)</f>
        <v>2</v>
      </c>
      <c r="Q887" s="6">
        <f t="shared" ref="Q887:Q898" si="549">(M887*H887)/F887</f>
        <v>0.10416666666666667</v>
      </c>
      <c r="R887" s="5">
        <f>IF(S887="Quarterly",4,IF(S887="Semi-annual",2,IF(S887="Annual",1,IF(S887="Pays at maturity",0,IF(S887="Monthly",12,0)))))</f>
        <v>1</v>
      </c>
      <c r="S887" t="s">
        <v>93</v>
      </c>
      <c r="U887">
        <f t="shared" ref="U887:U898" si="550">R887*P887</f>
        <v>2</v>
      </c>
      <c r="V887">
        <f t="shared" ref="V887:V898" si="551">(H887*M887)/AD887</f>
        <v>10000</v>
      </c>
      <c r="W887" s="28">
        <f t="shared" ref="W887:W898" si="552">RATE(U887,V887,-F887,H887)</f>
        <v>0.12378572063329912</v>
      </c>
      <c r="X887" s="27">
        <f t="shared" ref="X887:X898" si="553">W887*AD887</f>
        <v>0.12378572063329912</v>
      </c>
      <c r="Y887" s="5">
        <f t="shared" ref="Y887:Y898" si="554">DURATION(N887,O887,M887,D887,AD887)</f>
        <v>1.9073073587303062</v>
      </c>
      <c r="Z887" s="5">
        <f t="shared" ref="Z887:Z898" si="555">Y887/(1+C887)</f>
        <v>1.6972162252208194</v>
      </c>
      <c r="AA887" s="5">
        <f t="shared" ref="AA887:AA898" si="556">-Z887*F887</f>
        <v>-162932.75762119866</v>
      </c>
      <c r="AB887" t="s">
        <v>64</v>
      </c>
      <c r="AC887" t="s">
        <v>62</v>
      </c>
      <c r="AD887">
        <f t="shared" ref="AD887:AD898" si="557">_xlfn.SWITCH(PROPER(TRIM(S887)),
   "Annual",1,
   "Semi-Annual",2,
   "Quarterly",4,
   "Monthly",12,
   "")</f>
        <v>1</v>
      </c>
    </row>
    <row r="888" spans="1:30" x14ac:dyDescent="0.35">
      <c r="A888" t="s">
        <v>1255</v>
      </c>
      <c r="B888" t="s">
        <v>1254</v>
      </c>
      <c r="C888" s="36">
        <f t="shared" si="546"/>
        <v>0.12497086764511801</v>
      </c>
      <c r="D888" s="3">
        <f t="shared" si="547"/>
        <v>0.12497086764511801</v>
      </c>
      <c r="F888">
        <v>9799</v>
      </c>
      <c r="G888" t="s">
        <v>76</v>
      </c>
      <c r="H888">
        <v>10000</v>
      </c>
      <c r="I888" s="22"/>
      <c r="J888">
        <v>14</v>
      </c>
      <c r="K888" s="22"/>
      <c r="L888">
        <v>12.629587853688999</v>
      </c>
      <c r="M888" s="22">
        <v>0.113</v>
      </c>
      <c r="N888" s="21">
        <v>45813</v>
      </c>
      <c r="O888" s="21">
        <v>46543</v>
      </c>
      <c r="P888">
        <f t="shared" si="548"/>
        <v>2</v>
      </c>
      <c r="Q888" s="6">
        <f t="shared" si="549"/>
        <v>0.11531788958056945</v>
      </c>
      <c r="R888" s="5">
        <f>IF(S888="Quarterly",4,IF(S888="Semi-annual",2,IF(S888="Annual",1,IF(S888="Pays at maturity",0,IF(S888="Monthly",12,0)))))</f>
        <v>1</v>
      </c>
      <c r="S888" t="s">
        <v>93</v>
      </c>
      <c r="U888">
        <f t="shared" si="550"/>
        <v>2</v>
      </c>
      <c r="V888">
        <f t="shared" si="551"/>
        <v>1130</v>
      </c>
      <c r="W888" s="28">
        <f t="shared" si="552"/>
        <v>0.12497086764511801</v>
      </c>
      <c r="X888" s="27">
        <f t="shared" si="553"/>
        <v>0.12497086764511801</v>
      </c>
      <c r="Y888" s="5">
        <f t="shared" si="554"/>
        <v>1.8974925547876964</v>
      </c>
      <c r="Z888" s="5">
        <f t="shared" si="555"/>
        <v>1.6867037266126585</v>
      </c>
      <c r="AA888" s="5">
        <f t="shared" si="556"/>
        <v>-16528.00981707744</v>
      </c>
      <c r="AB888" t="s">
        <v>64</v>
      </c>
      <c r="AC888" t="s">
        <v>62</v>
      </c>
      <c r="AD888">
        <f t="shared" si="557"/>
        <v>1</v>
      </c>
    </row>
    <row r="889" spans="1:30" x14ac:dyDescent="0.35">
      <c r="A889" t="s">
        <v>1253</v>
      </c>
      <c r="B889" t="s">
        <v>1252</v>
      </c>
      <c r="C889" s="36">
        <f t="shared" si="546"/>
        <v>0.10699999999999997</v>
      </c>
      <c r="D889" s="3">
        <f t="shared" si="547"/>
        <v>0.10699999999999997</v>
      </c>
      <c r="F889">
        <v>100000</v>
      </c>
      <c r="G889" t="s">
        <v>76</v>
      </c>
      <c r="H889">
        <v>100000</v>
      </c>
      <c r="I889" s="22"/>
      <c r="J889">
        <v>3</v>
      </c>
      <c r="K889" s="22"/>
      <c r="L889">
        <v>10.7</v>
      </c>
      <c r="M889" s="22">
        <v>0.107</v>
      </c>
      <c r="N889" s="21">
        <v>45831</v>
      </c>
      <c r="O889" s="21">
        <v>46548</v>
      </c>
      <c r="P889">
        <f t="shared" si="548"/>
        <v>2</v>
      </c>
      <c r="Q889" s="6">
        <f t="shared" si="549"/>
        <v>0.107</v>
      </c>
      <c r="R889" s="5">
        <f>IF(S889="Quarterly",4,IF(S889="Semi-annual",2,IF(S889="Annual",1,IF(S889="Pays at maturity",0,IF(S889="Monthly",12,0)))))</f>
        <v>1</v>
      </c>
      <c r="S889" t="s">
        <v>93</v>
      </c>
      <c r="U889">
        <f t="shared" si="550"/>
        <v>2</v>
      </c>
      <c r="V889">
        <f t="shared" si="551"/>
        <v>10700</v>
      </c>
      <c r="W889" s="28">
        <f t="shared" si="552"/>
        <v>0.10699999999999997</v>
      </c>
      <c r="X889" s="27">
        <f t="shared" si="553"/>
        <v>0.10699999999999997</v>
      </c>
      <c r="Y889" s="5">
        <f t="shared" si="554"/>
        <v>1.8672312556458903</v>
      </c>
      <c r="Z889" s="5">
        <f t="shared" si="555"/>
        <v>1.6867491017578051</v>
      </c>
      <c r="AA889" s="5">
        <f t="shared" si="556"/>
        <v>-168674.9101757805</v>
      </c>
      <c r="AB889" t="s">
        <v>64</v>
      </c>
      <c r="AC889" t="s">
        <v>62</v>
      </c>
      <c r="AD889">
        <f t="shared" si="557"/>
        <v>1</v>
      </c>
    </row>
    <row r="890" spans="1:30" x14ac:dyDescent="0.35">
      <c r="A890" t="s">
        <v>1251</v>
      </c>
      <c r="B890" t="s">
        <v>157</v>
      </c>
      <c r="C890" s="36">
        <f t="shared" si="546"/>
        <v>9.9637159293700067E-2</v>
      </c>
      <c r="D890" s="3">
        <f t="shared" si="547"/>
        <v>9.9637159293700067E-2</v>
      </c>
      <c r="F890">
        <v>980</v>
      </c>
      <c r="G890" t="s">
        <v>76</v>
      </c>
      <c r="H890">
        <v>1000</v>
      </c>
      <c r="I890" s="22"/>
      <c r="J890">
        <v>50</v>
      </c>
      <c r="K890" s="22"/>
      <c r="L890">
        <v>10.1943767267999</v>
      </c>
      <c r="M890" s="22">
        <v>9.1600000000000001E-2</v>
      </c>
      <c r="N890" s="21">
        <v>45455</v>
      </c>
      <c r="O890" s="21">
        <v>46550</v>
      </c>
      <c r="P890">
        <f t="shared" si="548"/>
        <v>3</v>
      </c>
      <c r="Q890" s="6">
        <f t="shared" si="549"/>
        <v>9.3469387755102037E-2</v>
      </c>
      <c r="R890" s="5">
        <f t="shared" ref="R890:R898" si="558">IF(S890="Quarterly",4,IF(S890="Semi-annual",2,IF(S890="Annual",1,IF(S890="Pays at maturity",0,12))))</f>
        <v>1</v>
      </c>
      <c r="S890" t="s">
        <v>93</v>
      </c>
      <c r="U890">
        <f t="shared" si="550"/>
        <v>3</v>
      </c>
      <c r="V890">
        <f t="shared" si="551"/>
        <v>91.6</v>
      </c>
      <c r="W890" s="28">
        <f t="shared" si="552"/>
        <v>9.9637159293700067E-2</v>
      </c>
      <c r="X890" s="27">
        <f t="shared" si="553"/>
        <v>9.9637159293700067E-2</v>
      </c>
      <c r="Y890" s="5">
        <f t="shared" si="554"/>
        <v>2.7527011690555945</v>
      </c>
      <c r="Z890" s="5">
        <f t="shared" si="555"/>
        <v>2.5032813285644715</v>
      </c>
      <c r="AA890" s="5">
        <f t="shared" si="556"/>
        <v>-2453.2157019931819</v>
      </c>
      <c r="AB890" t="s">
        <v>64</v>
      </c>
      <c r="AC890" t="s">
        <v>62</v>
      </c>
      <c r="AD890">
        <f t="shared" si="557"/>
        <v>1</v>
      </c>
    </row>
    <row r="891" spans="1:30" x14ac:dyDescent="0.35">
      <c r="A891" t="s">
        <v>1250</v>
      </c>
      <c r="B891" t="s">
        <v>157</v>
      </c>
      <c r="C891" s="36">
        <f t="shared" si="546"/>
        <v>9.1617299161498633E-2</v>
      </c>
      <c r="D891" s="3">
        <f t="shared" si="547"/>
        <v>9.1617299161498633E-2</v>
      </c>
      <c r="F891">
        <v>1009.8</v>
      </c>
      <c r="G891" t="s">
        <v>76</v>
      </c>
      <c r="H891">
        <v>1000</v>
      </c>
      <c r="I891" s="22"/>
      <c r="J891">
        <v>10</v>
      </c>
      <c r="K891" s="22"/>
      <c r="L891">
        <v>8.9618937212520091</v>
      </c>
      <c r="M891" s="22">
        <v>9.5500000000000002E-2</v>
      </c>
      <c r="N891" s="21">
        <v>45455</v>
      </c>
      <c r="O891" s="21">
        <v>46550</v>
      </c>
      <c r="P891">
        <f t="shared" si="548"/>
        <v>3</v>
      </c>
      <c r="Q891" s="6">
        <f t="shared" si="549"/>
        <v>9.457318280847693E-2</v>
      </c>
      <c r="R891" s="5">
        <f t="shared" si="558"/>
        <v>1</v>
      </c>
      <c r="S891" t="s">
        <v>93</v>
      </c>
      <c r="U891">
        <f t="shared" si="550"/>
        <v>3</v>
      </c>
      <c r="V891">
        <f t="shared" si="551"/>
        <v>95.5</v>
      </c>
      <c r="W891" s="28">
        <f t="shared" si="552"/>
        <v>9.1617299161498633E-2</v>
      </c>
      <c r="X891" s="27">
        <f t="shared" si="553"/>
        <v>9.1617299161498633E-2</v>
      </c>
      <c r="Y891" s="5">
        <f t="shared" si="554"/>
        <v>2.747363653113188</v>
      </c>
      <c r="Z891" s="5">
        <f t="shared" si="555"/>
        <v>2.5167828095281322</v>
      </c>
      <c r="AA891" s="5">
        <f t="shared" si="556"/>
        <v>-2541.447281061508</v>
      </c>
      <c r="AB891" t="s">
        <v>64</v>
      </c>
      <c r="AC891" t="s">
        <v>62</v>
      </c>
      <c r="AD891">
        <f t="shared" si="557"/>
        <v>1</v>
      </c>
    </row>
    <row r="892" spans="1:30" x14ac:dyDescent="0.35">
      <c r="A892" t="s">
        <v>1249</v>
      </c>
      <c r="B892" t="s">
        <v>923</v>
      </c>
      <c r="C892" s="36">
        <f t="shared" si="546"/>
        <v>0.11606769233078762</v>
      </c>
      <c r="D892" s="3">
        <f t="shared" si="547"/>
        <v>0.11606769233078762</v>
      </c>
      <c r="F892">
        <v>99500</v>
      </c>
      <c r="G892" t="s">
        <v>76</v>
      </c>
      <c r="H892">
        <v>100000</v>
      </c>
      <c r="I892" s="22"/>
      <c r="J892">
        <v>2</v>
      </c>
      <c r="K892" s="22"/>
      <c r="L892">
        <v>11.6877099063154</v>
      </c>
      <c r="M892" s="22">
        <v>0.114</v>
      </c>
      <c r="N892" s="21">
        <v>45456</v>
      </c>
      <c r="O892" s="21">
        <v>46551</v>
      </c>
      <c r="P892">
        <f t="shared" si="548"/>
        <v>3</v>
      </c>
      <c r="Q892" s="6">
        <f t="shared" si="549"/>
        <v>0.11457286432160804</v>
      </c>
      <c r="R892" s="5">
        <f t="shared" si="558"/>
        <v>1</v>
      </c>
      <c r="S892" t="s">
        <v>93</v>
      </c>
      <c r="U892">
        <f t="shared" si="550"/>
        <v>3</v>
      </c>
      <c r="V892">
        <f t="shared" si="551"/>
        <v>11400</v>
      </c>
      <c r="W892" s="28">
        <f t="shared" si="552"/>
        <v>0.11606769233078762</v>
      </c>
      <c r="X892" s="27">
        <f t="shared" si="553"/>
        <v>0.11606769233078762</v>
      </c>
      <c r="Y892" s="5">
        <f t="shared" si="554"/>
        <v>2.7027031953174099</v>
      </c>
      <c r="Z892" s="5">
        <f t="shared" si="555"/>
        <v>2.4216301698269795</v>
      </c>
      <c r="AA892" s="5">
        <f t="shared" si="556"/>
        <v>-240952.20189778446</v>
      </c>
      <c r="AB892" t="s">
        <v>64</v>
      </c>
      <c r="AC892" t="s">
        <v>62</v>
      </c>
      <c r="AD892">
        <f t="shared" si="557"/>
        <v>1</v>
      </c>
    </row>
    <row r="893" spans="1:30" x14ac:dyDescent="0.35">
      <c r="A893" t="s">
        <v>1248</v>
      </c>
      <c r="B893" t="s">
        <v>1247</v>
      </c>
      <c r="C893" s="36">
        <f t="shared" si="546"/>
        <v>0.10509403630010722</v>
      </c>
      <c r="D893" s="3">
        <f t="shared" si="547"/>
        <v>0.10509403630010722</v>
      </c>
      <c r="F893">
        <v>98432.42</v>
      </c>
      <c r="G893" t="s">
        <v>76</v>
      </c>
      <c r="H893">
        <v>100000</v>
      </c>
      <c r="I893" s="22"/>
      <c r="J893">
        <v>1</v>
      </c>
      <c r="K893" s="22"/>
      <c r="L893">
        <v>10.567000101763799</v>
      </c>
      <c r="M893" s="22">
        <v>9.6000000000000002E-2</v>
      </c>
      <c r="N893" s="21">
        <v>45821</v>
      </c>
      <c r="O893" s="21">
        <v>46552</v>
      </c>
      <c r="P893">
        <f t="shared" si="548"/>
        <v>2</v>
      </c>
      <c r="Q893" s="6">
        <f t="shared" si="549"/>
        <v>9.7528842631320042E-2</v>
      </c>
      <c r="R893" s="5">
        <f t="shared" si="558"/>
        <v>1</v>
      </c>
      <c r="S893" t="s">
        <v>93</v>
      </c>
      <c r="U893">
        <f t="shared" si="550"/>
        <v>2</v>
      </c>
      <c r="V893">
        <f t="shared" si="551"/>
        <v>9600</v>
      </c>
      <c r="W893" s="28">
        <f t="shared" si="552"/>
        <v>0.10509403630010722</v>
      </c>
      <c r="X893" s="27">
        <f t="shared" si="553"/>
        <v>0.10509403630010722</v>
      </c>
      <c r="Y893" s="5">
        <f t="shared" si="554"/>
        <v>1.7446419003094946</v>
      </c>
      <c r="Z893" s="5">
        <f t="shared" si="555"/>
        <v>1.5787270974247727</v>
      </c>
      <c r="AA893" s="5">
        <f t="shared" si="556"/>
        <v>-155397.92871909615</v>
      </c>
      <c r="AB893" t="s">
        <v>64</v>
      </c>
      <c r="AC893" t="s">
        <v>62</v>
      </c>
      <c r="AD893">
        <f t="shared" si="557"/>
        <v>1</v>
      </c>
    </row>
    <row r="894" spans="1:30" x14ac:dyDescent="0.35">
      <c r="A894" t="s">
        <v>1246</v>
      </c>
      <c r="B894" t="s">
        <v>257</v>
      </c>
      <c r="C894" s="36">
        <f t="shared" si="546"/>
        <v>7.4394320658097243E-2</v>
      </c>
      <c r="D894" s="3">
        <f t="shared" si="547"/>
        <v>7.4394320658097243E-2</v>
      </c>
      <c r="F894">
        <v>1073000</v>
      </c>
      <c r="G894" t="s">
        <v>76</v>
      </c>
      <c r="H894">
        <v>1000000</v>
      </c>
      <c r="I894" s="22"/>
      <c r="J894">
        <v>1</v>
      </c>
      <c r="K894" s="22"/>
      <c r="L894">
        <v>4.7421698708731199</v>
      </c>
      <c r="M894" s="22">
        <v>8.5000000000000006E-2</v>
      </c>
      <c r="N894" s="21">
        <v>42901</v>
      </c>
      <c r="O894" s="21">
        <v>46553</v>
      </c>
      <c r="P894">
        <f t="shared" si="548"/>
        <v>10</v>
      </c>
      <c r="Q894" s="6">
        <f t="shared" si="549"/>
        <v>7.9217148182665426E-2</v>
      </c>
      <c r="R894" s="5">
        <f t="shared" si="558"/>
        <v>1</v>
      </c>
      <c r="S894" t="s">
        <v>93</v>
      </c>
      <c r="U894">
        <f t="shared" si="550"/>
        <v>10</v>
      </c>
      <c r="V894">
        <f t="shared" si="551"/>
        <v>85000</v>
      </c>
      <c r="W894" s="28">
        <f t="shared" si="552"/>
        <v>7.4394320658097243E-2</v>
      </c>
      <c r="X894" s="27">
        <f t="shared" si="553"/>
        <v>7.4394320658097243E-2</v>
      </c>
      <c r="Y894" s="5">
        <f t="shared" si="554"/>
        <v>7.2263027075652699</v>
      </c>
      <c r="Z894" s="5">
        <f t="shared" si="555"/>
        <v>6.7259315957096204</v>
      </c>
      <c r="AA894" s="5">
        <f t="shared" si="556"/>
        <v>-7216924.6021964224</v>
      </c>
      <c r="AB894" t="s">
        <v>64</v>
      </c>
      <c r="AC894" t="s">
        <v>62</v>
      </c>
      <c r="AD894">
        <f t="shared" si="557"/>
        <v>1</v>
      </c>
    </row>
    <row r="895" spans="1:30" x14ac:dyDescent="0.35">
      <c r="A895" t="s">
        <v>1245</v>
      </c>
      <c r="B895" t="s">
        <v>520</v>
      </c>
      <c r="C895" s="36">
        <f t="shared" si="546"/>
        <v>4.7182228258408489E-2</v>
      </c>
      <c r="D895" s="3">
        <f t="shared" si="547"/>
        <v>9.4364456516816977E-2</v>
      </c>
      <c r="F895">
        <v>100470.06</v>
      </c>
      <c r="G895" t="s">
        <v>76</v>
      </c>
      <c r="H895">
        <v>100000</v>
      </c>
      <c r="I895" s="22"/>
      <c r="J895">
        <v>1</v>
      </c>
      <c r="K895" s="22"/>
      <c r="M895" s="22">
        <v>9.6199999999999994E-2</v>
      </c>
      <c r="N895" s="21">
        <v>45639</v>
      </c>
      <c r="O895" s="21">
        <v>46554</v>
      </c>
      <c r="P895">
        <f t="shared" si="548"/>
        <v>3</v>
      </c>
      <c r="Q895" s="6">
        <f t="shared" si="549"/>
        <v>9.5749917935751216E-2</v>
      </c>
      <c r="R895" s="5">
        <f t="shared" si="558"/>
        <v>2</v>
      </c>
      <c r="S895" t="s">
        <v>65</v>
      </c>
      <c r="U895">
        <f t="shared" si="550"/>
        <v>6</v>
      </c>
      <c r="V895">
        <f t="shared" si="551"/>
        <v>4810</v>
      </c>
      <c r="W895" s="28">
        <f t="shared" si="552"/>
        <v>4.7182228258408489E-2</v>
      </c>
      <c r="X895" s="27">
        <f t="shared" si="553"/>
        <v>9.4364456516816977E-2</v>
      </c>
      <c r="Y895" s="5">
        <f t="shared" si="554"/>
        <v>2.1853643691001037</v>
      </c>
      <c r="Z895" s="5">
        <f t="shared" si="555"/>
        <v>2.0868997869975607</v>
      </c>
      <c r="AA895" s="5">
        <f t="shared" si="556"/>
        <v>-209670.94681363215</v>
      </c>
      <c r="AB895" t="s">
        <v>69</v>
      </c>
      <c r="AC895" t="s">
        <v>62</v>
      </c>
      <c r="AD895">
        <f t="shared" si="557"/>
        <v>2</v>
      </c>
    </row>
    <row r="896" spans="1:30" x14ac:dyDescent="0.35">
      <c r="A896" t="s">
        <v>1244</v>
      </c>
      <c r="B896" t="s">
        <v>1243</v>
      </c>
      <c r="C896" s="36">
        <f t="shared" si="546"/>
        <v>8.8000000000000023E-2</v>
      </c>
      <c r="D896" s="3">
        <f t="shared" si="547"/>
        <v>8.8000000000000023E-2</v>
      </c>
      <c r="F896">
        <v>100000</v>
      </c>
      <c r="G896" t="s">
        <v>76</v>
      </c>
      <c r="H896">
        <v>100000</v>
      </c>
      <c r="I896" s="22"/>
      <c r="J896">
        <v>10</v>
      </c>
      <c r="K896" s="22"/>
      <c r="L896">
        <v>8.8000000000000007</v>
      </c>
      <c r="M896" s="22">
        <v>8.8000000000000009E-2</v>
      </c>
      <c r="N896" s="21">
        <v>42907</v>
      </c>
      <c r="O896" s="21">
        <v>46554</v>
      </c>
      <c r="P896">
        <f t="shared" si="548"/>
        <v>10</v>
      </c>
      <c r="Q896" s="6">
        <f t="shared" si="549"/>
        <v>8.7999999999999995E-2</v>
      </c>
      <c r="R896" s="5">
        <f t="shared" si="558"/>
        <v>1</v>
      </c>
      <c r="S896" t="s">
        <v>93</v>
      </c>
      <c r="U896">
        <f t="shared" si="550"/>
        <v>10</v>
      </c>
      <c r="V896">
        <f t="shared" si="551"/>
        <v>8800</v>
      </c>
      <c r="W896" s="28">
        <f t="shared" si="552"/>
        <v>8.8000000000000023E-2</v>
      </c>
      <c r="X896" s="27">
        <f t="shared" si="553"/>
        <v>8.8000000000000023E-2</v>
      </c>
      <c r="Y896" s="5">
        <f t="shared" si="554"/>
        <v>7.0304133627584031</v>
      </c>
      <c r="Z896" s="5">
        <f t="shared" si="555"/>
        <v>6.4617769878294142</v>
      </c>
      <c r="AA896" s="5">
        <f t="shared" si="556"/>
        <v>-646177.69878294144</v>
      </c>
      <c r="AB896" t="s">
        <v>64</v>
      </c>
      <c r="AC896" t="s">
        <v>62</v>
      </c>
      <c r="AD896">
        <f t="shared" si="557"/>
        <v>1</v>
      </c>
    </row>
    <row r="897" spans="1:30" x14ac:dyDescent="0.35">
      <c r="A897" t="s">
        <v>1242</v>
      </c>
      <c r="B897" t="s">
        <v>882</v>
      </c>
      <c r="C897" s="36">
        <f t="shared" si="546"/>
        <v>0.10908562449235434</v>
      </c>
      <c r="D897" s="3">
        <f t="shared" si="547"/>
        <v>0.10908562449235434</v>
      </c>
      <c r="F897">
        <v>99000</v>
      </c>
      <c r="G897" t="s">
        <v>76</v>
      </c>
      <c r="H897">
        <v>100000</v>
      </c>
      <c r="I897" s="22"/>
      <c r="J897">
        <v>1</v>
      </c>
      <c r="K897" s="22"/>
      <c r="L897">
        <v>11.122428769487501</v>
      </c>
      <c r="M897" s="22">
        <v>0.105</v>
      </c>
      <c r="N897" s="21">
        <v>45461</v>
      </c>
      <c r="O897" s="21">
        <v>46556</v>
      </c>
      <c r="P897">
        <f t="shared" si="548"/>
        <v>3</v>
      </c>
      <c r="Q897" s="6">
        <f t="shared" si="549"/>
        <v>0.10606060606060606</v>
      </c>
      <c r="R897" s="5">
        <f t="shared" si="558"/>
        <v>1</v>
      </c>
      <c r="S897" t="s">
        <v>93</v>
      </c>
      <c r="U897">
        <f t="shared" si="550"/>
        <v>3</v>
      </c>
      <c r="V897">
        <f t="shared" si="551"/>
        <v>10500</v>
      </c>
      <c r="W897" s="28">
        <f t="shared" si="552"/>
        <v>0.10908562449235434</v>
      </c>
      <c r="X897" s="27">
        <f t="shared" si="553"/>
        <v>0.10908562449235434</v>
      </c>
      <c r="Y897" s="5">
        <f t="shared" si="554"/>
        <v>2.7225190947585731</v>
      </c>
      <c r="Z897" s="5">
        <f t="shared" si="555"/>
        <v>2.4547420276993601</v>
      </c>
      <c r="AA897" s="5">
        <f t="shared" si="556"/>
        <v>-243019.46074223664</v>
      </c>
      <c r="AB897" t="s">
        <v>64</v>
      </c>
      <c r="AC897" t="s">
        <v>62</v>
      </c>
      <c r="AD897">
        <f t="shared" si="557"/>
        <v>1</v>
      </c>
    </row>
    <row r="898" spans="1:30" x14ac:dyDescent="0.35">
      <c r="A898" t="s">
        <v>1241</v>
      </c>
      <c r="B898" t="s">
        <v>401</v>
      </c>
      <c r="C898" s="36">
        <f t="shared" si="546"/>
        <v>0.10527536669278401</v>
      </c>
      <c r="D898" s="3">
        <f t="shared" si="547"/>
        <v>0.10527536669278401</v>
      </c>
      <c r="F898">
        <v>99913.7</v>
      </c>
      <c r="G898" t="s">
        <v>76</v>
      </c>
      <c r="H898">
        <v>100000</v>
      </c>
      <c r="I898" s="22"/>
      <c r="J898">
        <v>2</v>
      </c>
      <c r="K898" s="22"/>
      <c r="L898">
        <v>10.549436429964199</v>
      </c>
      <c r="M898" s="22">
        <v>0.105</v>
      </c>
      <c r="N898" s="21">
        <v>45187</v>
      </c>
      <c r="O898" s="21">
        <v>46556</v>
      </c>
      <c r="P898">
        <f t="shared" si="548"/>
        <v>4</v>
      </c>
      <c r="Q898" s="6">
        <f t="shared" si="549"/>
        <v>0.10509069326829054</v>
      </c>
      <c r="R898" s="5">
        <f t="shared" si="558"/>
        <v>1</v>
      </c>
      <c r="S898" t="s">
        <v>93</v>
      </c>
      <c r="U898">
        <f t="shared" si="550"/>
        <v>4</v>
      </c>
      <c r="V898">
        <f t="shared" si="551"/>
        <v>10500</v>
      </c>
      <c r="W898" s="28">
        <f t="shared" si="552"/>
        <v>0.10527536669278401</v>
      </c>
      <c r="X898" s="27">
        <f t="shared" si="553"/>
        <v>0.10527536669278401</v>
      </c>
      <c r="Y898" s="5">
        <f t="shared" si="554"/>
        <v>3.214876509360916</v>
      </c>
      <c r="Z898" s="5">
        <f t="shared" si="555"/>
        <v>2.9086656649016813</v>
      </c>
      <c r="AA898" s="5">
        <f t="shared" si="556"/>
        <v>-290615.5486432871</v>
      </c>
      <c r="AB898" t="s">
        <v>64</v>
      </c>
      <c r="AC898" t="s">
        <v>62</v>
      </c>
      <c r="AD898">
        <f t="shared" si="557"/>
        <v>1</v>
      </c>
    </row>
    <row r="899" spans="1:30" x14ac:dyDescent="0.35">
      <c r="C899" s="28"/>
      <c r="D899" s="27"/>
      <c r="I899" s="22"/>
      <c r="K899" s="22"/>
      <c r="M899" s="22"/>
      <c r="N899" s="21"/>
      <c r="O899" s="21"/>
      <c r="P899" s="5"/>
      <c r="Q899" s="6"/>
      <c r="R899" s="5"/>
      <c r="W899" s="28"/>
      <c r="Y899" s="33"/>
      <c r="Z899" s="33"/>
      <c r="AA899" s="33"/>
    </row>
    <row r="900" spans="1:30" x14ac:dyDescent="0.35">
      <c r="A900" t="s">
        <v>1239</v>
      </c>
      <c r="B900" t="s">
        <v>353</v>
      </c>
      <c r="C900" s="36">
        <f t="shared" ref="C900:C906" si="559">RATE(U900,V900,-F900,H900)</f>
        <v>9.4136825897782633E-2</v>
      </c>
      <c r="D900" s="3">
        <f t="shared" ref="D900:D906" si="560">C900*AD900</f>
        <v>9.4136825897782633E-2</v>
      </c>
      <c r="F900">
        <v>1026</v>
      </c>
      <c r="G900" t="s">
        <v>76</v>
      </c>
      <c r="H900">
        <v>1000</v>
      </c>
      <c r="I900" s="22"/>
      <c r="J900">
        <v>1</v>
      </c>
      <c r="K900" s="22"/>
      <c r="L900">
        <v>9.3319502978426794</v>
      </c>
      <c r="M900" s="22">
        <v>0.109</v>
      </c>
      <c r="N900" s="21">
        <v>45828</v>
      </c>
      <c r="O900" s="21">
        <v>46557</v>
      </c>
      <c r="P900">
        <f t="shared" ref="P900:P906" si="561">ROUND(YEARFRAC(N900,O900),0)</f>
        <v>2</v>
      </c>
      <c r="Q900" s="6">
        <f t="shared" ref="Q900:Q906" si="562">(M900*H900)/F900</f>
        <v>0.10623781676413255</v>
      </c>
      <c r="R900" s="5">
        <f t="shared" ref="R900:R906" si="563">IF(S900="Quarterly",4,IF(S900="Semi-annual",2,IF(S900="Annual",1,IF(S900="Pays at maturity",0,12))))</f>
        <v>1</v>
      </c>
      <c r="S900" t="s">
        <v>93</v>
      </c>
      <c r="U900">
        <f t="shared" ref="U900:U906" si="564">R900*P900</f>
        <v>2</v>
      </c>
      <c r="V900">
        <f t="shared" ref="V900:V906" si="565">(H900*M900)/AD900</f>
        <v>109</v>
      </c>
      <c r="W900" s="28">
        <f t="shared" ref="W900:W906" si="566">RATE(U900,V900,-F900,H900)</f>
        <v>9.4136825897782633E-2</v>
      </c>
      <c r="X900" s="27">
        <f t="shared" ref="X900:X906" si="567">W900*AD900</f>
        <v>9.4136825897782633E-2</v>
      </c>
      <c r="Y900" s="5">
        <f t="shared" ref="Y900:Y906" si="568">DURATION(N900,O900,M900,D900,AD900)</f>
        <v>1.9001248444083754</v>
      </c>
      <c r="Z900" s="5">
        <f t="shared" ref="Z900:Z906" si="569">Y900/(1+C900)</f>
        <v>1.7366428031971666</v>
      </c>
      <c r="AA900" s="5">
        <f t="shared" ref="AA900:AA906" si="570">-Z900*F900</f>
        <v>-1781.7955160802928</v>
      </c>
      <c r="AB900" t="s">
        <v>64</v>
      </c>
      <c r="AC900" t="s">
        <v>62</v>
      </c>
      <c r="AD900">
        <f t="shared" ref="AD900:AD906" si="571">_xlfn.SWITCH(PROPER(TRIM(S900)),
   "Annual",1,
   "Semi-Annual",2,
   "Quarterly",4,
   "Monthly",12,
   "")</f>
        <v>1</v>
      </c>
    </row>
    <row r="901" spans="1:30" x14ac:dyDescent="0.35">
      <c r="A901" t="s">
        <v>1238</v>
      </c>
      <c r="B901" t="s">
        <v>654</v>
      </c>
      <c r="C901" s="36">
        <f t="shared" si="559"/>
        <v>0.10175031723507377</v>
      </c>
      <c r="D901" s="3">
        <f t="shared" si="560"/>
        <v>0.10175031723507377</v>
      </c>
      <c r="F901">
        <v>985</v>
      </c>
      <c r="G901" t="s">
        <v>76</v>
      </c>
      <c r="H901">
        <v>1000</v>
      </c>
      <c r="I901" s="22"/>
      <c r="J901">
        <v>25</v>
      </c>
      <c r="K901" s="22"/>
      <c r="L901">
        <v>10.489883064915199</v>
      </c>
      <c r="M901" s="22">
        <v>9.5700000000000007E-2</v>
      </c>
      <c r="N901" s="21">
        <v>45464</v>
      </c>
      <c r="O901" s="21">
        <v>46559</v>
      </c>
      <c r="P901">
        <f t="shared" si="561"/>
        <v>3</v>
      </c>
      <c r="Q901" s="6">
        <f t="shared" si="562"/>
        <v>9.7157360406091367E-2</v>
      </c>
      <c r="R901" s="5">
        <f t="shared" si="563"/>
        <v>1</v>
      </c>
      <c r="S901" t="s">
        <v>93</v>
      </c>
      <c r="U901">
        <f t="shared" si="564"/>
        <v>3</v>
      </c>
      <c r="V901">
        <f t="shared" si="565"/>
        <v>95.7</v>
      </c>
      <c r="W901" s="28">
        <f t="shared" si="566"/>
        <v>0.10175031723507377</v>
      </c>
      <c r="X901" s="27">
        <f t="shared" si="567"/>
        <v>0.10175031723507377</v>
      </c>
      <c r="Y901" s="5">
        <f t="shared" si="568"/>
        <v>2.743590475583626</v>
      </c>
      <c r="Z901" s="5">
        <f t="shared" si="569"/>
        <v>2.4902107425472542</v>
      </c>
      <c r="AA901" s="5">
        <f t="shared" si="570"/>
        <v>-2452.8575814090455</v>
      </c>
      <c r="AB901" t="s">
        <v>64</v>
      </c>
      <c r="AC901" t="s">
        <v>62</v>
      </c>
      <c r="AD901">
        <f t="shared" si="571"/>
        <v>1</v>
      </c>
    </row>
    <row r="902" spans="1:30" x14ac:dyDescent="0.35">
      <c r="A902" t="s">
        <v>1237</v>
      </c>
      <c r="B902" t="s">
        <v>654</v>
      </c>
      <c r="C902" s="36">
        <f t="shared" si="559"/>
        <v>8.0578083335438075E-2</v>
      </c>
      <c r="D902" s="3">
        <f t="shared" si="560"/>
        <v>8.0578083335438075E-2</v>
      </c>
      <c r="F902">
        <v>1050</v>
      </c>
      <c r="G902" t="s">
        <v>76</v>
      </c>
      <c r="H902">
        <v>1000</v>
      </c>
      <c r="I902" s="22"/>
      <c r="J902">
        <v>50</v>
      </c>
      <c r="K902" s="22"/>
      <c r="L902">
        <v>7.2338289729594001</v>
      </c>
      <c r="M902" s="22">
        <v>0.1</v>
      </c>
      <c r="N902" s="21">
        <v>45464</v>
      </c>
      <c r="O902" s="21">
        <v>46559</v>
      </c>
      <c r="P902">
        <f t="shared" si="561"/>
        <v>3</v>
      </c>
      <c r="Q902" s="6">
        <f t="shared" si="562"/>
        <v>9.5238095238095233E-2</v>
      </c>
      <c r="R902" s="5">
        <f t="shared" si="563"/>
        <v>1</v>
      </c>
      <c r="S902" t="s">
        <v>93</v>
      </c>
      <c r="U902">
        <f t="shared" si="564"/>
        <v>3</v>
      </c>
      <c r="V902">
        <f t="shared" si="565"/>
        <v>100</v>
      </c>
      <c r="W902" s="28">
        <f t="shared" si="566"/>
        <v>8.0578083335438075E-2</v>
      </c>
      <c r="X902" s="27">
        <f t="shared" si="567"/>
        <v>8.0578083335438075E-2</v>
      </c>
      <c r="Y902" s="5">
        <f t="shared" si="568"/>
        <v>2.7421635323943612</v>
      </c>
      <c r="Z902" s="5">
        <f t="shared" si="569"/>
        <v>2.5376819821572543</v>
      </c>
      <c r="AA902" s="5">
        <f t="shared" si="570"/>
        <v>-2664.5660812651172</v>
      </c>
      <c r="AB902" t="s">
        <v>64</v>
      </c>
      <c r="AC902" t="s">
        <v>62</v>
      </c>
      <c r="AD902">
        <f t="shared" si="571"/>
        <v>1</v>
      </c>
    </row>
    <row r="903" spans="1:30" x14ac:dyDescent="0.35">
      <c r="A903" t="s">
        <v>1236</v>
      </c>
      <c r="B903" t="s">
        <v>644</v>
      </c>
      <c r="C903" s="36">
        <f t="shared" si="559"/>
        <v>9.5700000000000007E-2</v>
      </c>
      <c r="D903" s="3">
        <f t="shared" si="560"/>
        <v>9.5700000000000007E-2</v>
      </c>
      <c r="F903">
        <v>100000</v>
      </c>
      <c r="G903" t="s">
        <v>76</v>
      </c>
      <c r="H903">
        <v>100000</v>
      </c>
      <c r="I903" s="22"/>
      <c r="J903">
        <v>62</v>
      </c>
      <c r="K903" s="22"/>
      <c r="L903">
        <v>9.57</v>
      </c>
      <c r="M903" s="22">
        <v>9.5700000000000007E-2</v>
      </c>
      <c r="N903" s="21">
        <v>45464</v>
      </c>
      <c r="O903" s="21">
        <v>46559</v>
      </c>
      <c r="P903">
        <f t="shared" si="561"/>
        <v>3</v>
      </c>
      <c r="Q903" s="6">
        <f t="shared" si="562"/>
        <v>9.5699999999999993E-2</v>
      </c>
      <c r="R903" s="5">
        <f t="shared" si="563"/>
        <v>1</v>
      </c>
      <c r="S903" t="s">
        <v>93</v>
      </c>
      <c r="U903">
        <f t="shared" si="564"/>
        <v>3</v>
      </c>
      <c r="V903">
        <f t="shared" si="565"/>
        <v>9570</v>
      </c>
      <c r="W903" s="28">
        <f t="shared" si="566"/>
        <v>9.5700000000000007E-2</v>
      </c>
      <c r="X903" s="27">
        <f t="shared" si="567"/>
        <v>9.5700000000000007E-2</v>
      </c>
      <c r="Y903" s="5">
        <f t="shared" si="568"/>
        <v>2.7456042479029912</v>
      </c>
      <c r="Z903" s="5">
        <f t="shared" si="569"/>
        <v>2.505799258832702</v>
      </c>
      <c r="AA903" s="5">
        <f t="shared" si="570"/>
        <v>-250579.92588327022</v>
      </c>
      <c r="AB903" t="s">
        <v>64</v>
      </c>
      <c r="AC903" t="s">
        <v>62</v>
      </c>
      <c r="AD903">
        <f t="shared" si="571"/>
        <v>1</v>
      </c>
    </row>
    <row r="904" spans="1:30" x14ac:dyDescent="0.35">
      <c r="A904" t="s">
        <v>1235</v>
      </c>
      <c r="B904" t="s">
        <v>230</v>
      </c>
      <c r="C904" s="36">
        <f t="shared" si="559"/>
        <v>7.3607305426739877E-2</v>
      </c>
      <c r="D904" s="3">
        <f t="shared" si="560"/>
        <v>7.3607305426739877E-2</v>
      </c>
      <c r="F904">
        <v>1054522.3</v>
      </c>
      <c r="G904" t="s">
        <v>76</v>
      </c>
      <c r="H904">
        <v>1000000</v>
      </c>
      <c r="I904" s="22"/>
      <c r="J904">
        <v>1</v>
      </c>
      <c r="K904" s="22"/>
      <c r="L904">
        <v>6.8537125276458601</v>
      </c>
      <c r="M904" s="22">
        <v>8.1500000000000003E-2</v>
      </c>
      <c r="N904" s="21">
        <v>42908</v>
      </c>
      <c r="O904" s="21">
        <v>46560</v>
      </c>
      <c r="P904">
        <f t="shared" si="561"/>
        <v>10</v>
      </c>
      <c r="Q904" s="6">
        <f t="shared" si="562"/>
        <v>7.7286179723273743E-2</v>
      </c>
      <c r="R904" s="5">
        <f t="shared" si="563"/>
        <v>1</v>
      </c>
      <c r="S904" t="s">
        <v>93</v>
      </c>
      <c r="U904">
        <f t="shared" si="564"/>
        <v>10</v>
      </c>
      <c r="V904">
        <f t="shared" si="565"/>
        <v>81500</v>
      </c>
      <c r="W904" s="28">
        <f t="shared" si="566"/>
        <v>7.3607305426739877E-2</v>
      </c>
      <c r="X904" s="27">
        <f t="shared" si="567"/>
        <v>7.3607305426739877E-2</v>
      </c>
      <c r="Y904" s="5">
        <f t="shared" si="568"/>
        <v>7.2872935588515704</v>
      </c>
      <c r="Z904" s="5">
        <f t="shared" si="569"/>
        <v>6.7876713599252199</v>
      </c>
      <c r="AA904" s="5">
        <f t="shared" si="570"/>
        <v>-7157750.8141124714</v>
      </c>
      <c r="AB904" t="s">
        <v>64</v>
      </c>
      <c r="AC904" t="s">
        <v>62</v>
      </c>
      <c r="AD904">
        <f t="shared" si="571"/>
        <v>1</v>
      </c>
    </row>
    <row r="905" spans="1:30" x14ac:dyDescent="0.35">
      <c r="A905" t="s">
        <v>1234</v>
      </c>
      <c r="B905" t="s">
        <v>272</v>
      </c>
      <c r="C905" s="36">
        <f t="shared" si="559"/>
        <v>6.9818505949584442E-2</v>
      </c>
      <c r="D905" s="3">
        <f t="shared" si="560"/>
        <v>6.9818505949584442E-2</v>
      </c>
      <c r="F905">
        <v>1011</v>
      </c>
      <c r="G905" t="s">
        <v>76</v>
      </c>
      <c r="H905">
        <v>1000</v>
      </c>
      <c r="I905" s="22"/>
      <c r="J905">
        <v>25</v>
      </c>
      <c r="K905" s="22"/>
      <c r="L905">
        <v>6.60540324239631</v>
      </c>
      <c r="M905" s="22">
        <v>7.2499999999999995E-2</v>
      </c>
      <c r="N905" s="21">
        <v>44735</v>
      </c>
      <c r="O905" s="21">
        <v>46561</v>
      </c>
      <c r="P905">
        <f t="shared" si="561"/>
        <v>5</v>
      </c>
      <c r="Q905" s="6">
        <f t="shared" si="562"/>
        <v>7.1711177052423344E-2</v>
      </c>
      <c r="R905" s="5">
        <f t="shared" si="563"/>
        <v>1</v>
      </c>
      <c r="S905" t="s">
        <v>93</v>
      </c>
      <c r="U905">
        <f t="shared" si="564"/>
        <v>5</v>
      </c>
      <c r="V905">
        <f t="shared" si="565"/>
        <v>72.5</v>
      </c>
      <c r="W905" s="28">
        <f t="shared" si="566"/>
        <v>6.9818505949584442E-2</v>
      </c>
      <c r="X905" s="27">
        <f t="shared" si="567"/>
        <v>6.9818505949584442E-2</v>
      </c>
      <c r="Y905" s="5">
        <f t="shared" si="568"/>
        <v>4.3720254280360704</v>
      </c>
      <c r="Z905" s="5">
        <f t="shared" si="569"/>
        <v>4.0866982611741287</v>
      </c>
      <c r="AA905" s="5">
        <f t="shared" si="570"/>
        <v>-4131.651942047044</v>
      </c>
      <c r="AB905" t="s">
        <v>64</v>
      </c>
      <c r="AC905" t="s">
        <v>62</v>
      </c>
      <c r="AD905">
        <f t="shared" si="571"/>
        <v>1</v>
      </c>
    </row>
    <row r="906" spans="1:30" x14ac:dyDescent="0.35">
      <c r="A906" t="s">
        <v>1233</v>
      </c>
      <c r="B906" t="s">
        <v>272</v>
      </c>
      <c r="C906" s="36">
        <f t="shared" si="559"/>
        <v>7.5444039380801284E-2</v>
      </c>
      <c r="D906" s="3">
        <f t="shared" si="560"/>
        <v>7.5444039380801284E-2</v>
      </c>
      <c r="F906">
        <v>978</v>
      </c>
      <c r="G906" t="s">
        <v>76</v>
      </c>
      <c r="H906">
        <v>1000</v>
      </c>
      <c r="I906" s="22"/>
      <c r="J906">
        <v>590</v>
      </c>
      <c r="K906" s="22"/>
      <c r="L906">
        <v>8.3220931413073398</v>
      </c>
      <c r="M906" s="22">
        <v>7.0000000000000007E-2</v>
      </c>
      <c r="N906" s="21">
        <v>44735</v>
      </c>
      <c r="O906" s="21">
        <v>46561</v>
      </c>
      <c r="P906">
        <f t="shared" si="561"/>
        <v>5</v>
      </c>
      <c r="Q906" s="6">
        <f t="shared" si="562"/>
        <v>7.1574642126789365E-2</v>
      </c>
      <c r="R906" s="5">
        <f t="shared" si="563"/>
        <v>1</v>
      </c>
      <c r="S906" t="s">
        <v>93</v>
      </c>
      <c r="U906">
        <f t="shared" si="564"/>
        <v>5</v>
      </c>
      <c r="V906">
        <f t="shared" si="565"/>
        <v>70</v>
      </c>
      <c r="W906" s="28">
        <f t="shared" si="566"/>
        <v>7.5444039380801284E-2</v>
      </c>
      <c r="X906" s="27">
        <f t="shared" si="567"/>
        <v>7.5444039380801284E-2</v>
      </c>
      <c r="Y906" s="5">
        <f t="shared" si="568"/>
        <v>4.3795379743553839</v>
      </c>
      <c r="Z906" s="5">
        <f t="shared" si="569"/>
        <v>4.0723067067970833</v>
      </c>
      <c r="AA906" s="5">
        <f t="shared" si="570"/>
        <v>-3982.7159592475473</v>
      </c>
      <c r="AB906" t="s">
        <v>64</v>
      </c>
      <c r="AC906" t="s">
        <v>62</v>
      </c>
      <c r="AD906">
        <f t="shared" si="571"/>
        <v>1</v>
      </c>
    </row>
    <row r="907" spans="1:30" x14ac:dyDescent="0.35">
      <c r="C907" s="28"/>
      <c r="D907" s="27"/>
      <c r="I907" s="22"/>
      <c r="K907" s="22"/>
      <c r="M907" s="22"/>
      <c r="N907" s="21"/>
      <c r="O907" s="21"/>
      <c r="P907" s="5"/>
      <c r="Q907" s="6"/>
      <c r="R907" s="5"/>
      <c r="W907" s="28"/>
      <c r="Y907" s="33"/>
      <c r="Z907" s="33"/>
      <c r="AA907" s="33"/>
    </row>
    <row r="908" spans="1:30" x14ac:dyDescent="0.35">
      <c r="A908" t="s">
        <v>1231</v>
      </c>
      <c r="B908" t="s">
        <v>1230</v>
      </c>
      <c r="C908" s="36">
        <f>RATE(U908,V908,-F908,H908)</f>
        <v>8.3748048836328998E-2</v>
      </c>
      <c r="D908" s="3">
        <f>C908*AD908</f>
        <v>8.3748048836328998E-2</v>
      </c>
      <c r="F908">
        <v>940300</v>
      </c>
      <c r="G908" t="s">
        <v>76</v>
      </c>
      <c r="H908">
        <v>1000000</v>
      </c>
      <c r="I908" s="22"/>
      <c r="J908">
        <v>2</v>
      </c>
      <c r="K908" s="22"/>
      <c r="L908">
        <v>9.1260164508565698</v>
      </c>
      <c r="M908" s="22">
        <v>7.4700000000000003E-2</v>
      </c>
      <c r="N908" s="21">
        <v>42913</v>
      </c>
      <c r="O908" s="21">
        <v>46563</v>
      </c>
      <c r="P908">
        <f>ROUND(YEARFRAC(N908,O908),0)</f>
        <v>10</v>
      </c>
      <c r="Q908" s="6">
        <f>(M908*H908)/F908</f>
        <v>7.9442731043284059E-2</v>
      </c>
      <c r="R908" s="5">
        <f>IF(S908="Quarterly",4,IF(S908="Semi-annual",2,IF(S908="Annual",1,IF(S908="Pays at maturity",0,12))))</f>
        <v>1</v>
      </c>
      <c r="S908" t="s">
        <v>93</v>
      </c>
      <c r="U908">
        <f>R908*P908</f>
        <v>10</v>
      </c>
      <c r="V908">
        <f>(H908*M908)/AD908</f>
        <v>74700</v>
      </c>
      <c r="W908" s="28">
        <f>RATE(U908,V908,-F908,H908)</f>
        <v>8.3748048836328998E-2</v>
      </c>
      <c r="X908" s="27">
        <f>W908*AD908</f>
        <v>8.3748048836328998E-2</v>
      </c>
      <c r="Y908" s="5">
        <f>DURATION(N908,O908,M908,D908,AD908)</f>
        <v>7.2916081627796485</v>
      </c>
      <c r="Z908" s="5">
        <f>Y908/(1+C908)</f>
        <v>6.7281395990599382</v>
      </c>
      <c r="AA908" s="5">
        <f>-Z908*F908</f>
        <v>-6326469.6649960596</v>
      </c>
      <c r="AB908" t="s">
        <v>64</v>
      </c>
      <c r="AC908" t="s">
        <v>62</v>
      </c>
      <c r="AD908">
        <f>_xlfn.SWITCH(PROPER(TRIM(S908)),
   "Annual",1,
   "Semi-Annual",2,
   "Quarterly",4,
   "Monthly",12,
   "")</f>
        <v>1</v>
      </c>
    </row>
    <row r="909" spans="1:30" x14ac:dyDescent="0.35">
      <c r="C909" s="28"/>
      <c r="D909" s="27"/>
      <c r="I909" s="22"/>
      <c r="K909" s="22"/>
      <c r="M909" s="22"/>
      <c r="N909" s="21"/>
      <c r="O909" s="21"/>
      <c r="P909" s="5"/>
      <c r="Q909" s="6"/>
      <c r="R909" s="5"/>
      <c r="W909" s="28"/>
      <c r="Y909" s="33"/>
      <c r="Z909" s="33"/>
      <c r="AA909" s="33"/>
    </row>
    <row r="910" spans="1:30" x14ac:dyDescent="0.35">
      <c r="C910" s="28"/>
      <c r="D910" s="27"/>
      <c r="I910" s="22"/>
      <c r="K910" s="22"/>
      <c r="M910" s="22"/>
      <c r="N910" s="21"/>
      <c r="O910" s="21"/>
      <c r="P910" s="5"/>
      <c r="Q910" s="6"/>
      <c r="R910" s="5"/>
      <c r="W910" s="28"/>
      <c r="Y910" s="33"/>
      <c r="Z910" s="33"/>
      <c r="AA910" s="33"/>
    </row>
    <row r="911" spans="1:30" x14ac:dyDescent="0.35">
      <c r="A911" t="s">
        <v>1227</v>
      </c>
      <c r="B911" t="s">
        <v>241</v>
      </c>
      <c r="C911" s="36">
        <f>RATE(U911,V911,-F911,H911)</f>
        <v>9.3806786528211117E-2</v>
      </c>
      <c r="D911" s="3">
        <f>C911*AD911</f>
        <v>9.3806786528211117E-2</v>
      </c>
      <c r="F911">
        <v>1003</v>
      </c>
      <c r="G911" t="s">
        <v>76</v>
      </c>
      <c r="H911">
        <v>1000</v>
      </c>
      <c r="I911" s="22"/>
      <c r="J911">
        <v>15</v>
      </c>
      <c r="K911" s="22"/>
      <c r="L911">
        <v>9.3232530668862896</v>
      </c>
      <c r="M911" s="22">
        <v>9.5000000000000001E-2</v>
      </c>
      <c r="N911" s="21">
        <v>45412</v>
      </c>
      <c r="O911" s="21">
        <v>46568</v>
      </c>
      <c r="P911">
        <f>ROUND(YEARFRAC(N911,O911),0)</f>
        <v>3</v>
      </c>
      <c r="Q911" s="6">
        <f>(M911*H911)/F911</f>
        <v>9.4715852442671986E-2</v>
      </c>
      <c r="R911" s="5">
        <f>IF(S911="Quarterly",4,IF(S911="Semi-annual",2,IF(S911="Annual",1,IF(S911="Pays at maturity",0,12))))</f>
        <v>1</v>
      </c>
      <c r="S911" t="s">
        <v>93</v>
      </c>
      <c r="U911">
        <f>R911*P911</f>
        <v>3</v>
      </c>
      <c r="V911">
        <f>(H911*M911)/AD911</f>
        <v>95</v>
      </c>
      <c r="W911" s="28">
        <f>RATE(U911,V911,-F911,H911)</f>
        <v>9.3806786528211117E-2</v>
      </c>
      <c r="X911" s="27">
        <f>W911*AD911</f>
        <v>9.3806786528211117E-2</v>
      </c>
      <c r="Y911" s="5">
        <f>DURATION(N911,O911,M911,D911,AD911)</f>
        <v>2.6765853673908357</v>
      </c>
      <c r="Z911" s="5">
        <f>Y911/(1+C911)</f>
        <v>2.4470367164994751</v>
      </c>
      <c r="AA911" s="5">
        <f>-Z911*F911</f>
        <v>-2454.3778266489735</v>
      </c>
      <c r="AB911" t="s">
        <v>64</v>
      </c>
      <c r="AC911" t="s">
        <v>62</v>
      </c>
      <c r="AD911">
        <f>_xlfn.SWITCH(PROPER(TRIM(S911)),
   "Annual",1,
   "Semi-Annual",2,
   "Quarterly",4,
   "Monthly",12,
   "")</f>
        <v>1</v>
      </c>
    </row>
    <row r="912" spans="1:30" x14ac:dyDescent="0.35">
      <c r="A912" t="s">
        <v>1226</v>
      </c>
      <c r="B912" t="s">
        <v>241</v>
      </c>
      <c r="C912" s="36">
        <f>RATE(U912,V912,-F912,H912)</f>
        <v>9.9128461327308917E-2</v>
      </c>
      <c r="D912" s="3">
        <f>C912*AD912</f>
        <v>9.9128461327308917E-2</v>
      </c>
      <c r="F912">
        <v>981</v>
      </c>
      <c r="G912" t="s">
        <v>76</v>
      </c>
      <c r="H912">
        <v>1000</v>
      </c>
      <c r="I912" s="22"/>
      <c r="J912">
        <v>25</v>
      </c>
      <c r="K912" s="22"/>
      <c r="L912">
        <v>10.325708230388599</v>
      </c>
      <c r="M912" s="22">
        <v>9.1499999999999998E-2</v>
      </c>
      <c r="N912" s="21">
        <v>45412</v>
      </c>
      <c r="O912" s="21">
        <v>46568</v>
      </c>
      <c r="P912">
        <f>ROUND(YEARFRAC(N912,O912),0)</f>
        <v>3</v>
      </c>
      <c r="Q912" s="6">
        <f>(M912*H912)/F912</f>
        <v>9.3272171253822631E-2</v>
      </c>
      <c r="R912" s="5">
        <f>IF(S912="Quarterly",4,IF(S912="Semi-annual",2,IF(S912="Annual",1,IF(S912="Pays at maturity",0,12))))</f>
        <v>1</v>
      </c>
      <c r="S912" t="s">
        <v>93</v>
      </c>
      <c r="U912">
        <f>R912*P912</f>
        <v>3</v>
      </c>
      <c r="V912">
        <f>(H912*M912)/AD912</f>
        <v>91.5</v>
      </c>
      <c r="W912" s="28">
        <f>RATE(U912,V912,-F912,H912)</f>
        <v>9.9128461327308917E-2</v>
      </c>
      <c r="X912" s="27">
        <f>W912*AD912</f>
        <v>9.9128461327308917E-2</v>
      </c>
      <c r="Y912" s="5">
        <f>DURATION(N912,O912,M912,D912,AD912)</f>
        <v>2.6848621372889885</v>
      </c>
      <c r="Z912" s="5">
        <f>Y912/(1+C912)</f>
        <v>2.44271914681087</v>
      </c>
      <c r="AA912" s="5">
        <f>-Z912*F912</f>
        <v>-2396.3074830214637</v>
      </c>
      <c r="AB912" t="s">
        <v>64</v>
      </c>
      <c r="AC912" t="s">
        <v>62</v>
      </c>
      <c r="AD912">
        <f>_xlfn.SWITCH(PROPER(TRIM(S912)),
   "Annual",1,
   "Semi-Annual",2,
   "Quarterly",4,
   "Monthly",12,
   "")</f>
        <v>1</v>
      </c>
    </row>
    <row r="913" spans="1:30" x14ac:dyDescent="0.35">
      <c r="A913" t="s">
        <v>1225</v>
      </c>
      <c r="B913" t="s">
        <v>1224</v>
      </c>
      <c r="C913" s="36">
        <f>RATE(U913,V913,-F913,H913)</f>
        <v>8.6778874702334419E-2</v>
      </c>
      <c r="D913" s="3">
        <f>C913*AD913</f>
        <v>8.6778874702334419E-2</v>
      </c>
      <c r="F913">
        <v>105402.68</v>
      </c>
      <c r="G913" t="s">
        <v>76</v>
      </c>
      <c r="H913">
        <v>100000</v>
      </c>
      <c r="I913" s="22"/>
      <c r="J913">
        <v>17</v>
      </c>
      <c r="K913" s="22"/>
      <c r="L913">
        <v>7.6076324805412003</v>
      </c>
      <c r="M913" s="22">
        <v>0.10800000000000001</v>
      </c>
      <c r="N913" s="21">
        <v>45659</v>
      </c>
      <c r="O913" s="21">
        <v>46570</v>
      </c>
      <c r="P913">
        <f>ROUND(YEARFRAC(N913,O913),0)</f>
        <v>3</v>
      </c>
      <c r="Q913" s="6">
        <f>(M913*H913)/F913</f>
        <v>0.10246418781761529</v>
      </c>
      <c r="R913" s="5">
        <f>IF(S913="Quarterly",4,IF(S913="Semi-annual",2,IF(S913="Annual",1,IF(S913="Pays at maturity",0,12))))</f>
        <v>1</v>
      </c>
      <c r="S913" t="s">
        <v>93</v>
      </c>
      <c r="U913">
        <f>R913*P913</f>
        <v>3</v>
      </c>
      <c r="V913">
        <f>(H913*M913)/AD913</f>
        <v>10800.000000000002</v>
      </c>
      <c r="W913" s="28">
        <f>RATE(U913,V913,-F913,H913)</f>
        <v>8.6778874702334419E-2</v>
      </c>
      <c r="X913" s="27">
        <f>W913*AD913</f>
        <v>8.6778874702334419E-2</v>
      </c>
      <c r="Y913" s="5">
        <f>DURATION(N913,O913,M913,D913,AD913)</f>
        <v>2.2246810326623563</v>
      </c>
      <c r="Z913" s="5">
        <f>Y913/(1+C913)</f>
        <v>2.0470411087735672</v>
      </c>
      <c r="AA913" s="5">
        <f>-Z913*F913</f>
        <v>-215763.61893490548</v>
      </c>
      <c r="AB913" t="s">
        <v>64</v>
      </c>
      <c r="AC913" t="s">
        <v>62</v>
      </c>
      <c r="AD913">
        <f>_xlfn.SWITCH(PROPER(TRIM(S913)),
   "Annual",1,
   "Semi-Annual",2,
   "Quarterly",4,
   "Monthly",12,
   "")</f>
        <v>1</v>
      </c>
    </row>
    <row r="914" spans="1:30" x14ac:dyDescent="0.35">
      <c r="C914" s="28"/>
      <c r="D914" s="27"/>
      <c r="I914" s="22"/>
      <c r="K914" s="22"/>
      <c r="M914" s="22"/>
      <c r="N914" s="21"/>
      <c r="O914" s="21"/>
      <c r="P914" s="5"/>
      <c r="Q914" s="6"/>
      <c r="R914" s="5"/>
      <c r="W914" s="28"/>
      <c r="Y914" s="33"/>
      <c r="Z914" s="33"/>
      <c r="AA914" s="33"/>
    </row>
    <row r="915" spans="1:30" x14ac:dyDescent="0.35">
      <c r="C915" s="28"/>
      <c r="D915" s="27"/>
      <c r="I915" s="22"/>
      <c r="K915" s="22"/>
      <c r="M915" s="22"/>
      <c r="N915" s="21"/>
      <c r="O915" s="21"/>
      <c r="P915" s="5"/>
      <c r="Q915" s="6"/>
      <c r="R915" s="5"/>
      <c r="W915" s="28"/>
      <c r="Y915" s="33"/>
      <c r="Z915" s="33"/>
      <c r="AA915" s="33"/>
    </row>
    <row r="916" spans="1:30" x14ac:dyDescent="0.35">
      <c r="A916" t="s">
        <v>1221</v>
      </c>
      <c r="B916" t="s">
        <v>119</v>
      </c>
      <c r="C916" s="36">
        <f>RATE(U916,V916,-F916,H916)</f>
        <v>0.11232608819504523</v>
      </c>
      <c r="D916" s="3">
        <f>C916*AD916</f>
        <v>0.11232608819504523</v>
      </c>
      <c r="F916">
        <v>970</v>
      </c>
      <c r="G916" t="s">
        <v>76</v>
      </c>
      <c r="H916">
        <v>1000</v>
      </c>
      <c r="I916" s="22"/>
      <c r="J916">
        <v>69</v>
      </c>
      <c r="K916" s="22"/>
      <c r="L916">
        <v>11.8947642766129</v>
      </c>
      <c r="M916" s="22">
        <v>0.1</v>
      </c>
      <c r="N916" s="21">
        <v>45476</v>
      </c>
      <c r="O916" s="21">
        <v>46571</v>
      </c>
      <c r="P916">
        <f>ROUND(YEARFRAC(N916,O916),0)</f>
        <v>3</v>
      </c>
      <c r="Q916" s="6">
        <f>(M916*H916)/F916</f>
        <v>0.10309278350515463</v>
      </c>
      <c r="R916" s="5">
        <f>IF(S916="Quarterly",4,IF(S916="Semi-annual",2,IF(S916="Annual",1,IF(S916="Pays at maturity",0,12))))</f>
        <v>1</v>
      </c>
      <c r="S916" t="s">
        <v>93</v>
      </c>
      <c r="U916">
        <f>R916*P916</f>
        <v>3</v>
      </c>
      <c r="V916">
        <f>(H916*M916)/AD916</f>
        <v>100</v>
      </c>
      <c r="W916" s="28">
        <f>RATE(U916,V916,-F916,H916)</f>
        <v>0.11232608819504523</v>
      </c>
      <c r="X916" s="27">
        <f>W916*AD916</f>
        <v>0.11232608819504523</v>
      </c>
      <c r="Y916" s="5">
        <f>DURATION(N916,O916,M916,D916,AD916)</f>
        <v>2.7313128503347133</v>
      </c>
      <c r="Z916" s="5">
        <f>Y916/(1+C916)</f>
        <v>2.4554965304884413</v>
      </c>
      <c r="AA916" s="5">
        <f>-Z916*F916</f>
        <v>-2381.8316345737881</v>
      </c>
      <c r="AB916" t="s">
        <v>64</v>
      </c>
      <c r="AC916" t="s">
        <v>62</v>
      </c>
      <c r="AD916">
        <f>_xlfn.SWITCH(PROPER(TRIM(S916)),
   "Annual",1,
   "Semi-Annual",2,
   "Quarterly",4,
   "Monthly",12,
   "")</f>
        <v>1</v>
      </c>
    </row>
    <row r="917" spans="1:30" x14ac:dyDescent="0.35">
      <c r="A917" t="s">
        <v>1220</v>
      </c>
      <c r="B917" t="s">
        <v>128</v>
      </c>
      <c r="C917" s="36">
        <f>RATE(U917,V917,-F917,H917)</f>
        <v>4.6454711752026159E-2</v>
      </c>
      <c r="D917" s="3">
        <f>C917*AD917</f>
        <v>9.2909423504052319E-2</v>
      </c>
      <c r="F917">
        <v>1010.5</v>
      </c>
      <c r="G917" t="s">
        <v>66</v>
      </c>
      <c r="H917">
        <v>1000</v>
      </c>
      <c r="I917" s="22"/>
      <c r="J917">
        <v>1000000</v>
      </c>
      <c r="K917" s="22"/>
      <c r="M917" s="22">
        <v>9.6999999999999989E-2</v>
      </c>
      <c r="N917" s="21">
        <v>45385</v>
      </c>
      <c r="O917" s="21">
        <v>46571</v>
      </c>
      <c r="P917">
        <f>ROUND(YEARFRAC(N917,O917),0)</f>
        <v>3</v>
      </c>
      <c r="Q917" s="6">
        <f>(M917*H917)/F917</f>
        <v>9.5992083127164757E-2</v>
      </c>
      <c r="R917" s="5">
        <f>IF(S917="Quarterly",4,IF(S917="Semi-annual",2,IF(S917="Annual",1,IF(S917="Pays at maturity",0,12))))</f>
        <v>2</v>
      </c>
      <c r="S917" t="s">
        <v>65</v>
      </c>
      <c r="U917">
        <f>R917*P917</f>
        <v>6</v>
      </c>
      <c r="V917">
        <f>(H917*M917)/AD917</f>
        <v>48.499999999999993</v>
      </c>
      <c r="W917" s="28">
        <f>RATE(U917,V917,-F917,H917)</f>
        <v>4.6454711752026159E-2</v>
      </c>
      <c r="X917" s="27">
        <f>W917*AD917</f>
        <v>9.2909423504052319E-2</v>
      </c>
      <c r="Y917" s="5">
        <f>DURATION(N917,O917,M917,D917,AD917)</f>
        <v>2.8031627784964721</v>
      </c>
      <c r="Z917" s="5">
        <f>Y917/(1+C917)</f>
        <v>2.678723452640658</v>
      </c>
      <c r="AA917" s="5">
        <f>-Z917*F917</f>
        <v>-2706.8500488933851</v>
      </c>
      <c r="AB917" t="s">
        <v>64</v>
      </c>
      <c r="AC917" t="s">
        <v>62</v>
      </c>
      <c r="AD917">
        <f>_xlfn.SWITCH(PROPER(TRIM(S917)),
   "Annual",1,
   "Semi-Annual",2,
   "Quarterly",4,
   "Monthly",12,
   "")</f>
        <v>2</v>
      </c>
    </row>
    <row r="918" spans="1:30" x14ac:dyDescent="0.35">
      <c r="C918" s="28"/>
      <c r="D918" s="27"/>
      <c r="I918" s="22"/>
      <c r="K918" s="22"/>
      <c r="M918" s="22"/>
      <c r="N918" s="21"/>
      <c r="O918" s="21"/>
      <c r="P918" s="5"/>
      <c r="Q918" s="6"/>
      <c r="R918" s="5"/>
      <c r="W918" s="28"/>
      <c r="Y918" s="33"/>
      <c r="Z918" s="33"/>
      <c r="AA918" s="33"/>
    </row>
    <row r="919" spans="1:30" x14ac:dyDescent="0.35">
      <c r="A919" t="s">
        <v>1218</v>
      </c>
      <c r="B919" t="s">
        <v>119</v>
      </c>
      <c r="C919" s="36">
        <f t="shared" ref="C919:C927" si="572">RATE(U919,V919,-F919,H919)</f>
        <v>9.6231405612103596E-2</v>
      </c>
      <c r="D919" s="3">
        <f t="shared" ref="D919:D927" si="573">C919*AD919</f>
        <v>9.6231405612103596E-2</v>
      </c>
      <c r="F919">
        <v>998.92</v>
      </c>
      <c r="G919" t="s">
        <v>76</v>
      </c>
      <c r="H919">
        <v>1000</v>
      </c>
      <c r="I919" s="22"/>
      <c r="J919">
        <v>50</v>
      </c>
      <c r="K919" s="22"/>
      <c r="L919">
        <v>9.6455500611989606</v>
      </c>
      <c r="M919" s="22">
        <v>9.5799999999999996E-2</v>
      </c>
      <c r="N919" s="21">
        <v>45476</v>
      </c>
      <c r="O919" s="21">
        <v>46571</v>
      </c>
      <c r="P919">
        <f t="shared" ref="P919:P927" si="574">ROUND(YEARFRAC(N919,O919),0)</f>
        <v>3</v>
      </c>
      <c r="Q919" s="6">
        <f t="shared" ref="Q919:Q927" si="575">(M919*H919)/F919</f>
        <v>9.5903575861930893E-2</v>
      </c>
      <c r="R919" s="5">
        <f t="shared" ref="R919:R927" si="576">IF(S919="Quarterly",4,IF(S919="Semi-annual",2,IF(S919="Annual",1,IF(S919="Pays at maturity",0,12))))</f>
        <v>1</v>
      </c>
      <c r="S919" t="s">
        <v>93</v>
      </c>
      <c r="U919">
        <f t="shared" ref="U919:U927" si="577">R919*P919</f>
        <v>3</v>
      </c>
      <c r="V919">
        <f t="shared" ref="V919:V927" si="578">(H919*M919)/AD919</f>
        <v>95.8</v>
      </c>
      <c r="W919" s="28">
        <f t="shared" ref="W919:W927" si="579">RATE(U919,V919,-F919,H919)</f>
        <v>9.6231405612103596E-2</v>
      </c>
      <c r="X919" s="27">
        <f t="shared" ref="X919:X927" si="580">W919*AD919</f>
        <v>9.6231405612103596E-2</v>
      </c>
      <c r="Y919" s="5">
        <f t="shared" ref="Y919:Y927" si="581">DURATION(N919,O919,M919,D919,AD919)</f>
        <v>2.7452253769510619</v>
      </c>
      <c r="Z919" s="5">
        <f t="shared" ref="Z919:Z927" si="582">Y919/(1+C919)</f>
        <v>2.5042389434356775</v>
      </c>
      <c r="AA919" s="5">
        <f t="shared" ref="AA919:AA927" si="583">-Z919*F919</f>
        <v>-2501.5343653767668</v>
      </c>
      <c r="AB919" t="s">
        <v>64</v>
      </c>
      <c r="AC919" t="s">
        <v>62</v>
      </c>
      <c r="AD919">
        <f t="shared" ref="AD919:AD927" si="584">_xlfn.SWITCH(PROPER(TRIM(S919)),
   "Annual",1,
   "Semi-Annual",2,
   "Quarterly",4,
   "Monthly",12,
   "")</f>
        <v>1</v>
      </c>
    </row>
    <row r="920" spans="1:30" x14ac:dyDescent="0.35">
      <c r="A920" t="s">
        <v>1217</v>
      </c>
      <c r="B920" t="s">
        <v>128</v>
      </c>
      <c r="C920" s="36">
        <f t="shared" si="572"/>
        <v>4.8500000000587511E-2</v>
      </c>
      <c r="D920" s="3">
        <f t="shared" si="573"/>
        <v>9.7000000001175021E-2</v>
      </c>
      <c r="F920">
        <v>1000</v>
      </c>
      <c r="G920" t="s">
        <v>66</v>
      </c>
      <c r="H920">
        <v>1000</v>
      </c>
      <c r="I920" s="22"/>
      <c r="J920">
        <v>2600000</v>
      </c>
      <c r="K920" s="22"/>
      <c r="M920" s="22">
        <v>9.6999999999999989E-2</v>
      </c>
      <c r="N920" s="21">
        <v>45385</v>
      </c>
      <c r="O920" s="21">
        <v>46571</v>
      </c>
      <c r="P920">
        <f t="shared" si="574"/>
        <v>3</v>
      </c>
      <c r="Q920" s="6">
        <f t="shared" si="575"/>
        <v>9.6999999999999989E-2</v>
      </c>
      <c r="R920" s="5">
        <f t="shared" si="576"/>
        <v>2</v>
      </c>
      <c r="S920" t="s">
        <v>65</v>
      </c>
      <c r="U920">
        <f t="shared" si="577"/>
        <v>6</v>
      </c>
      <c r="V920">
        <f t="shared" si="578"/>
        <v>48.499999999999993</v>
      </c>
      <c r="W920" s="28">
        <f t="shared" si="579"/>
        <v>4.8500000000587511E-2</v>
      </c>
      <c r="X920" s="27">
        <f t="shared" si="580"/>
        <v>9.7000000001175021E-2</v>
      </c>
      <c r="Y920" s="5">
        <f t="shared" si="581"/>
        <v>2.8000656547263101</v>
      </c>
      <c r="Z920" s="5">
        <f t="shared" si="582"/>
        <v>2.6705442582019465</v>
      </c>
      <c r="AA920" s="5">
        <f t="shared" si="583"/>
        <v>-2670.5442582019464</v>
      </c>
      <c r="AB920" t="s">
        <v>64</v>
      </c>
      <c r="AC920" t="s">
        <v>62</v>
      </c>
      <c r="AD920">
        <f t="shared" si="584"/>
        <v>2</v>
      </c>
    </row>
    <row r="921" spans="1:30" x14ac:dyDescent="0.35">
      <c r="A921" t="s">
        <v>1216</v>
      </c>
      <c r="B921" t="s">
        <v>101</v>
      </c>
      <c r="C921" s="36">
        <f t="shared" si="572"/>
        <v>2.3278915955716576E-2</v>
      </c>
      <c r="D921" s="3">
        <f t="shared" si="573"/>
        <v>4.6557831911433152E-2</v>
      </c>
      <c r="F921">
        <v>938.14</v>
      </c>
      <c r="G921" t="s">
        <v>66</v>
      </c>
      <c r="H921">
        <v>1000</v>
      </c>
      <c r="I921" s="22"/>
      <c r="J921">
        <v>700000</v>
      </c>
      <c r="K921" s="22"/>
      <c r="M921" s="22">
        <v>3.875E-2</v>
      </c>
      <c r="N921" s="21">
        <v>42923</v>
      </c>
      <c r="O921" s="21">
        <v>46575</v>
      </c>
      <c r="P921">
        <f t="shared" si="574"/>
        <v>10</v>
      </c>
      <c r="Q921" s="6">
        <f t="shared" si="575"/>
        <v>4.1305135694032873E-2</v>
      </c>
      <c r="R921" s="5">
        <f t="shared" si="576"/>
        <v>2</v>
      </c>
      <c r="S921" t="s">
        <v>65</v>
      </c>
      <c r="U921">
        <f t="shared" si="577"/>
        <v>20</v>
      </c>
      <c r="V921">
        <f t="shared" si="578"/>
        <v>19.375</v>
      </c>
      <c r="W921" s="28">
        <f t="shared" si="579"/>
        <v>2.3278915955716576E-2</v>
      </c>
      <c r="X921" s="27">
        <f t="shared" si="580"/>
        <v>4.6557831911433152E-2</v>
      </c>
      <c r="Y921" s="5">
        <f t="shared" si="581"/>
        <v>8.3207904377415165</v>
      </c>
      <c r="Z921" s="5">
        <f t="shared" si="582"/>
        <v>8.1314979796785014</v>
      </c>
      <c r="AA921" s="5">
        <f t="shared" si="583"/>
        <v>-7628.4835146555888</v>
      </c>
      <c r="AB921" t="s">
        <v>64</v>
      </c>
      <c r="AC921" t="s">
        <v>62</v>
      </c>
      <c r="AD921">
        <f t="shared" si="584"/>
        <v>2</v>
      </c>
    </row>
    <row r="922" spans="1:30" x14ac:dyDescent="0.35">
      <c r="A922" t="s">
        <v>1215</v>
      </c>
      <c r="B922" t="s">
        <v>1214</v>
      </c>
      <c r="C922" s="36" t="e">
        <f t="shared" si="572"/>
        <v>#NUM!</v>
      </c>
      <c r="D922" s="3" t="e">
        <f t="shared" si="573"/>
        <v>#NUM!</v>
      </c>
      <c r="F922">
        <v>248023.2</v>
      </c>
      <c r="G922" t="s">
        <v>76</v>
      </c>
      <c r="H922">
        <v>1000000</v>
      </c>
      <c r="I922" s="30"/>
      <c r="J922">
        <v>3</v>
      </c>
      <c r="K922" s="30"/>
      <c r="M922" s="30">
        <v>0.13800000000000001</v>
      </c>
      <c r="N922" s="21">
        <v>42360</v>
      </c>
      <c r="O922" s="21">
        <v>46575</v>
      </c>
      <c r="P922">
        <f t="shared" si="574"/>
        <v>12</v>
      </c>
      <c r="Q922" s="31">
        <f t="shared" si="575"/>
        <v>0.55639956262156121</v>
      </c>
      <c r="R922" s="5">
        <f t="shared" si="576"/>
        <v>2</v>
      </c>
      <c r="S922" t="s">
        <v>65</v>
      </c>
      <c r="U922">
        <f t="shared" si="577"/>
        <v>24</v>
      </c>
      <c r="V922">
        <f t="shared" si="578"/>
        <v>69000</v>
      </c>
      <c r="W922" s="28" t="e">
        <f t="shared" si="579"/>
        <v>#NUM!</v>
      </c>
      <c r="X922" s="27" t="e">
        <f t="shared" si="580"/>
        <v>#NUM!</v>
      </c>
      <c r="Y922" s="5" t="e">
        <f t="shared" si="581"/>
        <v>#NUM!</v>
      </c>
      <c r="Z922" s="5" t="e">
        <f t="shared" si="582"/>
        <v>#NUM!</v>
      </c>
      <c r="AA922" s="5" t="e">
        <f t="shared" si="583"/>
        <v>#NUM!</v>
      </c>
      <c r="AB922" t="s">
        <v>64</v>
      </c>
      <c r="AC922" t="s">
        <v>62</v>
      </c>
      <c r="AD922">
        <f t="shared" si="584"/>
        <v>2</v>
      </c>
    </row>
    <row r="923" spans="1:30" x14ac:dyDescent="0.35">
      <c r="A923" t="s">
        <v>1213</v>
      </c>
      <c r="B923" t="s">
        <v>101</v>
      </c>
      <c r="C923" s="36">
        <f t="shared" si="572"/>
        <v>3.189160026461612E-2</v>
      </c>
      <c r="D923" s="3">
        <f t="shared" si="573"/>
        <v>6.378320052923224E-2</v>
      </c>
      <c r="F923">
        <v>816.99996999999996</v>
      </c>
      <c r="G923" t="s">
        <v>66</v>
      </c>
      <c r="H923">
        <v>1000</v>
      </c>
      <c r="I923" s="22"/>
      <c r="J923">
        <v>0</v>
      </c>
      <c r="K923" s="22"/>
      <c r="M923" s="22">
        <v>3.875E-2</v>
      </c>
      <c r="N923" s="21">
        <v>42923</v>
      </c>
      <c r="O923" s="21">
        <v>46575</v>
      </c>
      <c r="P923">
        <f t="shared" si="574"/>
        <v>10</v>
      </c>
      <c r="Q923" s="6">
        <f t="shared" si="575"/>
        <v>4.7429622304637299E-2</v>
      </c>
      <c r="R923" s="5">
        <f t="shared" si="576"/>
        <v>2</v>
      </c>
      <c r="S923" t="s">
        <v>65</v>
      </c>
      <c r="U923">
        <f t="shared" si="577"/>
        <v>20</v>
      </c>
      <c r="V923">
        <f t="shared" si="578"/>
        <v>19.375</v>
      </c>
      <c r="W923" s="28">
        <f t="shared" si="579"/>
        <v>3.189160026461612E-2</v>
      </c>
      <c r="X923" s="27">
        <f t="shared" si="580"/>
        <v>6.378320052923224E-2</v>
      </c>
      <c r="Y923" s="5">
        <f t="shared" si="581"/>
        <v>8.1732777564163293</v>
      </c>
      <c r="Z923" s="5">
        <f t="shared" si="582"/>
        <v>7.9206747630471952</v>
      </c>
      <c r="AA923" s="5">
        <f t="shared" si="583"/>
        <v>-6471.1910437893157</v>
      </c>
      <c r="AB923" t="s">
        <v>64</v>
      </c>
      <c r="AC923" t="s">
        <v>62</v>
      </c>
      <c r="AD923">
        <f t="shared" si="584"/>
        <v>2</v>
      </c>
    </row>
    <row r="924" spans="1:30" x14ac:dyDescent="0.35">
      <c r="A924" t="s">
        <v>1212</v>
      </c>
      <c r="B924" t="s">
        <v>316</v>
      </c>
      <c r="C924" s="36">
        <f t="shared" si="572"/>
        <v>0.10468170186358627</v>
      </c>
      <c r="D924" s="3">
        <f t="shared" si="573"/>
        <v>0.10468170186358627</v>
      </c>
      <c r="F924">
        <v>100261.86</v>
      </c>
      <c r="G924" t="s">
        <v>76</v>
      </c>
      <c r="H924">
        <v>100000</v>
      </c>
      <c r="I924" s="22"/>
      <c r="J924">
        <v>2</v>
      </c>
      <c r="K924" s="22"/>
      <c r="L924">
        <v>10.460228098778099</v>
      </c>
      <c r="M924" s="22">
        <v>0.10619999999999999</v>
      </c>
      <c r="N924" s="21">
        <v>45847</v>
      </c>
      <c r="O924" s="21">
        <v>46577</v>
      </c>
      <c r="P924">
        <f t="shared" si="574"/>
        <v>2</v>
      </c>
      <c r="Q924" s="6">
        <f t="shared" si="575"/>
        <v>0.1059226309984674</v>
      </c>
      <c r="R924" s="5">
        <f t="shared" si="576"/>
        <v>1</v>
      </c>
      <c r="S924" t="s">
        <v>93</v>
      </c>
      <c r="U924">
        <f t="shared" si="577"/>
        <v>2</v>
      </c>
      <c r="V924">
        <f t="shared" si="578"/>
        <v>10619.999999999998</v>
      </c>
      <c r="W924" s="28">
        <f t="shared" si="579"/>
        <v>0.10468170186358627</v>
      </c>
      <c r="X924" s="27">
        <f t="shared" si="580"/>
        <v>0.10468170186358627</v>
      </c>
      <c r="Y924" s="5">
        <f t="shared" si="581"/>
        <v>1.9041147954023869</v>
      </c>
      <c r="Z924" s="5">
        <f t="shared" si="582"/>
        <v>1.7236773200734345</v>
      </c>
      <c r="AA924" s="5">
        <f t="shared" si="583"/>
        <v>-172819.09415037787</v>
      </c>
      <c r="AB924" t="s">
        <v>64</v>
      </c>
      <c r="AC924" t="s">
        <v>62</v>
      </c>
      <c r="AD924">
        <f t="shared" si="584"/>
        <v>1</v>
      </c>
    </row>
    <row r="925" spans="1:30" x14ac:dyDescent="0.35">
      <c r="A925" t="s">
        <v>1211</v>
      </c>
      <c r="B925" t="s">
        <v>357</v>
      </c>
      <c r="C925" s="36">
        <f t="shared" si="572"/>
        <v>0.10900356464080516</v>
      </c>
      <c r="D925" s="3">
        <f t="shared" si="573"/>
        <v>0.10900356464080516</v>
      </c>
      <c r="F925">
        <v>959.6</v>
      </c>
      <c r="G925" t="s">
        <v>76</v>
      </c>
      <c r="H925">
        <v>1000</v>
      </c>
      <c r="I925" s="22"/>
      <c r="J925">
        <v>107</v>
      </c>
      <c r="K925" s="22"/>
      <c r="L925">
        <v>11.785636939041099</v>
      </c>
      <c r="M925" s="22">
        <v>9.2499999999999999E-2</v>
      </c>
      <c r="N925" s="21">
        <v>45482</v>
      </c>
      <c r="O925" s="21">
        <v>46577</v>
      </c>
      <c r="P925">
        <f t="shared" si="574"/>
        <v>3</v>
      </c>
      <c r="Q925" s="6">
        <f t="shared" si="575"/>
        <v>9.6394330971238007E-2</v>
      </c>
      <c r="R925" s="5">
        <f t="shared" si="576"/>
        <v>1</v>
      </c>
      <c r="S925" t="s">
        <v>93</v>
      </c>
      <c r="U925">
        <f t="shared" si="577"/>
        <v>3</v>
      </c>
      <c r="V925">
        <f t="shared" si="578"/>
        <v>92.5</v>
      </c>
      <c r="W925" s="28">
        <f t="shared" si="579"/>
        <v>0.10900356464080516</v>
      </c>
      <c r="X925" s="27">
        <f t="shared" si="580"/>
        <v>0.10900356464080516</v>
      </c>
      <c r="Y925" s="5">
        <f t="shared" si="581"/>
        <v>2.747784013111167</v>
      </c>
      <c r="Z925" s="5">
        <f t="shared" si="582"/>
        <v>2.4777053029591891</v>
      </c>
      <c r="AA925" s="5">
        <f t="shared" si="583"/>
        <v>-2377.6060087196379</v>
      </c>
      <c r="AB925" t="s">
        <v>64</v>
      </c>
      <c r="AC925" t="s">
        <v>62</v>
      </c>
      <c r="AD925">
        <f t="shared" si="584"/>
        <v>1</v>
      </c>
    </row>
    <row r="926" spans="1:30" x14ac:dyDescent="0.35">
      <c r="A926" t="s">
        <v>1210</v>
      </c>
      <c r="B926" t="s">
        <v>276</v>
      </c>
      <c r="C926" s="36">
        <f t="shared" si="572"/>
        <v>2.0863344006146783E-2</v>
      </c>
      <c r="D926" s="3">
        <f t="shared" si="573"/>
        <v>4.1726688012293567E-2</v>
      </c>
      <c r="F926">
        <v>986</v>
      </c>
      <c r="G926" t="s">
        <v>66</v>
      </c>
      <c r="H926">
        <v>1000</v>
      </c>
      <c r="I926" s="22"/>
      <c r="J926">
        <v>400000</v>
      </c>
      <c r="K926" s="22"/>
      <c r="M926" s="22">
        <v>0.04</v>
      </c>
      <c r="N926" s="21">
        <v>42928</v>
      </c>
      <c r="O926" s="21">
        <v>46580</v>
      </c>
      <c r="P926">
        <f t="shared" si="574"/>
        <v>10</v>
      </c>
      <c r="Q926" s="6">
        <f t="shared" si="575"/>
        <v>4.0567951318458417E-2</v>
      </c>
      <c r="R926" s="5">
        <f t="shared" si="576"/>
        <v>2</v>
      </c>
      <c r="S926" t="s">
        <v>65</v>
      </c>
      <c r="U926">
        <f t="shared" si="577"/>
        <v>20</v>
      </c>
      <c r="V926">
        <f t="shared" si="578"/>
        <v>20</v>
      </c>
      <c r="W926" s="28">
        <f t="shared" si="579"/>
        <v>2.0863344006146783E-2</v>
      </c>
      <c r="X926" s="27">
        <f t="shared" si="580"/>
        <v>4.1726688012293567E-2</v>
      </c>
      <c r="Y926" s="5">
        <f t="shared" si="581"/>
        <v>8.3250105208976102</v>
      </c>
      <c r="Z926" s="5">
        <f t="shared" si="582"/>
        <v>8.1548726083434371</v>
      </c>
      <c r="AA926" s="5">
        <f t="shared" si="583"/>
        <v>-8040.704391826629</v>
      </c>
      <c r="AB926" t="s">
        <v>64</v>
      </c>
      <c r="AC926" t="s">
        <v>62</v>
      </c>
      <c r="AD926">
        <f t="shared" si="584"/>
        <v>2</v>
      </c>
    </row>
    <row r="927" spans="1:30" x14ac:dyDescent="0.35">
      <c r="A927" t="s">
        <v>1209</v>
      </c>
      <c r="B927" t="s">
        <v>276</v>
      </c>
      <c r="C927" s="36">
        <f t="shared" si="572"/>
        <v>2.0794987091327551E-2</v>
      </c>
      <c r="D927" s="3">
        <f t="shared" si="573"/>
        <v>4.1589974182655101E-2</v>
      </c>
      <c r="F927">
        <v>987.1</v>
      </c>
      <c r="G927" t="s">
        <v>66</v>
      </c>
      <c r="H927">
        <v>1000</v>
      </c>
      <c r="I927" s="22"/>
      <c r="J927">
        <v>0</v>
      </c>
      <c r="K927" s="22"/>
      <c r="M927" s="22">
        <v>0.04</v>
      </c>
      <c r="N927" s="21">
        <v>42928</v>
      </c>
      <c r="O927" s="21">
        <v>46580</v>
      </c>
      <c r="P927">
        <f t="shared" si="574"/>
        <v>10</v>
      </c>
      <c r="Q927" s="6">
        <f t="shared" si="575"/>
        <v>4.0522743389727486E-2</v>
      </c>
      <c r="R927" s="5">
        <f t="shared" si="576"/>
        <v>2</v>
      </c>
      <c r="S927" t="s">
        <v>65</v>
      </c>
      <c r="U927">
        <f t="shared" si="577"/>
        <v>20</v>
      </c>
      <c r="V927">
        <f t="shared" si="578"/>
        <v>20</v>
      </c>
      <c r="W927" s="28">
        <f t="shared" si="579"/>
        <v>2.0794987091327551E-2</v>
      </c>
      <c r="X927" s="27">
        <f t="shared" si="580"/>
        <v>4.1589974182655101E-2</v>
      </c>
      <c r="Y927" s="5">
        <f t="shared" si="581"/>
        <v>8.3261398371426996</v>
      </c>
      <c r="Z927" s="5">
        <f t="shared" si="582"/>
        <v>8.1565250049545792</v>
      </c>
      <c r="AA927" s="5">
        <f t="shared" si="583"/>
        <v>-8051.3058323906653</v>
      </c>
      <c r="AB927" t="s">
        <v>64</v>
      </c>
      <c r="AC927" t="s">
        <v>62</v>
      </c>
      <c r="AD927">
        <f t="shared" si="584"/>
        <v>2</v>
      </c>
    </row>
    <row r="928" spans="1:30" x14ac:dyDescent="0.35">
      <c r="C928" s="28"/>
      <c r="D928" s="27"/>
      <c r="I928" s="22"/>
      <c r="K928" s="22"/>
      <c r="M928" s="22"/>
      <c r="N928" s="21"/>
      <c r="O928" s="21"/>
      <c r="P928" s="5"/>
      <c r="Q928" s="6"/>
      <c r="R928" s="5"/>
      <c r="W928" s="28"/>
      <c r="Y928" s="33"/>
      <c r="Z928" s="33"/>
      <c r="AA928" s="33"/>
    </row>
    <row r="929" spans="1:30" x14ac:dyDescent="0.35">
      <c r="A929" t="s">
        <v>1207</v>
      </c>
      <c r="B929" t="s">
        <v>265</v>
      </c>
      <c r="C929" s="36">
        <f>RATE(U929,V929,-F929,H929)</f>
        <v>9.707095885567274E-2</v>
      </c>
      <c r="D929" s="3">
        <f>C929*AD929</f>
        <v>9.707095885567274E-2</v>
      </c>
      <c r="F929">
        <v>994</v>
      </c>
      <c r="G929" t="s">
        <v>76</v>
      </c>
      <c r="H929">
        <v>1000</v>
      </c>
      <c r="I929" s="22"/>
      <c r="J929">
        <v>100</v>
      </c>
      <c r="K929" s="22"/>
      <c r="L929">
        <v>9.9094567404426499</v>
      </c>
      <c r="M929" s="22">
        <v>9.5500000000000002E-2</v>
      </c>
      <c r="N929" s="21">
        <v>44757</v>
      </c>
      <c r="O929" s="21">
        <v>46583</v>
      </c>
      <c r="P929">
        <f>ROUND(YEARFRAC(N929,O929),0)</f>
        <v>5</v>
      </c>
      <c r="Q929" s="6">
        <f>(M929*H929)/F929</f>
        <v>9.6076458752515095E-2</v>
      </c>
      <c r="R929" s="5">
        <f>IF(S929="Quarterly",4,IF(S929="Semi-annual",2,IF(S929="Annual",1,IF(S929="Pays at maturity",0,12))))</f>
        <v>1</v>
      </c>
      <c r="S929" t="s">
        <v>93</v>
      </c>
      <c r="U929">
        <f>R929*P929</f>
        <v>5</v>
      </c>
      <c r="V929">
        <f>(H929*M929)/AD929</f>
        <v>95.5</v>
      </c>
      <c r="W929" s="28">
        <f>RATE(U929,V929,-F929,H929)</f>
        <v>9.707095885567274E-2</v>
      </c>
      <c r="X929" s="27">
        <f>W929*AD929</f>
        <v>9.707095885567274E-2</v>
      </c>
      <c r="Y929" s="5">
        <f>DURATION(N929,O929,M929,D929,AD929)</f>
        <v>4.198366654492208</v>
      </c>
      <c r="Z929" s="5">
        <f>Y929/(1+C929)</f>
        <v>3.8268870583097194</v>
      </c>
      <c r="AA929" s="5">
        <f>-Z929*F929</f>
        <v>-3803.925735959861</v>
      </c>
      <c r="AB929" t="s">
        <v>64</v>
      </c>
      <c r="AC929" t="s">
        <v>62</v>
      </c>
      <c r="AD929">
        <f>_xlfn.SWITCH(PROPER(TRIM(S929)),
   "Annual",1,
   "Semi-Annual",2,
   "Quarterly",4,
   "Monthly",12,
   "")</f>
        <v>1</v>
      </c>
    </row>
    <row r="930" spans="1:30" x14ac:dyDescent="0.35">
      <c r="A930" t="s">
        <v>1206</v>
      </c>
      <c r="B930" t="s">
        <v>265</v>
      </c>
      <c r="C930" s="36">
        <f>RATE(U930,V930,-F930,H930)</f>
        <v>9.4198995574794053E-2</v>
      </c>
      <c r="D930" s="3">
        <f>C930*AD930</f>
        <v>9.4198995574794053E-2</v>
      </c>
      <c r="F930">
        <v>990</v>
      </c>
      <c r="G930" t="s">
        <v>76</v>
      </c>
      <c r="H930">
        <v>1000</v>
      </c>
      <c r="I930" s="22"/>
      <c r="J930">
        <v>25</v>
      </c>
      <c r="K930" s="22"/>
      <c r="L930">
        <v>9.7631718850555398</v>
      </c>
      <c r="M930" s="22">
        <v>9.1600000000000001E-2</v>
      </c>
      <c r="N930" s="21">
        <v>44757</v>
      </c>
      <c r="O930" s="21">
        <v>46583</v>
      </c>
      <c r="P930">
        <f>ROUND(YEARFRAC(N930,O930),0)</f>
        <v>5</v>
      </c>
      <c r="Q930" s="6">
        <f>(M930*H930)/F930</f>
        <v>9.2525252525252524E-2</v>
      </c>
      <c r="R930" s="5">
        <f>IF(S930="Quarterly",4,IF(S930="Semi-annual",2,IF(S930="Annual",1,IF(S930="Pays at maturity",0,12))))</f>
        <v>1</v>
      </c>
      <c r="S930" t="s">
        <v>93</v>
      </c>
      <c r="U930">
        <f>R930*P930</f>
        <v>5</v>
      </c>
      <c r="V930">
        <f>(H930*M930)/AD930</f>
        <v>91.6</v>
      </c>
      <c r="W930" s="28">
        <f>RATE(U930,V930,-F930,H930)</f>
        <v>9.4198995574794053E-2</v>
      </c>
      <c r="X930" s="27">
        <f>W930*AD930</f>
        <v>9.4198995574794053E-2</v>
      </c>
      <c r="Y930" s="5">
        <f>DURATION(N930,O930,M930,D930,AD930)</f>
        <v>4.2241194578860508</v>
      </c>
      <c r="Z930" s="5">
        <f>Y930/(1+C930)</f>
        <v>3.8604673144185044</v>
      </c>
      <c r="AA930" s="5">
        <f>-Z930*F930</f>
        <v>-3821.8626412743192</v>
      </c>
      <c r="AB930" t="s">
        <v>64</v>
      </c>
      <c r="AC930" t="s">
        <v>62</v>
      </c>
      <c r="AD930">
        <f>_xlfn.SWITCH(PROPER(TRIM(S930)),
   "Annual",1,
   "Semi-Annual",2,
   "Quarterly",4,
   "Monthly",12,
   "")</f>
        <v>1</v>
      </c>
    </row>
    <row r="931" spans="1:30" x14ac:dyDescent="0.35">
      <c r="A931" t="s">
        <v>1205</v>
      </c>
      <c r="B931" t="s">
        <v>261</v>
      </c>
      <c r="C931" s="36">
        <f>RATE(U931,V931,-F931,H931)</f>
        <v>7.0048176514676097E-2</v>
      </c>
      <c r="D931" s="3">
        <f>C931*AD931</f>
        <v>7.0048176514676097E-2</v>
      </c>
      <c r="F931">
        <v>105043.97</v>
      </c>
      <c r="G931" t="s">
        <v>76</v>
      </c>
      <c r="H931">
        <v>100000</v>
      </c>
      <c r="I931" s="22"/>
      <c r="J931">
        <v>10</v>
      </c>
      <c r="K931" s="22"/>
      <c r="L931">
        <v>6.3739264556922102</v>
      </c>
      <c r="M931" s="22">
        <v>8.9270000000000002E-2</v>
      </c>
      <c r="N931" s="21">
        <v>45604</v>
      </c>
      <c r="O931" s="21">
        <v>46588</v>
      </c>
      <c r="P931">
        <f>ROUND(YEARFRAC(N931,O931),0)</f>
        <v>3</v>
      </c>
      <c r="Q931" s="6">
        <f>(M931*H931)/F931</f>
        <v>8.4983459783555398E-2</v>
      </c>
      <c r="R931" s="5">
        <f>IF(S931="Quarterly",4,IF(S931="Semi-annual",2,IF(S931="Annual",1,IF(S931="Pays at maturity",0,12))))</f>
        <v>1</v>
      </c>
      <c r="S931" t="s">
        <v>93</v>
      </c>
      <c r="U931">
        <f>R931*P931</f>
        <v>3</v>
      </c>
      <c r="V931">
        <f>(H931*M931)/AD931</f>
        <v>8927</v>
      </c>
      <c r="W931" s="28">
        <f>RATE(U931,V931,-F931,H931)</f>
        <v>7.0048176514676097E-2</v>
      </c>
      <c r="X931" s="27">
        <f>W931*AD931</f>
        <v>7.0048176514676097E-2</v>
      </c>
      <c r="Y931" s="5">
        <f>DURATION(N931,O931,M931,D931,AD931)</f>
        <v>2.4669384020710341</v>
      </c>
      <c r="Z931" s="5">
        <f>Y931/(1+C931)</f>
        <v>2.3054461062737013</v>
      </c>
      <c r="AA931" s="5">
        <f>-Z931*F931</f>
        <v>-242173.21162403148</v>
      </c>
      <c r="AB931" t="s">
        <v>64</v>
      </c>
      <c r="AC931" t="s">
        <v>62</v>
      </c>
      <c r="AD931">
        <f>_xlfn.SWITCH(PROPER(TRIM(S931)),
   "Annual",1,
   "Semi-Annual",2,
   "Quarterly",4,
   "Monthly",12,
   "")</f>
        <v>1</v>
      </c>
    </row>
    <row r="932" spans="1:30" x14ac:dyDescent="0.35">
      <c r="A932" t="s">
        <v>1204</v>
      </c>
      <c r="B932" t="s">
        <v>145</v>
      </c>
      <c r="C932" s="36">
        <f>RATE(U932,V932,-F932,H932)</f>
        <v>9.6228702955415468E-2</v>
      </c>
      <c r="D932" s="3">
        <f>C932*AD932</f>
        <v>9.6228702955415468E-2</v>
      </c>
      <c r="F932">
        <v>892.40002000000004</v>
      </c>
      <c r="G932" t="s">
        <v>76</v>
      </c>
      <c r="H932">
        <v>1000</v>
      </c>
      <c r="I932" s="22"/>
      <c r="J932">
        <v>1500</v>
      </c>
      <c r="K932" s="22"/>
      <c r="L932">
        <v>10.7268680585832</v>
      </c>
      <c r="M932" s="22">
        <v>7.9000000000000001E-2</v>
      </c>
      <c r="N932" s="21">
        <v>42940</v>
      </c>
      <c r="O932" s="21">
        <v>46592</v>
      </c>
      <c r="P932">
        <f>ROUND(YEARFRAC(N932,O932),0)</f>
        <v>10</v>
      </c>
      <c r="Q932" s="6">
        <f>(M932*H932)/F932</f>
        <v>8.8525322982399748E-2</v>
      </c>
      <c r="R932" s="5">
        <f>IF(S932="Quarterly",4,IF(S932="Semi-annual",2,IF(S932="Annual",1,IF(S932="Pays at maturity",0,12))))</f>
        <v>1</v>
      </c>
      <c r="S932" t="s">
        <v>93</v>
      </c>
      <c r="U932">
        <f>R932*P932</f>
        <v>10</v>
      </c>
      <c r="V932">
        <f>(H932*M932)/AD932</f>
        <v>79</v>
      </c>
      <c r="W932" s="28">
        <f>RATE(U932,V932,-F932,H932)</f>
        <v>9.6228702955415468E-2</v>
      </c>
      <c r="X932" s="27">
        <f>W932*AD932</f>
        <v>9.6228702955415468E-2</v>
      </c>
      <c r="Y932" s="5">
        <f>DURATION(N932,O932,M932,D932,AD932)</f>
        <v>7.0988329569993409</v>
      </c>
      <c r="Z932" s="5">
        <f>Y932/(1+C932)</f>
        <v>6.4756860843553889</v>
      </c>
      <c r="AA932" s="5">
        <f>-Z932*F932</f>
        <v>-5778.9023911924714</v>
      </c>
      <c r="AB932" t="s">
        <v>64</v>
      </c>
      <c r="AC932" t="s">
        <v>62</v>
      </c>
      <c r="AD932">
        <f>_xlfn.SWITCH(PROPER(TRIM(S932)),
   "Annual",1,
   "Semi-Annual",2,
   "Quarterly",4,
   "Monthly",12,
   "")</f>
        <v>1</v>
      </c>
    </row>
    <row r="933" spans="1:30" x14ac:dyDescent="0.35">
      <c r="A933" t="s">
        <v>1203</v>
      </c>
      <c r="B933" t="s">
        <v>145</v>
      </c>
      <c r="C933" s="36">
        <f>RATE(U933,V933,-F933,H933)</f>
        <v>7.9435129970460136E-2</v>
      </c>
      <c r="D933" s="3">
        <f>C933*AD933</f>
        <v>7.9435129970460136E-2</v>
      </c>
      <c r="F933">
        <v>1003.8</v>
      </c>
      <c r="G933" t="s">
        <v>76</v>
      </c>
      <c r="H933">
        <v>1000</v>
      </c>
      <c r="I933" s="22"/>
      <c r="J933">
        <v>10</v>
      </c>
      <c r="K933" s="22"/>
      <c r="L933">
        <v>7.7842453709461097</v>
      </c>
      <c r="M933" s="22">
        <v>0.08</v>
      </c>
      <c r="N933" s="21">
        <v>42940</v>
      </c>
      <c r="O933" s="21">
        <v>46592</v>
      </c>
      <c r="P933">
        <f>ROUND(YEARFRAC(N933,O933),0)</f>
        <v>10</v>
      </c>
      <c r="Q933" s="6">
        <f>(M933*H933)/F933</f>
        <v>7.9697150826857938E-2</v>
      </c>
      <c r="R933" s="5">
        <f>IF(S933="Quarterly",4,IF(S933="Semi-annual",2,IF(S933="Annual",1,IF(S933="Pays at maturity",0,12))))</f>
        <v>1</v>
      </c>
      <c r="S933" t="s">
        <v>93</v>
      </c>
      <c r="U933">
        <f>R933*P933</f>
        <v>10</v>
      </c>
      <c r="V933">
        <f>(H933*M933)/AD933</f>
        <v>80</v>
      </c>
      <c r="W933" s="28">
        <f>RATE(U933,V933,-F933,H933)</f>
        <v>7.9435129970460136E-2</v>
      </c>
      <c r="X933" s="27">
        <f>W933*AD933</f>
        <v>7.9435129970460136E-2</v>
      </c>
      <c r="Y933" s="5">
        <f>DURATION(N933,O933,M933,D933,AD933)</f>
        <v>7.2525553241052734</v>
      </c>
      <c r="Z933" s="5">
        <f>Y933/(1+C933)</f>
        <v>6.718843145584624</v>
      </c>
      <c r="AA933" s="5">
        <f>-Z933*F933</f>
        <v>-6744.3747495378457</v>
      </c>
      <c r="AB933" t="s">
        <v>64</v>
      </c>
      <c r="AC933" t="s">
        <v>62</v>
      </c>
      <c r="AD933">
        <f>_xlfn.SWITCH(PROPER(TRIM(S933)),
   "Annual",1,
   "Semi-Annual",2,
   "Quarterly",4,
   "Monthly",12,
   "")</f>
        <v>1</v>
      </c>
    </row>
    <row r="934" spans="1:30" x14ac:dyDescent="0.35">
      <c r="C934" s="28"/>
      <c r="D934" s="27"/>
      <c r="I934" s="22"/>
      <c r="K934" s="22"/>
      <c r="M934" s="22"/>
      <c r="N934" s="21"/>
      <c r="O934" s="21"/>
      <c r="P934" s="5"/>
      <c r="Q934" s="6"/>
      <c r="R934" s="5"/>
      <c r="W934" s="28"/>
      <c r="Y934" s="33"/>
      <c r="Z934" s="33"/>
      <c r="AA934" s="33"/>
    </row>
    <row r="935" spans="1:30" x14ac:dyDescent="0.35">
      <c r="A935" t="s">
        <v>1201</v>
      </c>
      <c r="B935" t="s">
        <v>122</v>
      </c>
      <c r="C935" s="36">
        <f>RATE(U935,V935,-F935,H935)</f>
        <v>0.10379609811598628</v>
      </c>
      <c r="D935" s="3">
        <f>C935*AD935</f>
        <v>0.10379609811598628</v>
      </c>
      <c r="F935">
        <v>980</v>
      </c>
      <c r="G935" t="s">
        <v>76</v>
      </c>
      <c r="H935">
        <v>1000</v>
      </c>
      <c r="I935" s="22"/>
      <c r="J935">
        <v>1</v>
      </c>
      <c r="K935" s="22"/>
      <c r="L935">
        <v>10.7815379903666</v>
      </c>
      <c r="M935" s="22">
        <v>9.5700000000000007E-2</v>
      </c>
      <c r="N935" s="21">
        <v>45499</v>
      </c>
      <c r="O935" s="21">
        <v>46594</v>
      </c>
      <c r="P935">
        <f>ROUND(YEARFRAC(N935,O935),0)</f>
        <v>3</v>
      </c>
      <c r="Q935" s="6">
        <f>(M935*H935)/F935</f>
        <v>9.7653061224489801E-2</v>
      </c>
      <c r="R935" s="5">
        <f>IF(S935="Quarterly",4,IF(S935="Semi-annual",2,IF(S935="Annual",1,IF(S935="Pays at maturity",0,12))))</f>
        <v>1</v>
      </c>
      <c r="S935" t="s">
        <v>93</v>
      </c>
      <c r="U935">
        <f>R935*P935</f>
        <v>3</v>
      </c>
      <c r="V935">
        <f>(H935*M935)/AD935</f>
        <v>95.7</v>
      </c>
      <c r="W935" s="28">
        <f>RATE(U935,V935,-F935,H935)</f>
        <v>0.10379609811598628</v>
      </c>
      <c r="X935" s="27">
        <f>W935*AD935</f>
        <v>0.10379609811598628</v>
      </c>
      <c r="Y935" s="5">
        <f>DURATION(N935,O935,M935,D935,AD935)</f>
        <v>2.7429087467976867</v>
      </c>
      <c r="Z935" s="5">
        <f>Y935/(1+C935)</f>
        <v>2.4849777522129486</v>
      </c>
      <c r="AA935" s="5">
        <f>-Z935*F935</f>
        <v>-2435.2781971686895</v>
      </c>
      <c r="AB935" t="s">
        <v>64</v>
      </c>
      <c r="AC935" t="s">
        <v>62</v>
      </c>
      <c r="AD935">
        <f>_xlfn.SWITCH(PROPER(TRIM(S935)),
   "Annual",1,
   "Semi-Annual",2,
   "Quarterly",4,
   "Monthly",12,
   "")</f>
        <v>1</v>
      </c>
    </row>
    <row r="936" spans="1:30" x14ac:dyDescent="0.35">
      <c r="C936" s="28"/>
      <c r="D936" s="27"/>
      <c r="I936" s="22"/>
      <c r="K936" s="22"/>
      <c r="M936" s="22"/>
      <c r="N936" s="21"/>
      <c r="O936" s="21"/>
      <c r="P936" s="5"/>
      <c r="Q936" s="6"/>
      <c r="R936" s="5"/>
      <c r="W936" s="28"/>
      <c r="Y936" s="33"/>
      <c r="Z936" s="33"/>
      <c r="AA936" s="33"/>
    </row>
    <row r="937" spans="1:30" x14ac:dyDescent="0.35">
      <c r="A937" t="s">
        <v>1199</v>
      </c>
      <c r="B937" t="s">
        <v>122</v>
      </c>
      <c r="C937" s="36">
        <f>RATE(U937,V937,-F937,H937)</f>
        <v>0.10815805525856946</v>
      </c>
      <c r="D937" s="3">
        <f>C937*AD937</f>
        <v>0.10815805525856946</v>
      </c>
      <c r="F937">
        <v>980</v>
      </c>
      <c r="G937" t="s">
        <v>76</v>
      </c>
      <c r="H937">
        <v>1000</v>
      </c>
      <c r="I937" s="22"/>
      <c r="J937">
        <v>31</v>
      </c>
      <c r="K937" s="22"/>
      <c r="L937">
        <v>11.212062632901601</v>
      </c>
      <c r="M937" s="22">
        <v>0.1</v>
      </c>
      <c r="N937" s="21">
        <v>45499</v>
      </c>
      <c r="O937" s="21">
        <v>46594</v>
      </c>
      <c r="P937">
        <f>ROUND(YEARFRAC(N937,O937),0)</f>
        <v>3</v>
      </c>
      <c r="Q937" s="6">
        <f>(M937*H937)/F937</f>
        <v>0.10204081632653061</v>
      </c>
      <c r="R937" s="5">
        <f>IF(S937="Quarterly",4,IF(S937="Semi-annual",2,IF(S937="Annual",1,IF(S937="Pays at maturity",0,12))))</f>
        <v>1</v>
      </c>
      <c r="S937" t="s">
        <v>93</v>
      </c>
      <c r="U937">
        <f>R937*P937</f>
        <v>3</v>
      </c>
      <c r="V937">
        <f>(H937*M937)/AD937</f>
        <v>100</v>
      </c>
      <c r="W937" s="28">
        <f>RATE(U937,V937,-F937,H937)</f>
        <v>0.10815805525856946</v>
      </c>
      <c r="X937" s="27">
        <f>W937*AD937</f>
        <v>0.10815805525856946</v>
      </c>
      <c r="Y937" s="5">
        <f>DURATION(N937,O937,M937,D937,AD937)</f>
        <v>2.7327429102033607</v>
      </c>
      <c r="Z937" s="5">
        <f>Y937/(1+C937)</f>
        <v>2.4660226916508967</v>
      </c>
      <c r="AA937" s="5">
        <f>-Z937*F937</f>
        <v>-2416.702237817879</v>
      </c>
      <c r="AB937" t="s">
        <v>64</v>
      </c>
      <c r="AC937" t="s">
        <v>62</v>
      </c>
      <c r="AD937">
        <f>_xlfn.SWITCH(PROPER(TRIM(S937)),
   "Annual",1,
   "Semi-Annual",2,
   "Quarterly",4,
   "Monthly",12,
   "")</f>
        <v>1</v>
      </c>
    </row>
    <row r="938" spans="1:30" x14ac:dyDescent="0.35">
      <c r="A938" t="s">
        <v>1198</v>
      </c>
      <c r="B938" t="s">
        <v>465</v>
      </c>
      <c r="C938" s="36">
        <f>RATE(U938,V938,-F938,H938)</f>
        <v>0.15195795239551471</v>
      </c>
      <c r="D938" s="3">
        <f>C938*AD938</f>
        <v>0.15195795239551471</v>
      </c>
      <c r="F938">
        <v>860</v>
      </c>
      <c r="G938" t="s">
        <v>76</v>
      </c>
      <c r="H938">
        <v>1000</v>
      </c>
      <c r="I938" s="22"/>
      <c r="J938">
        <v>350</v>
      </c>
      <c r="K938" s="22"/>
      <c r="L938">
        <v>20.874861572535899</v>
      </c>
      <c r="M938" s="22">
        <v>0.11</v>
      </c>
      <c r="N938" s="21">
        <v>44740</v>
      </c>
      <c r="O938" s="21">
        <v>46595</v>
      </c>
      <c r="P938">
        <f>ROUND(YEARFRAC(N938,O938),0)</f>
        <v>5</v>
      </c>
      <c r="Q938" s="6">
        <f>(M938*H938)/F938</f>
        <v>0.12790697674418605</v>
      </c>
      <c r="R938" s="5">
        <f>IF(S938="Quarterly",4,IF(S938="Semi-annual",2,IF(S938="Annual",1,IF(S938="Pays at maturity",0,12))))</f>
        <v>1</v>
      </c>
      <c r="S938" t="s">
        <v>93</v>
      </c>
      <c r="U938">
        <f>R938*P938</f>
        <v>5</v>
      </c>
      <c r="V938">
        <f>(H938*M938)/AD938</f>
        <v>110</v>
      </c>
      <c r="W938" s="28">
        <f>RATE(U938,V938,-F938,H938)</f>
        <v>0.15195795239551471</v>
      </c>
      <c r="X938" s="27">
        <f>W938*AD938</f>
        <v>0.15195795239551471</v>
      </c>
      <c r="Y938" s="5">
        <f>DURATION(N938,O938,M938,D938,AD938)</f>
        <v>3.6506360959531827</v>
      </c>
      <c r="Z938" s="5">
        <f>Y938/(1+C938)</f>
        <v>3.1690706143931964</v>
      </c>
      <c r="AA938" s="5">
        <f>-Z938*F938</f>
        <v>-2725.4007283781489</v>
      </c>
      <c r="AB938" t="s">
        <v>64</v>
      </c>
      <c r="AC938" t="s">
        <v>62</v>
      </c>
      <c r="AD938">
        <f>_xlfn.SWITCH(PROPER(TRIM(S938)),
   "Annual",1,
   "Semi-Annual",2,
   "Quarterly",4,
   "Monthly",12,
   "")</f>
        <v>1</v>
      </c>
    </row>
    <row r="939" spans="1:30" x14ac:dyDescent="0.35">
      <c r="A939" t="s">
        <v>1197</v>
      </c>
      <c r="B939" t="s">
        <v>85</v>
      </c>
      <c r="C939" s="36">
        <f>RATE(U939,V939,-F939,H939)</f>
        <v>2.2039398380564377E-2</v>
      </c>
      <c r="D939" s="3">
        <f>C939*AD939</f>
        <v>4.4078796761128754E-2</v>
      </c>
      <c r="F939">
        <v>967.3</v>
      </c>
      <c r="G939" t="s">
        <v>66</v>
      </c>
      <c r="H939">
        <v>1000</v>
      </c>
      <c r="I939" s="22"/>
      <c r="J939">
        <v>0</v>
      </c>
      <c r="K939" s="22"/>
      <c r="M939" s="22">
        <v>0.04</v>
      </c>
      <c r="N939" s="21">
        <v>42916</v>
      </c>
      <c r="O939" s="21">
        <v>46598</v>
      </c>
      <c r="P939">
        <f>ROUND(YEARFRAC(N939,O939),0)</f>
        <v>10</v>
      </c>
      <c r="Q939" s="6">
        <f>(M939*H939)/F939</f>
        <v>4.1352217512664116E-2</v>
      </c>
      <c r="R939" s="5">
        <f>IF(S939="Quarterly",4,IF(S939="Semi-annual",2,IF(S939="Annual",1,IF(S939="Pays at maturity",0,12))))</f>
        <v>2</v>
      </c>
      <c r="S939" t="s">
        <v>65</v>
      </c>
      <c r="U939">
        <f>R939*P939</f>
        <v>20</v>
      </c>
      <c r="V939">
        <f>(H939*M939)/AD939</f>
        <v>20</v>
      </c>
      <c r="W939" s="28">
        <f>RATE(U939,V939,-F939,H939)</f>
        <v>2.2039398380564377E-2</v>
      </c>
      <c r="X939" s="27">
        <f>W939*AD939</f>
        <v>4.4078796761128754E-2</v>
      </c>
      <c r="Y939" s="5">
        <f>DURATION(N939,O939,M939,D939,AD939)</f>
        <v>8.220576785178455</v>
      </c>
      <c r="Z939" s="5">
        <f>Y939/(1+C939)</f>
        <v>8.0433071349344001</v>
      </c>
      <c r="AA939" s="5">
        <f>-Z939*F939</f>
        <v>-7780.2909916220451</v>
      </c>
      <c r="AB939" t="s">
        <v>69</v>
      </c>
      <c r="AC939" t="s">
        <v>62</v>
      </c>
      <c r="AD939">
        <f>_xlfn.SWITCH(PROPER(TRIM(S939)),
   "Annual",1,
   "Semi-Annual",2,
   "Quarterly",4,
   "Monthly",12,
   "")</f>
        <v>2</v>
      </c>
    </row>
    <row r="940" spans="1:30" x14ac:dyDescent="0.35">
      <c r="A940" t="s">
        <v>1196</v>
      </c>
      <c r="B940" t="s">
        <v>85</v>
      </c>
      <c r="C940" s="36">
        <f>RATE(U940,V940,-F940,H940)</f>
        <v>2.2225466107884881E-2</v>
      </c>
      <c r="D940" s="3">
        <f>C940*AD940</f>
        <v>4.4450932215769762E-2</v>
      </c>
      <c r="F940">
        <v>964.38</v>
      </c>
      <c r="G940" t="s">
        <v>66</v>
      </c>
      <c r="H940">
        <v>1000</v>
      </c>
      <c r="I940" s="22"/>
      <c r="J940">
        <v>800000</v>
      </c>
      <c r="K940" s="22"/>
      <c r="M940" s="22">
        <v>0.04</v>
      </c>
      <c r="N940" s="21">
        <v>42916</v>
      </c>
      <c r="O940" s="21">
        <v>46598</v>
      </c>
      <c r="P940">
        <f>ROUND(YEARFRAC(N940,O940),0)</f>
        <v>10</v>
      </c>
      <c r="Q940" s="6">
        <f>(M940*H940)/F940</f>
        <v>4.1477425910947968E-2</v>
      </c>
      <c r="R940" s="5">
        <f>IF(S940="Quarterly",4,IF(S940="Semi-annual",2,IF(S940="Annual",1,IF(S940="Pays at maturity",0,12))))</f>
        <v>2</v>
      </c>
      <c r="S940" t="s">
        <v>65</v>
      </c>
      <c r="U940">
        <f>R940*P940</f>
        <v>20</v>
      </c>
      <c r="V940">
        <f>(H940*M940)/AD940</f>
        <v>20</v>
      </c>
      <c r="W940" s="28">
        <f>RATE(U940,V940,-F940,H940)</f>
        <v>2.2225466107884881E-2</v>
      </c>
      <c r="X940" s="27">
        <f>W940*AD940</f>
        <v>4.4450932215769762E-2</v>
      </c>
      <c r="Y940" s="5">
        <f>DURATION(N940,O940,M940,D940,AD940)</f>
        <v>8.2170365907912633</v>
      </c>
      <c r="Z940" s="5">
        <f>Y940/(1+C940)</f>
        <v>8.0383798518320653</v>
      </c>
      <c r="AA940" s="5">
        <f>-Z940*F940</f>
        <v>-7752.0527615098072</v>
      </c>
      <c r="AB940" t="s">
        <v>69</v>
      </c>
      <c r="AC940" t="s">
        <v>62</v>
      </c>
      <c r="AD940">
        <f>_xlfn.SWITCH(PROPER(TRIM(S940)),
   "Annual",1,
   "Semi-Annual",2,
   "Quarterly",4,
   "Monthly",12,
   "")</f>
        <v>2</v>
      </c>
    </row>
    <row r="941" spans="1:30" x14ac:dyDescent="0.35">
      <c r="C941" s="28"/>
      <c r="D941" s="27"/>
      <c r="I941" s="22"/>
      <c r="K941" s="22"/>
      <c r="M941" s="22"/>
      <c r="N941" s="21"/>
      <c r="O941" s="21"/>
      <c r="P941" s="5"/>
      <c r="Q941" s="6"/>
      <c r="R941" s="5"/>
      <c r="W941" s="28"/>
      <c r="Y941" s="33"/>
      <c r="Z941" s="33"/>
      <c r="AA941" s="33"/>
    </row>
    <row r="942" spans="1:30" x14ac:dyDescent="0.35">
      <c r="A942" t="s">
        <v>1194</v>
      </c>
      <c r="B942" t="s">
        <v>401</v>
      </c>
      <c r="C942" s="36" t="e">
        <f t="shared" ref="C942:C947" si="585">RATE(U942,V942,-F942,H942)</f>
        <v>#VALUE!</v>
      </c>
      <c r="D942" s="3" t="e">
        <f t="shared" ref="D942:D947" si="586">C942*AD942</f>
        <v>#VALUE!</v>
      </c>
      <c r="F942">
        <v>1230000</v>
      </c>
      <c r="G942" t="s">
        <v>76</v>
      </c>
      <c r="H942">
        <v>1000000</v>
      </c>
      <c r="I942" s="22"/>
      <c r="J942">
        <v>1</v>
      </c>
      <c r="K942" s="22"/>
      <c r="L942">
        <v>0.30359164351137302</v>
      </c>
      <c r="M942" s="22">
        <v>0.11</v>
      </c>
      <c r="N942" s="21">
        <v>44775</v>
      </c>
      <c r="O942" s="21">
        <v>46601</v>
      </c>
      <c r="P942">
        <f t="shared" ref="P942:P947" si="587">ROUND(YEARFRAC(N942,O942),0)</f>
        <v>5</v>
      </c>
      <c r="Q942" s="6">
        <f t="shared" ref="Q942:Q947" si="588">(M942*H942)/F942</f>
        <v>8.943089430894309E-2</v>
      </c>
      <c r="R942" s="5">
        <f t="shared" ref="R942:R947" si="589">IF(S942="Quarterly",4,IF(S942="Semi-annual",2,IF(S942="Annual",1,IF(S942="Pays at maturity",0,12))))</f>
        <v>0</v>
      </c>
      <c r="S942" t="s">
        <v>782</v>
      </c>
      <c r="U942">
        <f t="shared" ref="U942:U947" si="590">R942*P942</f>
        <v>0</v>
      </c>
      <c r="V942" t="e">
        <f t="shared" ref="V942:V947" si="591">(H942*M942)/AD942</f>
        <v>#VALUE!</v>
      </c>
      <c r="W942" s="28" t="e">
        <f t="shared" ref="W942:W947" si="592">RATE(U942,V942,-F942,H942)</f>
        <v>#VALUE!</v>
      </c>
      <c r="X942" s="27" t="e">
        <f t="shared" ref="X942:X947" si="593">W942*AD942</f>
        <v>#VALUE!</v>
      </c>
      <c r="Y942" s="5" t="e">
        <f t="shared" ref="Y942:Y947" si="594">DURATION(N942,O942,M942,D942,AD942)</f>
        <v>#VALUE!</v>
      </c>
      <c r="Z942" s="5" t="e">
        <f t="shared" ref="Z942:Z947" si="595">Y942/(1+C942)</f>
        <v>#VALUE!</v>
      </c>
      <c r="AA942" s="5" t="e">
        <f t="shared" ref="AA942:AA947" si="596">-Z942*F942</f>
        <v>#VALUE!</v>
      </c>
      <c r="AB942" t="s">
        <v>64</v>
      </c>
      <c r="AC942" t="s">
        <v>62</v>
      </c>
      <c r="AD942" t="str">
        <f t="shared" ref="AD942:AD947" si="597">_xlfn.SWITCH(PROPER(TRIM(S942)),
   "Annual",1,
   "Semi-Annual",2,
   "Quarterly",4,
   "Monthly",12,
   "")</f>
        <v/>
      </c>
    </row>
    <row r="943" spans="1:30" x14ac:dyDescent="0.35">
      <c r="A943" t="s">
        <v>1193</v>
      </c>
      <c r="B943" t="s">
        <v>401</v>
      </c>
      <c r="C943" s="36">
        <f t="shared" si="585"/>
        <v>0.10774742447859537</v>
      </c>
      <c r="D943" s="3">
        <f t="shared" si="586"/>
        <v>0.10774742447859537</v>
      </c>
      <c r="F943">
        <v>989788</v>
      </c>
      <c r="G943" t="s">
        <v>76</v>
      </c>
      <c r="H943">
        <v>1000000</v>
      </c>
      <c r="I943" s="22"/>
      <c r="J943">
        <v>1</v>
      </c>
      <c r="K943" s="22"/>
      <c r="L943">
        <v>11.0955039225382</v>
      </c>
      <c r="M943" s="22">
        <v>0.105</v>
      </c>
      <c r="N943" s="21">
        <v>44775</v>
      </c>
      <c r="O943" s="21">
        <v>46601</v>
      </c>
      <c r="P943">
        <f t="shared" si="587"/>
        <v>5</v>
      </c>
      <c r="Q943" s="6">
        <f t="shared" si="588"/>
        <v>0.10608332289338727</v>
      </c>
      <c r="R943" s="5">
        <f t="shared" si="589"/>
        <v>1</v>
      </c>
      <c r="S943" t="s">
        <v>93</v>
      </c>
      <c r="U943">
        <f t="shared" si="590"/>
        <v>5</v>
      </c>
      <c r="V943">
        <f t="shared" si="591"/>
        <v>105000</v>
      </c>
      <c r="W943" s="28">
        <f t="shared" si="592"/>
        <v>0.10774742447859537</v>
      </c>
      <c r="X943" s="27">
        <f t="shared" si="593"/>
        <v>0.10774742447859537</v>
      </c>
      <c r="Y943" s="5">
        <f t="shared" si="594"/>
        <v>4.1310567841687513</v>
      </c>
      <c r="Z943" s="5">
        <f t="shared" si="595"/>
        <v>3.7292407031442156</v>
      </c>
      <c r="AA943" s="5">
        <f t="shared" si="596"/>
        <v>-3691157.697083707</v>
      </c>
      <c r="AB943" t="s">
        <v>64</v>
      </c>
      <c r="AC943" t="s">
        <v>62</v>
      </c>
      <c r="AD943">
        <f t="shared" si="597"/>
        <v>1</v>
      </c>
    </row>
    <row r="944" spans="1:30" x14ac:dyDescent="0.35">
      <c r="A944" t="s">
        <v>1192</v>
      </c>
      <c r="B944" t="s">
        <v>85</v>
      </c>
      <c r="C944" s="36">
        <f t="shared" si="585"/>
        <v>2.4224445041596192E-2</v>
      </c>
      <c r="D944" s="3">
        <f t="shared" si="586"/>
        <v>4.8448890083192385E-2</v>
      </c>
      <c r="F944">
        <v>962.1</v>
      </c>
      <c r="G944" t="s">
        <v>66</v>
      </c>
      <c r="H944">
        <v>1000</v>
      </c>
      <c r="I944" s="22"/>
      <c r="J944">
        <v>0</v>
      </c>
      <c r="K944" s="22"/>
      <c r="M944" s="22">
        <v>4.2000000000000003E-2</v>
      </c>
      <c r="N944" s="21">
        <v>44047</v>
      </c>
      <c r="O944" s="21">
        <v>46603</v>
      </c>
      <c r="P944">
        <f t="shared" si="587"/>
        <v>7</v>
      </c>
      <c r="Q944" s="6">
        <f t="shared" si="588"/>
        <v>4.365450576863112E-2</v>
      </c>
      <c r="R944" s="5">
        <f t="shared" si="589"/>
        <v>2</v>
      </c>
      <c r="S944" t="s">
        <v>65</v>
      </c>
      <c r="U944">
        <f t="shared" si="590"/>
        <v>14</v>
      </c>
      <c r="V944">
        <f t="shared" si="591"/>
        <v>21</v>
      </c>
      <c r="W944" s="28">
        <f t="shared" si="592"/>
        <v>2.4224445041596192E-2</v>
      </c>
      <c r="X944" s="27">
        <f t="shared" si="593"/>
        <v>4.8448890083192385E-2</v>
      </c>
      <c r="Y944" s="5">
        <f t="shared" si="594"/>
        <v>6.1163899365432117</v>
      </c>
      <c r="Z944" s="5">
        <f t="shared" si="595"/>
        <v>5.971728136497279</v>
      </c>
      <c r="AA944" s="5">
        <f t="shared" si="596"/>
        <v>-5745.399640124032</v>
      </c>
      <c r="AB944" t="s">
        <v>69</v>
      </c>
      <c r="AC944" t="s">
        <v>62</v>
      </c>
      <c r="AD944">
        <f t="shared" si="597"/>
        <v>2</v>
      </c>
    </row>
    <row r="945" spans="1:30" x14ac:dyDescent="0.35">
      <c r="A945" t="s">
        <v>1191</v>
      </c>
      <c r="B945" t="s">
        <v>85</v>
      </c>
      <c r="C945" s="36">
        <f t="shared" si="585"/>
        <v>2.3885845445070965E-2</v>
      </c>
      <c r="D945" s="3">
        <f t="shared" si="586"/>
        <v>4.7771690890141931E-2</v>
      </c>
      <c r="F945">
        <v>966</v>
      </c>
      <c r="G945" t="s">
        <v>66</v>
      </c>
      <c r="H945">
        <v>1000</v>
      </c>
      <c r="I945" s="22"/>
      <c r="J945">
        <v>800000</v>
      </c>
      <c r="K945" s="22"/>
      <c r="M945" s="22">
        <v>4.2000000000000003E-2</v>
      </c>
      <c r="N945" s="21">
        <v>44047</v>
      </c>
      <c r="O945" s="21">
        <v>46603</v>
      </c>
      <c r="P945">
        <f t="shared" si="587"/>
        <v>7</v>
      </c>
      <c r="Q945" s="6">
        <f t="shared" si="588"/>
        <v>4.3478260869565216E-2</v>
      </c>
      <c r="R945" s="5">
        <f t="shared" si="589"/>
        <v>2</v>
      </c>
      <c r="S945" t="s">
        <v>65</v>
      </c>
      <c r="U945">
        <f t="shared" si="590"/>
        <v>14</v>
      </c>
      <c r="V945">
        <f t="shared" si="591"/>
        <v>21</v>
      </c>
      <c r="W945" s="28">
        <f t="shared" si="592"/>
        <v>2.3885845445070965E-2</v>
      </c>
      <c r="X945" s="27">
        <f t="shared" si="593"/>
        <v>4.7771690890141931E-2</v>
      </c>
      <c r="Y945" s="5">
        <f t="shared" si="594"/>
        <v>6.1185689504756038</v>
      </c>
      <c r="Z945" s="5">
        <f t="shared" si="595"/>
        <v>5.9758311707258098</v>
      </c>
      <c r="AA945" s="5">
        <f t="shared" si="596"/>
        <v>-5772.6529109211324</v>
      </c>
      <c r="AB945" t="s">
        <v>69</v>
      </c>
      <c r="AC945" t="s">
        <v>62</v>
      </c>
      <c r="AD945">
        <f t="shared" si="597"/>
        <v>2</v>
      </c>
    </row>
    <row r="946" spans="1:30" x14ac:dyDescent="0.35">
      <c r="A946" t="s">
        <v>1190</v>
      </c>
      <c r="B946" t="s">
        <v>316</v>
      </c>
      <c r="C946" s="36">
        <f t="shared" si="585"/>
        <v>0.11443301360758663</v>
      </c>
      <c r="D946" s="3">
        <f t="shared" si="586"/>
        <v>0.11443301360758663</v>
      </c>
      <c r="F946">
        <v>965</v>
      </c>
      <c r="G946" t="s">
        <v>76</v>
      </c>
      <c r="H946">
        <v>1000</v>
      </c>
      <c r="I946" s="22"/>
      <c r="J946">
        <v>400</v>
      </c>
      <c r="K946" s="22"/>
      <c r="L946">
        <v>12.111484520982</v>
      </c>
      <c r="M946" s="22">
        <v>0.1</v>
      </c>
      <c r="N946" s="21">
        <v>45511</v>
      </c>
      <c r="O946" s="21">
        <v>46605</v>
      </c>
      <c r="P946">
        <f t="shared" si="587"/>
        <v>3</v>
      </c>
      <c r="Q946" s="6">
        <f t="shared" si="588"/>
        <v>0.10362694300518134</v>
      </c>
      <c r="R946" s="5">
        <f t="shared" si="589"/>
        <v>1</v>
      </c>
      <c r="S946" t="s">
        <v>93</v>
      </c>
      <c r="U946">
        <f t="shared" si="590"/>
        <v>3</v>
      </c>
      <c r="V946">
        <f t="shared" si="591"/>
        <v>100</v>
      </c>
      <c r="W946" s="28">
        <f t="shared" si="592"/>
        <v>0.11443301360758663</v>
      </c>
      <c r="X946" s="27">
        <f t="shared" si="593"/>
        <v>0.11443301360758663</v>
      </c>
      <c r="Y946" s="5">
        <f t="shared" si="594"/>
        <v>2.7278115632334825</v>
      </c>
      <c r="Z946" s="5">
        <f t="shared" si="595"/>
        <v>2.4477124510186106</v>
      </c>
      <c r="AA946" s="5">
        <f t="shared" si="596"/>
        <v>-2362.042515232959</v>
      </c>
      <c r="AB946" t="s">
        <v>64</v>
      </c>
      <c r="AC946" t="s">
        <v>62</v>
      </c>
      <c r="AD946">
        <f t="shared" si="597"/>
        <v>1</v>
      </c>
    </row>
    <row r="947" spans="1:30" x14ac:dyDescent="0.35">
      <c r="A947" t="s">
        <v>1189</v>
      </c>
      <c r="B947" t="s">
        <v>478</v>
      </c>
      <c r="C947" s="36">
        <f t="shared" si="585"/>
        <v>9.092031895467112E-2</v>
      </c>
      <c r="D947" s="3">
        <f t="shared" si="586"/>
        <v>9.092031895467112E-2</v>
      </c>
      <c r="F947">
        <v>1028</v>
      </c>
      <c r="G947" t="s">
        <v>76</v>
      </c>
      <c r="H947">
        <v>1000</v>
      </c>
      <c r="I947" s="22"/>
      <c r="J947">
        <v>12</v>
      </c>
      <c r="K947" s="22"/>
      <c r="L947">
        <v>8.58952024285162</v>
      </c>
      <c r="M947" s="22">
        <v>0.10199999999999999</v>
      </c>
      <c r="N947" s="21">
        <v>45511</v>
      </c>
      <c r="O947" s="21">
        <v>46606</v>
      </c>
      <c r="P947">
        <f t="shared" si="587"/>
        <v>3</v>
      </c>
      <c r="Q947" s="6">
        <f t="shared" si="588"/>
        <v>9.9221789883268477E-2</v>
      </c>
      <c r="R947" s="5">
        <f t="shared" si="589"/>
        <v>1</v>
      </c>
      <c r="S947" t="s">
        <v>93</v>
      </c>
      <c r="U947">
        <f t="shared" si="590"/>
        <v>3</v>
      </c>
      <c r="V947">
        <f t="shared" si="591"/>
        <v>102</v>
      </c>
      <c r="W947" s="28">
        <f t="shared" si="592"/>
        <v>9.092031895467112E-2</v>
      </c>
      <c r="X947" s="27">
        <f t="shared" si="593"/>
        <v>9.092031895467112E-2</v>
      </c>
      <c r="Y947" s="5">
        <f t="shared" si="594"/>
        <v>2.7347231085393005</v>
      </c>
      <c r="Z947" s="5">
        <f t="shared" si="595"/>
        <v>2.5068037151968481</v>
      </c>
      <c r="AA947" s="5">
        <f t="shared" si="596"/>
        <v>-2576.9942192223598</v>
      </c>
      <c r="AB947" t="s">
        <v>64</v>
      </c>
      <c r="AC947" t="s">
        <v>62</v>
      </c>
      <c r="AD947">
        <f t="shared" si="597"/>
        <v>1</v>
      </c>
    </row>
    <row r="948" spans="1:30" x14ac:dyDescent="0.35">
      <c r="C948" s="28"/>
      <c r="D948" s="27"/>
      <c r="I948" s="22"/>
      <c r="K948" s="22"/>
      <c r="M948" s="22"/>
      <c r="N948" s="21"/>
      <c r="O948" s="21"/>
      <c r="P948" s="5"/>
      <c r="Q948" s="6"/>
      <c r="R948" s="5"/>
      <c r="W948" s="28"/>
      <c r="Y948" s="33"/>
      <c r="Z948" s="33"/>
      <c r="AA948" s="33"/>
    </row>
    <row r="949" spans="1:30" x14ac:dyDescent="0.35">
      <c r="C949" s="28"/>
      <c r="D949" s="27"/>
      <c r="I949" s="22"/>
      <c r="K949" s="22"/>
      <c r="M949" s="22"/>
      <c r="N949" s="21"/>
      <c r="O949" s="21"/>
      <c r="P949" s="5"/>
      <c r="Q949" s="6"/>
      <c r="R949" s="5"/>
      <c r="W949" s="28"/>
      <c r="Y949" s="33"/>
      <c r="Z949" s="33"/>
      <c r="AA949" s="33"/>
    </row>
    <row r="950" spans="1:30" x14ac:dyDescent="0.35">
      <c r="C950" s="28"/>
      <c r="D950" s="27"/>
      <c r="I950" s="22"/>
      <c r="K950" s="22"/>
      <c r="M950" s="22"/>
      <c r="N950" s="21"/>
      <c r="O950" s="21"/>
      <c r="P950" s="5"/>
      <c r="Q950" s="6"/>
      <c r="R950" s="5"/>
      <c r="W950" s="28"/>
      <c r="Y950" s="33"/>
      <c r="Z950" s="33"/>
      <c r="AA950" s="33"/>
    </row>
    <row r="951" spans="1:30" x14ac:dyDescent="0.35">
      <c r="A951" t="s">
        <v>1184</v>
      </c>
      <c r="B951" t="s">
        <v>353</v>
      </c>
      <c r="C951" s="36">
        <f t="shared" ref="C951:C959" si="598">RATE(U951,V951,-F951,H951)</f>
        <v>0.11250000000000074</v>
      </c>
      <c r="D951" s="3">
        <f t="shared" ref="D951:D959" si="599">C951*AD951</f>
        <v>0.11250000000000074</v>
      </c>
      <c r="F951">
        <v>1000</v>
      </c>
      <c r="G951" t="s">
        <v>76</v>
      </c>
      <c r="H951">
        <v>1000</v>
      </c>
      <c r="I951" s="22"/>
      <c r="J951">
        <v>115</v>
      </c>
      <c r="K951" s="22"/>
      <c r="L951">
        <v>11.25</v>
      </c>
      <c r="M951" s="22">
        <v>0.1125</v>
      </c>
      <c r="N951" s="21">
        <v>45518</v>
      </c>
      <c r="O951" s="21">
        <v>46612</v>
      </c>
      <c r="P951">
        <f t="shared" ref="P951:P959" si="600">ROUND(YEARFRAC(N951,O951),0)</f>
        <v>3</v>
      </c>
      <c r="Q951" s="6">
        <f t="shared" ref="Q951:Q959" si="601">(M951*H951)/F951</f>
        <v>0.1125</v>
      </c>
      <c r="R951" s="5">
        <f t="shared" ref="R951:R959" si="602">IF(S951="Quarterly",4,IF(S951="Semi-annual",2,IF(S951="Annual",1,IF(S951="Pays at maturity",0,12))))</f>
        <v>1</v>
      </c>
      <c r="S951" t="s">
        <v>93</v>
      </c>
      <c r="U951">
        <f t="shared" ref="U951:U959" si="603">R951*P951</f>
        <v>3</v>
      </c>
      <c r="V951">
        <f t="shared" ref="V951:V959" si="604">(H951*M951)/AD951</f>
        <v>112.5</v>
      </c>
      <c r="W951" s="28">
        <f t="shared" ref="W951:W959" si="605">RATE(U951,V951,-F951,H951)</f>
        <v>0.11250000000000074</v>
      </c>
      <c r="X951" s="27">
        <f t="shared" ref="X951:X959" si="606">W951*AD951</f>
        <v>0.11250000000000074</v>
      </c>
      <c r="Y951" s="5">
        <f t="shared" ref="Y951:Y959" si="607">DURATION(N951,O951,M951,D951,AD951)</f>
        <v>2.7040774172733522</v>
      </c>
      <c r="Z951" s="5">
        <f t="shared" ref="Z951:Z959" si="608">Y951/(1+C951)</f>
        <v>2.4306313863131241</v>
      </c>
      <c r="AA951" s="5">
        <f t="shared" ref="AA951:AA959" si="609">-Z951*F951</f>
        <v>-2430.631386313124</v>
      </c>
      <c r="AB951" t="s">
        <v>64</v>
      </c>
      <c r="AC951" t="s">
        <v>62</v>
      </c>
      <c r="AD951">
        <f t="shared" ref="AD951:AD959" si="610">_xlfn.SWITCH(PROPER(TRIM(S951)),
   "Annual",1,
   "Semi-Annual",2,
   "Quarterly",4,
   "Monthly",12,
   "")</f>
        <v>1</v>
      </c>
    </row>
    <row r="952" spans="1:30" x14ac:dyDescent="0.35">
      <c r="A952" t="s">
        <v>1183</v>
      </c>
      <c r="B952" t="s">
        <v>1182</v>
      </c>
      <c r="C952" s="36">
        <f t="shared" si="598"/>
        <v>6.6287053274059898E-2</v>
      </c>
      <c r="D952" s="3">
        <f t="shared" si="599"/>
        <v>6.6287053274059898E-2</v>
      </c>
      <c r="F952">
        <v>108247.15</v>
      </c>
      <c r="G952" t="s">
        <v>76</v>
      </c>
      <c r="H952">
        <v>100000</v>
      </c>
      <c r="I952" s="22"/>
      <c r="J952">
        <v>5</v>
      </c>
      <c r="K952" s="22"/>
      <c r="L952">
        <v>5.4235734836684397</v>
      </c>
      <c r="M952" s="22">
        <v>9.7500000000000003E-2</v>
      </c>
      <c r="N952" s="21">
        <v>45520</v>
      </c>
      <c r="O952" s="21">
        <v>46615</v>
      </c>
      <c r="P952">
        <f t="shared" si="600"/>
        <v>3</v>
      </c>
      <c r="Q952" s="6">
        <f t="shared" si="601"/>
        <v>9.0071655466217829E-2</v>
      </c>
      <c r="R952" s="5">
        <f t="shared" si="602"/>
        <v>1</v>
      </c>
      <c r="S952" t="s">
        <v>93</v>
      </c>
      <c r="U952">
        <f t="shared" si="603"/>
        <v>3</v>
      </c>
      <c r="V952">
        <f t="shared" si="604"/>
        <v>9750</v>
      </c>
      <c r="W952" s="28">
        <f t="shared" si="605"/>
        <v>6.6287053274059898E-2</v>
      </c>
      <c r="X952" s="27">
        <f t="shared" si="606"/>
        <v>6.6287053274059898E-2</v>
      </c>
      <c r="Y952" s="5">
        <f t="shared" si="607"/>
        <v>2.7518346023818094</v>
      </c>
      <c r="Z952" s="5">
        <f t="shared" si="608"/>
        <v>2.5807634013113407</v>
      </c>
      <c r="AA952" s="5">
        <f t="shared" si="609"/>
        <v>-279360.28301625891</v>
      </c>
      <c r="AB952" t="s">
        <v>503</v>
      </c>
      <c r="AC952" t="s">
        <v>62</v>
      </c>
      <c r="AD952">
        <f t="shared" si="610"/>
        <v>1</v>
      </c>
    </row>
    <row r="953" spans="1:30" x14ac:dyDescent="0.35">
      <c r="A953" t="s">
        <v>1181</v>
      </c>
      <c r="B953" t="s">
        <v>1114</v>
      </c>
      <c r="C953" s="36">
        <f t="shared" si="598"/>
        <v>2.394052179426907E-2</v>
      </c>
      <c r="D953" s="3">
        <f t="shared" si="599"/>
        <v>9.576208717707628E-2</v>
      </c>
      <c r="F953">
        <v>100042.84</v>
      </c>
      <c r="G953" t="s">
        <v>76</v>
      </c>
      <c r="H953">
        <v>100000</v>
      </c>
      <c r="I953" s="22"/>
      <c r="J953">
        <v>1</v>
      </c>
      <c r="K953" s="22"/>
      <c r="M953" s="22">
        <v>9.6000000000000002E-2</v>
      </c>
      <c r="N953" s="21">
        <v>45705</v>
      </c>
      <c r="O953" s="21">
        <v>46615</v>
      </c>
      <c r="P953">
        <f t="shared" si="600"/>
        <v>2</v>
      </c>
      <c r="Q953" s="6">
        <f t="shared" si="601"/>
        <v>9.5958891211005204E-2</v>
      </c>
      <c r="R953" s="5">
        <f t="shared" si="602"/>
        <v>4</v>
      </c>
      <c r="S953" t="s">
        <v>105</v>
      </c>
      <c r="U953">
        <f t="shared" si="603"/>
        <v>8</v>
      </c>
      <c r="V953">
        <f t="shared" si="604"/>
        <v>2400</v>
      </c>
      <c r="W953" s="28">
        <f t="shared" si="605"/>
        <v>2.394052179426907E-2</v>
      </c>
      <c r="X953" s="27">
        <f t="shared" si="606"/>
        <v>9.576208717707628E-2</v>
      </c>
      <c r="Y953" s="5">
        <f t="shared" si="607"/>
        <v>2.249451103575177</v>
      </c>
      <c r="Z953" s="5">
        <f t="shared" si="608"/>
        <v>2.1968571959955487</v>
      </c>
      <c r="AA953" s="5">
        <f t="shared" si="609"/>
        <v>-219779.83296183133</v>
      </c>
      <c r="AB953" t="s">
        <v>64</v>
      </c>
      <c r="AC953" t="s">
        <v>62</v>
      </c>
      <c r="AD953">
        <f t="shared" si="610"/>
        <v>4</v>
      </c>
    </row>
    <row r="954" spans="1:30" x14ac:dyDescent="0.35">
      <c r="A954" t="s">
        <v>1180</v>
      </c>
      <c r="B954" t="s">
        <v>230</v>
      </c>
      <c r="C954" s="36">
        <f t="shared" si="598"/>
        <v>6.6086689545933983E-2</v>
      </c>
      <c r="D954" s="3">
        <f t="shared" si="599"/>
        <v>6.6086689545933983E-2</v>
      </c>
      <c r="F954">
        <v>1041076</v>
      </c>
      <c r="G954" t="s">
        <v>76</v>
      </c>
      <c r="H954">
        <v>1000000</v>
      </c>
      <c r="I954" s="22"/>
      <c r="J954">
        <v>1</v>
      </c>
      <c r="K954" s="22"/>
      <c r="L954">
        <v>6.39039869695823</v>
      </c>
      <c r="M954" s="22">
        <v>7.5999999999999998E-2</v>
      </c>
      <c r="N954" s="21">
        <v>44798</v>
      </c>
      <c r="O954" s="21">
        <v>46624</v>
      </c>
      <c r="P954">
        <f t="shared" si="600"/>
        <v>5</v>
      </c>
      <c r="Q954" s="6">
        <f t="shared" si="601"/>
        <v>7.3001394710856843E-2</v>
      </c>
      <c r="R954" s="5">
        <f t="shared" si="602"/>
        <v>1</v>
      </c>
      <c r="S954" t="s">
        <v>93</v>
      </c>
      <c r="U954">
        <f t="shared" si="603"/>
        <v>5</v>
      </c>
      <c r="V954">
        <f t="shared" si="604"/>
        <v>76000</v>
      </c>
      <c r="W954" s="28">
        <f t="shared" si="605"/>
        <v>6.6086689545933983E-2</v>
      </c>
      <c r="X954" s="27">
        <f t="shared" si="606"/>
        <v>6.6086689545933983E-2</v>
      </c>
      <c r="Y954" s="5">
        <f t="shared" si="607"/>
        <v>4.3563885101623665</v>
      </c>
      <c r="Z954" s="5">
        <f t="shared" si="608"/>
        <v>4.0863360858748106</v>
      </c>
      <c r="AA954" s="5">
        <f t="shared" si="609"/>
        <v>-4254186.4269382041</v>
      </c>
      <c r="AB954" t="s">
        <v>64</v>
      </c>
      <c r="AC954" t="s">
        <v>62</v>
      </c>
      <c r="AD954">
        <f t="shared" si="610"/>
        <v>1</v>
      </c>
    </row>
    <row r="955" spans="1:30" x14ac:dyDescent="0.35">
      <c r="A955" t="s">
        <v>1179</v>
      </c>
      <c r="B955" t="s">
        <v>616</v>
      </c>
      <c r="C955" s="36">
        <f t="shared" si="598"/>
        <v>7.2941018552650019E-2</v>
      </c>
      <c r="D955" s="3">
        <f t="shared" si="599"/>
        <v>7.2941018552650019E-2</v>
      </c>
      <c r="F955">
        <v>1080.05</v>
      </c>
      <c r="G955" t="s">
        <v>76</v>
      </c>
      <c r="H955">
        <v>1000</v>
      </c>
      <c r="I955" s="22"/>
      <c r="J955">
        <v>250</v>
      </c>
      <c r="K955" s="22"/>
      <c r="L955">
        <v>4.4679614163684001</v>
      </c>
      <c r="M955" s="22">
        <v>8.6500000000000007E-2</v>
      </c>
      <c r="N955" s="21">
        <v>43703</v>
      </c>
      <c r="O955" s="21">
        <v>46625</v>
      </c>
      <c r="P955">
        <f t="shared" si="600"/>
        <v>8</v>
      </c>
      <c r="Q955" s="6">
        <f t="shared" si="601"/>
        <v>8.0088884773853078E-2</v>
      </c>
      <c r="R955" s="5">
        <f t="shared" si="602"/>
        <v>1</v>
      </c>
      <c r="S955" t="s">
        <v>93</v>
      </c>
      <c r="U955">
        <f t="shared" si="603"/>
        <v>8</v>
      </c>
      <c r="V955">
        <f t="shared" si="604"/>
        <v>86.500000000000014</v>
      </c>
      <c r="W955" s="28">
        <f t="shared" si="605"/>
        <v>7.2941018552650019E-2</v>
      </c>
      <c r="X955" s="27">
        <f t="shared" si="606"/>
        <v>7.2941018552650019E-2</v>
      </c>
      <c r="Y955" s="5">
        <f t="shared" si="607"/>
        <v>6.171253488112626</v>
      </c>
      <c r="Z955" s="5">
        <f t="shared" si="608"/>
        <v>5.7517173650769493</v>
      </c>
      <c r="AA955" s="5">
        <f t="shared" si="609"/>
        <v>-6212.1423401513584</v>
      </c>
      <c r="AB955" t="s">
        <v>64</v>
      </c>
      <c r="AC955" t="s">
        <v>62</v>
      </c>
      <c r="AD955">
        <f t="shared" si="610"/>
        <v>1</v>
      </c>
    </row>
    <row r="956" spans="1:30" x14ac:dyDescent="0.35">
      <c r="A956" t="s">
        <v>1178</v>
      </c>
      <c r="B956" t="s">
        <v>882</v>
      </c>
      <c r="C956" s="36">
        <f t="shared" si="598"/>
        <v>0.10499999999999997</v>
      </c>
      <c r="D956" s="3">
        <f t="shared" si="599"/>
        <v>0.10499999999999997</v>
      </c>
      <c r="F956">
        <v>100000</v>
      </c>
      <c r="G956" t="s">
        <v>76</v>
      </c>
      <c r="H956">
        <v>100000</v>
      </c>
      <c r="I956" s="22"/>
      <c r="J956">
        <v>1</v>
      </c>
      <c r="K956" s="22"/>
      <c r="L956">
        <v>10.5</v>
      </c>
      <c r="M956" s="22">
        <v>0.105</v>
      </c>
      <c r="N956" s="21">
        <v>45532</v>
      </c>
      <c r="O956" s="21">
        <v>46626</v>
      </c>
      <c r="P956">
        <f t="shared" si="600"/>
        <v>3</v>
      </c>
      <c r="Q956" s="6">
        <f t="shared" si="601"/>
        <v>0.105</v>
      </c>
      <c r="R956" s="5">
        <f t="shared" si="602"/>
        <v>1</v>
      </c>
      <c r="S956" t="s">
        <v>93</v>
      </c>
      <c r="U956">
        <f t="shared" si="603"/>
        <v>3</v>
      </c>
      <c r="V956">
        <f t="shared" si="604"/>
        <v>10500</v>
      </c>
      <c r="W956" s="28">
        <f t="shared" si="605"/>
        <v>0.10499999999999997</v>
      </c>
      <c r="X956" s="27">
        <f t="shared" si="606"/>
        <v>0.10499999999999997</v>
      </c>
      <c r="Y956" s="5">
        <f t="shared" si="607"/>
        <v>2.7211836480734539</v>
      </c>
      <c r="Z956" s="5">
        <f t="shared" si="608"/>
        <v>2.4626096362655692</v>
      </c>
      <c r="AA956" s="5">
        <f t="shared" si="609"/>
        <v>-246260.96362655691</v>
      </c>
      <c r="AB956" t="s">
        <v>69</v>
      </c>
      <c r="AC956" t="s">
        <v>62</v>
      </c>
      <c r="AD956">
        <f t="shared" si="610"/>
        <v>1</v>
      </c>
    </row>
    <row r="957" spans="1:30" x14ac:dyDescent="0.35">
      <c r="A957" t="s">
        <v>1177</v>
      </c>
      <c r="B957" t="s">
        <v>145</v>
      </c>
      <c r="C957" s="36">
        <f t="shared" si="598"/>
        <v>7.4137103810298491E-2</v>
      </c>
      <c r="D957" s="3">
        <f t="shared" si="599"/>
        <v>7.4137103810298491E-2</v>
      </c>
      <c r="F957">
        <v>1019719.9</v>
      </c>
      <c r="G957" t="s">
        <v>76</v>
      </c>
      <c r="H957">
        <v>1000000</v>
      </c>
      <c r="I957" s="22"/>
      <c r="J957">
        <v>1</v>
      </c>
      <c r="K957" s="22"/>
      <c r="L957">
        <v>7.18967657649993</v>
      </c>
      <c r="M957" s="22">
        <v>7.9000000000000001E-2</v>
      </c>
      <c r="N957" s="21">
        <v>44803</v>
      </c>
      <c r="O957" s="21">
        <v>46629</v>
      </c>
      <c r="P957">
        <f t="shared" si="600"/>
        <v>5</v>
      </c>
      <c r="Q957" s="6">
        <f t="shared" si="601"/>
        <v>7.7472254880972702E-2</v>
      </c>
      <c r="R957" s="5">
        <f t="shared" si="602"/>
        <v>1</v>
      </c>
      <c r="S957" t="s">
        <v>93</v>
      </c>
      <c r="U957">
        <f t="shared" si="603"/>
        <v>5</v>
      </c>
      <c r="V957">
        <f t="shared" si="604"/>
        <v>79000</v>
      </c>
      <c r="W957" s="28">
        <f t="shared" si="605"/>
        <v>7.4137103810298491E-2</v>
      </c>
      <c r="X957" s="27">
        <f t="shared" si="606"/>
        <v>7.4137103810298491E-2</v>
      </c>
      <c r="Y957" s="5">
        <f t="shared" si="607"/>
        <v>4.3268355486964216</v>
      </c>
      <c r="Z957" s="5">
        <f t="shared" si="608"/>
        <v>4.0281967109671477</v>
      </c>
      <c r="AA957" s="5">
        <f t="shared" si="609"/>
        <v>-4107632.3472877489</v>
      </c>
      <c r="AB957" t="s">
        <v>64</v>
      </c>
      <c r="AC957" t="s">
        <v>62</v>
      </c>
      <c r="AD957">
        <f t="shared" si="610"/>
        <v>1</v>
      </c>
    </row>
    <row r="958" spans="1:30" x14ac:dyDescent="0.35">
      <c r="A958" t="s">
        <v>1176</v>
      </c>
      <c r="B958" t="s">
        <v>612</v>
      </c>
      <c r="C958" s="36">
        <f t="shared" si="598"/>
        <v>0.12060000000003453</v>
      </c>
      <c r="D958" s="3">
        <f t="shared" si="599"/>
        <v>0.12060000000003453</v>
      </c>
      <c r="F958">
        <v>100000</v>
      </c>
      <c r="G958" t="s">
        <v>76</v>
      </c>
      <c r="H958">
        <v>100000</v>
      </c>
      <c r="I958" s="22"/>
      <c r="J958">
        <v>5</v>
      </c>
      <c r="K958" s="22"/>
      <c r="L958">
        <v>12.06</v>
      </c>
      <c r="M958" s="22">
        <v>0.1206</v>
      </c>
      <c r="N958" s="21">
        <v>45534</v>
      </c>
      <c r="O958" s="21">
        <v>46629</v>
      </c>
      <c r="P958">
        <f t="shared" si="600"/>
        <v>3</v>
      </c>
      <c r="Q958" s="6">
        <f t="shared" si="601"/>
        <v>0.1206</v>
      </c>
      <c r="R958" s="5">
        <f t="shared" si="602"/>
        <v>1</v>
      </c>
      <c r="S958" t="s">
        <v>93</v>
      </c>
      <c r="U958">
        <f t="shared" si="603"/>
        <v>3</v>
      </c>
      <c r="V958">
        <f t="shared" si="604"/>
        <v>12060</v>
      </c>
      <c r="W958" s="28">
        <f t="shared" si="605"/>
        <v>0.12060000000003453</v>
      </c>
      <c r="X958" s="27">
        <f t="shared" si="606"/>
        <v>0.12060000000003453</v>
      </c>
      <c r="Y958" s="5">
        <f t="shared" si="607"/>
        <v>2.6887195097575303</v>
      </c>
      <c r="Z958" s="5">
        <f t="shared" si="608"/>
        <v>2.3993570495783043</v>
      </c>
      <c r="AA958" s="5">
        <f t="shared" si="609"/>
        <v>-239935.70495783043</v>
      </c>
      <c r="AB958" t="s">
        <v>64</v>
      </c>
      <c r="AC958" t="s">
        <v>62</v>
      </c>
      <c r="AD958">
        <f t="shared" si="610"/>
        <v>1</v>
      </c>
    </row>
    <row r="959" spans="1:30" x14ac:dyDescent="0.35">
      <c r="A959" t="s">
        <v>1175</v>
      </c>
      <c r="B959" t="s">
        <v>138</v>
      </c>
      <c r="C959" s="36">
        <f t="shared" si="598"/>
        <v>6.1927644438776575E-2</v>
      </c>
      <c r="D959" s="3">
        <f t="shared" si="599"/>
        <v>6.1927644438776575E-2</v>
      </c>
      <c r="F959">
        <v>1061063.5</v>
      </c>
      <c r="G959" t="s">
        <v>76</v>
      </c>
      <c r="H959">
        <v>1000000</v>
      </c>
      <c r="I959" s="22"/>
      <c r="J959">
        <v>1</v>
      </c>
      <c r="K959" s="22"/>
      <c r="L959">
        <v>5.3375989439956202</v>
      </c>
      <c r="M959" s="22">
        <v>7.6499999999999999E-2</v>
      </c>
      <c r="N959" s="21">
        <v>44816</v>
      </c>
      <c r="O959" s="21">
        <v>46640</v>
      </c>
      <c r="P959">
        <f t="shared" si="600"/>
        <v>5</v>
      </c>
      <c r="Q959" s="6">
        <f t="shared" si="601"/>
        <v>7.2097475787264387E-2</v>
      </c>
      <c r="R959" s="5">
        <f t="shared" si="602"/>
        <v>1</v>
      </c>
      <c r="S959" t="s">
        <v>93</v>
      </c>
      <c r="U959">
        <f t="shared" si="603"/>
        <v>5</v>
      </c>
      <c r="V959">
        <f t="shared" si="604"/>
        <v>76500</v>
      </c>
      <c r="W959" s="28">
        <f t="shared" si="605"/>
        <v>6.1927644438776575E-2</v>
      </c>
      <c r="X959" s="27">
        <f t="shared" si="606"/>
        <v>6.1927644438776575E-2</v>
      </c>
      <c r="Y959" s="5">
        <f t="shared" si="607"/>
        <v>4.3539659196438665</v>
      </c>
      <c r="Z959" s="5">
        <f t="shared" si="608"/>
        <v>4.1000589281625821</v>
      </c>
      <c r="AA959" s="5">
        <f t="shared" si="609"/>
        <v>-4350422.8765224377</v>
      </c>
      <c r="AB959" t="s">
        <v>64</v>
      </c>
      <c r="AC959" t="s">
        <v>62</v>
      </c>
      <c r="AD959">
        <f t="shared" si="610"/>
        <v>1</v>
      </c>
    </row>
    <row r="960" spans="1:30" x14ac:dyDescent="0.35">
      <c r="C960" s="28"/>
      <c r="D960" s="27"/>
      <c r="I960" s="22"/>
      <c r="K960" s="22"/>
      <c r="M960" s="22"/>
      <c r="N960" s="21"/>
      <c r="O960" s="21"/>
      <c r="P960" s="5"/>
      <c r="Q960" s="6"/>
      <c r="R960" s="5"/>
      <c r="W960" s="28"/>
      <c r="Y960" s="33"/>
      <c r="Z960" s="33"/>
      <c r="AA960" s="33"/>
    </row>
    <row r="961" spans="1:30" x14ac:dyDescent="0.35">
      <c r="A961" t="s">
        <v>1173</v>
      </c>
      <c r="B961" t="s">
        <v>338</v>
      </c>
      <c r="C961" s="36">
        <f>RATE(U961,V961,-F961,H961)</f>
        <v>0.14279258734216843</v>
      </c>
      <c r="D961" s="3">
        <f>C961*AD961</f>
        <v>0.14279258734216843</v>
      </c>
      <c r="F961">
        <v>930</v>
      </c>
      <c r="G961" t="s">
        <v>76</v>
      </c>
      <c r="H961">
        <v>1000</v>
      </c>
      <c r="I961" s="22"/>
      <c r="J961">
        <v>12</v>
      </c>
      <c r="K961" s="22"/>
      <c r="L961">
        <v>15.5011259010539</v>
      </c>
      <c r="M961" s="22">
        <v>0.1125</v>
      </c>
      <c r="N961" s="21">
        <v>45546</v>
      </c>
      <c r="O961" s="21">
        <v>46641</v>
      </c>
      <c r="P961">
        <f>ROUND(YEARFRAC(N961,O961),0)</f>
        <v>3</v>
      </c>
      <c r="Q961" s="6">
        <f>(M961*H961)/F961</f>
        <v>0.12096774193548387</v>
      </c>
      <c r="R961" s="5">
        <f>IF(S961="Quarterly",4,IF(S961="Semi-annual",2,IF(S961="Annual",1,IF(S961="Pays at maturity",0,12))))</f>
        <v>1</v>
      </c>
      <c r="S961" t="s">
        <v>93</v>
      </c>
      <c r="U961">
        <f>R961*P961</f>
        <v>3</v>
      </c>
      <c r="V961">
        <f>(H961*M961)/AD961</f>
        <v>112.5</v>
      </c>
      <c r="W961" s="28">
        <f>RATE(U961,V961,-F961,H961)</f>
        <v>0.14279258734216843</v>
      </c>
      <c r="X961" s="27">
        <f>W961*AD961</f>
        <v>0.14279258734216843</v>
      </c>
      <c r="Y961" s="5">
        <f>DURATION(N961,O961,M961,D961,AD961)</f>
        <v>2.6956681018731401</v>
      </c>
      <c r="Z961" s="5">
        <f>Y961/(1+C961)</f>
        <v>2.358842830913479</v>
      </c>
      <c r="AA961" s="5">
        <f>-Z961*F961</f>
        <v>-2193.7238327495356</v>
      </c>
      <c r="AB961" t="s">
        <v>64</v>
      </c>
      <c r="AC961" t="s">
        <v>62</v>
      </c>
      <c r="AD961">
        <f>_xlfn.SWITCH(PROPER(TRIM(S961)),
   "Annual",1,
   "Semi-Annual",2,
   "Quarterly",4,
   "Monthly",12,
   "")</f>
        <v>1</v>
      </c>
    </row>
    <row r="962" spans="1:30" x14ac:dyDescent="0.35">
      <c r="C962" s="28"/>
      <c r="D962" s="27"/>
      <c r="I962" s="22"/>
      <c r="K962" s="22"/>
      <c r="M962" s="22"/>
      <c r="N962" s="21"/>
      <c r="O962" s="21"/>
      <c r="P962" s="5"/>
      <c r="Q962" s="6"/>
      <c r="R962" s="5"/>
      <c r="W962" s="28"/>
      <c r="Y962" s="33"/>
      <c r="Z962" s="33"/>
      <c r="AA962" s="33"/>
    </row>
    <row r="963" spans="1:30" x14ac:dyDescent="0.35">
      <c r="A963" t="s">
        <v>1171</v>
      </c>
      <c r="B963" t="s">
        <v>600</v>
      </c>
      <c r="C963" s="36">
        <f>RATE(U963,V963,-F963,H963)</f>
        <v>1.9179140703513949E-2</v>
      </c>
      <c r="D963" s="3">
        <f>C963*AD963</f>
        <v>7.6716562814055797E-2</v>
      </c>
      <c r="F963">
        <v>1043.8</v>
      </c>
      <c r="G963" t="s">
        <v>76</v>
      </c>
      <c r="H963">
        <v>1000</v>
      </c>
      <c r="I963" s="22"/>
      <c r="J963">
        <v>520</v>
      </c>
      <c r="K963" s="22"/>
      <c r="M963" s="22">
        <v>9.3200000000000005E-2</v>
      </c>
      <c r="N963" s="21">
        <v>45547</v>
      </c>
      <c r="O963" s="21">
        <v>46642</v>
      </c>
      <c r="P963">
        <f>ROUND(YEARFRAC(N963,O963),0)</f>
        <v>3</v>
      </c>
      <c r="Q963" s="6">
        <f>(M963*H963)/F963</f>
        <v>8.9289135849779655E-2</v>
      </c>
      <c r="R963" s="5">
        <f>IF(S963="Quarterly",4,IF(S963="Semi-annual",2,IF(S963="Annual",1,IF(S963="Pays at maturity",0,12))))</f>
        <v>4</v>
      </c>
      <c r="S963" t="s">
        <v>105</v>
      </c>
      <c r="U963">
        <f>R963*P963</f>
        <v>12</v>
      </c>
      <c r="V963">
        <f>(H963*M963)/AD963</f>
        <v>23.3</v>
      </c>
      <c r="W963" s="28">
        <f>RATE(U963,V963,-F963,H963)</f>
        <v>1.9179140703513949E-2</v>
      </c>
      <c r="X963" s="27">
        <f>W963*AD963</f>
        <v>7.6716562814055797E-2</v>
      </c>
      <c r="Y963" s="5">
        <f>DURATION(N963,O963,M963,D963,AD963)</f>
        <v>2.6603506983916763</v>
      </c>
      <c r="Z963" s="5">
        <f>Y963/(1+C963)</f>
        <v>2.6102876247597675</v>
      </c>
      <c r="AA963" s="5">
        <f>-Z963*F963</f>
        <v>-2724.6182227242452</v>
      </c>
      <c r="AB963" t="s">
        <v>64</v>
      </c>
      <c r="AC963" t="s">
        <v>62</v>
      </c>
      <c r="AD963">
        <f>_xlfn.SWITCH(PROPER(TRIM(S963)),
   "Annual",1,
   "Semi-Annual",2,
   "Quarterly",4,
   "Monthly",12,
   "")</f>
        <v>4</v>
      </c>
    </row>
    <row r="964" spans="1:30" x14ac:dyDescent="0.35">
      <c r="A964" t="s">
        <v>1170</v>
      </c>
      <c r="B964" t="s">
        <v>600</v>
      </c>
      <c r="C964" s="36">
        <f>RATE(U964,V964,-F964,H964)</f>
        <v>6.2667570604861833E-2</v>
      </c>
      <c r="D964" s="3">
        <f>C964*AD964</f>
        <v>6.2667570604861833E-2</v>
      </c>
      <c r="F964">
        <v>1089.99</v>
      </c>
      <c r="G964" t="s">
        <v>76</v>
      </c>
      <c r="H964">
        <v>1000</v>
      </c>
      <c r="I964" s="22"/>
      <c r="J964">
        <v>101</v>
      </c>
      <c r="K964" s="22"/>
      <c r="L964">
        <v>4.9948360836727899</v>
      </c>
      <c r="M964" s="22">
        <v>9.6500000000000002E-2</v>
      </c>
      <c r="N964" s="21">
        <v>45547</v>
      </c>
      <c r="O964" s="21">
        <v>46642</v>
      </c>
      <c r="P964">
        <f>ROUND(YEARFRAC(N964,O964),0)</f>
        <v>3</v>
      </c>
      <c r="Q964" s="6">
        <f>(M964*H964)/F964</f>
        <v>8.8532922320388258E-2</v>
      </c>
      <c r="R964" s="5">
        <f>IF(S964="Quarterly",4,IF(S964="Semi-annual",2,IF(S964="Annual",1,IF(S964="Pays at maturity",0,12))))</f>
        <v>1</v>
      </c>
      <c r="S964" t="s">
        <v>93</v>
      </c>
      <c r="U964">
        <f>R964*P964</f>
        <v>3</v>
      </c>
      <c r="V964">
        <f>(H964*M964)/AD964</f>
        <v>96.5</v>
      </c>
      <c r="W964" s="28">
        <f>RATE(U964,V964,-F964,H964)</f>
        <v>6.2667570604861833E-2</v>
      </c>
      <c r="X964" s="27">
        <f>W964*AD964</f>
        <v>6.2667570604861833E-2</v>
      </c>
      <c r="Y964" s="5">
        <f>DURATION(N964,O964,M964,D964,AD964)</f>
        <v>2.7549771765097226</v>
      </c>
      <c r="Z964" s="5">
        <f>Y964/(1+C964)</f>
        <v>2.5925108215559942</v>
      </c>
      <c r="AA964" s="5">
        <f>-Z964*F964</f>
        <v>-2825.8108703878183</v>
      </c>
      <c r="AB964" t="s">
        <v>64</v>
      </c>
      <c r="AC964" t="s">
        <v>62</v>
      </c>
      <c r="AD964">
        <f>_xlfn.SWITCH(PROPER(TRIM(S964)),
   "Annual",1,
   "Semi-Annual",2,
   "Quarterly",4,
   "Monthly",12,
   "")</f>
        <v>1</v>
      </c>
    </row>
    <row r="965" spans="1:30" x14ac:dyDescent="0.35">
      <c r="A965" t="s">
        <v>1169</v>
      </c>
      <c r="B965" t="s">
        <v>241</v>
      </c>
      <c r="C965" s="36">
        <f>RATE(U965,V965,-F965,H965)</f>
        <v>7.9067853673019328E-2</v>
      </c>
      <c r="D965" s="3">
        <f>C965*AD965</f>
        <v>7.9067853673019328E-2</v>
      </c>
      <c r="F965">
        <v>1045</v>
      </c>
      <c r="G965" t="s">
        <v>76</v>
      </c>
      <c r="H965">
        <v>1000</v>
      </c>
      <c r="I965" s="22"/>
      <c r="J965">
        <v>1000</v>
      </c>
      <c r="K965" s="22"/>
      <c r="L965">
        <v>7.2987720083908796</v>
      </c>
      <c r="M965" s="22">
        <v>9.6500000000000002E-2</v>
      </c>
      <c r="N965" s="21">
        <v>45551</v>
      </c>
      <c r="O965" s="21">
        <v>46646</v>
      </c>
      <c r="P965">
        <f>ROUND(YEARFRAC(N965,O965),0)</f>
        <v>3</v>
      </c>
      <c r="Q965" s="6">
        <f>(M965*H965)/F965</f>
        <v>9.2344497607655507E-2</v>
      </c>
      <c r="R965" s="5">
        <f>IF(S965="Quarterly",4,IF(S965="Semi-annual",2,IF(S965="Annual",1,IF(S965="Pays at maturity",0,12))))</f>
        <v>1</v>
      </c>
      <c r="S965" t="s">
        <v>93</v>
      </c>
      <c r="U965">
        <f>R965*P965</f>
        <v>3</v>
      </c>
      <c r="V965">
        <f>(H965*M965)/AD965</f>
        <v>96.5</v>
      </c>
      <c r="W965" s="28">
        <f>RATE(U965,V965,-F965,H965)</f>
        <v>7.9067853673019328E-2</v>
      </c>
      <c r="X965" s="27">
        <f>W965*AD965</f>
        <v>7.9067853673019328E-2</v>
      </c>
      <c r="Y965" s="5">
        <f>DURATION(N965,O965,M965,D965,AD965)</f>
        <v>2.7495365828856815</v>
      </c>
      <c r="Z965" s="5">
        <f>Y965/(1+C965)</f>
        <v>2.5480664385715728</v>
      </c>
      <c r="AA965" s="5">
        <f>-Z965*F965</f>
        <v>-2662.7294283072933</v>
      </c>
      <c r="AB965" t="s">
        <v>64</v>
      </c>
      <c r="AC965" t="s">
        <v>62</v>
      </c>
      <c r="AD965">
        <f>_xlfn.SWITCH(PROPER(TRIM(S965)),
   "Annual",1,
   "Semi-Annual",2,
   "Quarterly",4,
   "Monthly",12,
   "")</f>
        <v>1</v>
      </c>
    </row>
    <row r="966" spans="1:30" x14ac:dyDescent="0.35">
      <c r="C966" s="28"/>
      <c r="D966" s="27"/>
      <c r="I966" s="22"/>
      <c r="K966" s="22"/>
      <c r="M966" s="22"/>
      <c r="N966" s="21"/>
      <c r="O966" s="21"/>
      <c r="P966" s="5"/>
      <c r="Q966" s="6"/>
      <c r="R966" s="5"/>
      <c r="W966" s="28"/>
      <c r="Y966" s="33"/>
      <c r="Z966" s="33"/>
      <c r="AA966" s="33"/>
    </row>
    <row r="967" spans="1:30" x14ac:dyDescent="0.35">
      <c r="A967" t="s">
        <v>1167</v>
      </c>
      <c r="B967" t="s">
        <v>241</v>
      </c>
      <c r="C967" s="36">
        <f>RATE(U967,V967,-F967,H967)</f>
        <v>9.6496368443511907E-2</v>
      </c>
      <c r="D967" s="3">
        <f>C967*AD967</f>
        <v>9.6496368443511907E-2</v>
      </c>
      <c r="F967">
        <v>990</v>
      </c>
      <c r="G967" t="s">
        <v>76</v>
      </c>
      <c r="H967">
        <v>1000</v>
      </c>
      <c r="I967" s="22"/>
      <c r="J967">
        <v>25</v>
      </c>
      <c r="K967" s="22"/>
      <c r="L967">
        <v>9.8083610378692292</v>
      </c>
      <c r="M967" s="22">
        <v>9.2499999999999999E-2</v>
      </c>
      <c r="N967" s="21">
        <v>45551</v>
      </c>
      <c r="O967" s="21">
        <v>46646</v>
      </c>
      <c r="P967">
        <f>ROUND(YEARFRAC(N967,O967),0)</f>
        <v>3</v>
      </c>
      <c r="Q967" s="6">
        <f>(M967*H967)/F967</f>
        <v>9.3434343434343439E-2</v>
      </c>
      <c r="R967" s="5">
        <f>IF(S967="Quarterly",4,IF(S967="Semi-annual",2,IF(S967="Annual",1,IF(S967="Pays at maturity",0,12))))</f>
        <v>1</v>
      </c>
      <c r="S967" t="s">
        <v>93</v>
      </c>
      <c r="U967">
        <f>R967*P967</f>
        <v>3</v>
      </c>
      <c r="V967">
        <f>(H967*M967)/AD967</f>
        <v>92.5</v>
      </c>
      <c r="W967" s="28">
        <f>RATE(U967,V967,-F967,H967)</f>
        <v>9.6496368443511907E-2</v>
      </c>
      <c r="X967" s="27">
        <f>W967*AD967</f>
        <v>9.6496368443511907E-2</v>
      </c>
      <c r="Y967" s="5">
        <f>DURATION(N967,O967,M967,D967,AD967)</f>
        <v>2.7518638306177068</v>
      </c>
      <c r="Z967" s="5">
        <f>Y967/(1+C967)</f>
        <v>2.509688048054374</v>
      </c>
      <c r="AA967" s="5">
        <f>-Z967*F967</f>
        <v>-2484.5911675738303</v>
      </c>
      <c r="AB967" t="s">
        <v>64</v>
      </c>
      <c r="AC967" t="s">
        <v>62</v>
      </c>
      <c r="AD967">
        <f>_xlfn.SWITCH(PROPER(TRIM(S967)),
   "Annual",1,
   "Semi-Annual",2,
   "Quarterly",4,
   "Monthly",12,
   "")</f>
        <v>1</v>
      </c>
    </row>
    <row r="968" spans="1:30" x14ac:dyDescent="0.35">
      <c r="C968" s="28"/>
      <c r="D968" s="27"/>
      <c r="I968" s="22"/>
      <c r="K968" s="22"/>
      <c r="M968" s="22"/>
      <c r="N968" s="21"/>
      <c r="O968" s="21"/>
      <c r="P968" s="5"/>
      <c r="Q968" s="6"/>
      <c r="R968" s="5"/>
      <c r="W968" s="28"/>
      <c r="Y968" s="33"/>
      <c r="Z968" s="33"/>
      <c r="AA968" s="33"/>
    </row>
    <row r="969" spans="1:30" x14ac:dyDescent="0.35">
      <c r="C969" s="28"/>
      <c r="D969" s="27"/>
      <c r="I969" s="22"/>
      <c r="K969" s="22"/>
      <c r="M969" s="22"/>
      <c r="N969" s="21"/>
      <c r="O969" s="21"/>
      <c r="P969" s="5"/>
      <c r="Q969" s="6"/>
      <c r="R969" s="5"/>
      <c r="W969" s="28"/>
      <c r="Y969" s="33"/>
      <c r="Z969" s="33"/>
      <c r="AA969" s="33"/>
    </row>
    <row r="970" spans="1:30" x14ac:dyDescent="0.35">
      <c r="A970" t="s">
        <v>1163</v>
      </c>
      <c r="B970" t="s">
        <v>128</v>
      </c>
      <c r="C970" s="36">
        <f>RATE(U970,V970,-F970,H970)</f>
        <v>8.1338981760927367E-2</v>
      </c>
      <c r="D970" s="3">
        <f>C970*AD970</f>
        <v>8.1338981760927367E-2</v>
      </c>
      <c r="F970">
        <v>1032.55</v>
      </c>
      <c r="G970" t="s">
        <v>76</v>
      </c>
      <c r="H970">
        <v>1000</v>
      </c>
      <c r="I970" s="22"/>
      <c r="J970">
        <v>500</v>
      </c>
      <c r="K970" s="22"/>
      <c r="L970">
        <v>7.7190517255394697</v>
      </c>
      <c r="M970" s="22">
        <v>9.4E-2</v>
      </c>
      <c r="N970" s="21">
        <v>45560</v>
      </c>
      <c r="O970" s="21">
        <v>46655</v>
      </c>
      <c r="P970">
        <f>ROUND(YEARFRAC(N970,O970),0)</f>
        <v>3</v>
      </c>
      <c r="Q970" s="6">
        <f>(M970*H970)/F970</f>
        <v>9.1036753668103237E-2</v>
      </c>
      <c r="R970" s="5">
        <f>IF(S970="Quarterly",4,IF(S970="Semi-annual",2,IF(S970="Annual",1,IF(S970="Pays at maturity",0,12))))</f>
        <v>1</v>
      </c>
      <c r="S970" t="s">
        <v>93</v>
      </c>
      <c r="U970">
        <f>R970*P970</f>
        <v>3</v>
      </c>
      <c r="V970">
        <f>(H970*M970)/AD970</f>
        <v>94</v>
      </c>
      <c r="W970" s="28">
        <f>RATE(U970,V970,-F970,H970)</f>
        <v>8.1338981760927367E-2</v>
      </c>
      <c r="X970" s="27">
        <f>W970*AD970</f>
        <v>8.1338981760927367E-2</v>
      </c>
      <c r="Y970" s="5">
        <f>DURATION(N970,O970,M970,D970,AD970)</f>
        <v>2.7537660021319028</v>
      </c>
      <c r="Z970" s="5">
        <f>Y970/(1+C970)</f>
        <v>2.5466260336305266</v>
      </c>
      <c r="AA970" s="5">
        <f>-Z970*F970</f>
        <v>-2629.5187110252</v>
      </c>
      <c r="AB970" t="s">
        <v>64</v>
      </c>
      <c r="AC970" t="s">
        <v>62</v>
      </c>
      <c r="AD970">
        <f>_xlfn.SWITCH(PROPER(TRIM(S970)),
   "Annual",1,
   "Semi-Annual",2,
   "Quarterly",4,
   "Monthly",12,
   "")</f>
        <v>1</v>
      </c>
    </row>
    <row r="971" spans="1:30" x14ac:dyDescent="0.35">
      <c r="A971" t="s">
        <v>1162</v>
      </c>
      <c r="B971" t="s">
        <v>128</v>
      </c>
      <c r="C971" s="36">
        <f>RATE(U971,V971,-F971,H971)</f>
        <v>0.10618195651835247</v>
      </c>
      <c r="D971" s="3">
        <f>C971*AD971</f>
        <v>0.10618195651835247</v>
      </c>
      <c r="F971">
        <v>972</v>
      </c>
      <c r="G971" t="s">
        <v>76</v>
      </c>
      <c r="H971">
        <v>1000</v>
      </c>
      <c r="I971" s="22"/>
      <c r="J971">
        <v>55</v>
      </c>
      <c r="K971" s="22"/>
      <c r="L971">
        <v>11.0353307236776</v>
      </c>
      <c r="M971" s="22">
        <v>9.4800000000000009E-2</v>
      </c>
      <c r="N971" s="21">
        <v>45560</v>
      </c>
      <c r="O971" s="21">
        <v>46655</v>
      </c>
      <c r="P971">
        <f>ROUND(YEARFRAC(N971,O971),0)</f>
        <v>3</v>
      </c>
      <c r="Q971" s="6">
        <f>(M971*H971)/F971</f>
        <v>9.7530864197530875E-2</v>
      </c>
      <c r="R971" s="5">
        <f>IF(S971="Quarterly",4,IF(S971="Semi-annual",2,IF(S971="Annual",1,IF(S971="Pays at maturity",0,12))))</f>
        <v>1</v>
      </c>
      <c r="S971" t="s">
        <v>93</v>
      </c>
      <c r="U971">
        <f>R971*P971</f>
        <v>3</v>
      </c>
      <c r="V971">
        <f>(H971*M971)/AD971</f>
        <v>94.800000000000011</v>
      </c>
      <c r="W971" s="28">
        <f>RATE(U971,V971,-F971,H971)</f>
        <v>0.10618195651835247</v>
      </c>
      <c r="X971" s="27">
        <f>W971*AD971</f>
        <v>0.10618195651835247</v>
      </c>
      <c r="Y971" s="5">
        <f>DURATION(N971,O971,M971,D971,AD971)</f>
        <v>2.7439565499146439</v>
      </c>
      <c r="Z971" s="5">
        <f>Y971/(1+C971)</f>
        <v>2.4805652756722756</v>
      </c>
      <c r="AA971" s="5">
        <f>-Z971*F971</f>
        <v>-2411.1094479534518</v>
      </c>
      <c r="AB971" t="s">
        <v>64</v>
      </c>
      <c r="AC971" t="s">
        <v>62</v>
      </c>
      <c r="AD971">
        <f>_xlfn.SWITCH(PROPER(TRIM(S971)),
   "Annual",1,
   "Semi-Annual",2,
   "Quarterly",4,
   "Monthly",12,
   "")</f>
        <v>1</v>
      </c>
    </row>
    <row r="972" spans="1:30" x14ac:dyDescent="0.35">
      <c r="A972" t="s">
        <v>1161</v>
      </c>
      <c r="B972" t="s">
        <v>591</v>
      </c>
      <c r="C972" s="36">
        <f>RATE(U972,V972,-F972,H972)</f>
        <v>7.2567338841686729E-2</v>
      </c>
      <c r="D972" s="3">
        <f>C972*AD972</f>
        <v>7.2567338841686729E-2</v>
      </c>
      <c r="F972">
        <v>1089.94</v>
      </c>
      <c r="G972" t="s">
        <v>76</v>
      </c>
      <c r="H972">
        <v>1000</v>
      </c>
      <c r="I972" s="22"/>
      <c r="J972">
        <v>80</v>
      </c>
      <c r="K972" s="22"/>
      <c r="L972">
        <v>6.1304959034610604</v>
      </c>
      <c r="M972" s="22">
        <v>0.107</v>
      </c>
      <c r="N972" s="21">
        <v>45560</v>
      </c>
      <c r="O972" s="21">
        <v>46655</v>
      </c>
      <c r="P972">
        <f>ROUND(YEARFRAC(N972,O972),0)</f>
        <v>3</v>
      </c>
      <c r="Q972" s="6">
        <f>(M972*H972)/F972</f>
        <v>9.817054149769712E-2</v>
      </c>
      <c r="R972" s="5">
        <f>IF(S972="Quarterly",4,IF(S972="Semi-annual",2,IF(S972="Annual",1,IF(S972="Pays at maturity",0,12))))</f>
        <v>1</v>
      </c>
      <c r="S972" t="s">
        <v>93</v>
      </c>
      <c r="U972">
        <f>R972*P972</f>
        <v>3</v>
      </c>
      <c r="V972">
        <f>(H972*M972)/AD972</f>
        <v>107</v>
      </c>
      <c r="W972" s="28">
        <f>RATE(U972,V972,-F972,H972)</f>
        <v>7.2567338841686729E-2</v>
      </c>
      <c r="X972" s="27">
        <f>W972*AD972</f>
        <v>7.2567338841686729E-2</v>
      </c>
      <c r="Y972" s="5">
        <f>DURATION(N972,O972,M972,D972,AD972)</f>
        <v>2.7316069302015729</v>
      </c>
      <c r="Z972" s="5">
        <f>Y972/(1+C972)</f>
        <v>2.5467929436967163</v>
      </c>
      <c r="AA972" s="5">
        <f>-Z972*F972</f>
        <v>-2775.851501052799</v>
      </c>
      <c r="AB972" t="s">
        <v>64</v>
      </c>
      <c r="AC972" t="s">
        <v>62</v>
      </c>
      <c r="AD972">
        <f>_xlfn.SWITCH(PROPER(TRIM(S972)),
   "Annual",1,
   "Semi-Annual",2,
   "Quarterly",4,
   "Monthly",12,
   "")</f>
        <v>1</v>
      </c>
    </row>
    <row r="973" spans="1:30" x14ac:dyDescent="0.35">
      <c r="A973" t="s">
        <v>1160</v>
      </c>
      <c r="B973" t="s">
        <v>128</v>
      </c>
      <c r="C973" s="36">
        <f>RATE(U973,V973,-F973,H973)</f>
        <v>0.13806966566925133</v>
      </c>
      <c r="D973" s="3">
        <f>C973*AD973</f>
        <v>0.13806966566925133</v>
      </c>
      <c r="F973">
        <v>909</v>
      </c>
      <c r="G973" t="s">
        <v>76</v>
      </c>
      <c r="H973">
        <v>1000</v>
      </c>
      <c r="I973" s="22"/>
      <c r="J973">
        <v>14</v>
      </c>
      <c r="K973" s="22"/>
      <c r="L973">
        <v>14.987518931265299</v>
      </c>
      <c r="M973" s="22">
        <v>9.9000000000000005E-2</v>
      </c>
      <c r="N973" s="21">
        <v>45560</v>
      </c>
      <c r="O973" s="21">
        <v>46655</v>
      </c>
      <c r="P973">
        <f>ROUND(YEARFRAC(N973,O973),0)</f>
        <v>3</v>
      </c>
      <c r="Q973" s="6">
        <f>(M973*H973)/F973</f>
        <v>0.10891089108910891</v>
      </c>
      <c r="R973" s="5">
        <f>IF(S973="Quarterly",4,IF(S973="Semi-annual",2,IF(S973="Annual",1,IF(S973="Pays at maturity",0,12))))</f>
        <v>1</v>
      </c>
      <c r="S973" t="s">
        <v>93</v>
      </c>
      <c r="U973">
        <f>R973*P973</f>
        <v>3</v>
      </c>
      <c r="V973">
        <f>(H973*M973)/AD973</f>
        <v>99</v>
      </c>
      <c r="W973" s="28">
        <f>RATE(U973,V973,-F973,H973)</f>
        <v>0.13806966566925133</v>
      </c>
      <c r="X973" s="27">
        <f>W973*AD973</f>
        <v>0.13806966566925133</v>
      </c>
      <c r="Y973" s="5">
        <f>DURATION(N973,O973,M973,D973,AD973)</f>
        <v>2.7245162541737709</v>
      </c>
      <c r="Z973" s="5">
        <f>Y973/(1+C973)</f>
        <v>2.3939802073290446</v>
      </c>
      <c r="AA973" s="5">
        <f>-Z973*F973</f>
        <v>-2176.1280084621017</v>
      </c>
      <c r="AB973" t="s">
        <v>64</v>
      </c>
      <c r="AC973" t="s">
        <v>62</v>
      </c>
      <c r="AD973">
        <f>_xlfn.SWITCH(PROPER(TRIM(S973)),
   "Annual",1,
   "Semi-Annual",2,
   "Quarterly",4,
   "Monthly",12,
   "")</f>
        <v>1</v>
      </c>
    </row>
    <row r="974" spans="1:30" x14ac:dyDescent="0.35">
      <c r="A974" t="s">
        <v>1159</v>
      </c>
      <c r="B974" t="s">
        <v>591</v>
      </c>
      <c r="C974" s="36">
        <f>RATE(U974,V974,-F974,H974)</f>
        <v>2.429393746777855E-2</v>
      </c>
      <c r="D974" s="3">
        <f>C974*AD974</f>
        <v>9.71757498711142E-2</v>
      </c>
      <c r="F974">
        <v>1015</v>
      </c>
      <c r="G974" t="s">
        <v>76</v>
      </c>
      <c r="H974">
        <v>1000</v>
      </c>
      <c r="I974" s="22"/>
      <c r="J974">
        <v>50</v>
      </c>
      <c r="K974" s="22"/>
      <c r="M974" s="22">
        <v>0.10300000000000001</v>
      </c>
      <c r="N974" s="21">
        <v>45560</v>
      </c>
      <c r="O974" s="21">
        <v>46655</v>
      </c>
      <c r="P974">
        <f>ROUND(YEARFRAC(N974,O974),0)</f>
        <v>3</v>
      </c>
      <c r="Q974" s="6">
        <f>(M974*H974)/F974</f>
        <v>0.10147783251231529</v>
      </c>
      <c r="R974" s="5">
        <f>IF(S974="Quarterly",4,IF(S974="Semi-annual",2,IF(S974="Annual",1,IF(S974="Pays at maturity",0,12))))</f>
        <v>4</v>
      </c>
      <c r="S974" t="s">
        <v>105</v>
      </c>
      <c r="U974">
        <f>R974*P974</f>
        <v>12</v>
      </c>
      <c r="V974">
        <f>(H974*M974)/AD974</f>
        <v>25.750000000000004</v>
      </c>
      <c r="W974" s="28">
        <f>RATE(U974,V974,-F974,H974)</f>
        <v>2.429393746777855E-2</v>
      </c>
      <c r="X974" s="27">
        <f>W974*AD974</f>
        <v>9.71757498711142E-2</v>
      </c>
      <c r="Y974" s="5">
        <f>DURATION(N974,O974,M974,D974,AD974)</f>
        <v>2.6219805158516145</v>
      </c>
      <c r="Z974" s="5">
        <f>Y974/(1+C974)</f>
        <v>2.5597930632427417</v>
      </c>
      <c r="AA974" s="5">
        <f>-Z974*F974</f>
        <v>-2598.189959191383</v>
      </c>
      <c r="AB974" t="s">
        <v>64</v>
      </c>
      <c r="AC974" t="s">
        <v>62</v>
      </c>
      <c r="AD974">
        <f>_xlfn.SWITCH(PROPER(TRIM(S974)),
   "Annual",1,
   "Semi-Annual",2,
   "Quarterly",4,
   "Monthly",12,
   "")</f>
        <v>4</v>
      </c>
    </row>
    <row r="975" spans="1:30" x14ac:dyDescent="0.35">
      <c r="C975" s="28"/>
      <c r="D975" s="27"/>
      <c r="I975" s="22"/>
      <c r="K975" s="22"/>
      <c r="M975" s="22"/>
      <c r="N975" s="21"/>
      <c r="O975" s="21"/>
      <c r="P975" s="5"/>
      <c r="Q975" s="6"/>
      <c r="R975" s="5"/>
      <c r="W975" s="28"/>
      <c r="Y975" s="33"/>
      <c r="Z975" s="33"/>
      <c r="AA975" s="33"/>
    </row>
    <row r="976" spans="1:30" x14ac:dyDescent="0.35">
      <c r="A976" t="s">
        <v>1157</v>
      </c>
      <c r="B976" t="s">
        <v>1156</v>
      </c>
      <c r="C976" s="36">
        <f t="shared" ref="C976:C986" si="611">RATE(U976,V976,-F976,H976)</f>
        <v>5.1077404750731581E-2</v>
      </c>
      <c r="D976" s="3">
        <f t="shared" ref="D976:D986" si="612">C976*AD976</f>
        <v>0.20430961900292632</v>
      </c>
      <c r="F976">
        <v>80000</v>
      </c>
      <c r="G976" t="s">
        <v>76</v>
      </c>
      <c r="H976">
        <v>100000</v>
      </c>
      <c r="I976" s="22"/>
      <c r="J976">
        <v>1</v>
      </c>
      <c r="K976" s="22"/>
      <c r="M976" s="22">
        <v>0.11349999999999999</v>
      </c>
      <c r="N976" s="21">
        <v>45743</v>
      </c>
      <c r="O976" s="21">
        <v>46657</v>
      </c>
      <c r="P976">
        <f t="shared" ref="P976:P986" si="613">ROUND(YEARFRAC(N976,O976),0)</f>
        <v>3</v>
      </c>
      <c r="Q976" s="6">
        <f t="shared" ref="Q976:Q986" si="614">(M976*H976)/F976</f>
        <v>0.14187499999999997</v>
      </c>
      <c r="R976" s="5">
        <f t="shared" ref="R976:R986" si="615">IF(S976="Quarterly",4,IF(S976="Semi-annual",2,IF(S976="Annual",1,IF(S976="Pays at maturity",0,12))))</f>
        <v>4</v>
      </c>
      <c r="S976" t="s">
        <v>105</v>
      </c>
      <c r="U976">
        <f t="shared" ref="U976:U986" si="616">R976*P976</f>
        <v>12</v>
      </c>
      <c r="V976">
        <f t="shared" ref="V976:V986" si="617">(H976*M976)/AD976</f>
        <v>2837.4999999999995</v>
      </c>
      <c r="W976" s="28">
        <f t="shared" ref="W976:W986" si="618">RATE(U976,V976,-F976,H976)</f>
        <v>5.1077404750731581E-2</v>
      </c>
      <c r="X976" s="27">
        <f t="shared" ref="X976:X986" si="619">W976*AD976</f>
        <v>0.20430961900292632</v>
      </c>
      <c r="Y976" s="5">
        <f t="shared" ref="Y976:Y986" si="620">DURATION(N976,O976,M976,D976,AD976)</f>
        <v>2.1759866730100565</v>
      </c>
      <c r="Z976" s="5">
        <f t="shared" ref="Z976:Z986" si="621">Y976/(1+C976)</f>
        <v>2.0702439831499402</v>
      </c>
      <c r="AA976" s="5">
        <f t="shared" ref="AA976:AA986" si="622">-Z976*F976</f>
        <v>-165619.51865199523</v>
      </c>
      <c r="AB976" t="s">
        <v>64</v>
      </c>
      <c r="AC976" t="s">
        <v>62</v>
      </c>
      <c r="AD976">
        <f t="shared" ref="AD976:AD986" si="623">_xlfn.SWITCH(PROPER(TRIM(S976)),
   "Annual",1,
   "Semi-Annual",2,
   "Quarterly",4,
   "Monthly",12,
   "")</f>
        <v>4</v>
      </c>
    </row>
    <row r="977" spans="1:30" x14ac:dyDescent="0.35">
      <c r="A977" t="s">
        <v>1155</v>
      </c>
      <c r="B977" t="s">
        <v>316</v>
      </c>
      <c r="C977" s="36">
        <f t="shared" si="611"/>
        <v>0.1</v>
      </c>
      <c r="D977" s="3">
        <f t="shared" si="612"/>
        <v>0.1</v>
      </c>
      <c r="F977">
        <v>1000</v>
      </c>
      <c r="G977" t="s">
        <v>76</v>
      </c>
      <c r="H977">
        <v>1000</v>
      </c>
      <c r="I977" s="22"/>
      <c r="J977">
        <v>712</v>
      </c>
      <c r="K977" s="22"/>
      <c r="L977">
        <v>10</v>
      </c>
      <c r="M977" s="22">
        <v>0.1</v>
      </c>
      <c r="N977" s="21">
        <v>45197</v>
      </c>
      <c r="O977" s="21">
        <v>46657</v>
      </c>
      <c r="P977">
        <f t="shared" si="613"/>
        <v>4</v>
      </c>
      <c r="Q977" s="6">
        <f t="shared" si="614"/>
        <v>0.1</v>
      </c>
      <c r="R977" s="5">
        <f t="shared" si="615"/>
        <v>1</v>
      </c>
      <c r="S977" t="s">
        <v>93</v>
      </c>
      <c r="U977">
        <f t="shared" si="616"/>
        <v>4</v>
      </c>
      <c r="V977">
        <f t="shared" si="617"/>
        <v>100</v>
      </c>
      <c r="W977" s="28">
        <f t="shared" si="618"/>
        <v>0.1</v>
      </c>
      <c r="X977" s="27">
        <f t="shared" si="619"/>
        <v>0.1</v>
      </c>
      <c r="Y977" s="5">
        <f t="shared" si="620"/>
        <v>3.4840742132064442</v>
      </c>
      <c r="Z977" s="5">
        <f t="shared" si="621"/>
        <v>3.1673401938240398</v>
      </c>
      <c r="AA977" s="5">
        <f t="shared" si="622"/>
        <v>-3167.3401938240399</v>
      </c>
      <c r="AB977" t="s">
        <v>64</v>
      </c>
      <c r="AC977" t="s">
        <v>62</v>
      </c>
      <c r="AD977">
        <f t="shared" si="623"/>
        <v>1</v>
      </c>
    </row>
    <row r="978" spans="1:30" x14ac:dyDescent="0.35">
      <c r="A978" t="s">
        <v>1154</v>
      </c>
      <c r="B978" t="s">
        <v>128</v>
      </c>
      <c r="C978" s="36">
        <f t="shared" si="611"/>
        <v>0.12952109061756423</v>
      </c>
      <c r="D978" s="3">
        <f t="shared" si="612"/>
        <v>0.12952109061756423</v>
      </c>
      <c r="F978">
        <v>880.2</v>
      </c>
      <c r="G978" t="s">
        <v>76</v>
      </c>
      <c r="H978">
        <v>1000</v>
      </c>
      <c r="I978" s="22"/>
      <c r="J978">
        <v>10</v>
      </c>
      <c r="K978" s="22"/>
      <c r="L978">
        <v>15.563135340553499</v>
      </c>
      <c r="M978" s="22">
        <v>9.5500000000000002E-2</v>
      </c>
      <c r="N978" s="21">
        <v>44832</v>
      </c>
      <c r="O978" s="21">
        <v>46658</v>
      </c>
      <c r="P978">
        <f t="shared" si="613"/>
        <v>5</v>
      </c>
      <c r="Q978" s="6">
        <f t="shared" si="614"/>
        <v>0.108498068620768</v>
      </c>
      <c r="R978" s="5">
        <f t="shared" si="615"/>
        <v>1</v>
      </c>
      <c r="S978" t="s">
        <v>93</v>
      </c>
      <c r="U978">
        <f t="shared" si="616"/>
        <v>5</v>
      </c>
      <c r="V978">
        <f t="shared" si="617"/>
        <v>95.5</v>
      </c>
      <c r="W978" s="28">
        <f t="shared" si="618"/>
        <v>0.12952109061756423</v>
      </c>
      <c r="X978" s="27">
        <f t="shared" si="619"/>
        <v>0.12952109061756423</v>
      </c>
      <c r="Y978" s="5">
        <f t="shared" si="620"/>
        <v>4.1434098789419984</v>
      </c>
      <c r="Z978" s="5">
        <f t="shared" si="621"/>
        <v>3.668289076989784</v>
      </c>
      <c r="AA978" s="5">
        <f t="shared" si="622"/>
        <v>-3228.828045566408</v>
      </c>
      <c r="AB978" t="s">
        <v>64</v>
      </c>
      <c r="AC978" t="s">
        <v>62</v>
      </c>
      <c r="AD978">
        <f t="shared" si="623"/>
        <v>1</v>
      </c>
    </row>
    <row r="979" spans="1:30" x14ac:dyDescent="0.35">
      <c r="A979" t="s">
        <v>1153</v>
      </c>
      <c r="B979" t="s">
        <v>128</v>
      </c>
      <c r="C979" s="36">
        <f t="shared" si="611"/>
        <v>9.4098321131944912E-2</v>
      </c>
      <c r="D979" s="3">
        <f t="shared" si="612"/>
        <v>9.4098321131944912E-2</v>
      </c>
      <c r="F979">
        <v>990</v>
      </c>
      <c r="G979" t="s">
        <v>76</v>
      </c>
      <c r="H979">
        <v>1000</v>
      </c>
      <c r="I979" s="22"/>
      <c r="J979">
        <v>29</v>
      </c>
      <c r="K979" s="22"/>
      <c r="L979">
        <v>9.69985211920695</v>
      </c>
      <c r="M979" s="22">
        <v>9.1499999999999998E-2</v>
      </c>
      <c r="N979" s="21">
        <v>44832</v>
      </c>
      <c r="O979" s="21">
        <v>46658</v>
      </c>
      <c r="P979">
        <f t="shared" si="613"/>
        <v>5</v>
      </c>
      <c r="Q979" s="6">
        <f t="shared" si="614"/>
        <v>9.2424242424242423E-2</v>
      </c>
      <c r="R979" s="5">
        <f t="shared" si="615"/>
        <v>1</v>
      </c>
      <c r="S979" t="s">
        <v>93</v>
      </c>
      <c r="U979">
        <f t="shared" si="616"/>
        <v>5</v>
      </c>
      <c r="V979">
        <f t="shared" si="617"/>
        <v>91.5</v>
      </c>
      <c r="W979" s="28">
        <f t="shared" si="618"/>
        <v>9.4098321131944912E-2</v>
      </c>
      <c r="X979" s="27">
        <f t="shared" si="619"/>
        <v>9.4098321131944912E-2</v>
      </c>
      <c r="Y979" s="5">
        <f t="shared" si="620"/>
        <v>4.2248300896732838</v>
      </c>
      <c r="Z979" s="5">
        <f t="shared" si="621"/>
        <v>3.8614720524406896</v>
      </c>
      <c r="AA979" s="5">
        <f t="shared" si="622"/>
        <v>-3822.8573319162829</v>
      </c>
      <c r="AB979" t="s">
        <v>64</v>
      </c>
      <c r="AC979" t="s">
        <v>62</v>
      </c>
      <c r="AD979">
        <f t="shared" si="623"/>
        <v>1</v>
      </c>
    </row>
    <row r="980" spans="1:30" x14ac:dyDescent="0.35">
      <c r="A980" t="s">
        <v>1152</v>
      </c>
      <c r="B980" t="s">
        <v>316</v>
      </c>
      <c r="C980" s="36">
        <f t="shared" si="611"/>
        <v>0.13407193149063676</v>
      </c>
      <c r="D980" s="3">
        <f t="shared" si="612"/>
        <v>0.13407193149063676</v>
      </c>
      <c r="F980">
        <v>825.79998999999998</v>
      </c>
      <c r="G980" t="s">
        <v>76</v>
      </c>
      <c r="H980">
        <v>1000</v>
      </c>
      <c r="I980" s="22"/>
      <c r="J980">
        <v>2</v>
      </c>
      <c r="K980" s="22"/>
      <c r="L980">
        <v>17.5532890639155</v>
      </c>
      <c r="M980" s="22">
        <v>0.09</v>
      </c>
      <c r="N980" s="21">
        <v>44469</v>
      </c>
      <c r="O980" s="21">
        <v>46659</v>
      </c>
      <c r="P980">
        <f t="shared" si="613"/>
        <v>6</v>
      </c>
      <c r="Q980" s="6">
        <f t="shared" si="614"/>
        <v>0.10898522776683492</v>
      </c>
      <c r="R980" s="5">
        <f t="shared" si="615"/>
        <v>1</v>
      </c>
      <c r="S980" t="s">
        <v>93</v>
      </c>
      <c r="U980">
        <f t="shared" si="616"/>
        <v>6</v>
      </c>
      <c r="V980">
        <f t="shared" si="617"/>
        <v>90</v>
      </c>
      <c r="W980" s="28">
        <f t="shared" si="618"/>
        <v>0.13407193149063676</v>
      </c>
      <c r="X980" s="27">
        <f t="shared" si="619"/>
        <v>0.13407193149063676</v>
      </c>
      <c r="Y980" s="5">
        <f t="shared" si="620"/>
        <v>4.7637210121157496</v>
      </c>
      <c r="Z980" s="5">
        <f t="shared" si="621"/>
        <v>4.2005457324512578</v>
      </c>
      <c r="AA980" s="5">
        <f t="shared" si="622"/>
        <v>-3468.8106238527912</v>
      </c>
      <c r="AB980" t="s">
        <v>64</v>
      </c>
      <c r="AC980" t="s">
        <v>62</v>
      </c>
      <c r="AD980">
        <f t="shared" si="623"/>
        <v>1</v>
      </c>
    </row>
    <row r="981" spans="1:30" x14ac:dyDescent="0.35">
      <c r="A981" t="s">
        <v>1151</v>
      </c>
      <c r="B981" t="s">
        <v>636</v>
      </c>
      <c r="C981" s="36">
        <f t="shared" si="611"/>
        <v>2.3508790020430579E-2</v>
      </c>
      <c r="D981" s="3">
        <f t="shared" si="612"/>
        <v>4.7017580040861158E-2</v>
      </c>
      <c r="F981">
        <v>984.05</v>
      </c>
      <c r="G981" t="s">
        <v>66</v>
      </c>
      <c r="H981">
        <v>1000</v>
      </c>
      <c r="I981" s="22"/>
      <c r="J981">
        <v>450000</v>
      </c>
      <c r="K981" s="22"/>
      <c r="M981" s="22">
        <v>4.4999999999999998E-2</v>
      </c>
      <c r="N981" s="21">
        <v>43018</v>
      </c>
      <c r="O981" s="21">
        <v>46661</v>
      </c>
      <c r="P981">
        <f t="shared" si="613"/>
        <v>10</v>
      </c>
      <c r="Q981" s="6">
        <f t="shared" si="614"/>
        <v>4.5729383669528986E-2</v>
      </c>
      <c r="R981" s="5">
        <f t="shared" si="615"/>
        <v>2</v>
      </c>
      <c r="S981" t="s">
        <v>65</v>
      </c>
      <c r="U981">
        <f t="shared" si="616"/>
        <v>20</v>
      </c>
      <c r="V981">
        <f t="shared" si="617"/>
        <v>22.5</v>
      </c>
      <c r="W981" s="28">
        <f t="shared" si="618"/>
        <v>2.3508790020430579E-2</v>
      </c>
      <c r="X981" s="27">
        <f t="shared" si="619"/>
        <v>4.7017580040861158E-2</v>
      </c>
      <c r="Y981" s="5">
        <f t="shared" si="620"/>
        <v>8.1186526753584136</v>
      </c>
      <c r="Z981" s="5">
        <f t="shared" si="621"/>
        <v>7.9321767966412438</v>
      </c>
      <c r="AA981" s="5">
        <f t="shared" si="622"/>
        <v>-7805.6585767348151</v>
      </c>
      <c r="AB981" t="s">
        <v>69</v>
      </c>
      <c r="AC981" t="s">
        <v>62</v>
      </c>
      <c r="AD981">
        <f t="shared" si="623"/>
        <v>2</v>
      </c>
    </row>
    <row r="982" spans="1:30" x14ac:dyDescent="0.35">
      <c r="A982" t="s">
        <v>1150</v>
      </c>
      <c r="B982" t="s">
        <v>1149</v>
      </c>
      <c r="C982" s="36">
        <f t="shared" si="611"/>
        <v>0.13325867329433047</v>
      </c>
      <c r="D982" s="3">
        <f t="shared" si="612"/>
        <v>0.13325867329433047</v>
      </c>
      <c r="F982">
        <v>99000</v>
      </c>
      <c r="G982" t="s">
        <v>76</v>
      </c>
      <c r="H982">
        <v>100000</v>
      </c>
      <c r="I982" s="22"/>
      <c r="J982">
        <v>1</v>
      </c>
      <c r="K982" s="22"/>
      <c r="L982">
        <v>13.4671358131073</v>
      </c>
      <c r="M982" s="22">
        <v>0.129</v>
      </c>
      <c r="N982" s="21">
        <v>45750</v>
      </c>
      <c r="O982" s="21">
        <v>46663</v>
      </c>
      <c r="P982">
        <f t="shared" si="613"/>
        <v>3</v>
      </c>
      <c r="Q982" s="6">
        <f t="shared" si="614"/>
        <v>0.13030303030303031</v>
      </c>
      <c r="R982" s="5">
        <f t="shared" si="615"/>
        <v>1</v>
      </c>
      <c r="S982" t="s">
        <v>93</v>
      </c>
      <c r="U982">
        <f t="shared" si="616"/>
        <v>3</v>
      </c>
      <c r="V982">
        <f t="shared" si="617"/>
        <v>12900</v>
      </c>
      <c r="W982" s="28">
        <f t="shared" si="618"/>
        <v>0.13325867329433047</v>
      </c>
      <c r="X982" s="27">
        <f t="shared" si="619"/>
        <v>0.13325867329433047</v>
      </c>
      <c r="Y982" s="5">
        <f t="shared" si="620"/>
        <v>2.1685779636859186</v>
      </c>
      <c r="Z982" s="5">
        <f t="shared" si="621"/>
        <v>1.9135772042070176</v>
      </c>
      <c r="AA982" s="5">
        <f t="shared" si="622"/>
        <v>-189444.14321649473</v>
      </c>
      <c r="AB982" t="s">
        <v>69</v>
      </c>
      <c r="AC982" t="s">
        <v>62</v>
      </c>
      <c r="AD982">
        <f t="shared" si="623"/>
        <v>1</v>
      </c>
    </row>
    <row r="983" spans="1:30" x14ac:dyDescent="0.35">
      <c r="A983" t="s">
        <v>1148</v>
      </c>
      <c r="B983" t="s">
        <v>401</v>
      </c>
      <c r="C983" s="36">
        <f t="shared" si="611"/>
        <v>0.1043587323238151</v>
      </c>
      <c r="D983" s="3">
        <f t="shared" si="612"/>
        <v>0.1043587323238151</v>
      </c>
      <c r="F983">
        <v>100201.37</v>
      </c>
      <c r="G983" t="s">
        <v>76</v>
      </c>
      <c r="H983">
        <v>100000</v>
      </c>
      <c r="I983" s="22"/>
      <c r="J983">
        <v>2</v>
      </c>
      <c r="K983" s="22"/>
      <c r="L983">
        <v>10.389335344622801</v>
      </c>
      <c r="M983" s="22">
        <v>0.105</v>
      </c>
      <c r="N983" s="21">
        <v>45296</v>
      </c>
      <c r="O983" s="21">
        <v>46665</v>
      </c>
      <c r="P983">
        <f t="shared" si="613"/>
        <v>4</v>
      </c>
      <c r="Q983" s="6">
        <f t="shared" si="614"/>
        <v>0.10478898641804998</v>
      </c>
      <c r="R983" s="5">
        <f t="shared" si="615"/>
        <v>1</v>
      </c>
      <c r="S983" t="s">
        <v>93</v>
      </c>
      <c r="U983">
        <f t="shared" si="616"/>
        <v>4</v>
      </c>
      <c r="V983">
        <f t="shared" si="617"/>
        <v>10500</v>
      </c>
      <c r="W983" s="28">
        <f t="shared" si="618"/>
        <v>0.1043587323238151</v>
      </c>
      <c r="X983" s="27">
        <f t="shared" si="619"/>
        <v>0.1043587323238151</v>
      </c>
      <c r="Y983" s="5">
        <f t="shared" si="620"/>
        <v>3.2156984168582903</v>
      </c>
      <c r="Z983" s="5">
        <f t="shared" si="621"/>
        <v>2.9118241407769281</v>
      </c>
      <c r="AA983" s="5">
        <f t="shared" si="622"/>
        <v>-291768.76810492104</v>
      </c>
      <c r="AB983" t="s">
        <v>64</v>
      </c>
      <c r="AC983" t="s">
        <v>62</v>
      </c>
      <c r="AD983">
        <f t="shared" si="623"/>
        <v>1</v>
      </c>
    </row>
    <row r="984" spans="1:30" x14ac:dyDescent="0.35">
      <c r="A984" t="s">
        <v>1147</v>
      </c>
      <c r="B984" t="s">
        <v>119</v>
      </c>
      <c r="C984" s="36">
        <f t="shared" si="611"/>
        <v>0.10389753731736351</v>
      </c>
      <c r="D984" s="3">
        <f t="shared" si="612"/>
        <v>0.10389753731736351</v>
      </c>
      <c r="F984">
        <v>980</v>
      </c>
      <c r="G984" t="s">
        <v>76</v>
      </c>
      <c r="H984">
        <v>1000</v>
      </c>
      <c r="I984" s="22"/>
      <c r="J984">
        <v>25</v>
      </c>
      <c r="K984" s="22"/>
      <c r="L984">
        <v>10.674060215159599</v>
      </c>
      <c r="M984" s="22">
        <v>9.5799999999999996E-2</v>
      </c>
      <c r="N984" s="21">
        <v>45573</v>
      </c>
      <c r="O984" s="21">
        <v>46668</v>
      </c>
      <c r="P984">
        <f t="shared" si="613"/>
        <v>3</v>
      </c>
      <c r="Q984" s="6">
        <f t="shared" si="614"/>
        <v>9.7755102040816319E-2</v>
      </c>
      <c r="R984" s="5">
        <f t="shared" si="615"/>
        <v>1</v>
      </c>
      <c r="S984" t="s">
        <v>93</v>
      </c>
      <c r="U984">
        <f t="shared" si="616"/>
        <v>3</v>
      </c>
      <c r="V984">
        <f t="shared" si="617"/>
        <v>95.8</v>
      </c>
      <c r="W984" s="28">
        <f t="shared" si="618"/>
        <v>0.10389753731736351</v>
      </c>
      <c r="X984" s="27">
        <f t="shared" si="619"/>
        <v>0.10389753731736351</v>
      </c>
      <c r="Y984" s="5">
        <f t="shared" si="620"/>
        <v>2.742671125410248</v>
      </c>
      <c r="Z984" s="5">
        <f t="shared" si="621"/>
        <v>2.4845341462354833</v>
      </c>
      <c r="AA984" s="5">
        <f t="shared" si="622"/>
        <v>-2434.8434633107736</v>
      </c>
      <c r="AB984" t="s">
        <v>64</v>
      </c>
      <c r="AC984" t="s">
        <v>62</v>
      </c>
      <c r="AD984">
        <f t="shared" si="623"/>
        <v>1</v>
      </c>
    </row>
    <row r="985" spans="1:30" x14ac:dyDescent="0.35">
      <c r="A985" t="s">
        <v>1146</v>
      </c>
      <c r="B985" t="s">
        <v>119</v>
      </c>
      <c r="C985" s="36">
        <f t="shared" si="611"/>
        <v>9.1679013466312909E-2</v>
      </c>
      <c r="D985" s="3">
        <f t="shared" si="612"/>
        <v>9.1679013466312909E-2</v>
      </c>
      <c r="F985">
        <v>1021</v>
      </c>
      <c r="G985" t="s">
        <v>76</v>
      </c>
      <c r="H985">
        <v>1000</v>
      </c>
      <c r="I985" s="22"/>
      <c r="J985">
        <v>1</v>
      </c>
      <c r="K985" s="22"/>
      <c r="L985">
        <v>8.9121400069745693</v>
      </c>
      <c r="M985" s="22">
        <v>0.1</v>
      </c>
      <c r="N985" s="21">
        <v>45573</v>
      </c>
      <c r="O985" s="21">
        <v>46668</v>
      </c>
      <c r="P985">
        <f t="shared" si="613"/>
        <v>3</v>
      </c>
      <c r="Q985" s="6">
        <f t="shared" si="614"/>
        <v>9.7943192948090105E-2</v>
      </c>
      <c r="R985" s="5">
        <f t="shared" si="615"/>
        <v>1</v>
      </c>
      <c r="S985" t="s">
        <v>93</v>
      </c>
      <c r="U985">
        <f t="shared" si="616"/>
        <v>3</v>
      </c>
      <c r="V985">
        <f t="shared" si="617"/>
        <v>100</v>
      </c>
      <c r="W985" s="28">
        <f t="shared" si="618"/>
        <v>9.1679013466312909E-2</v>
      </c>
      <c r="X985" s="27">
        <f t="shared" si="619"/>
        <v>9.1679013466312909E-2</v>
      </c>
      <c r="Y985" s="5">
        <f t="shared" si="620"/>
        <v>2.7383806750597568</v>
      </c>
      <c r="Z985" s="5">
        <f t="shared" si="621"/>
        <v>2.5084119427786891</v>
      </c>
      <c r="AA985" s="5">
        <f t="shared" si="622"/>
        <v>-2561.0885935770416</v>
      </c>
      <c r="AB985" t="s">
        <v>64</v>
      </c>
      <c r="AC985" t="s">
        <v>62</v>
      </c>
      <c r="AD985">
        <f t="shared" si="623"/>
        <v>1</v>
      </c>
    </row>
    <row r="986" spans="1:30" x14ac:dyDescent="0.35">
      <c r="A986" t="s">
        <v>1145</v>
      </c>
      <c r="B986" t="s">
        <v>417</v>
      </c>
      <c r="C986" s="36">
        <f t="shared" si="611"/>
        <v>9.0073307628211294E-2</v>
      </c>
      <c r="D986" s="3">
        <f t="shared" si="612"/>
        <v>9.0073307628211294E-2</v>
      </c>
      <c r="F986">
        <v>108965</v>
      </c>
      <c r="G986" t="s">
        <v>76</v>
      </c>
      <c r="H986">
        <v>100000</v>
      </c>
      <c r="I986" s="22"/>
      <c r="J986">
        <v>2</v>
      </c>
      <c r="K986" s="22"/>
      <c r="L986">
        <v>7.8380588538666798</v>
      </c>
      <c r="M986" s="22">
        <v>0.1012</v>
      </c>
      <c r="N986" s="21">
        <v>41186</v>
      </c>
      <c r="O986" s="21">
        <v>46668</v>
      </c>
      <c r="P986">
        <f t="shared" si="613"/>
        <v>15</v>
      </c>
      <c r="Q986" s="6">
        <f t="shared" si="614"/>
        <v>9.2873858578442617E-2</v>
      </c>
      <c r="R986" s="5">
        <f t="shared" si="615"/>
        <v>1</v>
      </c>
      <c r="S986" t="s">
        <v>93</v>
      </c>
      <c r="U986">
        <f t="shared" si="616"/>
        <v>15</v>
      </c>
      <c r="V986">
        <f t="shared" si="617"/>
        <v>10120</v>
      </c>
      <c r="W986" s="28">
        <f t="shared" si="618"/>
        <v>9.0073307628211294E-2</v>
      </c>
      <c r="X986" s="27">
        <f t="shared" si="619"/>
        <v>9.0073307628211294E-2</v>
      </c>
      <c r="Y986" s="5">
        <f t="shared" si="620"/>
        <v>7.8707920130459064</v>
      </c>
      <c r="Z986" s="5">
        <f t="shared" si="621"/>
        <v>7.2204244961939565</v>
      </c>
      <c r="AA986" s="5">
        <f t="shared" si="622"/>
        <v>-786773.55522777443</v>
      </c>
      <c r="AB986" t="s">
        <v>64</v>
      </c>
      <c r="AC986" t="s">
        <v>62</v>
      </c>
      <c r="AD986">
        <f t="shared" si="623"/>
        <v>1</v>
      </c>
    </row>
    <row r="987" spans="1:30" x14ac:dyDescent="0.35">
      <c r="C987" s="28"/>
      <c r="D987" s="27"/>
      <c r="I987" s="22"/>
      <c r="K987" s="22"/>
      <c r="M987" s="22"/>
      <c r="N987" s="21"/>
      <c r="O987" s="21"/>
      <c r="P987" s="5"/>
      <c r="Q987" s="6"/>
      <c r="R987" s="5"/>
      <c r="W987" s="28"/>
      <c r="Y987" s="33"/>
      <c r="Z987" s="33"/>
      <c r="AA987" s="33"/>
    </row>
    <row r="988" spans="1:30" x14ac:dyDescent="0.35">
      <c r="C988" s="28"/>
      <c r="D988" s="27"/>
      <c r="I988" s="22"/>
      <c r="K988" s="22"/>
      <c r="M988" s="22"/>
      <c r="N988" s="21"/>
      <c r="O988" s="21"/>
      <c r="P988" s="5"/>
      <c r="Q988" s="6"/>
      <c r="R988" s="5"/>
      <c r="W988" s="28"/>
      <c r="Y988" s="33"/>
      <c r="Z988" s="33"/>
      <c r="AA988" s="33"/>
    </row>
    <row r="989" spans="1:30" x14ac:dyDescent="0.35">
      <c r="A989" t="s">
        <v>1142</v>
      </c>
      <c r="B989" t="s">
        <v>612</v>
      </c>
      <c r="C989" s="36">
        <f t="shared" ref="C989:C995" si="624">RATE(U989,V989,-F989,H989)</f>
        <v>7.8176934781940058E-2</v>
      </c>
      <c r="D989" s="3">
        <f t="shared" ref="D989:D995" si="625">C989*AD989</f>
        <v>7.8176934781940058E-2</v>
      </c>
      <c r="F989">
        <v>1170200</v>
      </c>
      <c r="G989" t="s">
        <v>76</v>
      </c>
      <c r="H989">
        <v>1000000</v>
      </c>
      <c r="I989" s="22"/>
      <c r="J989">
        <v>1</v>
      </c>
      <c r="K989" s="22"/>
      <c r="L989">
        <v>7.3049409883793102</v>
      </c>
      <c r="M989" s="22">
        <v>0.1206</v>
      </c>
      <c r="N989" s="21">
        <v>44847</v>
      </c>
      <c r="O989" s="21">
        <v>46673</v>
      </c>
      <c r="P989">
        <f t="shared" ref="P989:P995" si="626">ROUND(YEARFRAC(N989,O989),0)</f>
        <v>5</v>
      </c>
      <c r="Q989" s="6">
        <f t="shared" ref="Q989:Q995" si="627">(M989*H989)/F989</f>
        <v>0.10305930610152111</v>
      </c>
      <c r="R989" s="5">
        <f t="shared" ref="R989:R995" si="628">IF(S989="Quarterly",4,IF(S989="Semi-annual",2,IF(S989="Annual",1,IF(S989="Pays at maturity",0,12))))</f>
        <v>1</v>
      </c>
      <c r="S989" t="s">
        <v>93</v>
      </c>
      <c r="U989">
        <f t="shared" ref="U989:U995" si="629">R989*P989</f>
        <v>5</v>
      </c>
      <c r="V989">
        <f t="shared" ref="V989:V995" si="630">(H989*M989)/AD989</f>
        <v>120600</v>
      </c>
      <c r="W989" s="28">
        <f t="shared" ref="W989:W995" si="631">RATE(U989,V989,-F989,H989)</f>
        <v>7.8176934781940058E-2</v>
      </c>
      <c r="X989" s="27">
        <f t="shared" ref="X989:X995" si="632">W989*AD989</f>
        <v>7.8176934781940058E-2</v>
      </c>
      <c r="Y989" s="5">
        <f t="shared" ref="Y989:Y995" si="633">DURATION(N989,O989,M989,D989,AD989)</f>
        <v>4.1109657429565889</v>
      </c>
      <c r="Z989" s="5">
        <f t="shared" ref="Z989:Z995" si="634">Y989/(1+C989)</f>
        <v>3.8128860026003304</v>
      </c>
      <c r="AA989" s="5">
        <f t="shared" ref="AA989:AA995" si="635">-Z989*F989</f>
        <v>-4461839.2002429068</v>
      </c>
      <c r="AB989" t="s">
        <v>64</v>
      </c>
      <c r="AC989" t="s">
        <v>62</v>
      </c>
      <c r="AD989">
        <f t="shared" ref="AD989:AD995" si="636">_xlfn.SWITCH(PROPER(TRIM(S989)),
   "Annual",1,
   "Semi-Annual",2,
   "Quarterly",4,
   "Monthly",12,
   "")</f>
        <v>1</v>
      </c>
    </row>
    <row r="990" spans="1:30" x14ac:dyDescent="0.35">
      <c r="A990" t="s">
        <v>1141</v>
      </c>
      <c r="B990" t="s">
        <v>316</v>
      </c>
      <c r="C990" s="36">
        <f t="shared" si="624"/>
        <v>0.10992575276253003</v>
      </c>
      <c r="D990" s="3">
        <f t="shared" si="625"/>
        <v>0.10992575276253003</v>
      </c>
      <c r="F990">
        <v>965</v>
      </c>
      <c r="G990" t="s">
        <v>76</v>
      </c>
      <c r="H990">
        <v>1000</v>
      </c>
      <c r="I990" s="22"/>
      <c r="J990">
        <v>200</v>
      </c>
      <c r="K990" s="22"/>
      <c r="L990">
        <v>12.063846839829701</v>
      </c>
      <c r="M990" s="22">
        <v>0.10249999999999999</v>
      </c>
      <c r="N990" s="21">
        <v>44118</v>
      </c>
      <c r="O990" s="21">
        <v>46673</v>
      </c>
      <c r="P990">
        <f t="shared" si="626"/>
        <v>7</v>
      </c>
      <c r="Q990" s="6">
        <f t="shared" si="627"/>
        <v>0.10621761658031088</v>
      </c>
      <c r="R990" s="5">
        <f t="shared" si="628"/>
        <v>1</v>
      </c>
      <c r="S990" t="s">
        <v>93</v>
      </c>
      <c r="U990">
        <f t="shared" si="629"/>
        <v>7</v>
      </c>
      <c r="V990">
        <f t="shared" si="630"/>
        <v>102.5</v>
      </c>
      <c r="W990" s="28">
        <f t="shared" si="631"/>
        <v>0.10992575276253003</v>
      </c>
      <c r="X990" s="27">
        <f t="shared" si="632"/>
        <v>0.10992575276253003</v>
      </c>
      <c r="Y990" s="5">
        <f t="shared" si="633"/>
        <v>5.2883240037145018</v>
      </c>
      <c r="Z990" s="5">
        <f t="shared" si="634"/>
        <v>4.7645745587506383</v>
      </c>
      <c r="AA990" s="5">
        <f t="shared" si="635"/>
        <v>-4597.8144491943658</v>
      </c>
      <c r="AB990" t="s">
        <v>64</v>
      </c>
      <c r="AC990" t="s">
        <v>62</v>
      </c>
      <c r="AD990">
        <f t="shared" si="636"/>
        <v>1</v>
      </c>
    </row>
    <row r="991" spans="1:30" x14ac:dyDescent="0.35">
      <c r="A991" t="s">
        <v>1140</v>
      </c>
      <c r="B991" t="s">
        <v>326</v>
      </c>
      <c r="C991" s="36">
        <f t="shared" si="624"/>
        <v>0.10500267177304955</v>
      </c>
      <c r="D991" s="3">
        <f t="shared" si="625"/>
        <v>0.10500267177304955</v>
      </c>
      <c r="F991">
        <v>999.99</v>
      </c>
      <c r="G991" t="s">
        <v>76</v>
      </c>
      <c r="H991">
        <v>1000</v>
      </c>
      <c r="I991" s="22"/>
      <c r="J991">
        <v>5</v>
      </c>
      <c r="K991" s="22"/>
      <c r="L991">
        <v>10.5005463597562</v>
      </c>
      <c r="M991" s="22">
        <v>0.105</v>
      </c>
      <c r="N991" s="21">
        <v>44852</v>
      </c>
      <c r="O991" s="21">
        <v>46676</v>
      </c>
      <c r="P991">
        <f t="shared" si="626"/>
        <v>5</v>
      </c>
      <c r="Q991" s="6">
        <f t="shared" si="627"/>
        <v>0.1050010500105001</v>
      </c>
      <c r="R991" s="5">
        <f t="shared" si="628"/>
        <v>1</v>
      </c>
      <c r="S991" t="s">
        <v>93</v>
      </c>
      <c r="U991">
        <f t="shared" si="629"/>
        <v>5</v>
      </c>
      <c r="V991">
        <f t="shared" si="630"/>
        <v>105</v>
      </c>
      <c r="W991" s="28">
        <f t="shared" si="631"/>
        <v>0.10500267177304955</v>
      </c>
      <c r="X991" s="27">
        <f t="shared" si="632"/>
        <v>0.10500267177304955</v>
      </c>
      <c r="Y991" s="5">
        <f t="shared" si="633"/>
        <v>4.1302981165850916</v>
      </c>
      <c r="Z991" s="5">
        <f t="shared" si="634"/>
        <v>3.7378173122041023</v>
      </c>
      <c r="AA991" s="5">
        <f t="shared" si="635"/>
        <v>-3737.7799340309803</v>
      </c>
      <c r="AB991" t="s">
        <v>64</v>
      </c>
      <c r="AC991" t="s">
        <v>62</v>
      </c>
      <c r="AD991">
        <f t="shared" si="636"/>
        <v>1</v>
      </c>
    </row>
    <row r="992" spans="1:30" x14ac:dyDescent="0.35">
      <c r="A992" t="s">
        <v>1139</v>
      </c>
      <c r="B992" t="s">
        <v>326</v>
      </c>
      <c r="C992" s="36">
        <f t="shared" si="624"/>
        <v>9.9078347035433445E-2</v>
      </c>
      <c r="D992" s="3">
        <f t="shared" si="625"/>
        <v>9.9078347035433445E-2</v>
      </c>
      <c r="F992">
        <v>1032</v>
      </c>
      <c r="G992" t="s">
        <v>76</v>
      </c>
      <c r="H992">
        <v>1000</v>
      </c>
      <c r="I992" s="22"/>
      <c r="J992">
        <v>60</v>
      </c>
      <c r="K992" s="22"/>
      <c r="L992">
        <v>9.1067327016939394</v>
      </c>
      <c r="M992" s="22">
        <v>0.1075</v>
      </c>
      <c r="N992" s="21">
        <v>44852</v>
      </c>
      <c r="O992" s="21">
        <v>46676</v>
      </c>
      <c r="P992">
        <f t="shared" si="626"/>
        <v>5</v>
      </c>
      <c r="Q992" s="6">
        <f t="shared" si="627"/>
        <v>0.10416666666666667</v>
      </c>
      <c r="R992" s="5">
        <f t="shared" si="628"/>
        <v>1</v>
      </c>
      <c r="S992" t="s">
        <v>93</v>
      </c>
      <c r="U992">
        <f t="shared" si="629"/>
        <v>5</v>
      </c>
      <c r="V992">
        <f t="shared" si="630"/>
        <v>107.5</v>
      </c>
      <c r="W992" s="28">
        <f t="shared" si="631"/>
        <v>9.9078347035433445E-2</v>
      </c>
      <c r="X992" s="27">
        <f t="shared" si="632"/>
        <v>9.9078347035433445E-2</v>
      </c>
      <c r="Y992" s="5">
        <f t="shared" si="633"/>
        <v>4.1283369382069877</v>
      </c>
      <c r="Z992" s="5">
        <f t="shared" si="634"/>
        <v>3.7561807575796897</v>
      </c>
      <c r="AA992" s="5">
        <f t="shared" si="635"/>
        <v>-3876.3785418222396</v>
      </c>
      <c r="AB992" t="s">
        <v>64</v>
      </c>
      <c r="AC992" t="s">
        <v>62</v>
      </c>
      <c r="AD992">
        <f t="shared" si="636"/>
        <v>1</v>
      </c>
    </row>
    <row r="993" spans="1:30" x14ac:dyDescent="0.35">
      <c r="A993" t="s">
        <v>1138</v>
      </c>
      <c r="B993" t="s">
        <v>283</v>
      </c>
      <c r="C993" s="36">
        <f t="shared" si="624"/>
        <v>2.3596985268121606E-2</v>
      </c>
      <c r="D993" s="3">
        <f t="shared" si="625"/>
        <v>9.4387941072486423E-2</v>
      </c>
      <c r="F993">
        <v>1020000</v>
      </c>
      <c r="G993" t="s">
        <v>76</v>
      </c>
      <c r="H993">
        <v>1000000</v>
      </c>
      <c r="I993" s="22"/>
      <c r="J993">
        <v>1</v>
      </c>
      <c r="K993" s="22"/>
      <c r="M993" s="22">
        <v>9.7500000000000003E-2</v>
      </c>
      <c r="N993" s="21">
        <v>43074</v>
      </c>
      <c r="O993" s="21">
        <v>46680</v>
      </c>
      <c r="P993">
        <f t="shared" si="626"/>
        <v>10</v>
      </c>
      <c r="Q993" s="6">
        <f t="shared" si="627"/>
        <v>9.5588235294117641E-2</v>
      </c>
      <c r="R993" s="5">
        <f t="shared" si="628"/>
        <v>4</v>
      </c>
      <c r="S993" t="s">
        <v>105</v>
      </c>
      <c r="U993">
        <f t="shared" si="629"/>
        <v>40</v>
      </c>
      <c r="V993">
        <f t="shared" si="630"/>
        <v>24375</v>
      </c>
      <c r="W993" s="28">
        <f t="shared" si="631"/>
        <v>2.3596985268121606E-2</v>
      </c>
      <c r="X993" s="27">
        <f t="shared" si="632"/>
        <v>9.4387941072486423E-2</v>
      </c>
      <c r="Y993" s="5">
        <f t="shared" si="633"/>
        <v>6.4097493418695688</v>
      </c>
      <c r="Z993" s="5">
        <f t="shared" si="634"/>
        <v>6.2619853654518085</v>
      </c>
      <c r="AA993" s="5">
        <f t="shared" si="635"/>
        <v>-6387225.0727608446</v>
      </c>
      <c r="AB993" t="s">
        <v>64</v>
      </c>
      <c r="AC993" t="s">
        <v>62</v>
      </c>
      <c r="AD993">
        <f t="shared" si="636"/>
        <v>4</v>
      </c>
    </row>
    <row r="994" spans="1:30" x14ac:dyDescent="0.35">
      <c r="A994" t="s">
        <v>1137</v>
      </c>
      <c r="B994" t="s">
        <v>122</v>
      </c>
      <c r="C994" s="36">
        <f t="shared" si="624"/>
        <v>0.1030168447150676</v>
      </c>
      <c r="D994" s="3">
        <f t="shared" si="625"/>
        <v>0.1030168447150676</v>
      </c>
      <c r="F994">
        <v>964.2</v>
      </c>
      <c r="G994" t="s">
        <v>76</v>
      </c>
      <c r="H994">
        <v>1000</v>
      </c>
      <c r="I994" s="22"/>
      <c r="J994">
        <v>177</v>
      </c>
      <c r="K994" s="22"/>
      <c r="L994">
        <v>11.3518795846113</v>
      </c>
      <c r="M994" s="22">
        <v>9.35E-2</v>
      </c>
      <c r="N994" s="21">
        <v>44854</v>
      </c>
      <c r="O994" s="21">
        <v>46680</v>
      </c>
      <c r="P994">
        <f t="shared" si="626"/>
        <v>5</v>
      </c>
      <c r="Q994" s="6">
        <f t="shared" si="627"/>
        <v>9.6971582659199335E-2</v>
      </c>
      <c r="R994" s="5">
        <f t="shared" si="628"/>
        <v>1</v>
      </c>
      <c r="S994" t="s">
        <v>93</v>
      </c>
      <c r="U994">
        <f t="shared" si="629"/>
        <v>5</v>
      </c>
      <c r="V994">
        <f t="shared" si="630"/>
        <v>93.5</v>
      </c>
      <c r="W994" s="28">
        <f t="shared" si="631"/>
        <v>0.1030168447150676</v>
      </c>
      <c r="X994" s="27">
        <f t="shared" si="632"/>
        <v>0.1030168447150676</v>
      </c>
      <c r="Y994" s="5">
        <f t="shared" si="633"/>
        <v>4.1991971937961097</v>
      </c>
      <c r="Z994" s="5">
        <f t="shared" si="634"/>
        <v>3.8070109390585509</v>
      </c>
      <c r="AA994" s="5">
        <f t="shared" si="635"/>
        <v>-3670.7199474402551</v>
      </c>
      <c r="AB994" t="s">
        <v>64</v>
      </c>
      <c r="AC994" t="s">
        <v>62</v>
      </c>
      <c r="AD994">
        <f t="shared" si="636"/>
        <v>1</v>
      </c>
    </row>
    <row r="995" spans="1:30" x14ac:dyDescent="0.35">
      <c r="A995" t="s">
        <v>1136</v>
      </c>
      <c r="B995" t="s">
        <v>122</v>
      </c>
      <c r="C995" s="36">
        <f t="shared" si="624"/>
        <v>8.7288549343701408E-2</v>
      </c>
      <c r="D995" s="3">
        <f t="shared" si="625"/>
        <v>8.7288549343701408E-2</v>
      </c>
      <c r="F995">
        <v>1040</v>
      </c>
      <c r="G995" t="s">
        <v>76</v>
      </c>
      <c r="H995">
        <v>1000</v>
      </c>
      <c r="I995" s="22"/>
      <c r="J995">
        <v>5</v>
      </c>
      <c r="K995" s="22"/>
      <c r="L995">
        <v>7.6774834899079103</v>
      </c>
      <c r="M995" s="22">
        <v>9.7500000000000003E-2</v>
      </c>
      <c r="N995" s="21">
        <v>44854</v>
      </c>
      <c r="O995" s="21">
        <v>46680</v>
      </c>
      <c r="P995">
        <f t="shared" si="626"/>
        <v>5</v>
      </c>
      <c r="Q995" s="6">
        <f t="shared" si="627"/>
        <v>9.375E-2</v>
      </c>
      <c r="R995" s="5">
        <f t="shared" si="628"/>
        <v>1</v>
      </c>
      <c r="S995" t="s">
        <v>93</v>
      </c>
      <c r="U995">
        <f t="shared" si="629"/>
        <v>5</v>
      </c>
      <c r="V995">
        <f t="shared" si="630"/>
        <v>97.5</v>
      </c>
      <c r="W995" s="28">
        <f t="shared" si="631"/>
        <v>8.7288549343701408E-2</v>
      </c>
      <c r="X995" s="27">
        <f t="shared" si="632"/>
        <v>8.7288549343701408E-2</v>
      </c>
      <c r="Y995" s="5">
        <f t="shared" si="633"/>
        <v>4.2042505944971973</v>
      </c>
      <c r="Z995" s="5">
        <f t="shared" si="634"/>
        <v>3.8667293949107862</v>
      </c>
      <c r="AA995" s="5">
        <f t="shared" si="635"/>
        <v>-4021.3985707072175</v>
      </c>
      <c r="AB995" t="s">
        <v>64</v>
      </c>
      <c r="AC995" t="s">
        <v>62</v>
      </c>
      <c r="AD995">
        <f t="shared" si="636"/>
        <v>1</v>
      </c>
    </row>
    <row r="996" spans="1:30" x14ac:dyDescent="0.35">
      <c r="C996" s="28"/>
      <c r="D996" s="27"/>
      <c r="I996" s="22"/>
      <c r="K996" s="22"/>
      <c r="M996" s="22"/>
      <c r="N996" s="21"/>
      <c r="O996" s="21"/>
      <c r="P996" s="5"/>
      <c r="Q996" s="6"/>
      <c r="R996" s="5"/>
      <c r="W996" s="28"/>
      <c r="Y996" s="33"/>
      <c r="Z996" s="33"/>
      <c r="AA996" s="33"/>
    </row>
    <row r="997" spans="1:30" x14ac:dyDescent="0.35">
      <c r="A997" t="s">
        <v>1134</v>
      </c>
      <c r="B997" t="s">
        <v>122</v>
      </c>
      <c r="C997" s="36">
        <f>RATE(U997,V997,-F997,H997)</f>
        <v>8.9776538497154793E-2</v>
      </c>
      <c r="D997" s="3">
        <f>C997*AD997</f>
        <v>8.9776538497154793E-2</v>
      </c>
      <c r="F997">
        <v>1015</v>
      </c>
      <c r="G997" t="s">
        <v>76</v>
      </c>
      <c r="H997">
        <v>1000</v>
      </c>
      <c r="I997" s="22"/>
      <c r="J997">
        <v>9</v>
      </c>
      <c r="K997" s="22"/>
      <c r="L997">
        <v>8.7731536071922402</v>
      </c>
      <c r="M997" s="22">
        <v>9.5700000000000007E-2</v>
      </c>
      <c r="N997" s="21">
        <v>45589</v>
      </c>
      <c r="O997" s="21">
        <v>46684</v>
      </c>
      <c r="P997">
        <f>ROUND(YEARFRAC(N997,O997),0)</f>
        <v>3</v>
      </c>
      <c r="Q997" s="6">
        <f>(M997*H997)/F997</f>
        <v>9.4285714285714292E-2</v>
      </c>
      <c r="R997" s="5">
        <f>IF(S997="Quarterly",4,IF(S997="Semi-annual",2,IF(S997="Annual",1,IF(S997="Pays at maturity",0,12))))</f>
        <v>1</v>
      </c>
      <c r="S997" t="s">
        <v>93</v>
      </c>
      <c r="U997">
        <f>R997*P997</f>
        <v>3</v>
      </c>
      <c r="V997">
        <f>(H997*M997)/AD997</f>
        <v>95.7</v>
      </c>
      <c r="W997" s="28">
        <f>RATE(U997,V997,-F997,H997)</f>
        <v>8.9776538497154793E-2</v>
      </c>
      <c r="X997" s="27">
        <f>W997*AD997</f>
        <v>8.9776538497154793E-2</v>
      </c>
      <c r="Y997" s="5">
        <f>DURATION(N997,O997,M997,D997,AD997)</f>
        <v>2.7475722670243221</v>
      </c>
      <c r="Z997" s="5">
        <f>Y997/(1+C997)</f>
        <v>2.5212253796666735</v>
      </c>
      <c r="AA997" s="5">
        <f>-Z997*F997</f>
        <v>-2559.0437603616738</v>
      </c>
      <c r="AB997" t="s">
        <v>64</v>
      </c>
      <c r="AC997" t="s">
        <v>62</v>
      </c>
      <c r="AD997">
        <f>_xlfn.SWITCH(PROPER(TRIM(S997)),
   "Annual",1,
   "Semi-Annual",2,
   "Quarterly",4,
   "Monthly",12,
   "")</f>
        <v>1</v>
      </c>
    </row>
    <row r="998" spans="1:30" x14ac:dyDescent="0.35">
      <c r="A998" t="s">
        <v>1133</v>
      </c>
      <c r="B998" t="s">
        <v>122</v>
      </c>
      <c r="C998" s="36">
        <f>RATE(U998,V998,-F998,H998)</f>
        <v>8.6456597910898061E-2</v>
      </c>
      <c r="D998" s="3">
        <f>C998*AD998</f>
        <v>8.6456597910898061E-2</v>
      </c>
      <c r="F998">
        <v>1034.5</v>
      </c>
      <c r="G998" t="s">
        <v>76</v>
      </c>
      <c r="H998">
        <v>1000</v>
      </c>
      <c r="I998" s="22"/>
      <c r="J998">
        <v>50</v>
      </c>
      <c r="K998" s="22"/>
      <c r="L998">
        <v>8.1981645299880306</v>
      </c>
      <c r="M998" s="22">
        <v>0.1</v>
      </c>
      <c r="N998" s="21">
        <v>45589</v>
      </c>
      <c r="O998" s="21">
        <v>46684</v>
      </c>
      <c r="P998">
        <f>ROUND(YEARFRAC(N998,O998),0)</f>
        <v>3</v>
      </c>
      <c r="Q998" s="6">
        <f>(M998*H998)/F998</f>
        <v>9.6665055582406956E-2</v>
      </c>
      <c r="R998" s="5">
        <f>IF(S998="Quarterly",4,IF(S998="Semi-annual",2,IF(S998="Annual",1,IF(S998="Pays at maturity",0,12))))</f>
        <v>1</v>
      </c>
      <c r="S998" t="s">
        <v>93</v>
      </c>
      <c r="U998">
        <f>R998*P998</f>
        <v>3</v>
      </c>
      <c r="V998">
        <f>(H998*M998)/AD998</f>
        <v>100</v>
      </c>
      <c r="W998" s="28">
        <f>RATE(U998,V998,-F998,H998)</f>
        <v>8.6456597910898061E-2</v>
      </c>
      <c r="X998" s="27">
        <f>W998*AD998</f>
        <v>8.6456597910898061E-2</v>
      </c>
      <c r="Y998" s="5">
        <f>DURATION(N998,O998,M998,D998,AD998)</f>
        <v>2.7401618397976373</v>
      </c>
      <c r="Z998" s="5">
        <f>Y998/(1+C998)</f>
        <v>2.5221088859569538</v>
      </c>
      <c r="AA998" s="5">
        <f>-Z998*F998</f>
        <v>-2609.1216425224688</v>
      </c>
      <c r="AB998" t="s">
        <v>64</v>
      </c>
      <c r="AC998" t="s">
        <v>62</v>
      </c>
      <c r="AD998">
        <f>_xlfn.SWITCH(PROPER(TRIM(S998)),
   "Annual",1,
   "Semi-Annual",2,
   "Quarterly",4,
   "Monthly",12,
   "")</f>
        <v>1</v>
      </c>
    </row>
    <row r="999" spans="1:30" x14ac:dyDescent="0.35">
      <c r="C999" s="28"/>
      <c r="D999" s="27"/>
      <c r="I999" s="22"/>
      <c r="K999" s="22"/>
      <c r="M999" s="22"/>
      <c r="N999" s="21"/>
      <c r="O999" s="21"/>
      <c r="P999" s="5"/>
      <c r="Q999" s="6"/>
      <c r="R999" s="5"/>
      <c r="W999" s="28"/>
      <c r="Y999" s="33"/>
      <c r="Z999" s="33"/>
      <c r="AA999" s="33"/>
    </row>
    <row r="1000" spans="1:30" x14ac:dyDescent="0.35">
      <c r="A1000" t="s">
        <v>1131</v>
      </c>
      <c r="B1000" t="s">
        <v>401</v>
      </c>
      <c r="C1000" s="36">
        <f>RATE(U1000,V1000,-F1000,H1000)</f>
        <v>0.10600170266196034</v>
      </c>
      <c r="D1000" s="3">
        <f>C1000*AD1000</f>
        <v>0.10600170266196034</v>
      </c>
      <c r="F1000">
        <v>996260.27</v>
      </c>
      <c r="G1000" t="s">
        <v>76</v>
      </c>
      <c r="H1000">
        <v>1000000</v>
      </c>
      <c r="I1000" s="22"/>
      <c r="J1000">
        <v>1</v>
      </c>
      <c r="K1000" s="22"/>
      <c r="L1000">
        <v>10.6931884535927</v>
      </c>
      <c r="M1000" s="22">
        <v>0.105</v>
      </c>
      <c r="N1000" s="21">
        <v>44861</v>
      </c>
      <c r="O1000" s="21">
        <v>46687</v>
      </c>
      <c r="P1000">
        <f>ROUND(YEARFRAC(N1000,O1000),0)</f>
        <v>5</v>
      </c>
      <c r="Q1000" s="6">
        <f>(M1000*H1000)/F1000</f>
        <v>0.10539414564830533</v>
      </c>
      <c r="R1000" s="5">
        <f>IF(S1000="Quarterly",4,IF(S1000="Semi-annual",2,IF(S1000="Annual",1,IF(S1000="Pays at maturity",0,12))))</f>
        <v>1</v>
      </c>
      <c r="S1000" t="s">
        <v>93</v>
      </c>
      <c r="U1000">
        <f>R1000*P1000</f>
        <v>5</v>
      </c>
      <c r="V1000">
        <f>(H1000*M1000)/AD1000</f>
        <v>105000</v>
      </c>
      <c r="W1000" s="28">
        <f>RATE(U1000,V1000,-F1000,H1000)</f>
        <v>0.10600170266196034</v>
      </c>
      <c r="X1000" s="27">
        <f>W1000*AD1000</f>
        <v>0.10600170266196034</v>
      </c>
      <c r="Y1000" s="5">
        <f>DURATION(N1000,O1000,M1000,D1000,AD1000)</f>
        <v>4.1341087888787182</v>
      </c>
      <c r="Z1000" s="5">
        <f>Y1000/(1+C1000)</f>
        <v>3.7378864597844763</v>
      </c>
      <c r="AA1000" s="5">
        <f>-Z1000*F1000</f>
        <v>-3723907.7736542267</v>
      </c>
      <c r="AB1000" t="s">
        <v>64</v>
      </c>
      <c r="AC1000" t="s">
        <v>62</v>
      </c>
      <c r="AD1000">
        <f>_xlfn.SWITCH(PROPER(TRIM(S1000)),
   "Annual",1,
   "Semi-Annual",2,
   "Quarterly",4,
   "Monthly",12,
   "")</f>
        <v>1</v>
      </c>
    </row>
    <row r="1001" spans="1:30" x14ac:dyDescent="0.35">
      <c r="A1001" t="s">
        <v>1130</v>
      </c>
      <c r="B1001" t="s">
        <v>1129</v>
      </c>
      <c r="C1001" s="36">
        <f>RATE(U1001,V1001,-F1001,H1001)</f>
        <v>2.2820853325387035E-2</v>
      </c>
      <c r="D1001" s="3">
        <f>C1001*AD1001</f>
        <v>4.5641706650774071E-2</v>
      </c>
      <c r="F1001">
        <v>975</v>
      </c>
      <c r="G1001" t="s">
        <v>66</v>
      </c>
      <c r="H1001">
        <v>1000</v>
      </c>
      <c r="I1001" s="22"/>
      <c r="J1001">
        <v>20000</v>
      </c>
      <c r="K1001" s="22"/>
      <c r="M1001" s="22">
        <v>4.2500000000000003E-2</v>
      </c>
      <c r="N1001" s="21">
        <v>43035</v>
      </c>
      <c r="O1001" s="21">
        <v>46687</v>
      </c>
      <c r="P1001">
        <f>ROUND(YEARFRAC(N1001,O1001),0)</f>
        <v>10</v>
      </c>
      <c r="Q1001" s="6">
        <f>(M1001*H1001)/F1001</f>
        <v>4.3589743589743588E-2</v>
      </c>
      <c r="R1001" s="5">
        <f>IF(S1001="Quarterly",4,IF(S1001="Semi-annual",2,IF(S1001="Annual",1,IF(S1001="Pays at maturity",0,12))))</f>
        <v>2</v>
      </c>
      <c r="S1001" t="s">
        <v>65</v>
      </c>
      <c r="U1001">
        <f>R1001*P1001</f>
        <v>20</v>
      </c>
      <c r="V1001">
        <f>(H1001*M1001)/AD1001</f>
        <v>21.25</v>
      </c>
      <c r="W1001" s="28">
        <f>RATE(U1001,V1001,-F1001,H1001)</f>
        <v>2.2820853325387035E-2</v>
      </c>
      <c r="X1001" s="27">
        <f>W1001*AD1001</f>
        <v>4.5641706650774071E-2</v>
      </c>
      <c r="Y1001" s="5">
        <f>DURATION(N1001,O1001,M1001,D1001,AD1001)</f>
        <v>8.2227189213797036</v>
      </c>
      <c r="Z1001" s="5">
        <f>Y1001/(1+C1001)</f>
        <v>8.0392562340179765</v>
      </c>
      <c r="AA1001" s="5">
        <f>-Z1001*F1001</f>
        <v>-7838.2748281675267</v>
      </c>
      <c r="AB1001" t="s">
        <v>64</v>
      </c>
      <c r="AC1001" t="s">
        <v>62</v>
      </c>
      <c r="AD1001">
        <f>_xlfn.SWITCH(PROPER(TRIM(S1001)),
   "Annual",1,
   "Semi-Annual",2,
   "Quarterly",4,
   "Monthly",12,
   "")</f>
        <v>2</v>
      </c>
    </row>
    <row r="1002" spans="1:30" x14ac:dyDescent="0.35">
      <c r="C1002" s="28"/>
      <c r="D1002" s="27"/>
      <c r="I1002" s="22"/>
      <c r="K1002" s="22"/>
      <c r="M1002" s="22"/>
      <c r="N1002" s="21"/>
      <c r="O1002" s="21"/>
      <c r="P1002" s="5"/>
      <c r="Q1002" s="6"/>
      <c r="R1002" s="5"/>
      <c r="W1002" s="28"/>
      <c r="Y1002" s="33"/>
      <c r="Z1002" s="33"/>
      <c r="AA1002" s="33"/>
    </row>
    <row r="1003" spans="1:30" x14ac:dyDescent="0.35">
      <c r="A1003" t="s">
        <v>1127</v>
      </c>
      <c r="B1003" t="s">
        <v>241</v>
      </c>
      <c r="C1003" s="36">
        <f>RATE(U1003,V1003,-F1003,H1003)</f>
        <v>9.5000000000000612E-2</v>
      </c>
      <c r="D1003" s="3">
        <f>C1003*AD1003</f>
        <v>9.5000000000000612E-2</v>
      </c>
      <c r="F1003">
        <v>1000</v>
      </c>
      <c r="G1003" t="s">
        <v>76</v>
      </c>
      <c r="H1003">
        <v>1000</v>
      </c>
      <c r="I1003" s="22"/>
      <c r="J1003">
        <v>130</v>
      </c>
      <c r="K1003" s="22"/>
      <c r="L1003">
        <v>9.5</v>
      </c>
      <c r="M1003" s="22">
        <v>9.5000000000000001E-2</v>
      </c>
      <c r="N1003" s="21">
        <v>44498</v>
      </c>
      <c r="O1003" s="21">
        <v>46689</v>
      </c>
      <c r="P1003">
        <f>ROUND(YEARFRAC(N1003,O1003),0)</f>
        <v>6</v>
      </c>
      <c r="Q1003" s="6">
        <f>(M1003*H1003)/F1003</f>
        <v>9.5000000000000001E-2</v>
      </c>
      <c r="R1003" s="5">
        <f>IF(S1003="Quarterly",4,IF(S1003="Semi-annual",2,IF(S1003="Annual",1,IF(S1003="Pays at maturity",0,12))))</f>
        <v>1</v>
      </c>
      <c r="S1003" t="s">
        <v>93</v>
      </c>
      <c r="U1003">
        <f>R1003*P1003</f>
        <v>6</v>
      </c>
      <c r="V1003">
        <f>(H1003*M1003)/AD1003</f>
        <v>95</v>
      </c>
      <c r="W1003" s="28">
        <f>RATE(U1003,V1003,-F1003,H1003)</f>
        <v>9.5000000000000612E-2</v>
      </c>
      <c r="X1003" s="27">
        <f>W1003*AD1003</f>
        <v>9.5000000000000612E-2</v>
      </c>
      <c r="Y1003" s="5">
        <f>DURATION(N1003,O1003,M1003,D1003,AD1003)</f>
        <v>4.8397087865067219</v>
      </c>
      <c r="Z1003" s="5">
        <f>Y1003/(1+C1003)</f>
        <v>4.4198253758052228</v>
      </c>
      <c r="AA1003" s="5">
        <f>-Z1003*F1003</f>
        <v>-4419.8253758052224</v>
      </c>
      <c r="AB1003" t="s">
        <v>64</v>
      </c>
      <c r="AC1003" t="s">
        <v>62</v>
      </c>
      <c r="AD1003">
        <f>_xlfn.SWITCH(PROPER(TRIM(S1003)),
   "Annual",1,
   "Semi-Annual",2,
   "Quarterly",4,
   "Monthly",12,
   "")</f>
        <v>1</v>
      </c>
    </row>
    <row r="1004" spans="1:30" x14ac:dyDescent="0.35">
      <c r="C1004" s="28"/>
      <c r="D1004" s="27"/>
      <c r="I1004" s="22"/>
      <c r="K1004" s="22"/>
      <c r="M1004" s="22"/>
      <c r="N1004" s="21"/>
      <c r="O1004" s="21"/>
      <c r="P1004" s="5"/>
      <c r="Q1004" s="6"/>
      <c r="R1004" s="5"/>
      <c r="W1004" s="28"/>
      <c r="Y1004" s="33"/>
      <c r="Z1004" s="33"/>
      <c r="AA1004" s="33"/>
    </row>
    <row r="1005" spans="1:30" x14ac:dyDescent="0.35">
      <c r="C1005" s="28"/>
      <c r="D1005" s="27"/>
      <c r="I1005" s="22"/>
      <c r="K1005" s="22"/>
      <c r="M1005" s="22"/>
      <c r="N1005" s="21"/>
      <c r="O1005" s="21"/>
      <c r="P1005" s="5"/>
      <c r="Q1005" s="6"/>
      <c r="R1005" s="5"/>
      <c r="W1005" s="28"/>
      <c r="Y1005" s="33"/>
      <c r="Z1005" s="33"/>
      <c r="AA1005" s="33"/>
    </row>
    <row r="1006" spans="1:30" x14ac:dyDescent="0.35">
      <c r="A1006" t="s">
        <v>1124</v>
      </c>
      <c r="B1006" t="s">
        <v>241</v>
      </c>
      <c r="C1006" s="36">
        <f>RATE(U1006,V1006,-F1006,H1006)</f>
        <v>0.10460761394992192</v>
      </c>
      <c r="D1006" s="3">
        <f>C1006*AD1006</f>
        <v>0.10460761394992192</v>
      </c>
      <c r="F1006">
        <v>980</v>
      </c>
      <c r="G1006" t="s">
        <v>76</v>
      </c>
      <c r="H1006">
        <v>1000</v>
      </c>
      <c r="I1006" s="22"/>
      <c r="J1006">
        <v>500</v>
      </c>
      <c r="K1006" s="22"/>
      <c r="L1006">
        <v>10.614874815905701</v>
      </c>
      <c r="M1006" s="22">
        <v>9.6500000000000002E-2</v>
      </c>
      <c r="N1006" s="21">
        <v>45595</v>
      </c>
      <c r="O1006" s="21">
        <v>46690</v>
      </c>
      <c r="P1006">
        <f>ROUND(YEARFRAC(N1006,O1006),0)</f>
        <v>3</v>
      </c>
      <c r="Q1006" s="6">
        <f>(M1006*H1006)/F1006</f>
        <v>9.8469387755102042E-2</v>
      </c>
      <c r="R1006" s="5">
        <f>IF(S1006="Quarterly",4,IF(S1006="Semi-annual",2,IF(S1006="Annual",1,IF(S1006="Pays at maturity",0,12))))</f>
        <v>1</v>
      </c>
      <c r="S1006" t="s">
        <v>93</v>
      </c>
      <c r="U1006">
        <f>R1006*P1006</f>
        <v>3</v>
      </c>
      <c r="V1006">
        <f>(H1006*M1006)/AD1006</f>
        <v>96.5</v>
      </c>
      <c r="W1006" s="28">
        <f>RATE(U1006,V1006,-F1006,H1006)</f>
        <v>0.10460761394992192</v>
      </c>
      <c r="X1006" s="27">
        <f>W1006*AD1006</f>
        <v>0.10460761394992192</v>
      </c>
      <c r="Y1006" s="5">
        <f>DURATION(N1006,O1006,M1006,D1006,AD1006)</f>
        <v>2.7410093908827644</v>
      </c>
      <c r="Z1006" s="5">
        <f>Y1006/(1+C1006)</f>
        <v>2.4814326429285591</v>
      </c>
      <c r="AA1006" s="5">
        <f>-Z1006*F1006</f>
        <v>-2431.8039900699878</v>
      </c>
      <c r="AB1006" t="s">
        <v>64</v>
      </c>
      <c r="AC1006" t="s">
        <v>62</v>
      </c>
      <c r="AD1006">
        <f>_xlfn.SWITCH(PROPER(TRIM(S1006)),
   "Annual",1,
   "Semi-Annual",2,
   "Quarterly",4,
   "Monthly",12,
   "")</f>
        <v>1</v>
      </c>
    </row>
    <row r="1007" spans="1:30" x14ac:dyDescent="0.35">
      <c r="A1007" t="s">
        <v>1123</v>
      </c>
      <c r="B1007" t="s">
        <v>241</v>
      </c>
      <c r="C1007" s="36">
        <f>RATE(U1007,V1007,-F1007,H1007)</f>
        <v>9.6496368443511907E-2</v>
      </c>
      <c r="D1007" s="3">
        <f>C1007*AD1007</f>
        <v>9.6496368443511907E-2</v>
      </c>
      <c r="F1007">
        <v>990</v>
      </c>
      <c r="G1007" t="s">
        <v>76</v>
      </c>
      <c r="H1007">
        <v>1000</v>
      </c>
      <c r="I1007" s="22"/>
      <c r="J1007">
        <v>50</v>
      </c>
      <c r="K1007" s="22"/>
      <c r="L1007">
        <v>9.7741433021806792</v>
      </c>
      <c r="M1007" s="22">
        <v>9.2499999999999999E-2</v>
      </c>
      <c r="N1007" s="21">
        <v>45595</v>
      </c>
      <c r="O1007" s="21">
        <v>46690</v>
      </c>
      <c r="P1007">
        <f>ROUND(YEARFRAC(N1007,O1007),0)</f>
        <v>3</v>
      </c>
      <c r="Q1007" s="6">
        <f>(M1007*H1007)/F1007</f>
        <v>9.3434343434343439E-2</v>
      </c>
      <c r="R1007" s="5">
        <f>IF(S1007="Quarterly",4,IF(S1007="Semi-annual",2,IF(S1007="Annual",1,IF(S1007="Pays at maturity",0,12))))</f>
        <v>1</v>
      </c>
      <c r="S1007" t="s">
        <v>93</v>
      </c>
      <c r="U1007">
        <f>R1007*P1007</f>
        <v>3</v>
      </c>
      <c r="V1007">
        <f>(H1007*M1007)/AD1007</f>
        <v>92.5</v>
      </c>
      <c r="W1007" s="28">
        <f>RATE(U1007,V1007,-F1007,H1007)</f>
        <v>9.6496368443511907E-2</v>
      </c>
      <c r="X1007" s="27">
        <f>W1007*AD1007</f>
        <v>9.6496368443511907E-2</v>
      </c>
      <c r="Y1007" s="5">
        <f>DURATION(N1007,O1007,M1007,D1007,AD1007)</f>
        <v>2.7518638306177068</v>
      </c>
      <c r="Z1007" s="5">
        <f>Y1007/(1+C1007)</f>
        <v>2.509688048054374</v>
      </c>
      <c r="AA1007" s="5">
        <f>-Z1007*F1007</f>
        <v>-2484.5911675738303</v>
      </c>
      <c r="AB1007" t="s">
        <v>64</v>
      </c>
      <c r="AC1007" t="s">
        <v>62</v>
      </c>
      <c r="AD1007">
        <f>_xlfn.SWITCH(PROPER(TRIM(S1007)),
   "Annual",1,
   "Semi-Annual",2,
   "Quarterly",4,
   "Monthly",12,
   "")</f>
        <v>1</v>
      </c>
    </row>
    <row r="1008" spans="1:30" x14ac:dyDescent="0.35">
      <c r="C1008" s="28"/>
      <c r="D1008" s="27"/>
      <c r="I1008" s="22"/>
      <c r="K1008" s="22"/>
      <c r="M1008" s="22"/>
      <c r="N1008" s="21"/>
      <c r="O1008" s="21"/>
      <c r="P1008" s="5"/>
      <c r="Q1008" s="6"/>
      <c r="R1008" s="5"/>
      <c r="W1008" s="28"/>
      <c r="Y1008" s="33"/>
      <c r="Z1008" s="33"/>
      <c r="AA1008" s="33"/>
    </row>
    <row r="1009" spans="1:30" x14ac:dyDescent="0.35">
      <c r="A1009" t="s">
        <v>1121</v>
      </c>
      <c r="B1009" t="s">
        <v>272</v>
      </c>
      <c r="C1009" s="36">
        <f>RATE(U1009,V1009,-F1009,H1009)</f>
        <v>7.4722844931991481E-2</v>
      </c>
      <c r="D1009" s="3">
        <f>C1009*AD1009</f>
        <v>7.4722844931991481E-2</v>
      </c>
      <c r="F1009">
        <v>991</v>
      </c>
      <c r="G1009" t="s">
        <v>76</v>
      </c>
      <c r="H1009">
        <v>1000</v>
      </c>
      <c r="I1009" s="22"/>
      <c r="J1009">
        <v>6</v>
      </c>
      <c r="K1009" s="22"/>
      <c r="L1009">
        <v>7.7133046337904396</v>
      </c>
      <c r="M1009" s="22">
        <v>7.2499999999999995E-2</v>
      </c>
      <c r="N1009" s="21">
        <v>44868</v>
      </c>
      <c r="O1009" s="21">
        <v>46694</v>
      </c>
      <c r="P1009">
        <f>ROUND(YEARFRAC(N1009,O1009),0)</f>
        <v>5</v>
      </c>
      <c r="Q1009" s="6">
        <f>(M1009*H1009)/F1009</f>
        <v>7.3158425832492435E-2</v>
      </c>
      <c r="R1009" s="5">
        <f>IF(S1009="Quarterly",4,IF(S1009="Semi-annual",2,IF(S1009="Annual",1,IF(S1009="Pays at maturity",0,12))))</f>
        <v>1</v>
      </c>
      <c r="S1009" t="s">
        <v>93</v>
      </c>
      <c r="U1009">
        <f>R1009*P1009</f>
        <v>5</v>
      </c>
      <c r="V1009">
        <f>(H1009*M1009)/AD1009</f>
        <v>72.5</v>
      </c>
      <c r="W1009" s="28">
        <f>RATE(U1009,V1009,-F1009,H1009)</f>
        <v>7.4722844931991481E-2</v>
      </c>
      <c r="X1009" s="27">
        <f>W1009*AD1009</f>
        <v>7.4722844931991481E-2</v>
      </c>
      <c r="Y1009" s="5">
        <f>DURATION(N1009,O1009,M1009,D1009,AD1009)</f>
        <v>4.3649872791374369</v>
      </c>
      <c r="Z1009" s="5">
        <f>Y1009/(1+C1009)</f>
        <v>4.061500413544902</v>
      </c>
      <c r="AA1009" s="5">
        <f>-Z1009*F1009</f>
        <v>-4024.9469098229979</v>
      </c>
      <c r="AB1009" t="s">
        <v>64</v>
      </c>
      <c r="AC1009" t="s">
        <v>62</v>
      </c>
      <c r="AD1009">
        <f>_xlfn.SWITCH(PROPER(TRIM(S1009)),
   "Annual",1,
   "Semi-Annual",2,
   "Quarterly",4,
   "Monthly",12,
   "")</f>
        <v>1</v>
      </c>
    </row>
    <row r="1010" spans="1:30" x14ac:dyDescent="0.35">
      <c r="A1010" t="s">
        <v>1120</v>
      </c>
      <c r="B1010" t="s">
        <v>128</v>
      </c>
      <c r="C1010" s="36">
        <f>RATE(U1010,V1010,-F1010,H1010)</f>
        <v>0.12339042601363209</v>
      </c>
      <c r="D1010" s="3">
        <f>C1010*AD1010</f>
        <v>0.12339042601363209</v>
      </c>
      <c r="F1010">
        <v>900.3</v>
      </c>
      <c r="G1010" t="s">
        <v>76</v>
      </c>
      <c r="H1010">
        <v>1000</v>
      </c>
      <c r="I1010" s="22"/>
      <c r="J1010">
        <v>10</v>
      </c>
      <c r="K1010" s="22"/>
      <c r="L1010">
        <v>15.1087350986939</v>
      </c>
      <c r="M1010" s="22">
        <v>9.5500000000000002E-2</v>
      </c>
      <c r="N1010" s="21">
        <v>44868</v>
      </c>
      <c r="O1010" s="21">
        <v>46694</v>
      </c>
      <c r="P1010">
        <f>ROUND(YEARFRAC(N1010,O1010),0)</f>
        <v>5</v>
      </c>
      <c r="Q1010" s="6">
        <f>(M1010*H1010)/F1010</f>
        <v>0.10607575252693548</v>
      </c>
      <c r="R1010" s="5">
        <f>IF(S1010="Quarterly",4,IF(S1010="Semi-annual",2,IF(S1010="Annual",1,IF(S1010="Pays at maturity",0,12))))</f>
        <v>1</v>
      </c>
      <c r="S1010" t="s">
        <v>93</v>
      </c>
      <c r="U1010">
        <f>R1010*P1010</f>
        <v>5</v>
      </c>
      <c r="V1010">
        <f>(H1010*M1010)/AD1010</f>
        <v>95.5</v>
      </c>
      <c r="W1010" s="28">
        <f>RATE(U1010,V1010,-F1010,H1010)</f>
        <v>0.12339042601363209</v>
      </c>
      <c r="X1010" s="27">
        <f>W1010*AD1010</f>
        <v>0.12339042601363209</v>
      </c>
      <c r="Y1010" s="5">
        <f>DURATION(N1010,O1010,M1010,D1010,AD1010)</f>
        <v>4.1538964574258532</v>
      </c>
      <c r="Z1010" s="5">
        <f>Y1010/(1+C1010)</f>
        <v>3.6976427439977551</v>
      </c>
      <c r="AA1010" s="5">
        <f>-Z1010*F1010</f>
        <v>-3328.9877624211786</v>
      </c>
      <c r="AB1010" t="s">
        <v>64</v>
      </c>
      <c r="AC1010" t="s">
        <v>62</v>
      </c>
      <c r="AD1010">
        <f>_xlfn.SWITCH(PROPER(TRIM(S1010)),
   "Annual",1,
   "Semi-Annual",2,
   "Quarterly",4,
   "Monthly",12,
   "")</f>
        <v>1</v>
      </c>
    </row>
    <row r="1011" spans="1:30" x14ac:dyDescent="0.35">
      <c r="A1011" t="s">
        <v>1119</v>
      </c>
      <c r="B1011" t="s">
        <v>272</v>
      </c>
      <c r="C1011" s="36">
        <f>RATE(U1011,V1011,-F1011,H1011)</f>
        <v>6.7371435411281475E-2</v>
      </c>
      <c r="D1011" s="3">
        <f>C1011*AD1011</f>
        <v>6.7371435411281475E-2</v>
      </c>
      <c r="F1011">
        <v>1031.5</v>
      </c>
      <c r="G1011" t="s">
        <v>76</v>
      </c>
      <c r="H1011">
        <v>1000</v>
      </c>
      <c r="I1011" s="22"/>
      <c r="J1011">
        <v>131</v>
      </c>
      <c r="K1011" s="22"/>
      <c r="L1011">
        <v>5.9360677578434897</v>
      </c>
      <c r="M1011" s="22">
        <v>7.4999999999999997E-2</v>
      </c>
      <c r="N1011" s="21">
        <v>44868</v>
      </c>
      <c r="O1011" s="21">
        <v>46694</v>
      </c>
      <c r="P1011">
        <f>ROUND(YEARFRAC(N1011,O1011),0)</f>
        <v>5</v>
      </c>
      <c r="Q1011" s="6">
        <f>(M1011*H1011)/F1011</f>
        <v>7.2709646146388751E-2</v>
      </c>
      <c r="R1011" s="5">
        <f>IF(S1011="Quarterly",4,IF(S1011="Semi-annual",2,IF(S1011="Annual",1,IF(S1011="Pays at maturity",0,12))))</f>
        <v>1</v>
      </c>
      <c r="S1011" t="s">
        <v>93</v>
      </c>
      <c r="U1011">
        <f>R1011*P1011</f>
        <v>5</v>
      </c>
      <c r="V1011">
        <f>(H1011*M1011)/AD1011</f>
        <v>75</v>
      </c>
      <c r="W1011" s="28">
        <f>RATE(U1011,V1011,-F1011,H1011)</f>
        <v>6.7371435411281475E-2</v>
      </c>
      <c r="X1011" s="27">
        <f>W1011*AD1011</f>
        <v>6.7371435411281475E-2</v>
      </c>
      <c r="Y1011" s="5">
        <f>DURATION(N1011,O1011,M1011,D1011,AD1011)</f>
        <v>4.3604541765181661</v>
      </c>
      <c r="Z1011" s="5">
        <f>Y1011/(1+C1011)</f>
        <v>4.0852265967169972</v>
      </c>
      <c r="AA1011" s="5">
        <f>-Z1011*F1011</f>
        <v>-4213.9112345135827</v>
      </c>
      <c r="AB1011" t="s">
        <v>64</v>
      </c>
      <c r="AC1011" t="s">
        <v>62</v>
      </c>
      <c r="AD1011">
        <f>_xlfn.SWITCH(PROPER(TRIM(S1011)),
   "Annual",1,
   "Semi-Annual",2,
   "Quarterly",4,
   "Monthly",12,
   "")</f>
        <v>1</v>
      </c>
    </row>
    <row r="1012" spans="1:30" x14ac:dyDescent="0.35">
      <c r="A1012" t="s">
        <v>1118</v>
      </c>
      <c r="B1012" t="s">
        <v>128</v>
      </c>
      <c r="C1012" s="36">
        <f>RATE(U1012,V1012,-F1012,H1012)</f>
        <v>0.10210880550619912</v>
      </c>
      <c r="D1012" s="3">
        <f>C1012*AD1012</f>
        <v>0.10210880550619912</v>
      </c>
      <c r="F1012">
        <v>960</v>
      </c>
      <c r="G1012" t="s">
        <v>76</v>
      </c>
      <c r="H1012">
        <v>1000</v>
      </c>
      <c r="I1012" s="22"/>
      <c r="J1012">
        <v>10</v>
      </c>
      <c r="K1012" s="22"/>
      <c r="L1012">
        <v>11.265381508931901</v>
      </c>
      <c r="M1012" s="22">
        <v>9.1499999999999998E-2</v>
      </c>
      <c r="N1012" s="21">
        <v>44868</v>
      </c>
      <c r="O1012" s="21">
        <v>46694</v>
      </c>
      <c r="P1012">
        <f>ROUND(YEARFRAC(N1012,O1012),0)</f>
        <v>5</v>
      </c>
      <c r="Q1012" s="6">
        <f>(M1012*H1012)/F1012</f>
        <v>9.5312499999999994E-2</v>
      </c>
      <c r="R1012" s="5">
        <f>IF(S1012="Quarterly",4,IF(S1012="Semi-annual",2,IF(S1012="Annual",1,IF(S1012="Pays at maturity",0,12))))</f>
        <v>1</v>
      </c>
      <c r="S1012" t="s">
        <v>93</v>
      </c>
      <c r="U1012">
        <f>R1012*P1012</f>
        <v>5</v>
      </c>
      <c r="V1012">
        <f>(H1012*M1012)/AD1012</f>
        <v>91.5</v>
      </c>
      <c r="W1012" s="28">
        <f>RATE(U1012,V1012,-F1012,H1012)</f>
        <v>0.10210880550619912</v>
      </c>
      <c r="X1012" s="27">
        <f>W1012*AD1012</f>
        <v>0.10210880550619912</v>
      </c>
      <c r="Y1012" s="5">
        <f>DURATION(N1012,O1012,M1012,D1012,AD1012)</f>
        <v>4.2116620207306186</v>
      </c>
      <c r="Z1012" s="5">
        <f>Y1012/(1+C1012)</f>
        <v>3.821457554543537</v>
      </c>
      <c r="AA1012" s="5">
        <f>-Z1012*F1012</f>
        <v>-3668.5992523617956</v>
      </c>
      <c r="AB1012" t="s">
        <v>64</v>
      </c>
      <c r="AC1012" t="s">
        <v>62</v>
      </c>
      <c r="AD1012">
        <f>_xlfn.SWITCH(PROPER(TRIM(S1012)),
   "Annual",1,
   "Semi-Annual",2,
   "Quarterly",4,
   "Monthly",12,
   "")</f>
        <v>1</v>
      </c>
    </row>
    <row r="1013" spans="1:30" x14ac:dyDescent="0.35">
      <c r="A1013" t="s">
        <v>1117</v>
      </c>
      <c r="B1013" t="s">
        <v>875</v>
      </c>
      <c r="C1013" s="36">
        <f>RATE(U1013,V1013,-F1013,H1013)</f>
        <v>0.10680521598456921</v>
      </c>
      <c r="D1013" s="3">
        <f>C1013*AD1013</f>
        <v>0.10680521598456921</v>
      </c>
      <c r="F1013">
        <v>960</v>
      </c>
      <c r="G1013" t="s">
        <v>76</v>
      </c>
      <c r="H1013">
        <v>1000</v>
      </c>
      <c r="I1013" s="22"/>
      <c r="J1013">
        <v>20</v>
      </c>
      <c r="K1013" s="22"/>
      <c r="L1013">
        <v>11.604340484704</v>
      </c>
      <c r="M1013" s="22">
        <v>9.4E-2</v>
      </c>
      <c r="N1013" s="21">
        <v>45176</v>
      </c>
      <c r="O1013" s="21">
        <v>46698</v>
      </c>
      <c r="P1013">
        <f>ROUND(YEARFRAC(N1013,O1013),0)</f>
        <v>4</v>
      </c>
      <c r="Q1013" s="6">
        <f>(M1013*H1013)/F1013</f>
        <v>9.7916666666666666E-2</v>
      </c>
      <c r="R1013" s="5">
        <f>IF(S1013="Quarterly",4,IF(S1013="Semi-annual",2,IF(S1013="Annual",1,IF(S1013="Pays at maturity",0,12))))</f>
        <v>1</v>
      </c>
      <c r="S1013" t="s">
        <v>93</v>
      </c>
      <c r="U1013">
        <f>R1013*P1013</f>
        <v>4</v>
      </c>
      <c r="V1013">
        <f>(H1013*M1013)/AD1013</f>
        <v>94</v>
      </c>
      <c r="W1013" s="28">
        <f>RATE(U1013,V1013,-F1013,H1013)</f>
        <v>0.10680521598456921</v>
      </c>
      <c r="X1013" s="27">
        <f>W1013*AD1013</f>
        <v>0.10680521598456921</v>
      </c>
      <c r="Y1013" s="5">
        <f>DURATION(N1013,O1013,M1013,D1013,AD1013)</f>
        <v>3.3568152141891376</v>
      </c>
      <c r="Z1013" s="5">
        <f>Y1013/(1+C1013)</f>
        <v>3.0328870570085367</v>
      </c>
      <c r="AA1013" s="5">
        <f>-Z1013*F1013</f>
        <v>-2911.5715747281952</v>
      </c>
      <c r="AB1013" t="s">
        <v>64</v>
      </c>
      <c r="AC1013" t="s">
        <v>62</v>
      </c>
      <c r="AD1013">
        <f>_xlfn.SWITCH(PROPER(TRIM(S1013)),
   "Annual",1,
   "Semi-Annual",2,
   "Quarterly",4,
   "Monthly",12,
   "")</f>
        <v>1</v>
      </c>
    </row>
    <row r="1014" spans="1:30" x14ac:dyDescent="0.35">
      <c r="C1014" s="28"/>
      <c r="D1014" s="27"/>
      <c r="I1014" s="22"/>
      <c r="K1014" s="22"/>
      <c r="M1014" s="22"/>
      <c r="N1014" s="21"/>
      <c r="O1014" s="21"/>
      <c r="P1014" s="5"/>
      <c r="Q1014" s="6"/>
      <c r="R1014" s="5"/>
      <c r="W1014" s="28"/>
      <c r="Y1014" s="33"/>
      <c r="Z1014" s="33"/>
      <c r="AA1014" s="33"/>
    </row>
    <row r="1015" spans="1:30" x14ac:dyDescent="0.35">
      <c r="C1015" s="28"/>
      <c r="D1015" s="27"/>
      <c r="I1015" s="22"/>
      <c r="K1015" s="22"/>
      <c r="M1015" s="22"/>
      <c r="N1015" s="21"/>
      <c r="O1015" s="21"/>
      <c r="P1015" s="5"/>
      <c r="Q1015" s="6"/>
      <c r="R1015" s="5"/>
      <c r="W1015" s="28"/>
      <c r="Y1015" s="33"/>
      <c r="Z1015" s="33"/>
      <c r="AA1015" s="33"/>
    </row>
    <row r="1016" spans="1:30" x14ac:dyDescent="0.35">
      <c r="C1016" s="28"/>
      <c r="D1016" s="27"/>
      <c r="I1016" s="22"/>
      <c r="K1016" s="22"/>
      <c r="M1016" s="22"/>
      <c r="N1016" s="21"/>
      <c r="O1016" s="21"/>
      <c r="P1016" s="5"/>
      <c r="Q1016" s="6"/>
      <c r="R1016" s="5"/>
      <c r="W1016" s="28"/>
      <c r="Y1016" s="33"/>
      <c r="Z1016" s="33"/>
      <c r="AA1016" s="33"/>
    </row>
    <row r="1017" spans="1:30" x14ac:dyDescent="0.35">
      <c r="A1017" t="s">
        <v>1112</v>
      </c>
      <c r="B1017" t="s">
        <v>1111</v>
      </c>
      <c r="C1017" s="36">
        <f>RATE(U1017,V1017,-F1017,H1017)</f>
        <v>7.4025880542224962E-2</v>
      </c>
      <c r="D1017" s="3">
        <f>C1017*AD1017</f>
        <v>7.4025880542224962E-2</v>
      </c>
      <c r="F1017">
        <v>1023422</v>
      </c>
      <c r="G1017" t="s">
        <v>76</v>
      </c>
      <c r="H1017">
        <v>1000000</v>
      </c>
      <c r="I1017" s="22"/>
      <c r="J1017">
        <v>2</v>
      </c>
      <c r="K1017" s="22"/>
      <c r="L1017">
        <v>7.3051262049757897</v>
      </c>
      <c r="M1017" s="22">
        <v>7.980000000000001E-2</v>
      </c>
      <c r="N1017" s="21">
        <v>44883</v>
      </c>
      <c r="O1017" s="21">
        <v>46709</v>
      </c>
      <c r="P1017">
        <f>ROUND(YEARFRAC(N1017,O1017),0)</f>
        <v>5</v>
      </c>
      <c r="Q1017" s="6">
        <f>(M1017*H1017)/F1017</f>
        <v>7.7973699998632059E-2</v>
      </c>
      <c r="R1017" s="5">
        <f>IF(S1017="Quarterly",4,IF(S1017="Semi-annual",2,IF(S1017="Annual",1,IF(S1017="Pays at maturity",0,12))))</f>
        <v>1</v>
      </c>
      <c r="S1017" t="s">
        <v>93</v>
      </c>
      <c r="U1017">
        <f>R1017*P1017</f>
        <v>5</v>
      </c>
      <c r="V1017">
        <f>(H1017*M1017)/AD1017</f>
        <v>79800.000000000015</v>
      </c>
      <c r="W1017" s="28">
        <f>RATE(U1017,V1017,-F1017,H1017)</f>
        <v>7.4025880542224962E-2</v>
      </c>
      <c r="X1017" s="27">
        <f>W1017*AD1017</f>
        <v>7.4025880542224962E-2</v>
      </c>
      <c r="Y1017" s="5">
        <f>DURATION(N1017,O1017,M1017,D1017,AD1017)</f>
        <v>4.3223430124369573</v>
      </c>
      <c r="Z1017" s="5">
        <f>Y1017/(1+C1017)</f>
        <v>4.024430966463127</v>
      </c>
      <c r="AA1017" s="5">
        <f>-Z1017*F1017</f>
        <v>-4118691.1885596262</v>
      </c>
      <c r="AB1017" t="s">
        <v>64</v>
      </c>
      <c r="AC1017" t="s">
        <v>62</v>
      </c>
      <c r="AD1017">
        <f>_xlfn.SWITCH(PROPER(TRIM(S1017)),
   "Annual",1,
   "Semi-Annual",2,
   "Quarterly",4,
   "Monthly",12,
   "")</f>
        <v>1</v>
      </c>
    </row>
    <row r="1018" spans="1:30" x14ac:dyDescent="0.35">
      <c r="A1018" t="s">
        <v>1110</v>
      </c>
      <c r="B1018" t="s">
        <v>460</v>
      </c>
      <c r="C1018" s="36">
        <f>RATE(U1018,V1018,-F1018,H1018)</f>
        <v>0.10473124249072505</v>
      </c>
      <c r="D1018" s="3">
        <f>C1018*AD1018</f>
        <v>0.10473124249072505</v>
      </c>
      <c r="F1018">
        <v>976</v>
      </c>
      <c r="G1018" t="s">
        <v>76</v>
      </c>
      <c r="H1018">
        <v>1000</v>
      </c>
      <c r="I1018" s="22"/>
      <c r="J1018">
        <v>5</v>
      </c>
      <c r="K1018" s="22"/>
      <c r="L1018">
        <v>10.782135743833299</v>
      </c>
      <c r="M1018" s="22">
        <v>9.5000000000000001E-2</v>
      </c>
      <c r="N1018" s="21">
        <v>45615</v>
      </c>
      <c r="O1018" s="21">
        <v>46709</v>
      </c>
      <c r="P1018">
        <f>ROUND(YEARFRAC(N1018,O1018),0)</f>
        <v>3</v>
      </c>
      <c r="Q1018" s="6">
        <f>(M1018*H1018)/F1018</f>
        <v>9.7336065573770489E-2</v>
      </c>
      <c r="R1018" s="5">
        <f>IF(S1018="Quarterly",4,IF(S1018="Semi-annual",2,IF(S1018="Annual",1,IF(S1018="Pays at maturity",0,12))))</f>
        <v>1</v>
      </c>
      <c r="S1018" t="s">
        <v>93</v>
      </c>
      <c r="U1018">
        <f>R1018*P1018</f>
        <v>3</v>
      </c>
      <c r="V1018">
        <f>(H1018*M1018)/AD1018</f>
        <v>95</v>
      </c>
      <c r="W1018" s="28">
        <f>RATE(U1018,V1018,-F1018,H1018)</f>
        <v>0.10473124249072505</v>
      </c>
      <c r="X1018" s="27">
        <f>W1018*AD1018</f>
        <v>0.10473124249072505</v>
      </c>
      <c r="Y1018" s="5">
        <f>DURATION(N1018,O1018,M1018,D1018,AD1018)</f>
        <v>2.7412500118675136</v>
      </c>
      <c r="Z1018" s="5">
        <f>Y1018/(1+C1018)</f>
        <v>2.481372759665144</v>
      </c>
      <c r="AA1018" s="5">
        <f>-Z1018*F1018</f>
        <v>-2421.8198134331806</v>
      </c>
      <c r="AB1018" t="s">
        <v>64</v>
      </c>
      <c r="AC1018" t="s">
        <v>62</v>
      </c>
      <c r="AD1018">
        <f>_xlfn.SWITCH(PROPER(TRIM(S1018)),
   "Annual",1,
   "Semi-Annual",2,
   "Quarterly",4,
   "Monthly",12,
   "")</f>
        <v>1</v>
      </c>
    </row>
    <row r="1019" spans="1:30" x14ac:dyDescent="0.35">
      <c r="A1019" t="s">
        <v>1109</v>
      </c>
      <c r="B1019" t="s">
        <v>101</v>
      </c>
      <c r="C1019" s="36">
        <f>RATE(U1019,V1019,-F1019,H1019)</f>
        <v>5.9821175276509486E-2</v>
      </c>
      <c r="D1019" s="3">
        <f>C1019*AD1019</f>
        <v>5.9821175276509486E-2</v>
      </c>
      <c r="F1019">
        <v>1135924.6000000001</v>
      </c>
      <c r="G1019" t="s">
        <v>76</v>
      </c>
      <c r="H1019">
        <v>1000000</v>
      </c>
      <c r="I1019" s="22"/>
      <c r="J1019">
        <v>10</v>
      </c>
      <c r="K1019" s="22"/>
      <c r="L1019">
        <v>5.0653841756826496</v>
      </c>
      <c r="M1019" s="22">
        <v>7.3800000000000004E-2</v>
      </c>
      <c r="N1019" s="21">
        <v>41234</v>
      </c>
      <c r="O1019" s="21">
        <v>46712</v>
      </c>
      <c r="P1019">
        <f>ROUND(YEARFRAC(N1019,O1019),0)</f>
        <v>15</v>
      </c>
      <c r="Q1019" s="6">
        <f>(M1019*H1019)/F1019</f>
        <v>6.4969100942087174E-2</v>
      </c>
      <c r="R1019" s="5">
        <f>IF(S1019="Quarterly",4,IF(S1019="Semi-annual",2,IF(S1019="Annual",1,IF(S1019="Pays at maturity",0,12))))</f>
        <v>1</v>
      </c>
      <c r="S1019" t="s">
        <v>93</v>
      </c>
      <c r="U1019">
        <f>R1019*P1019</f>
        <v>15</v>
      </c>
      <c r="V1019">
        <f>(H1019*M1019)/AD1019</f>
        <v>73800</v>
      </c>
      <c r="W1019" s="28">
        <f>RATE(U1019,V1019,-F1019,H1019)</f>
        <v>5.9821175276509486E-2</v>
      </c>
      <c r="X1019" s="27">
        <f>W1019*AD1019</f>
        <v>5.9821175276509486E-2</v>
      </c>
      <c r="Y1019" s="5">
        <f>DURATION(N1019,O1019,M1019,D1019,AD1019)</f>
        <v>9.9012799027632834</v>
      </c>
      <c r="Z1019" s="5">
        <f>Y1019/(1+C1019)</f>
        <v>9.3424061848736137</v>
      </c>
      <c r="AA1019" s="5">
        <f>-Z1019*F1019</f>
        <v>-10612269.008590087</v>
      </c>
      <c r="AB1019" t="s">
        <v>64</v>
      </c>
      <c r="AC1019" t="s">
        <v>62</v>
      </c>
      <c r="AD1019">
        <f>_xlfn.SWITCH(PROPER(TRIM(S1019)),
   "Annual",1,
   "Semi-Annual",2,
   "Quarterly",4,
   "Monthly",12,
   "")</f>
        <v>1</v>
      </c>
    </row>
    <row r="1020" spans="1:30" x14ac:dyDescent="0.35">
      <c r="A1020" t="s">
        <v>1108</v>
      </c>
      <c r="B1020" t="s">
        <v>94</v>
      </c>
      <c r="C1020" s="36">
        <f>RATE(U1020,V1020,-F1020,H1020)</f>
        <v>6.7358154149375724E-2</v>
      </c>
      <c r="D1020" s="3">
        <f>C1020*AD1020</f>
        <v>6.7358154149375724E-2</v>
      </c>
      <c r="F1020">
        <v>1065000</v>
      </c>
      <c r="G1020" t="s">
        <v>76</v>
      </c>
      <c r="H1020">
        <v>1000000</v>
      </c>
      <c r="I1020" s="22"/>
      <c r="J1020">
        <v>2</v>
      </c>
      <c r="K1020" s="22"/>
      <c r="L1020">
        <v>5.8864166762312298</v>
      </c>
      <c r="M1020" s="22">
        <v>7.6499999999999999E-2</v>
      </c>
      <c r="N1020" s="21">
        <v>43061</v>
      </c>
      <c r="O1020" s="21">
        <v>46713</v>
      </c>
      <c r="P1020">
        <f>ROUND(YEARFRAC(N1020,O1020),0)</f>
        <v>10</v>
      </c>
      <c r="Q1020" s="6">
        <f>(M1020*H1020)/F1020</f>
        <v>7.1830985915492959E-2</v>
      </c>
      <c r="R1020" s="5">
        <f>IF(S1020="Quarterly",4,IF(S1020="Semi-annual",2,IF(S1020="Annual",1,IF(S1020="Pays at maturity",0,12))))</f>
        <v>1</v>
      </c>
      <c r="S1020" t="s">
        <v>93</v>
      </c>
      <c r="U1020">
        <f>R1020*P1020</f>
        <v>10</v>
      </c>
      <c r="V1020">
        <f>(H1020*M1020)/AD1020</f>
        <v>76500</v>
      </c>
      <c r="W1020" s="28">
        <f>RATE(U1020,V1020,-F1020,H1020)</f>
        <v>6.7358154149375724E-2</v>
      </c>
      <c r="X1020" s="27">
        <f>W1020*AD1020</f>
        <v>6.7358154149375724E-2</v>
      </c>
      <c r="Y1020" s="5">
        <f>DURATION(N1020,O1020,M1020,D1020,AD1020)</f>
        <v>7.4289953437794569</v>
      </c>
      <c r="Z1020" s="5">
        <f>Y1020/(1+C1020)</f>
        <v>6.9601710680703492</v>
      </c>
      <c r="AA1020" s="5">
        <f>-Z1020*F1020</f>
        <v>-7412582.1874949215</v>
      </c>
      <c r="AB1020" t="s">
        <v>64</v>
      </c>
      <c r="AC1020" t="s">
        <v>62</v>
      </c>
      <c r="AD1020">
        <f>_xlfn.SWITCH(PROPER(TRIM(S1020)),
   "Annual",1,
   "Semi-Annual",2,
   "Quarterly",4,
   "Monthly",12,
   "")</f>
        <v>1</v>
      </c>
    </row>
    <row r="1021" spans="1:30" x14ac:dyDescent="0.35">
      <c r="C1021" s="28"/>
      <c r="D1021" s="27"/>
      <c r="I1021" s="22"/>
      <c r="K1021" s="22"/>
      <c r="M1021" s="22"/>
      <c r="N1021" s="21"/>
      <c r="O1021" s="21"/>
      <c r="P1021" s="5"/>
      <c r="Q1021" s="6"/>
      <c r="R1021" s="5"/>
      <c r="W1021" s="28"/>
      <c r="Y1021" s="33"/>
      <c r="Z1021" s="33"/>
      <c r="AA1021" s="33"/>
    </row>
    <row r="1022" spans="1:30" x14ac:dyDescent="0.35">
      <c r="A1022" t="s">
        <v>1106</v>
      </c>
      <c r="B1022" t="s">
        <v>875</v>
      </c>
      <c r="C1022" s="36">
        <f>RATE(U1022,V1022,-F1022,H1022)</f>
        <v>9.4794033405609546E-2</v>
      </c>
      <c r="D1022" s="3">
        <f>C1022*AD1022</f>
        <v>9.4794033405609546E-2</v>
      </c>
      <c r="F1022">
        <v>1020</v>
      </c>
      <c r="G1022" t="s">
        <v>76</v>
      </c>
      <c r="H1022">
        <v>1000</v>
      </c>
      <c r="I1022" s="22"/>
      <c r="J1022">
        <v>30</v>
      </c>
      <c r="K1022" s="22"/>
      <c r="L1022">
        <v>8.9915648438717106</v>
      </c>
      <c r="M1022" s="22">
        <v>0.1</v>
      </c>
      <c r="N1022" s="21">
        <v>44888</v>
      </c>
      <c r="O1022" s="21">
        <v>46714</v>
      </c>
      <c r="P1022">
        <f>ROUND(YEARFRAC(N1022,O1022),0)</f>
        <v>5</v>
      </c>
      <c r="Q1022" s="6">
        <f>(M1022*H1022)/F1022</f>
        <v>9.8039215686274508E-2</v>
      </c>
      <c r="R1022" s="5">
        <f>IF(S1022="Quarterly",4,IF(S1022="Semi-annual",2,IF(S1022="Annual",1,IF(S1022="Pays at maturity",0,12))))</f>
        <v>1</v>
      </c>
      <c r="S1022" t="s">
        <v>93</v>
      </c>
      <c r="U1022">
        <f>R1022*P1022</f>
        <v>5</v>
      </c>
      <c r="V1022">
        <f>(H1022*M1022)/AD1022</f>
        <v>100</v>
      </c>
      <c r="W1022" s="28">
        <f>RATE(U1022,V1022,-F1022,H1022)</f>
        <v>9.4794033405609546E-2</v>
      </c>
      <c r="X1022" s="27">
        <f>W1022*AD1022</f>
        <v>9.4794033405609546E-2</v>
      </c>
      <c r="Y1022" s="5">
        <f>DURATION(N1022,O1022,M1022,D1022,AD1022)</f>
        <v>4.1787357649739301</v>
      </c>
      <c r="Z1022" s="5">
        <f>Y1022/(1+C1022)</f>
        <v>3.8169149972209908</v>
      </c>
      <c r="AA1022" s="5">
        <f>-Z1022*F1022</f>
        <v>-3893.2532971654105</v>
      </c>
      <c r="AB1022" t="s">
        <v>64</v>
      </c>
      <c r="AC1022" t="s">
        <v>62</v>
      </c>
      <c r="AD1022">
        <f>_xlfn.SWITCH(PROPER(TRIM(S1022)),
   "Annual",1,
   "Semi-Annual",2,
   "Quarterly",4,
   "Monthly",12,
   "")</f>
        <v>1</v>
      </c>
    </row>
    <row r="1023" spans="1:30" x14ac:dyDescent="0.35">
      <c r="C1023" s="28"/>
      <c r="D1023" s="27"/>
      <c r="I1023" s="22"/>
      <c r="K1023" s="22"/>
      <c r="M1023" s="22"/>
      <c r="N1023" s="21"/>
      <c r="O1023" s="21"/>
      <c r="P1023" s="5"/>
      <c r="Q1023" s="6"/>
      <c r="R1023" s="5"/>
      <c r="W1023" s="28"/>
      <c r="Y1023" s="33"/>
      <c r="Z1023" s="33"/>
      <c r="AA1023" s="33"/>
    </row>
    <row r="1024" spans="1:30" x14ac:dyDescent="0.35">
      <c r="C1024" s="28"/>
      <c r="D1024" s="27"/>
      <c r="I1024" s="22"/>
      <c r="K1024" s="22"/>
      <c r="M1024" s="22"/>
      <c r="N1024" s="21"/>
      <c r="O1024" s="21"/>
      <c r="P1024" s="5"/>
      <c r="Q1024" s="6"/>
      <c r="R1024" s="5"/>
      <c r="W1024" s="28"/>
      <c r="Y1024" s="33"/>
      <c r="Z1024" s="33"/>
      <c r="AA1024" s="33"/>
    </row>
    <row r="1025" spans="1:30" x14ac:dyDescent="0.35">
      <c r="A1025" t="s">
        <v>1102</v>
      </c>
      <c r="B1025" t="s">
        <v>72</v>
      </c>
      <c r="C1025" s="36">
        <f t="shared" ref="C1025:C1037" si="637">RATE(U1025,V1025,-F1025,H1025)</f>
        <v>6.7985231119525383E-2</v>
      </c>
      <c r="D1025" s="3">
        <f t="shared" ref="D1025:D1037" si="638">C1025*AD1025</f>
        <v>6.7985231119525383E-2</v>
      </c>
      <c r="F1025">
        <v>1053641.01</v>
      </c>
      <c r="G1025" t="s">
        <v>76</v>
      </c>
      <c r="H1025">
        <v>1000000</v>
      </c>
      <c r="I1025" s="22"/>
      <c r="J1025">
        <v>2</v>
      </c>
      <c r="K1025" s="22"/>
      <c r="L1025">
        <v>5.3954346358767804</v>
      </c>
      <c r="M1025" s="22">
        <v>7.3800000000000004E-2</v>
      </c>
      <c r="N1025" s="21">
        <v>41243</v>
      </c>
      <c r="O1025" s="21">
        <v>46721</v>
      </c>
      <c r="P1025">
        <f t="shared" ref="P1025:P1037" si="639">ROUND(YEARFRAC(N1025,O1025),0)</f>
        <v>15</v>
      </c>
      <c r="Q1025" s="6">
        <f t="shared" ref="Q1025:Q1037" si="640">(M1025*H1025)/F1025</f>
        <v>7.0042831761075813E-2</v>
      </c>
      <c r="R1025" s="5">
        <f t="shared" ref="R1025:R1037" si="641">IF(S1025="Quarterly",4,IF(S1025="Semi-annual",2,IF(S1025="Annual",1,IF(S1025="Pays at maturity",0,12))))</f>
        <v>1</v>
      </c>
      <c r="S1025" t="s">
        <v>93</v>
      </c>
      <c r="U1025">
        <f t="shared" ref="U1025:U1037" si="642">R1025*P1025</f>
        <v>15</v>
      </c>
      <c r="V1025">
        <f t="shared" ref="V1025:V1037" si="643">(H1025*M1025)/AD1025</f>
        <v>73800</v>
      </c>
      <c r="W1025" s="28">
        <f t="shared" ref="W1025:W1037" si="644">RATE(U1025,V1025,-F1025,H1025)</f>
        <v>6.7985231119525383E-2</v>
      </c>
      <c r="X1025" s="27">
        <f t="shared" ref="X1025:X1037" si="645">W1025*AD1025</f>
        <v>6.7985231119525383E-2</v>
      </c>
      <c r="Y1025" s="5">
        <f t="shared" ref="Y1025:Y1037" si="646">DURATION(N1025,O1025,M1025,D1025,AD1025)</f>
        <v>9.6963183265834179</v>
      </c>
      <c r="Z1025" s="5">
        <f t="shared" ref="Z1025:Z1037" si="647">Y1025/(1+C1025)</f>
        <v>9.0790752943457491</v>
      </c>
      <c r="AA1025" s="5">
        <f t="shared" ref="AA1025:AA1037" si="648">-Z1025*F1025</f>
        <v>-9566086.0630005021</v>
      </c>
      <c r="AB1025" t="s">
        <v>64</v>
      </c>
      <c r="AC1025" t="s">
        <v>62</v>
      </c>
      <c r="AD1025">
        <f t="shared" ref="AD1025:AD1037" si="649">_xlfn.SWITCH(PROPER(TRIM(S1025)),
   "Annual",1,
   "Semi-Annual",2,
   "Quarterly",4,
   "Monthly",12,
   "")</f>
        <v>1</v>
      </c>
    </row>
    <row r="1026" spans="1:30" x14ac:dyDescent="0.35">
      <c r="A1026" t="s">
        <v>1101</v>
      </c>
      <c r="B1026" t="s">
        <v>249</v>
      </c>
      <c r="C1026" s="36">
        <f t="shared" si="637"/>
        <v>2.2214694271325334E-2</v>
      </c>
      <c r="D1026" s="3">
        <f t="shared" si="638"/>
        <v>8.8858777085301335E-2</v>
      </c>
      <c r="F1026">
        <v>1029378.26</v>
      </c>
      <c r="G1026" t="s">
        <v>76</v>
      </c>
      <c r="H1026">
        <v>1000000</v>
      </c>
      <c r="I1026" s="22"/>
      <c r="J1026">
        <v>1</v>
      </c>
      <c r="K1026" s="22"/>
      <c r="M1026" s="22">
        <v>9.6199999999999994E-2</v>
      </c>
      <c r="N1026" s="21">
        <v>44916</v>
      </c>
      <c r="O1026" s="21">
        <v>46721</v>
      </c>
      <c r="P1026">
        <f t="shared" si="639"/>
        <v>5</v>
      </c>
      <c r="Q1026" s="6">
        <f t="shared" si="640"/>
        <v>9.3454470274124499E-2</v>
      </c>
      <c r="R1026" s="5">
        <f t="shared" si="641"/>
        <v>4</v>
      </c>
      <c r="S1026" t="s">
        <v>105</v>
      </c>
      <c r="U1026">
        <f t="shared" si="642"/>
        <v>20</v>
      </c>
      <c r="V1026">
        <f t="shared" si="643"/>
        <v>24050</v>
      </c>
      <c r="W1026" s="28">
        <f t="shared" si="644"/>
        <v>2.2214694271325334E-2</v>
      </c>
      <c r="X1026" s="27">
        <f t="shared" si="645"/>
        <v>8.8858777085301335E-2</v>
      </c>
      <c r="Y1026" s="5">
        <f t="shared" si="646"/>
        <v>3.9853597901283049</v>
      </c>
      <c r="Z1026" s="5">
        <f t="shared" si="647"/>
        <v>3.8987502453867831</v>
      </c>
      <c r="AA1026" s="5">
        <f t="shared" si="648"/>
        <v>-4013288.7437708196</v>
      </c>
      <c r="AB1026" t="s">
        <v>64</v>
      </c>
      <c r="AC1026" t="s">
        <v>62</v>
      </c>
      <c r="AD1026">
        <f t="shared" si="649"/>
        <v>4</v>
      </c>
    </row>
    <row r="1027" spans="1:30" x14ac:dyDescent="0.35">
      <c r="A1027" t="s">
        <v>1100</v>
      </c>
      <c r="B1027" t="s">
        <v>67</v>
      </c>
      <c r="C1027" s="36">
        <f t="shared" si="637"/>
        <v>1.9528356799935479E-2</v>
      </c>
      <c r="D1027" s="3">
        <f t="shared" si="638"/>
        <v>3.9056713599870958E-2</v>
      </c>
      <c r="F1027">
        <v>980.39779999999996</v>
      </c>
      <c r="G1027" t="s">
        <v>66</v>
      </c>
      <c r="H1027">
        <v>1000</v>
      </c>
      <c r="I1027" s="22"/>
      <c r="J1027">
        <v>280000</v>
      </c>
      <c r="K1027" s="22"/>
      <c r="M1027" s="22">
        <v>3.6670000000000001E-2</v>
      </c>
      <c r="N1027" s="21">
        <v>43069</v>
      </c>
      <c r="O1027" s="21">
        <v>46721</v>
      </c>
      <c r="P1027">
        <f t="shared" si="639"/>
        <v>10</v>
      </c>
      <c r="Q1027" s="6">
        <f t="shared" si="640"/>
        <v>3.7403184707268826E-2</v>
      </c>
      <c r="R1027" s="5">
        <f t="shared" si="641"/>
        <v>2</v>
      </c>
      <c r="S1027" t="s">
        <v>65</v>
      </c>
      <c r="U1027">
        <f t="shared" si="642"/>
        <v>20</v>
      </c>
      <c r="V1027">
        <f t="shared" si="643"/>
        <v>18.335000000000001</v>
      </c>
      <c r="W1027" s="28">
        <f t="shared" si="644"/>
        <v>1.9528356799935479E-2</v>
      </c>
      <c r="X1027" s="27">
        <f t="shared" si="645"/>
        <v>3.9056713599870958E-2</v>
      </c>
      <c r="Y1027" s="5">
        <f t="shared" si="646"/>
        <v>8.4423012846381944</v>
      </c>
      <c r="Z1027" s="5">
        <f t="shared" si="647"/>
        <v>8.2805948734340564</v>
      </c>
      <c r="AA1027" s="5">
        <f t="shared" si="648"/>
        <v>-8118.2769966060268</v>
      </c>
      <c r="AB1027" t="s">
        <v>69</v>
      </c>
      <c r="AC1027" t="s">
        <v>62</v>
      </c>
      <c r="AD1027">
        <f t="shared" si="649"/>
        <v>2</v>
      </c>
    </row>
    <row r="1028" spans="1:30" x14ac:dyDescent="0.35">
      <c r="A1028" t="s">
        <v>1099</v>
      </c>
      <c r="B1028" t="s">
        <v>390</v>
      </c>
      <c r="C1028" s="36">
        <f t="shared" si="637"/>
        <v>0.12000000000002739</v>
      </c>
      <c r="D1028" s="3">
        <f t="shared" si="638"/>
        <v>0.12000000000002739</v>
      </c>
      <c r="F1028">
        <v>1000</v>
      </c>
      <c r="G1028" t="s">
        <v>76</v>
      </c>
      <c r="H1028">
        <v>1000</v>
      </c>
      <c r="I1028" s="22"/>
      <c r="J1028">
        <v>163</v>
      </c>
      <c r="K1028" s="22"/>
      <c r="L1028">
        <v>12</v>
      </c>
      <c r="M1028" s="22">
        <v>0.12</v>
      </c>
      <c r="N1028" s="21">
        <v>45628</v>
      </c>
      <c r="O1028" s="21">
        <v>46723</v>
      </c>
      <c r="P1028">
        <f t="shared" si="639"/>
        <v>3</v>
      </c>
      <c r="Q1028" s="6">
        <f t="shared" si="640"/>
        <v>0.12</v>
      </c>
      <c r="R1028" s="5">
        <f t="shared" si="641"/>
        <v>1</v>
      </c>
      <c r="S1028" t="s">
        <v>93</v>
      </c>
      <c r="U1028">
        <f t="shared" si="642"/>
        <v>3</v>
      </c>
      <c r="V1028">
        <f t="shared" si="643"/>
        <v>120</v>
      </c>
      <c r="W1028" s="28">
        <f t="shared" si="644"/>
        <v>0.12000000000002739</v>
      </c>
      <c r="X1028" s="27">
        <f t="shared" si="645"/>
        <v>0.12000000000002739</v>
      </c>
      <c r="Y1028" s="5">
        <f t="shared" si="646"/>
        <v>2.6900510204081529</v>
      </c>
      <c r="Z1028" s="5">
        <f t="shared" si="647"/>
        <v>2.4018312682215064</v>
      </c>
      <c r="AA1028" s="5">
        <f t="shared" si="648"/>
        <v>-2401.8312682215064</v>
      </c>
      <c r="AB1028" t="s">
        <v>64</v>
      </c>
      <c r="AC1028" t="s">
        <v>62</v>
      </c>
      <c r="AD1028">
        <f t="shared" si="649"/>
        <v>1</v>
      </c>
    </row>
    <row r="1029" spans="1:30" x14ac:dyDescent="0.35">
      <c r="A1029" t="s">
        <v>1098</v>
      </c>
      <c r="B1029" t="s">
        <v>326</v>
      </c>
      <c r="C1029" s="36">
        <f t="shared" si="637"/>
        <v>0.12603362461541986</v>
      </c>
      <c r="D1029" s="3">
        <f t="shared" si="638"/>
        <v>0.12603362461541986</v>
      </c>
      <c r="F1029">
        <v>950</v>
      </c>
      <c r="G1029" t="s">
        <v>76</v>
      </c>
      <c r="H1029">
        <v>1000</v>
      </c>
      <c r="I1029" s="22"/>
      <c r="J1029">
        <v>3</v>
      </c>
      <c r="K1029" s="22"/>
      <c r="L1029">
        <v>13.2556735876388</v>
      </c>
      <c r="M1029" s="22">
        <v>0.105</v>
      </c>
      <c r="N1029" s="21">
        <v>45630</v>
      </c>
      <c r="O1029" s="21">
        <v>46724</v>
      </c>
      <c r="P1029">
        <f t="shared" si="639"/>
        <v>3</v>
      </c>
      <c r="Q1029" s="6">
        <f t="shared" si="640"/>
        <v>0.11052631578947368</v>
      </c>
      <c r="R1029" s="5">
        <f t="shared" si="641"/>
        <v>1</v>
      </c>
      <c r="S1029" t="s">
        <v>93</v>
      </c>
      <c r="U1029">
        <f t="shared" si="642"/>
        <v>3</v>
      </c>
      <c r="V1029">
        <f t="shared" si="643"/>
        <v>105</v>
      </c>
      <c r="W1029" s="28">
        <f t="shared" si="644"/>
        <v>0.12603362461541986</v>
      </c>
      <c r="X1029" s="27">
        <f t="shared" si="645"/>
        <v>0.12603362461541986</v>
      </c>
      <c r="Y1029" s="5">
        <f t="shared" si="646"/>
        <v>2.7137421771854164</v>
      </c>
      <c r="Z1029" s="5">
        <f t="shared" si="647"/>
        <v>2.4100010140569781</v>
      </c>
      <c r="AA1029" s="5">
        <f t="shared" si="648"/>
        <v>-2289.500963354129</v>
      </c>
      <c r="AB1029" t="s">
        <v>64</v>
      </c>
      <c r="AC1029" t="s">
        <v>62</v>
      </c>
      <c r="AD1029">
        <f t="shared" si="649"/>
        <v>1</v>
      </c>
    </row>
    <row r="1030" spans="1:30" x14ac:dyDescent="0.35">
      <c r="A1030" t="s">
        <v>1097</v>
      </c>
      <c r="B1030" t="s">
        <v>94</v>
      </c>
      <c r="C1030" s="36">
        <f t="shared" si="637"/>
        <v>2.1921520639057928E-2</v>
      </c>
      <c r="D1030" s="3">
        <f t="shared" si="638"/>
        <v>4.3843041278115856E-2</v>
      </c>
      <c r="F1030">
        <v>949.09</v>
      </c>
      <c r="G1030" t="s">
        <v>66</v>
      </c>
      <c r="H1030">
        <v>1000</v>
      </c>
      <c r="I1030" s="22"/>
      <c r="J1030">
        <v>0</v>
      </c>
      <c r="K1030" s="22"/>
      <c r="M1030" s="22">
        <v>3.7499999999999999E-2</v>
      </c>
      <c r="N1030" s="21">
        <v>43075</v>
      </c>
      <c r="O1030" s="21">
        <v>46727</v>
      </c>
      <c r="P1030">
        <f t="shared" si="639"/>
        <v>10</v>
      </c>
      <c r="Q1030" s="6">
        <f t="shared" si="640"/>
        <v>3.9511532099168675E-2</v>
      </c>
      <c r="R1030" s="5">
        <f t="shared" si="641"/>
        <v>2</v>
      </c>
      <c r="S1030" t="s">
        <v>65</v>
      </c>
      <c r="U1030">
        <f t="shared" si="642"/>
        <v>20</v>
      </c>
      <c r="V1030">
        <f t="shared" si="643"/>
        <v>18.75</v>
      </c>
      <c r="W1030" s="28">
        <f t="shared" si="644"/>
        <v>2.1921520639057928E-2</v>
      </c>
      <c r="X1030" s="27">
        <f t="shared" si="645"/>
        <v>4.3843041278115856E-2</v>
      </c>
      <c r="Y1030" s="5">
        <f t="shared" si="646"/>
        <v>8.3796917214350888</v>
      </c>
      <c r="Z1030" s="5">
        <f t="shared" si="647"/>
        <v>8.1999366411178567</v>
      </c>
      <c r="AA1030" s="5">
        <f t="shared" si="648"/>
        <v>-7782.4778667185465</v>
      </c>
      <c r="AB1030" t="s">
        <v>64</v>
      </c>
      <c r="AC1030" t="s">
        <v>62</v>
      </c>
      <c r="AD1030">
        <f t="shared" si="649"/>
        <v>2</v>
      </c>
    </row>
    <row r="1031" spans="1:30" x14ac:dyDescent="0.35">
      <c r="A1031" t="s">
        <v>1096</v>
      </c>
      <c r="B1031" t="s">
        <v>316</v>
      </c>
      <c r="C1031" s="36">
        <f t="shared" si="637"/>
        <v>0.1</v>
      </c>
      <c r="D1031" s="3">
        <f t="shared" si="638"/>
        <v>0.1</v>
      </c>
      <c r="F1031">
        <v>1000</v>
      </c>
      <c r="G1031" t="s">
        <v>76</v>
      </c>
      <c r="H1031">
        <v>1000</v>
      </c>
      <c r="I1031" s="22"/>
      <c r="J1031">
        <v>5</v>
      </c>
      <c r="K1031" s="22"/>
      <c r="L1031">
        <v>10</v>
      </c>
      <c r="M1031" s="22">
        <v>0.1</v>
      </c>
      <c r="N1031" s="21">
        <v>45638</v>
      </c>
      <c r="O1031" s="21">
        <v>46732</v>
      </c>
      <c r="P1031">
        <f t="shared" si="639"/>
        <v>3</v>
      </c>
      <c r="Q1031" s="6">
        <f t="shared" si="640"/>
        <v>0.1</v>
      </c>
      <c r="R1031" s="5">
        <f t="shared" si="641"/>
        <v>1</v>
      </c>
      <c r="S1031" t="s">
        <v>93</v>
      </c>
      <c r="U1031">
        <f t="shared" si="642"/>
        <v>3</v>
      </c>
      <c r="V1031">
        <f t="shared" si="643"/>
        <v>100</v>
      </c>
      <c r="W1031" s="28">
        <f t="shared" si="644"/>
        <v>0.1</v>
      </c>
      <c r="X1031" s="27">
        <f t="shared" si="645"/>
        <v>0.1</v>
      </c>
      <c r="Y1031" s="5">
        <f t="shared" si="646"/>
        <v>2.7327594123048664</v>
      </c>
      <c r="Z1031" s="5">
        <f t="shared" si="647"/>
        <v>2.4843267384589693</v>
      </c>
      <c r="AA1031" s="5">
        <f t="shared" si="648"/>
        <v>-2484.3267384589694</v>
      </c>
      <c r="AB1031" t="s">
        <v>64</v>
      </c>
      <c r="AC1031" t="s">
        <v>62</v>
      </c>
      <c r="AD1031">
        <f t="shared" si="649"/>
        <v>1</v>
      </c>
    </row>
    <row r="1032" spans="1:30" x14ac:dyDescent="0.35">
      <c r="A1032" t="s">
        <v>1095</v>
      </c>
      <c r="B1032" t="s">
        <v>72</v>
      </c>
      <c r="C1032" s="36">
        <f t="shared" si="637"/>
        <v>2.0341423263546408E-2</v>
      </c>
      <c r="D1032" s="3">
        <f t="shared" si="638"/>
        <v>4.0682846527092816E-2</v>
      </c>
      <c r="F1032">
        <v>980.99</v>
      </c>
      <c r="G1032" t="s">
        <v>66</v>
      </c>
      <c r="H1032">
        <v>1000</v>
      </c>
      <c r="I1032" s="22"/>
      <c r="J1032">
        <v>800000</v>
      </c>
      <c r="K1032" s="22"/>
      <c r="M1032" s="22">
        <v>3.8350000000000002E-2</v>
      </c>
      <c r="N1032" s="21">
        <v>43082</v>
      </c>
      <c r="O1032" s="21">
        <v>46734</v>
      </c>
      <c r="P1032">
        <f t="shared" si="639"/>
        <v>10</v>
      </c>
      <c r="Q1032" s="6">
        <f t="shared" si="640"/>
        <v>3.909316099042804E-2</v>
      </c>
      <c r="R1032" s="5">
        <f t="shared" si="641"/>
        <v>2</v>
      </c>
      <c r="S1032" t="s">
        <v>65</v>
      </c>
      <c r="U1032">
        <f t="shared" si="642"/>
        <v>20</v>
      </c>
      <c r="V1032">
        <f t="shared" si="643"/>
        <v>19.175000000000001</v>
      </c>
      <c r="W1032" s="28">
        <f t="shared" si="644"/>
        <v>2.0341423263546408E-2</v>
      </c>
      <c r="X1032" s="27">
        <f t="shared" si="645"/>
        <v>4.0682846527092816E-2</v>
      </c>
      <c r="Y1032" s="5">
        <f t="shared" si="646"/>
        <v>8.3804590871691751</v>
      </c>
      <c r="Z1032" s="5">
        <f t="shared" si="647"/>
        <v>8.2133871036661485</v>
      </c>
      <c r="AA1032" s="5">
        <f t="shared" si="648"/>
        <v>-8057.2506148254552</v>
      </c>
      <c r="AB1032" t="s">
        <v>64</v>
      </c>
      <c r="AC1032" t="s">
        <v>62</v>
      </c>
      <c r="AD1032">
        <f t="shared" si="649"/>
        <v>2</v>
      </c>
    </row>
    <row r="1033" spans="1:30" x14ac:dyDescent="0.35">
      <c r="A1033" t="s">
        <v>1094</v>
      </c>
      <c r="B1033" t="s">
        <v>72</v>
      </c>
      <c r="C1033" s="36">
        <f t="shared" si="637"/>
        <v>2.0440186382773954E-2</v>
      </c>
      <c r="D1033" s="3">
        <f t="shared" si="638"/>
        <v>4.0880372765547908E-2</v>
      </c>
      <c r="F1033">
        <v>979.4</v>
      </c>
      <c r="G1033" t="s">
        <v>66</v>
      </c>
      <c r="H1033">
        <v>1000</v>
      </c>
      <c r="I1033" s="22"/>
      <c r="J1033">
        <v>0</v>
      </c>
      <c r="K1033" s="22"/>
      <c r="M1033" s="22">
        <v>3.8350000000000002E-2</v>
      </c>
      <c r="N1033" s="21">
        <v>43082</v>
      </c>
      <c r="O1033" s="21">
        <v>46734</v>
      </c>
      <c r="P1033">
        <f t="shared" si="639"/>
        <v>10</v>
      </c>
      <c r="Q1033" s="6">
        <f t="shared" si="640"/>
        <v>3.9156626506024098E-2</v>
      </c>
      <c r="R1033" s="5">
        <f t="shared" si="641"/>
        <v>2</v>
      </c>
      <c r="S1033" t="s">
        <v>65</v>
      </c>
      <c r="U1033">
        <f t="shared" si="642"/>
        <v>20</v>
      </c>
      <c r="V1033">
        <f t="shared" si="643"/>
        <v>19.175000000000001</v>
      </c>
      <c r="W1033" s="28">
        <f t="shared" si="644"/>
        <v>2.0440186382773954E-2</v>
      </c>
      <c r="X1033" s="27">
        <f t="shared" si="645"/>
        <v>4.0880372765547908E-2</v>
      </c>
      <c r="Y1033" s="5">
        <f t="shared" si="646"/>
        <v>8.3788638315225299</v>
      </c>
      <c r="Z1033" s="5">
        <f t="shared" si="647"/>
        <v>8.2110288710048529</v>
      </c>
      <c r="AA1033" s="5">
        <f t="shared" si="648"/>
        <v>-8041.8816762621527</v>
      </c>
      <c r="AB1033" t="s">
        <v>64</v>
      </c>
      <c r="AC1033" t="s">
        <v>62</v>
      </c>
      <c r="AD1033">
        <f t="shared" si="649"/>
        <v>2</v>
      </c>
    </row>
    <row r="1034" spans="1:30" x14ac:dyDescent="0.35">
      <c r="A1034" t="s">
        <v>1094</v>
      </c>
      <c r="B1034" t="s">
        <v>72</v>
      </c>
      <c r="C1034" s="36">
        <f t="shared" si="637"/>
        <v>2.045884209722483E-2</v>
      </c>
      <c r="D1034" s="3">
        <f t="shared" si="638"/>
        <v>4.0917684194449661E-2</v>
      </c>
      <c r="F1034">
        <v>979.1</v>
      </c>
      <c r="G1034" t="s">
        <v>66</v>
      </c>
      <c r="H1034">
        <v>1000</v>
      </c>
      <c r="I1034" s="22"/>
      <c r="J1034">
        <v>0</v>
      </c>
      <c r="K1034" s="22"/>
      <c r="M1034" s="22">
        <v>3.8350000000000002E-2</v>
      </c>
      <c r="N1034" s="21">
        <v>43082</v>
      </c>
      <c r="O1034" s="21">
        <v>46734</v>
      </c>
      <c r="P1034">
        <f t="shared" si="639"/>
        <v>10</v>
      </c>
      <c r="Q1034" s="6">
        <f t="shared" si="640"/>
        <v>3.9168624246757225E-2</v>
      </c>
      <c r="R1034" s="5">
        <f t="shared" si="641"/>
        <v>2</v>
      </c>
      <c r="S1034" t="s">
        <v>65</v>
      </c>
      <c r="U1034">
        <f t="shared" si="642"/>
        <v>20</v>
      </c>
      <c r="V1034">
        <f t="shared" si="643"/>
        <v>19.175000000000001</v>
      </c>
      <c r="W1034" s="28">
        <f t="shared" si="644"/>
        <v>2.045884209722483E-2</v>
      </c>
      <c r="X1034" s="27">
        <f t="shared" si="645"/>
        <v>4.0917684194449661E-2</v>
      </c>
      <c r="Y1034" s="5">
        <f t="shared" si="646"/>
        <v>8.3785623613822189</v>
      </c>
      <c r="Z1034" s="5">
        <f t="shared" si="647"/>
        <v>8.2105833334373184</v>
      </c>
      <c r="AA1034" s="5">
        <f t="shared" si="648"/>
        <v>-8038.9821417684789</v>
      </c>
      <c r="AB1034" t="s">
        <v>64</v>
      </c>
      <c r="AC1034" t="s">
        <v>62</v>
      </c>
      <c r="AD1034">
        <f t="shared" si="649"/>
        <v>2</v>
      </c>
    </row>
    <row r="1035" spans="1:30" x14ac:dyDescent="0.35">
      <c r="A1035" t="s">
        <v>1093</v>
      </c>
      <c r="B1035" t="s">
        <v>72</v>
      </c>
      <c r="C1035" s="36">
        <f t="shared" si="637"/>
        <v>2.0451814321641861E-2</v>
      </c>
      <c r="D1035" s="3">
        <f t="shared" si="638"/>
        <v>4.0903628643283722E-2</v>
      </c>
      <c r="F1035">
        <v>979.21299999999997</v>
      </c>
      <c r="G1035" t="s">
        <v>66</v>
      </c>
      <c r="H1035">
        <v>1000</v>
      </c>
      <c r="I1035" s="22"/>
      <c r="J1035">
        <v>200000</v>
      </c>
      <c r="K1035" s="22"/>
      <c r="M1035" s="22">
        <v>3.8350000000000002E-2</v>
      </c>
      <c r="N1035" s="21">
        <v>43082</v>
      </c>
      <c r="O1035" s="21">
        <v>46734</v>
      </c>
      <c r="P1035">
        <f t="shared" si="639"/>
        <v>10</v>
      </c>
      <c r="Q1035" s="6">
        <f t="shared" si="640"/>
        <v>3.9164104234727277E-2</v>
      </c>
      <c r="R1035" s="5">
        <f t="shared" si="641"/>
        <v>2</v>
      </c>
      <c r="S1035" t="s">
        <v>65</v>
      </c>
      <c r="U1035">
        <f t="shared" si="642"/>
        <v>20</v>
      </c>
      <c r="V1035">
        <f t="shared" si="643"/>
        <v>19.175000000000001</v>
      </c>
      <c r="W1035" s="28">
        <f t="shared" si="644"/>
        <v>2.0451814321641861E-2</v>
      </c>
      <c r="X1035" s="27">
        <f t="shared" si="645"/>
        <v>4.0903628643283722E-2</v>
      </c>
      <c r="Y1035" s="5">
        <f t="shared" si="646"/>
        <v>8.3786759329965772</v>
      </c>
      <c r="Z1035" s="5">
        <f t="shared" si="647"/>
        <v>8.210751174533808</v>
      </c>
      <c r="AA1035" s="5">
        <f t="shared" si="648"/>
        <v>-8040.0742898687731</v>
      </c>
      <c r="AB1035" t="s">
        <v>64</v>
      </c>
      <c r="AC1035" t="s">
        <v>62</v>
      </c>
      <c r="AD1035">
        <f t="shared" si="649"/>
        <v>2</v>
      </c>
    </row>
    <row r="1036" spans="1:30" x14ac:dyDescent="0.35">
      <c r="A1036" t="s">
        <v>1092</v>
      </c>
      <c r="B1036" t="s">
        <v>1019</v>
      </c>
      <c r="C1036" s="36">
        <f t="shared" si="637"/>
        <v>8.9675295864752494E-2</v>
      </c>
      <c r="D1036" s="3">
        <f t="shared" si="638"/>
        <v>8.9675295864752494E-2</v>
      </c>
      <c r="F1036">
        <v>102615</v>
      </c>
      <c r="G1036" t="s">
        <v>76</v>
      </c>
      <c r="H1036">
        <v>100000</v>
      </c>
      <c r="I1036" s="22"/>
      <c r="J1036">
        <v>4900</v>
      </c>
      <c r="K1036" s="22"/>
      <c r="L1036">
        <v>8.7150958147650393</v>
      </c>
      <c r="M1036" s="22">
        <v>0.1</v>
      </c>
      <c r="N1036" s="21">
        <v>45644</v>
      </c>
      <c r="O1036" s="21">
        <v>46738</v>
      </c>
      <c r="P1036">
        <f t="shared" si="639"/>
        <v>3</v>
      </c>
      <c r="Q1036" s="6">
        <f t="shared" si="640"/>
        <v>9.7451639623836669E-2</v>
      </c>
      <c r="R1036" s="5">
        <f t="shared" si="641"/>
        <v>1</v>
      </c>
      <c r="S1036" t="s">
        <v>93</v>
      </c>
      <c r="U1036">
        <f t="shared" si="642"/>
        <v>3</v>
      </c>
      <c r="V1036">
        <f t="shared" si="643"/>
        <v>10000</v>
      </c>
      <c r="W1036" s="28">
        <f t="shared" si="644"/>
        <v>8.9675295864752494E-2</v>
      </c>
      <c r="X1036" s="27">
        <f t="shared" si="645"/>
        <v>8.9675295864752494E-2</v>
      </c>
      <c r="Y1036" s="5">
        <f t="shared" si="646"/>
        <v>2.7362866063850793</v>
      </c>
      <c r="Z1036" s="5">
        <f t="shared" si="647"/>
        <v>2.5111027264443919</v>
      </c>
      <c r="AA1036" s="5">
        <f t="shared" si="648"/>
        <v>-257676.80627409127</v>
      </c>
      <c r="AB1036" t="s">
        <v>64</v>
      </c>
      <c r="AC1036" t="s">
        <v>62</v>
      </c>
      <c r="AD1036">
        <f t="shared" si="649"/>
        <v>1</v>
      </c>
    </row>
    <row r="1037" spans="1:30" x14ac:dyDescent="0.35">
      <c r="A1037" t="s">
        <v>1091</v>
      </c>
      <c r="B1037" t="s">
        <v>1090</v>
      </c>
      <c r="C1037" s="36">
        <f t="shared" si="637"/>
        <v>2.9219342958195539E-2</v>
      </c>
      <c r="D1037" s="3">
        <f t="shared" si="638"/>
        <v>0.11687737183278216</v>
      </c>
      <c r="F1037">
        <v>100780.7</v>
      </c>
      <c r="G1037" t="s">
        <v>76</v>
      </c>
      <c r="H1037">
        <v>100000</v>
      </c>
      <c r="I1037" s="22"/>
      <c r="J1037">
        <v>1</v>
      </c>
      <c r="K1037" s="22"/>
      <c r="M1037" s="22">
        <v>0.12</v>
      </c>
      <c r="N1037" s="21">
        <v>45644</v>
      </c>
      <c r="O1037" s="21">
        <v>46739</v>
      </c>
      <c r="P1037">
        <f t="shared" si="639"/>
        <v>3</v>
      </c>
      <c r="Q1037" s="6">
        <f t="shared" si="640"/>
        <v>0.11907041725250966</v>
      </c>
      <c r="R1037" s="5">
        <f t="shared" si="641"/>
        <v>4</v>
      </c>
      <c r="S1037" t="s">
        <v>105</v>
      </c>
      <c r="U1037">
        <f t="shared" si="642"/>
        <v>12</v>
      </c>
      <c r="V1037">
        <f t="shared" si="643"/>
        <v>3000</v>
      </c>
      <c r="W1037" s="28">
        <f t="shared" si="644"/>
        <v>2.9219342958195539E-2</v>
      </c>
      <c r="X1037" s="27">
        <f t="shared" si="645"/>
        <v>0.11687737183278216</v>
      </c>
      <c r="Y1037" s="5">
        <f t="shared" si="646"/>
        <v>2.5651814357992135</v>
      </c>
      <c r="Z1037" s="5">
        <f t="shared" si="647"/>
        <v>2.4923564188235483</v>
      </c>
      <c r="AA1037" s="5">
        <f t="shared" si="648"/>
        <v>-251181.42453853038</v>
      </c>
      <c r="AB1037" t="s">
        <v>64</v>
      </c>
      <c r="AC1037" t="s">
        <v>62</v>
      </c>
      <c r="AD1037">
        <f t="shared" si="649"/>
        <v>4</v>
      </c>
    </row>
    <row r="1038" spans="1:30" x14ac:dyDescent="0.35">
      <c r="C1038" s="28"/>
      <c r="D1038" s="27"/>
      <c r="I1038" s="22"/>
      <c r="K1038" s="22"/>
      <c r="M1038" s="22"/>
      <c r="N1038" s="21"/>
      <c r="O1038" s="21"/>
      <c r="P1038" s="5"/>
      <c r="Q1038" s="6"/>
      <c r="R1038" s="5"/>
      <c r="W1038" s="28"/>
      <c r="Y1038" s="33"/>
      <c r="Z1038" s="33"/>
      <c r="AA1038" s="33"/>
    </row>
    <row r="1039" spans="1:30" x14ac:dyDescent="0.35">
      <c r="A1039" t="s">
        <v>1088</v>
      </c>
      <c r="B1039" t="s">
        <v>101</v>
      </c>
      <c r="C1039" s="36">
        <f>RATE(U1039,V1039,-F1039,H1039)</f>
        <v>6.3291655062582552E-2</v>
      </c>
      <c r="D1039" s="3">
        <f>C1039*AD1039</f>
        <v>6.3291655062582552E-2</v>
      </c>
      <c r="F1039">
        <v>1099.9000000000001</v>
      </c>
      <c r="G1039" t="s">
        <v>76</v>
      </c>
      <c r="H1039">
        <v>1000</v>
      </c>
      <c r="I1039" s="22"/>
      <c r="J1039">
        <v>1</v>
      </c>
      <c r="K1039" s="22"/>
      <c r="L1039">
        <v>2.9424679103058899</v>
      </c>
      <c r="M1039" s="22">
        <v>7.3800000000000004E-2</v>
      </c>
      <c r="N1039" s="21">
        <v>41262</v>
      </c>
      <c r="O1039" s="21">
        <v>46740</v>
      </c>
      <c r="P1039">
        <f>ROUND(YEARFRAC(N1039,O1039),0)</f>
        <v>15</v>
      </c>
      <c r="Q1039" s="6">
        <f>(M1039*H1039)/F1039</f>
        <v>6.7097008818983547E-2</v>
      </c>
      <c r="R1039" s="5">
        <f>IF(S1039="Quarterly",4,IF(S1039="Semi-annual",2,IF(S1039="Annual",1,IF(S1039="Pays at maturity",0,12))))</f>
        <v>1</v>
      </c>
      <c r="S1039" t="s">
        <v>93</v>
      </c>
      <c r="U1039">
        <f>R1039*P1039</f>
        <v>15</v>
      </c>
      <c r="V1039">
        <f>(H1039*M1039)/AD1039</f>
        <v>73.800000000000011</v>
      </c>
      <c r="W1039" s="28">
        <f>RATE(U1039,V1039,-F1039,H1039)</f>
        <v>6.3291655062582552E-2</v>
      </c>
      <c r="X1039" s="27">
        <f>W1039*AD1039</f>
        <v>6.3291655062582552E-2</v>
      </c>
      <c r="Y1039" s="5">
        <f>DURATION(N1039,O1039,M1039,D1039,AD1039)</f>
        <v>9.8143254427803583</v>
      </c>
      <c r="Z1039" s="5">
        <f>Y1039/(1+C1039)</f>
        <v>9.2301349268115089</v>
      </c>
      <c r="AA1039" s="5">
        <f>-Z1039*F1039</f>
        <v>-10152.22540599998</v>
      </c>
      <c r="AB1039" t="s">
        <v>64</v>
      </c>
      <c r="AC1039" t="s">
        <v>62</v>
      </c>
      <c r="AD1039">
        <f>_xlfn.SWITCH(PROPER(TRIM(S1039)),
   "Annual",1,
   "Semi-Annual",2,
   "Quarterly",4,
   "Monthly",12,
   "")</f>
        <v>1</v>
      </c>
    </row>
    <row r="1040" spans="1:30" x14ac:dyDescent="0.35">
      <c r="A1040" t="s">
        <v>1087</v>
      </c>
      <c r="B1040" t="s">
        <v>1086</v>
      </c>
      <c r="C1040" s="36">
        <f>RATE(U1040,V1040,-F1040,H1040)</f>
        <v>0.10682388202410867</v>
      </c>
      <c r="D1040" s="3">
        <f>C1040*AD1040</f>
        <v>0.10682388202410867</v>
      </c>
      <c r="F1040">
        <v>99183.23</v>
      </c>
      <c r="G1040" t="s">
        <v>76</v>
      </c>
      <c r="H1040">
        <v>100000</v>
      </c>
      <c r="I1040" s="22"/>
      <c r="J1040">
        <v>3</v>
      </c>
      <c r="K1040" s="22"/>
      <c r="L1040">
        <v>10.770696201525899</v>
      </c>
      <c r="M1040" s="22">
        <v>0.10349999999999999</v>
      </c>
      <c r="N1040" s="21">
        <v>45736</v>
      </c>
      <c r="O1040" s="21">
        <v>46741</v>
      </c>
      <c r="P1040">
        <f>ROUND(YEARFRAC(N1040,O1040),0)</f>
        <v>3</v>
      </c>
      <c r="Q1040" s="6">
        <f>(M1040*H1040)/F1040</f>
        <v>0.10435231843125094</v>
      </c>
      <c r="R1040" s="5">
        <f>IF(S1040="Quarterly",4,IF(S1040="Semi-annual",2,IF(S1040="Annual",1,IF(S1040="Pays at maturity",0,12))))</f>
        <v>1</v>
      </c>
      <c r="S1040" t="s">
        <v>93</v>
      </c>
      <c r="U1040">
        <f>R1040*P1040</f>
        <v>3</v>
      </c>
      <c r="V1040">
        <f>(H1040*M1040)/AD1040</f>
        <v>10350</v>
      </c>
      <c r="W1040" s="28">
        <f>RATE(U1040,V1040,-F1040,H1040)</f>
        <v>0.10682388202410867</v>
      </c>
      <c r="X1040" s="27">
        <f>W1040*AD1040</f>
        <v>0.10682388202410867</v>
      </c>
      <c r="Y1040" s="5">
        <f>DURATION(N1040,O1040,M1040,D1040,AD1040)</f>
        <v>2.4762568040946373</v>
      </c>
      <c r="Z1040" s="5">
        <f>Y1040/(1+C1040)</f>
        <v>2.2372636191822788</v>
      </c>
      <c r="AA1040" s="5">
        <f>-Z1040*F1040</f>
        <v>-221899.03211198837</v>
      </c>
      <c r="AB1040" t="s">
        <v>64</v>
      </c>
      <c r="AC1040" t="s">
        <v>62</v>
      </c>
      <c r="AD1040">
        <f>_xlfn.SWITCH(PROPER(TRIM(S1040)),
   "Annual",1,
   "Semi-Annual",2,
   "Quarterly",4,
   "Monthly",12,
   "")</f>
        <v>1</v>
      </c>
    </row>
    <row r="1041" spans="1:30" x14ac:dyDescent="0.35">
      <c r="C1041" s="28"/>
      <c r="D1041" s="27"/>
      <c r="I1041" s="22"/>
      <c r="K1041" s="22"/>
      <c r="M1041" s="22"/>
      <c r="N1041" s="21"/>
      <c r="O1041" s="21"/>
      <c r="P1041" s="5"/>
      <c r="Q1041" s="6"/>
      <c r="R1041" s="5"/>
      <c r="W1041" s="28"/>
      <c r="Y1041" s="33"/>
      <c r="Z1041" s="33"/>
      <c r="AA1041" s="33"/>
    </row>
    <row r="1042" spans="1:30" x14ac:dyDescent="0.35">
      <c r="A1042" t="s">
        <v>1084</v>
      </c>
      <c r="B1042" t="s">
        <v>272</v>
      </c>
      <c r="C1042" s="36">
        <f>RATE(U1042,V1042,-F1042,H1042)</f>
        <v>7.1319979336777306E-2</v>
      </c>
      <c r="D1042" s="3">
        <f>C1042*AD1042</f>
        <v>7.1319979336777306E-2</v>
      </c>
      <c r="F1042">
        <v>1025.25</v>
      </c>
      <c r="G1042" t="s">
        <v>76</v>
      </c>
      <c r="H1042">
        <v>1000</v>
      </c>
      <c r="I1042" s="22"/>
      <c r="J1042">
        <v>464</v>
      </c>
      <c r="K1042" s="22"/>
      <c r="L1042">
        <v>6.5410944434456901</v>
      </c>
      <c r="M1042" s="22">
        <v>7.7499999999999999E-2</v>
      </c>
      <c r="N1042" s="21">
        <v>44918</v>
      </c>
      <c r="O1042" s="21">
        <v>46744</v>
      </c>
      <c r="P1042">
        <f>ROUND(YEARFRAC(N1042,O1042),0)</f>
        <v>5</v>
      </c>
      <c r="Q1042" s="6">
        <f>(M1042*H1042)/F1042</f>
        <v>7.5591319190441361E-2</v>
      </c>
      <c r="R1042" s="5">
        <f>IF(S1042="Quarterly",4,IF(S1042="Semi-annual",2,IF(S1042="Annual",1,IF(S1042="Pays at maturity",0,12))))</f>
        <v>1</v>
      </c>
      <c r="S1042" t="s">
        <v>93</v>
      </c>
      <c r="U1042">
        <f>R1042*P1042</f>
        <v>5</v>
      </c>
      <c r="V1042">
        <f>(H1042*M1042)/AD1042</f>
        <v>77.5</v>
      </c>
      <c r="W1042" s="28">
        <f>RATE(U1042,V1042,-F1042,H1042)</f>
        <v>7.1319979336777306E-2</v>
      </c>
      <c r="X1042" s="27">
        <f>W1042*AD1042</f>
        <v>7.1319979336777306E-2</v>
      </c>
      <c r="Y1042" s="5">
        <f>DURATION(N1042,O1042,M1042,D1042,AD1042)</f>
        <v>4.3398394066224437</v>
      </c>
      <c r="Z1042" s="5">
        <f>Y1042/(1+C1042)</f>
        <v>4.0509273516107767</v>
      </c>
      <c r="AA1042" s="5">
        <f>-Z1042*F1042</f>
        <v>-4153.2132672389489</v>
      </c>
      <c r="AB1042" t="s">
        <v>64</v>
      </c>
      <c r="AC1042" t="s">
        <v>62</v>
      </c>
      <c r="AD1042">
        <f>_xlfn.SWITCH(PROPER(TRIM(S1042)),
   "Annual",1,
   "Semi-Annual",2,
   "Quarterly",4,
   "Monthly",12,
   "")</f>
        <v>1</v>
      </c>
    </row>
    <row r="1043" spans="1:30" x14ac:dyDescent="0.35">
      <c r="A1043" t="s">
        <v>1083</v>
      </c>
      <c r="B1043" t="s">
        <v>272</v>
      </c>
      <c r="C1043" s="36">
        <f>RATE(U1043,V1043,-F1043,H1043)</f>
        <v>7.4506318675358715E-2</v>
      </c>
      <c r="D1043" s="3">
        <f>C1043*AD1043</f>
        <v>7.4506318675358715E-2</v>
      </c>
      <c r="F1043">
        <v>1002</v>
      </c>
      <c r="G1043" t="s">
        <v>76</v>
      </c>
      <c r="H1043">
        <v>1000</v>
      </c>
      <c r="I1043" s="22"/>
      <c r="J1043">
        <v>400</v>
      </c>
      <c r="K1043" s="22"/>
      <c r="L1043">
        <v>7.4036284971955499</v>
      </c>
      <c r="M1043" s="22">
        <v>7.4999999999999997E-2</v>
      </c>
      <c r="N1043" s="21">
        <v>44918</v>
      </c>
      <c r="O1043" s="21">
        <v>46744</v>
      </c>
      <c r="P1043">
        <f>ROUND(YEARFRAC(N1043,O1043),0)</f>
        <v>5</v>
      </c>
      <c r="Q1043" s="6">
        <f>(M1043*H1043)/F1043</f>
        <v>7.4850299401197598E-2</v>
      </c>
      <c r="R1043" s="5">
        <f>IF(S1043="Quarterly",4,IF(S1043="Semi-annual",2,IF(S1043="Annual",1,IF(S1043="Pays at maturity",0,12))))</f>
        <v>1</v>
      </c>
      <c r="S1043" t="s">
        <v>93</v>
      </c>
      <c r="U1043">
        <f>R1043*P1043</f>
        <v>5</v>
      </c>
      <c r="V1043">
        <f>(H1043*M1043)/AD1043</f>
        <v>75</v>
      </c>
      <c r="W1043" s="28">
        <f>RATE(U1043,V1043,-F1043,H1043)</f>
        <v>7.4506318675358715E-2</v>
      </c>
      <c r="X1043" s="27">
        <f>W1043*AD1043</f>
        <v>7.4506318675358715E-2</v>
      </c>
      <c r="Y1043" s="5">
        <f>DURATION(N1043,O1043,M1043,D1043,AD1043)</f>
        <v>4.3500492163752753</v>
      </c>
      <c r="Z1043" s="5">
        <f>Y1043/(1+C1043)</f>
        <v>4.0484165991112784</v>
      </c>
      <c r="AA1043" s="5">
        <f>-Z1043*F1043</f>
        <v>-4056.5134323095008</v>
      </c>
      <c r="AB1043" t="s">
        <v>64</v>
      </c>
      <c r="AC1043" t="s">
        <v>62</v>
      </c>
      <c r="AD1043">
        <f>_xlfn.SWITCH(PROPER(TRIM(S1043)),
   "Annual",1,
   "Semi-Annual",2,
   "Quarterly",4,
   "Monthly",12,
   "")</f>
        <v>1</v>
      </c>
    </row>
    <row r="1044" spans="1:30" x14ac:dyDescent="0.35">
      <c r="C1044" s="28"/>
      <c r="D1044" s="27"/>
      <c r="I1044" s="22"/>
      <c r="K1044" s="22"/>
      <c r="M1044" s="22"/>
      <c r="N1044" s="21"/>
      <c r="O1044" s="21"/>
      <c r="P1044" s="5"/>
      <c r="Q1044" s="6"/>
      <c r="R1044" s="5"/>
      <c r="W1044" s="28"/>
      <c r="Y1044" s="33"/>
      <c r="Z1044" s="33"/>
      <c r="AA1044" s="33"/>
    </row>
    <row r="1045" spans="1:30" x14ac:dyDescent="0.35">
      <c r="A1045" t="s">
        <v>1081</v>
      </c>
      <c r="B1045" t="s">
        <v>553</v>
      </c>
      <c r="C1045" s="36">
        <f t="shared" ref="C1045:C1056" si="650">RATE(U1045,V1045,-F1045,H1045)</f>
        <v>0.10210824393674477</v>
      </c>
      <c r="D1045" s="3">
        <f t="shared" ref="D1045:D1056" si="651">C1045*AD1045</f>
        <v>0.10210824393674477</v>
      </c>
      <c r="F1045">
        <v>970</v>
      </c>
      <c r="G1045" t="s">
        <v>76</v>
      </c>
      <c r="H1045">
        <v>1000</v>
      </c>
      <c r="I1045" s="22"/>
      <c r="J1045">
        <v>24</v>
      </c>
      <c r="K1045" s="22"/>
      <c r="L1045">
        <v>10.531253933201301</v>
      </c>
      <c r="M1045" s="22">
        <v>0.09</v>
      </c>
      <c r="N1045" s="21">
        <v>45652</v>
      </c>
      <c r="O1045" s="21">
        <v>46747</v>
      </c>
      <c r="P1045">
        <f t="shared" ref="P1045:P1056" si="652">ROUND(YEARFRAC(N1045,O1045),0)</f>
        <v>3</v>
      </c>
      <c r="Q1045" s="6">
        <f t="shared" ref="Q1045:Q1056" si="653">(M1045*H1045)/F1045</f>
        <v>9.2783505154639179E-2</v>
      </c>
      <c r="R1045" s="5">
        <f t="shared" ref="R1045:R1056" si="654">IF(S1045="Quarterly",4,IF(S1045="Semi-annual",2,IF(S1045="Annual",1,IF(S1045="Pays at maturity",0,12))))</f>
        <v>1</v>
      </c>
      <c r="S1045" t="s">
        <v>93</v>
      </c>
      <c r="U1045">
        <f t="shared" ref="U1045:U1056" si="655">R1045*P1045</f>
        <v>3</v>
      </c>
      <c r="V1045">
        <f t="shared" ref="V1045:V1056" si="656">(H1045*M1045)/AD1045</f>
        <v>90</v>
      </c>
      <c r="W1045" s="28">
        <f t="shared" ref="W1045:W1056" si="657">RATE(U1045,V1045,-F1045,H1045)</f>
        <v>0.10210824393674477</v>
      </c>
      <c r="X1045" s="27">
        <f t="shared" ref="X1045:X1056" si="658">W1045*AD1045</f>
        <v>0.10210824393674477</v>
      </c>
      <c r="Y1045" s="5">
        <f t="shared" ref="Y1045:Y1056" si="659">DURATION(N1045,O1045,M1045,D1045,AD1045)</f>
        <v>2.7552379262977427</v>
      </c>
      <c r="Z1045" s="5">
        <f t="shared" ref="Z1045:Z1056" si="660">Y1045/(1+C1045)</f>
        <v>2.4999703445244159</v>
      </c>
      <c r="AA1045" s="5">
        <f t="shared" ref="AA1045:AA1056" si="661">-Z1045*F1045</f>
        <v>-2424.9712341886834</v>
      </c>
      <c r="AB1045" t="s">
        <v>64</v>
      </c>
      <c r="AC1045" t="s">
        <v>62</v>
      </c>
      <c r="AD1045">
        <f t="shared" ref="AD1045:AD1056" si="662">_xlfn.SWITCH(PROPER(TRIM(S1045)),
   "Annual",1,
   "Semi-Annual",2,
   "Quarterly",4,
   "Monthly",12,
   "")</f>
        <v>1</v>
      </c>
    </row>
    <row r="1046" spans="1:30" x14ac:dyDescent="0.35">
      <c r="A1046" t="s">
        <v>1080</v>
      </c>
      <c r="B1046" t="s">
        <v>553</v>
      </c>
      <c r="C1046" s="36">
        <f t="shared" si="650"/>
        <v>9.3657383512565862E-2</v>
      </c>
      <c r="D1046" s="3">
        <f t="shared" si="651"/>
        <v>9.3657383512565862E-2</v>
      </c>
      <c r="F1046">
        <v>982</v>
      </c>
      <c r="G1046" t="s">
        <v>76</v>
      </c>
      <c r="H1046">
        <v>1000</v>
      </c>
      <c r="I1046" s="22"/>
      <c r="J1046">
        <v>31</v>
      </c>
      <c r="K1046" s="22"/>
      <c r="L1046">
        <v>9.5560877925565197</v>
      </c>
      <c r="M1046" s="22">
        <v>8.6500000000000007E-2</v>
      </c>
      <c r="N1046" s="21">
        <v>45652</v>
      </c>
      <c r="O1046" s="21">
        <v>46747</v>
      </c>
      <c r="P1046">
        <f t="shared" si="652"/>
        <v>3</v>
      </c>
      <c r="Q1046" s="6">
        <f t="shared" si="653"/>
        <v>8.8085539714867628E-2</v>
      </c>
      <c r="R1046" s="5">
        <f t="shared" si="654"/>
        <v>1</v>
      </c>
      <c r="S1046" t="s">
        <v>93</v>
      </c>
      <c r="U1046">
        <f t="shared" si="655"/>
        <v>3</v>
      </c>
      <c r="V1046">
        <f t="shared" si="656"/>
        <v>86.500000000000014</v>
      </c>
      <c r="W1046" s="28">
        <f t="shared" si="657"/>
        <v>9.3657383512565862E-2</v>
      </c>
      <c r="X1046" s="27">
        <f t="shared" si="658"/>
        <v>9.3657383512565862E-2</v>
      </c>
      <c r="Y1046" s="5">
        <f t="shared" si="659"/>
        <v>2.7652708663237018</v>
      </c>
      <c r="Z1046" s="5">
        <f t="shared" si="660"/>
        <v>2.5284617541211247</v>
      </c>
      <c r="AA1046" s="5">
        <f t="shared" si="661"/>
        <v>-2482.9494425469443</v>
      </c>
      <c r="AB1046" t="s">
        <v>64</v>
      </c>
      <c r="AC1046" t="s">
        <v>62</v>
      </c>
      <c r="AD1046">
        <f t="shared" si="662"/>
        <v>1</v>
      </c>
    </row>
    <row r="1047" spans="1:30" x14ac:dyDescent="0.35">
      <c r="A1047" t="s">
        <v>1079</v>
      </c>
      <c r="B1047" t="s">
        <v>128</v>
      </c>
      <c r="C1047" s="36">
        <f t="shared" si="650"/>
        <v>0.1053536668109659</v>
      </c>
      <c r="D1047" s="3">
        <f t="shared" si="651"/>
        <v>0.1053536668109659</v>
      </c>
      <c r="F1047">
        <v>974</v>
      </c>
      <c r="G1047" t="s">
        <v>76</v>
      </c>
      <c r="H1047">
        <v>1000</v>
      </c>
      <c r="I1047" s="22"/>
      <c r="J1047">
        <v>50</v>
      </c>
      <c r="K1047" s="22"/>
      <c r="L1047">
        <v>10.8204843795834</v>
      </c>
      <c r="M1047" s="22">
        <v>9.4800000000000009E-2</v>
      </c>
      <c r="N1047" s="21">
        <v>45653</v>
      </c>
      <c r="O1047" s="21">
        <v>46748</v>
      </c>
      <c r="P1047">
        <f t="shared" si="652"/>
        <v>3</v>
      </c>
      <c r="Q1047" s="6">
        <f t="shared" si="653"/>
        <v>9.7330595482546217E-2</v>
      </c>
      <c r="R1047" s="5">
        <f t="shared" si="654"/>
        <v>1</v>
      </c>
      <c r="S1047" t="s">
        <v>93</v>
      </c>
      <c r="U1047">
        <f t="shared" si="655"/>
        <v>3</v>
      </c>
      <c r="V1047">
        <f t="shared" si="656"/>
        <v>94.800000000000011</v>
      </c>
      <c r="W1047" s="28">
        <f t="shared" si="657"/>
        <v>0.1053536668109659</v>
      </c>
      <c r="X1047" s="27">
        <f t="shared" si="658"/>
        <v>0.1053536668109659</v>
      </c>
      <c r="Y1047" s="5">
        <f t="shared" si="659"/>
        <v>2.7442311870177694</v>
      </c>
      <c r="Z1047" s="5">
        <f t="shared" si="660"/>
        <v>2.4826725322539498</v>
      </c>
      <c r="AA1047" s="5">
        <f t="shared" si="661"/>
        <v>-2418.1230464153473</v>
      </c>
      <c r="AB1047" t="s">
        <v>64</v>
      </c>
      <c r="AC1047" t="s">
        <v>62</v>
      </c>
      <c r="AD1047">
        <f t="shared" si="662"/>
        <v>1</v>
      </c>
    </row>
    <row r="1048" spans="1:30" x14ac:dyDescent="0.35">
      <c r="A1048" t="s">
        <v>1078</v>
      </c>
      <c r="B1048" t="s">
        <v>128</v>
      </c>
      <c r="C1048" s="36">
        <f t="shared" si="650"/>
        <v>2.8808553953244009E-2</v>
      </c>
      <c r="D1048" s="3">
        <f t="shared" si="651"/>
        <v>2.8808553953244009E-2</v>
      </c>
      <c r="F1048">
        <v>1199</v>
      </c>
      <c r="G1048" t="s">
        <v>76</v>
      </c>
      <c r="H1048">
        <v>1000</v>
      </c>
      <c r="I1048" s="22"/>
      <c r="J1048">
        <v>401</v>
      </c>
      <c r="K1048" s="22"/>
      <c r="L1048">
        <v>2.3524314446574199</v>
      </c>
      <c r="M1048" s="22">
        <v>9.9000000000000005E-2</v>
      </c>
      <c r="N1048" s="21">
        <v>45653</v>
      </c>
      <c r="O1048" s="21">
        <v>46748</v>
      </c>
      <c r="P1048">
        <f t="shared" si="652"/>
        <v>3</v>
      </c>
      <c r="Q1048" s="6">
        <f t="shared" si="653"/>
        <v>8.2568807339449546E-2</v>
      </c>
      <c r="R1048" s="5">
        <f t="shared" si="654"/>
        <v>1</v>
      </c>
      <c r="S1048" t="s">
        <v>93</v>
      </c>
      <c r="U1048">
        <f t="shared" si="655"/>
        <v>3</v>
      </c>
      <c r="V1048">
        <f t="shared" si="656"/>
        <v>99</v>
      </c>
      <c r="W1048" s="28">
        <f t="shared" si="657"/>
        <v>2.8808553953244009E-2</v>
      </c>
      <c r="X1048" s="27">
        <f t="shared" si="658"/>
        <v>2.8808553953244009E-2</v>
      </c>
      <c r="Y1048" s="5">
        <f t="shared" si="659"/>
        <v>2.7614771564417766</v>
      </c>
      <c r="Z1048" s="5">
        <f t="shared" si="660"/>
        <v>2.6841506574091687</v>
      </c>
      <c r="AA1048" s="5">
        <f t="shared" si="661"/>
        <v>-3218.2966382335931</v>
      </c>
      <c r="AB1048" t="s">
        <v>64</v>
      </c>
      <c r="AC1048" t="s">
        <v>62</v>
      </c>
      <c r="AD1048">
        <f t="shared" si="662"/>
        <v>1</v>
      </c>
    </row>
    <row r="1049" spans="1:30" x14ac:dyDescent="0.35">
      <c r="A1049" t="s">
        <v>1077</v>
      </c>
      <c r="B1049" t="s">
        <v>128</v>
      </c>
      <c r="C1049" s="36">
        <f t="shared" si="650"/>
        <v>0.11425446360166247</v>
      </c>
      <c r="D1049" s="3">
        <f t="shared" si="651"/>
        <v>0.11425446360166247</v>
      </c>
      <c r="F1049">
        <v>941.65</v>
      </c>
      <c r="G1049" t="s">
        <v>76</v>
      </c>
      <c r="H1049">
        <v>1000</v>
      </c>
      <c r="I1049" s="22"/>
      <c r="J1049">
        <v>500</v>
      </c>
      <c r="K1049" s="22"/>
      <c r="L1049">
        <v>11.684841210913801</v>
      </c>
      <c r="M1049" s="22">
        <v>9.0200000000000002E-2</v>
      </c>
      <c r="N1049" s="21">
        <v>45653</v>
      </c>
      <c r="O1049" s="21">
        <v>46748</v>
      </c>
      <c r="P1049">
        <f t="shared" si="652"/>
        <v>3</v>
      </c>
      <c r="Q1049" s="6">
        <f t="shared" si="653"/>
        <v>9.5789306005416033E-2</v>
      </c>
      <c r="R1049" s="5">
        <f t="shared" si="654"/>
        <v>1</v>
      </c>
      <c r="S1049" t="s">
        <v>93</v>
      </c>
      <c r="U1049">
        <f t="shared" si="655"/>
        <v>3</v>
      </c>
      <c r="V1049">
        <f t="shared" si="656"/>
        <v>90.2</v>
      </c>
      <c r="W1049" s="28">
        <f t="shared" si="657"/>
        <v>0.11425446360166247</v>
      </c>
      <c r="X1049" s="27">
        <f t="shared" si="658"/>
        <v>0.11425446360166247</v>
      </c>
      <c r="Y1049" s="5">
        <f t="shared" si="659"/>
        <v>2.7509134637840678</v>
      </c>
      <c r="Z1049" s="5">
        <f t="shared" si="660"/>
        <v>2.4688377328928506</v>
      </c>
      <c r="AA1049" s="5">
        <f t="shared" si="661"/>
        <v>-2324.7810511785528</v>
      </c>
      <c r="AB1049" t="s">
        <v>64</v>
      </c>
      <c r="AC1049" t="s">
        <v>62</v>
      </c>
      <c r="AD1049">
        <f t="shared" si="662"/>
        <v>1</v>
      </c>
    </row>
    <row r="1050" spans="1:30" x14ac:dyDescent="0.35">
      <c r="A1050" t="s">
        <v>1076</v>
      </c>
      <c r="B1050" t="s">
        <v>128</v>
      </c>
      <c r="C1050" s="36">
        <f t="shared" si="650"/>
        <v>0.23590427217337451</v>
      </c>
      <c r="D1050" s="3">
        <f t="shared" si="651"/>
        <v>0.23590427217337451</v>
      </c>
      <c r="F1050">
        <v>606.79999999999995</v>
      </c>
      <c r="G1050" t="s">
        <v>76</v>
      </c>
      <c r="H1050">
        <v>1000</v>
      </c>
      <c r="I1050" s="22"/>
      <c r="J1050">
        <v>1</v>
      </c>
      <c r="K1050" s="22"/>
      <c r="L1050">
        <v>42.109322572407599</v>
      </c>
      <c r="M1050" s="22">
        <v>9.3900000000000011E-2</v>
      </c>
      <c r="N1050" s="21">
        <v>44923</v>
      </c>
      <c r="O1050" s="21">
        <v>46749</v>
      </c>
      <c r="P1050">
        <f t="shared" si="652"/>
        <v>5</v>
      </c>
      <c r="Q1050" s="6">
        <f t="shared" si="653"/>
        <v>0.15474620962425842</v>
      </c>
      <c r="R1050" s="5">
        <f t="shared" si="654"/>
        <v>1</v>
      </c>
      <c r="S1050" t="s">
        <v>93</v>
      </c>
      <c r="U1050">
        <f t="shared" si="655"/>
        <v>5</v>
      </c>
      <c r="V1050">
        <f t="shared" si="656"/>
        <v>93.9</v>
      </c>
      <c r="W1050" s="28">
        <f t="shared" si="657"/>
        <v>0.23590427217337451</v>
      </c>
      <c r="X1050" s="27">
        <f t="shared" si="658"/>
        <v>0.23590427217337451</v>
      </c>
      <c r="Y1050" s="5">
        <f t="shared" si="659"/>
        <v>3.9649662696348886</v>
      </c>
      <c r="Z1050" s="5">
        <f t="shared" si="660"/>
        <v>3.208149982896634</v>
      </c>
      <c r="AA1050" s="5">
        <f t="shared" si="661"/>
        <v>-1946.7054096216773</v>
      </c>
      <c r="AB1050" t="s">
        <v>64</v>
      </c>
      <c r="AC1050" t="s">
        <v>62</v>
      </c>
      <c r="AD1050">
        <f t="shared" si="662"/>
        <v>1</v>
      </c>
    </row>
    <row r="1051" spans="1:30" x14ac:dyDescent="0.35">
      <c r="A1051" t="s">
        <v>1075</v>
      </c>
      <c r="B1051" t="s">
        <v>128</v>
      </c>
      <c r="C1051" s="36">
        <f t="shared" si="650"/>
        <v>0.22751372039925585</v>
      </c>
      <c r="D1051" s="3">
        <f t="shared" si="651"/>
        <v>0.22751372039925585</v>
      </c>
      <c r="F1051">
        <v>635</v>
      </c>
      <c r="G1051" t="s">
        <v>76</v>
      </c>
      <c r="H1051">
        <v>1000</v>
      </c>
      <c r="I1051" s="22"/>
      <c r="J1051">
        <v>10</v>
      </c>
      <c r="K1051" s="22"/>
      <c r="L1051">
        <v>34.628235514476501</v>
      </c>
      <c r="M1051" s="22">
        <v>9.8000000000000004E-2</v>
      </c>
      <c r="N1051" s="21">
        <v>44923</v>
      </c>
      <c r="O1051" s="21">
        <v>46749</v>
      </c>
      <c r="P1051">
        <f t="shared" si="652"/>
        <v>5</v>
      </c>
      <c r="Q1051" s="6">
        <f t="shared" si="653"/>
        <v>0.15433070866141732</v>
      </c>
      <c r="R1051" s="5">
        <f t="shared" si="654"/>
        <v>1</v>
      </c>
      <c r="S1051" t="s">
        <v>93</v>
      </c>
      <c r="U1051">
        <f t="shared" si="655"/>
        <v>5</v>
      </c>
      <c r="V1051">
        <f t="shared" si="656"/>
        <v>98</v>
      </c>
      <c r="W1051" s="28">
        <f t="shared" si="657"/>
        <v>0.22751372039925585</v>
      </c>
      <c r="X1051" s="27">
        <f t="shared" si="658"/>
        <v>0.22751372039925585</v>
      </c>
      <c r="Y1051" s="5">
        <f t="shared" si="659"/>
        <v>3.9549701880308379</v>
      </c>
      <c r="Z1051" s="5">
        <f t="shared" si="660"/>
        <v>3.2219356267109269</v>
      </c>
      <c r="AA1051" s="5">
        <f t="shared" si="661"/>
        <v>-2045.9291229614387</v>
      </c>
      <c r="AB1051" t="s">
        <v>64</v>
      </c>
      <c r="AC1051" t="s">
        <v>62</v>
      </c>
      <c r="AD1051">
        <f t="shared" si="662"/>
        <v>1</v>
      </c>
    </row>
    <row r="1052" spans="1:30" x14ac:dyDescent="0.35">
      <c r="A1052" t="s">
        <v>1074</v>
      </c>
      <c r="B1052" t="s">
        <v>94</v>
      </c>
      <c r="C1052" s="36">
        <f t="shared" si="650"/>
        <v>6.4747732187752371E-2</v>
      </c>
      <c r="D1052" s="3">
        <f t="shared" si="651"/>
        <v>6.4747732187752371E-2</v>
      </c>
      <c r="F1052">
        <v>1083.3699999999999</v>
      </c>
      <c r="G1052" t="s">
        <v>76</v>
      </c>
      <c r="H1052">
        <v>1000</v>
      </c>
      <c r="I1052" s="22"/>
      <c r="J1052">
        <v>440</v>
      </c>
      <c r="K1052" s="22"/>
      <c r="L1052">
        <v>3.70018821592714</v>
      </c>
      <c r="M1052" s="22">
        <v>7.3599999999999999E-2</v>
      </c>
      <c r="N1052" s="21">
        <v>41278</v>
      </c>
      <c r="O1052" s="21">
        <v>46756</v>
      </c>
      <c r="P1052">
        <f t="shared" si="652"/>
        <v>15</v>
      </c>
      <c r="Q1052" s="6">
        <f t="shared" si="653"/>
        <v>6.7936162160665337E-2</v>
      </c>
      <c r="R1052" s="5">
        <f t="shared" si="654"/>
        <v>1</v>
      </c>
      <c r="S1052" t="s">
        <v>93</v>
      </c>
      <c r="U1052">
        <f t="shared" si="655"/>
        <v>15</v>
      </c>
      <c r="V1052">
        <f t="shared" si="656"/>
        <v>73.599999999999994</v>
      </c>
      <c r="W1052" s="28">
        <f t="shared" si="657"/>
        <v>6.4747732187752371E-2</v>
      </c>
      <c r="X1052" s="27">
        <f t="shared" si="658"/>
        <v>6.4747732187752371E-2</v>
      </c>
      <c r="Y1052" s="5">
        <f t="shared" si="659"/>
        <v>9.7828603272894554</v>
      </c>
      <c r="Z1052" s="5">
        <f t="shared" si="660"/>
        <v>9.1879607080152894</v>
      </c>
      <c r="AA1052" s="5">
        <f t="shared" si="661"/>
        <v>-9953.9609922425225</v>
      </c>
      <c r="AB1052" t="s">
        <v>64</v>
      </c>
      <c r="AC1052" t="s">
        <v>62</v>
      </c>
      <c r="AD1052">
        <f t="shared" si="662"/>
        <v>1</v>
      </c>
    </row>
    <row r="1053" spans="1:30" x14ac:dyDescent="0.35">
      <c r="A1053" t="s">
        <v>1073</v>
      </c>
      <c r="B1053" t="s">
        <v>119</v>
      </c>
      <c r="C1053" s="36">
        <f t="shared" si="650"/>
        <v>0.13831780559031076</v>
      </c>
      <c r="D1053" s="3">
        <f t="shared" si="651"/>
        <v>0.13831780559031076</v>
      </c>
      <c r="F1053">
        <v>901.01</v>
      </c>
      <c r="G1053" t="s">
        <v>76</v>
      </c>
      <c r="H1053">
        <v>1000</v>
      </c>
      <c r="I1053" s="22"/>
      <c r="J1053">
        <v>10</v>
      </c>
      <c r="K1053" s="22"/>
      <c r="L1053">
        <v>14.8403762302286</v>
      </c>
      <c r="M1053" s="22">
        <v>9.5799999999999996E-2</v>
      </c>
      <c r="N1053" s="21">
        <v>45663</v>
      </c>
      <c r="O1053" s="21">
        <v>46758</v>
      </c>
      <c r="P1053">
        <f t="shared" si="652"/>
        <v>3</v>
      </c>
      <c r="Q1053" s="6">
        <f t="shared" si="653"/>
        <v>0.10632512402748028</v>
      </c>
      <c r="R1053" s="5">
        <f t="shared" si="654"/>
        <v>1</v>
      </c>
      <c r="S1053" t="s">
        <v>93</v>
      </c>
      <c r="U1053">
        <f t="shared" si="655"/>
        <v>3</v>
      </c>
      <c r="V1053">
        <f t="shared" si="656"/>
        <v>95.8</v>
      </c>
      <c r="W1053" s="28">
        <f t="shared" si="657"/>
        <v>0.13831780559031076</v>
      </c>
      <c r="X1053" s="27">
        <f t="shared" si="658"/>
        <v>0.13831780559031076</v>
      </c>
      <c r="Y1053" s="5">
        <f t="shared" si="659"/>
        <v>2.7311333186622866</v>
      </c>
      <c r="Z1053" s="5">
        <f t="shared" si="660"/>
        <v>2.3992713680218425</v>
      </c>
      <c r="AA1053" s="5">
        <f t="shared" si="661"/>
        <v>-2161.7674953013602</v>
      </c>
      <c r="AB1053" t="s">
        <v>64</v>
      </c>
      <c r="AC1053" t="s">
        <v>62</v>
      </c>
      <c r="AD1053">
        <f t="shared" si="662"/>
        <v>1</v>
      </c>
    </row>
    <row r="1054" spans="1:30" x14ac:dyDescent="0.35">
      <c r="A1054" t="s">
        <v>1072</v>
      </c>
      <c r="B1054" t="s">
        <v>119</v>
      </c>
      <c r="C1054" s="36">
        <f t="shared" si="650"/>
        <v>0.17688151424434537</v>
      </c>
      <c r="D1054" s="3">
        <f t="shared" si="651"/>
        <v>0.17688151424434537</v>
      </c>
      <c r="F1054">
        <v>832</v>
      </c>
      <c r="G1054" t="s">
        <v>76</v>
      </c>
      <c r="H1054">
        <v>1000</v>
      </c>
      <c r="I1054" s="22"/>
      <c r="J1054">
        <v>50</v>
      </c>
      <c r="K1054" s="22"/>
      <c r="L1054">
        <v>19.801904800584801</v>
      </c>
      <c r="M1054" s="22">
        <v>0.1</v>
      </c>
      <c r="N1054" s="21">
        <v>45663</v>
      </c>
      <c r="O1054" s="21">
        <v>46758</v>
      </c>
      <c r="P1054">
        <f t="shared" si="652"/>
        <v>3</v>
      </c>
      <c r="Q1054" s="6">
        <f t="shared" si="653"/>
        <v>0.1201923076923077</v>
      </c>
      <c r="R1054" s="5">
        <f t="shared" si="654"/>
        <v>1</v>
      </c>
      <c r="S1054" t="s">
        <v>93</v>
      </c>
      <c r="U1054">
        <f t="shared" si="655"/>
        <v>3</v>
      </c>
      <c r="V1054">
        <f t="shared" si="656"/>
        <v>100</v>
      </c>
      <c r="W1054" s="28">
        <f t="shared" si="657"/>
        <v>0.17688151424434537</v>
      </c>
      <c r="X1054" s="27">
        <f t="shared" si="658"/>
        <v>0.17688151424434537</v>
      </c>
      <c r="Y1054" s="5">
        <f t="shared" si="659"/>
        <v>2.7089661101332316</v>
      </c>
      <c r="Z1054" s="5">
        <f t="shared" si="660"/>
        <v>2.3018171985415288</v>
      </c>
      <c r="AA1054" s="5">
        <f t="shared" si="661"/>
        <v>-1915.1119091865519</v>
      </c>
      <c r="AB1054" t="s">
        <v>64</v>
      </c>
      <c r="AC1054" t="s">
        <v>62</v>
      </c>
      <c r="AD1054">
        <f t="shared" si="662"/>
        <v>1</v>
      </c>
    </row>
    <row r="1055" spans="1:30" x14ac:dyDescent="0.35">
      <c r="A1055" t="s">
        <v>1071</v>
      </c>
      <c r="B1055" t="s">
        <v>241</v>
      </c>
      <c r="C1055" s="36">
        <f t="shared" si="650"/>
        <v>0.1045590504433114</v>
      </c>
      <c r="D1055" s="3">
        <f t="shared" si="651"/>
        <v>0.1045590504433114</v>
      </c>
      <c r="F1055">
        <v>970.25</v>
      </c>
      <c r="G1055" t="s">
        <v>76</v>
      </c>
      <c r="H1055">
        <v>1000</v>
      </c>
      <c r="I1055" s="22"/>
      <c r="J1055">
        <v>125</v>
      </c>
      <c r="K1055" s="22"/>
      <c r="L1055">
        <v>10.7540946202973</v>
      </c>
      <c r="M1055" s="22">
        <v>9.2499999999999999E-2</v>
      </c>
      <c r="N1055" s="21">
        <v>45667</v>
      </c>
      <c r="O1055" s="21">
        <v>46762</v>
      </c>
      <c r="P1055">
        <f t="shared" si="652"/>
        <v>3</v>
      </c>
      <c r="Q1055" s="6">
        <f t="shared" si="653"/>
        <v>9.5336253542901317E-2</v>
      </c>
      <c r="R1055" s="5">
        <f t="shared" si="654"/>
        <v>1</v>
      </c>
      <c r="S1055" t="s">
        <v>93</v>
      </c>
      <c r="U1055">
        <f t="shared" si="655"/>
        <v>3</v>
      </c>
      <c r="V1055">
        <f t="shared" si="656"/>
        <v>92.5</v>
      </c>
      <c r="W1055" s="28">
        <f t="shared" si="657"/>
        <v>0.1045590504433114</v>
      </c>
      <c r="X1055" s="27">
        <f t="shared" si="658"/>
        <v>0.1045590504433114</v>
      </c>
      <c r="Y1055" s="5">
        <f t="shared" si="659"/>
        <v>2.7492355867347928</v>
      </c>
      <c r="Z1055" s="5">
        <f t="shared" si="660"/>
        <v>2.4889892356876668</v>
      </c>
      <c r="AA1055" s="5">
        <f t="shared" si="661"/>
        <v>-2414.9418059259588</v>
      </c>
      <c r="AB1055" t="s">
        <v>64</v>
      </c>
      <c r="AC1055" t="s">
        <v>62</v>
      </c>
      <c r="AD1055">
        <f t="shared" si="662"/>
        <v>1</v>
      </c>
    </row>
    <row r="1056" spans="1:30" x14ac:dyDescent="0.35">
      <c r="A1056" t="s">
        <v>1070</v>
      </c>
      <c r="B1056" t="s">
        <v>241</v>
      </c>
      <c r="C1056" s="36">
        <f t="shared" si="650"/>
        <v>9.6500000000966715E-2</v>
      </c>
      <c r="D1056" s="3">
        <f t="shared" si="651"/>
        <v>9.6500000000966715E-2</v>
      </c>
      <c r="F1056">
        <v>1000</v>
      </c>
      <c r="G1056" t="s">
        <v>76</v>
      </c>
      <c r="H1056">
        <v>1000</v>
      </c>
      <c r="I1056" s="22"/>
      <c r="J1056">
        <v>10</v>
      </c>
      <c r="K1056" s="22"/>
      <c r="L1056">
        <v>9.65</v>
      </c>
      <c r="M1056" s="22">
        <v>9.6500000000000002E-2</v>
      </c>
      <c r="N1056" s="21">
        <v>45667</v>
      </c>
      <c r="O1056" s="21">
        <v>46762</v>
      </c>
      <c r="P1056">
        <f t="shared" si="652"/>
        <v>3</v>
      </c>
      <c r="Q1056" s="6">
        <f t="shared" si="653"/>
        <v>9.6500000000000002E-2</v>
      </c>
      <c r="R1056" s="5">
        <f t="shared" si="654"/>
        <v>1</v>
      </c>
      <c r="S1056" t="s">
        <v>93</v>
      </c>
      <c r="U1056">
        <f t="shared" si="655"/>
        <v>3</v>
      </c>
      <c r="V1056">
        <f t="shared" si="656"/>
        <v>96.5</v>
      </c>
      <c r="W1056" s="28">
        <f t="shared" si="657"/>
        <v>9.6500000000966715E-2</v>
      </c>
      <c r="X1056" s="27">
        <f t="shared" si="658"/>
        <v>9.6500000000966715E-2</v>
      </c>
      <c r="Y1056" s="5">
        <f t="shared" si="659"/>
        <v>2.743723396313738</v>
      </c>
      <c r="Z1056" s="5">
        <f t="shared" si="660"/>
        <v>2.5022557193901678</v>
      </c>
      <c r="AA1056" s="5">
        <f t="shared" si="661"/>
        <v>-2502.255719390168</v>
      </c>
      <c r="AB1056" t="s">
        <v>64</v>
      </c>
      <c r="AC1056" t="s">
        <v>62</v>
      </c>
      <c r="AD1056">
        <f t="shared" si="662"/>
        <v>1</v>
      </c>
    </row>
    <row r="1057" spans="1:30" x14ac:dyDescent="0.35">
      <c r="C1057" s="28"/>
      <c r="D1057" s="27"/>
      <c r="I1057" s="22"/>
      <c r="K1057" s="22"/>
      <c r="M1057" s="22"/>
      <c r="N1057" s="21"/>
      <c r="O1057" s="21"/>
      <c r="P1057" s="5"/>
      <c r="Q1057" s="6"/>
      <c r="R1057" s="5"/>
      <c r="W1057" s="28"/>
      <c r="Y1057" s="33"/>
      <c r="Z1057" s="33"/>
      <c r="AA1057" s="33"/>
    </row>
    <row r="1058" spans="1:30" x14ac:dyDescent="0.35">
      <c r="A1058" t="s">
        <v>1068</v>
      </c>
      <c r="B1058" t="s">
        <v>353</v>
      </c>
      <c r="C1058" s="36">
        <f t="shared" ref="C1058:C1065" si="663">RATE(U1058,V1058,-F1058,H1058)</f>
        <v>0.11227876958774369</v>
      </c>
      <c r="D1058" s="3">
        <f t="shared" ref="D1058:D1065" si="664">C1058*AD1058</f>
        <v>0.11227876958774369</v>
      </c>
      <c r="F1058">
        <v>1010</v>
      </c>
      <c r="G1058" t="s">
        <v>76</v>
      </c>
      <c r="H1058">
        <v>1000</v>
      </c>
      <c r="I1058" s="22"/>
      <c r="J1058">
        <v>20</v>
      </c>
      <c r="K1058" s="22"/>
      <c r="L1058">
        <v>10.985932480291201</v>
      </c>
      <c r="M1058" s="22">
        <v>0.115</v>
      </c>
      <c r="N1058" s="21">
        <v>44938</v>
      </c>
      <c r="O1058" s="21">
        <v>46763</v>
      </c>
      <c r="P1058">
        <f t="shared" ref="P1058:P1065" si="665">ROUND(YEARFRAC(N1058,O1058),0)</f>
        <v>5</v>
      </c>
      <c r="Q1058" s="6">
        <f t="shared" ref="Q1058:Q1065" si="666">(M1058*H1058)/F1058</f>
        <v>0.11386138613861387</v>
      </c>
      <c r="R1058" s="5">
        <f t="shared" ref="R1058:R1065" si="667">IF(S1058="Quarterly",4,IF(S1058="Semi-annual",2,IF(S1058="Annual",1,IF(S1058="Pays at maturity",0,12))))</f>
        <v>1</v>
      </c>
      <c r="S1058" t="s">
        <v>93</v>
      </c>
      <c r="U1058">
        <f t="shared" ref="U1058:U1065" si="668">R1058*P1058</f>
        <v>5</v>
      </c>
      <c r="V1058">
        <f t="shared" ref="V1058:V1065" si="669">(H1058*M1058)/AD1058</f>
        <v>115</v>
      </c>
      <c r="W1058" s="28">
        <f t="shared" ref="W1058:W1065" si="670">RATE(U1058,V1058,-F1058,H1058)</f>
        <v>0.11227876958774369</v>
      </c>
      <c r="X1058" s="27">
        <f t="shared" ref="X1058:X1065" si="671">W1058*AD1058</f>
        <v>0.11227876958774369</v>
      </c>
      <c r="Y1058" s="5">
        <f t="shared" ref="Y1058:Y1065" si="672">DURATION(N1058,O1058,M1058,D1058,AD1058)</f>
        <v>4.0717701100946933</v>
      </c>
      <c r="Z1058" s="5">
        <f t="shared" ref="Z1058:Z1065" si="673">Y1058/(1+C1058)</f>
        <v>3.660746048046803</v>
      </c>
      <c r="AA1058" s="5">
        <f t="shared" ref="AA1058:AA1065" si="674">-Z1058*F1058</f>
        <v>-3697.3535085272711</v>
      </c>
      <c r="AB1058" t="s">
        <v>64</v>
      </c>
      <c r="AC1058" t="s">
        <v>62</v>
      </c>
      <c r="AD1058">
        <f t="shared" ref="AD1058:AD1065" si="675">_xlfn.SWITCH(PROPER(TRIM(S1058)),
   "Annual",1,
   "Semi-Annual",2,
   "Quarterly",4,
   "Monthly",12,
   "")</f>
        <v>1</v>
      </c>
    </row>
    <row r="1059" spans="1:30" x14ac:dyDescent="0.35">
      <c r="A1059" t="s">
        <v>1067</v>
      </c>
      <c r="B1059" t="s">
        <v>539</v>
      </c>
      <c r="C1059" s="36">
        <f t="shared" si="663"/>
        <v>7.5448946599218428E-2</v>
      </c>
      <c r="D1059" s="3">
        <f t="shared" si="664"/>
        <v>7.5448946599218428E-2</v>
      </c>
      <c r="F1059">
        <v>1050</v>
      </c>
      <c r="G1059" t="s">
        <v>76</v>
      </c>
      <c r="H1059">
        <v>1000</v>
      </c>
      <c r="I1059" s="22"/>
      <c r="J1059">
        <v>10</v>
      </c>
      <c r="K1059" s="22"/>
      <c r="L1059">
        <v>6.0921018242642804</v>
      </c>
      <c r="M1059" s="22">
        <v>8.4000000000000005E-2</v>
      </c>
      <c r="N1059" s="21">
        <v>43844</v>
      </c>
      <c r="O1059" s="21">
        <v>46766</v>
      </c>
      <c r="P1059">
        <f t="shared" si="665"/>
        <v>8</v>
      </c>
      <c r="Q1059" s="6">
        <f t="shared" si="666"/>
        <v>0.08</v>
      </c>
      <c r="R1059" s="5">
        <f t="shared" si="667"/>
        <v>1</v>
      </c>
      <c r="S1059" t="s">
        <v>93</v>
      </c>
      <c r="U1059">
        <f t="shared" si="668"/>
        <v>8</v>
      </c>
      <c r="V1059">
        <f t="shared" si="669"/>
        <v>84</v>
      </c>
      <c r="W1059" s="28">
        <f t="shared" si="670"/>
        <v>7.5448946599218428E-2</v>
      </c>
      <c r="X1059" s="27">
        <f t="shared" si="671"/>
        <v>7.5448946599218428E-2</v>
      </c>
      <c r="Y1059" s="5">
        <f t="shared" si="672"/>
        <v>6.1851572892554119</v>
      </c>
      <c r="Z1059" s="5">
        <f t="shared" si="673"/>
        <v>5.7512328305440237</v>
      </c>
      <c r="AA1059" s="5">
        <f t="shared" si="674"/>
        <v>-6038.7944720712248</v>
      </c>
      <c r="AB1059" t="s">
        <v>64</v>
      </c>
      <c r="AC1059" t="s">
        <v>62</v>
      </c>
      <c r="AD1059">
        <f t="shared" si="675"/>
        <v>1</v>
      </c>
    </row>
    <row r="1060" spans="1:30" x14ac:dyDescent="0.35">
      <c r="A1060" t="s">
        <v>1066</v>
      </c>
      <c r="B1060" t="s">
        <v>539</v>
      </c>
      <c r="C1060" s="36">
        <f t="shared" si="663"/>
        <v>7.0109956587101729E-2</v>
      </c>
      <c r="D1060" s="3">
        <f t="shared" si="664"/>
        <v>7.0109956587101729E-2</v>
      </c>
      <c r="F1060">
        <v>1065</v>
      </c>
      <c r="G1060" t="s">
        <v>76</v>
      </c>
      <c r="H1060">
        <v>1000</v>
      </c>
      <c r="I1060" s="22"/>
      <c r="J1060">
        <v>2</v>
      </c>
      <c r="K1060" s="22"/>
      <c r="L1060">
        <v>5.1683257825582203</v>
      </c>
      <c r="M1060" s="22">
        <v>8.1000000000000003E-2</v>
      </c>
      <c r="N1060" s="21">
        <v>43844</v>
      </c>
      <c r="O1060" s="21">
        <v>46766</v>
      </c>
      <c r="P1060">
        <f t="shared" si="665"/>
        <v>8</v>
      </c>
      <c r="Q1060" s="6">
        <f t="shared" si="666"/>
        <v>7.605633802816901E-2</v>
      </c>
      <c r="R1060" s="5">
        <f t="shared" si="667"/>
        <v>1</v>
      </c>
      <c r="S1060" t="s">
        <v>93</v>
      </c>
      <c r="U1060">
        <f t="shared" si="668"/>
        <v>8</v>
      </c>
      <c r="V1060">
        <f t="shared" si="669"/>
        <v>81</v>
      </c>
      <c r="W1060" s="28">
        <f t="shared" si="670"/>
        <v>7.0109956587101729E-2</v>
      </c>
      <c r="X1060" s="27">
        <f t="shared" si="671"/>
        <v>7.0109956587101729E-2</v>
      </c>
      <c r="Y1060" s="5">
        <f t="shared" si="672"/>
        <v>6.2504363304436765</v>
      </c>
      <c r="Z1060" s="5">
        <f t="shared" si="673"/>
        <v>5.8409290484299135</v>
      </c>
      <c r="AA1060" s="5">
        <f t="shared" si="674"/>
        <v>-6220.5894365778577</v>
      </c>
      <c r="AB1060" t="s">
        <v>64</v>
      </c>
      <c r="AC1060" t="s">
        <v>62</v>
      </c>
      <c r="AD1060">
        <f t="shared" si="675"/>
        <v>1</v>
      </c>
    </row>
    <row r="1061" spans="1:30" x14ac:dyDescent="0.35">
      <c r="A1061" t="s">
        <v>1065</v>
      </c>
      <c r="B1061" t="s">
        <v>636</v>
      </c>
      <c r="C1061" s="36">
        <f t="shared" si="663"/>
        <v>2.9264895831047886E-2</v>
      </c>
      <c r="D1061" s="3">
        <f t="shared" si="664"/>
        <v>5.8529791662095772E-2</v>
      </c>
      <c r="F1061">
        <v>1001.25</v>
      </c>
      <c r="G1061" t="s">
        <v>66</v>
      </c>
      <c r="H1061">
        <v>1000</v>
      </c>
      <c r="I1061" s="22"/>
      <c r="J1061">
        <v>200000</v>
      </c>
      <c r="K1061" s="22"/>
      <c r="M1061" s="22">
        <v>5.8749999999999997E-2</v>
      </c>
      <c r="N1061" s="21">
        <v>44176</v>
      </c>
      <c r="O1061" s="21">
        <v>46767</v>
      </c>
      <c r="P1061">
        <f t="shared" si="665"/>
        <v>7</v>
      </c>
      <c r="Q1061" s="6">
        <f t="shared" si="666"/>
        <v>5.8676654182272157E-2</v>
      </c>
      <c r="R1061" s="5">
        <f t="shared" si="667"/>
        <v>2</v>
      </c>
      <c r="S1061" t="s">
        <v>65</v>
      </c>
      <c r="U1061">
        <f t="shared" si="668"/>
        <v>14</v>
      </c>
      <c r="V1061">
        <f t="shared" si="669"/>
        <v>29.375</v>
      </c>
      <c r="W1061" s="28">
        <f t="shared" si="670"/>
        <v>2.9264895831047886E-2</v>
      </c>
      <c r="X1061" s="27">
        <f t="shared" si="671"/>
        <v>5.8529791662095772E-2</v>
      </c>
      <c r="Y1061" s="5">
        <f t="shared" si="672"/>
        <v>5.7676606859762769</v>
      </c>
      <c r="Z1061" s="5">
        <f t="shared" si="673"/>
        <v>5.6036698709318733</v>
      </c>
      <c r="AA1061" s="5">
        <f t="shared" si="674"/>
        <v>-5610.6744582705378</v>
      </c>
      <c r="AB1061" t="s">
        <v>69</v>
      </c>
      <c r="AC1061" t="s">
        <v>62</v>
      </c>
      <c r="AD1061">
        <f t="shared" si="675"/>
        <v>2</v>
      </c>
    </row>
    <row r="1062" spans="1:30" x14ac:dyDescent="0.35">
      <c r="A1062" t="s">
        <v>1064</v>
      </c>
      <c r="B1062" t="s">
        <v>353</v>
      </c>
      <c r="C1062" s="36">
        <f t="shared" si="663"/>
        <v>0.11150000000000036</v>
      </c>
      <c r="D1062" s="3">
        <f t="shared" si="664"/>
        <v>0.11150000000000036</v>
      </c>
      <c r="F1062">
        <v>1000</v>
      </c>
      <c r="G1062" t="s">
        <v>76</v>
      </c>
      <c r="H1062">
        <v>1000</v>
      </c>
      <c r="I1062" s="22"/>
      <c r="J1062">
        <v>131</v>
      </c>
      <c r="K1062" s="22"/>
      <c r="L1062">
        <v>11.15</v>
      </c>
      <c r="M1062" s="22">
        <v>0.1115</v>
      </c>
      <c r="N1062" s="21">
        <v>45674</v>
      </c>
      <c r="O1062" s="21">
        <v>46769</v>
      </c>
      <c r="P1062">
        <f t="shared" si="665"/>
        <v>3</v>
      </c>
      <c r="Q1062" s="6">
        <f t="shared" si="666"/>
        <v>0.1115</v>
      </c>
      <c r="R1062" s="5">
        <f t="shared" si="667"/>
        <v>1</v>
      </c>
      <c r="S1062" t="s">
        <v>93</v>
      </c>
      <c r="U1062">
        <f t="shared" si="668"/>
        <v>3</v>
      </c>
      <c r="V1062">
        <f t="shared" si="669"/>
        <v>111.5</v>
      </c>
      <c r="W1062" s="28">
        <f t="shared" si="670"/>
        <v>0.11150000000000036</v>
      </c>
      <c r="X1062" s="27">
        <f t="shared" si="671"/>
        <v>0.11150000000000036</v>
      </c>
      <c r="Y1062" s="5">
        <f t="shared" si="672"/>
        <v>2.7091184077475714</v>
      </c>
      <c r="Z1062" s="5">
        <f t="shared" si="673"/>
        <v>2.4373534932501757</v>
      </c>
      <c r="AA1062" s="5">
        <f t="shared" si="674"/>
        <v>-2437.3534932501757</v>
      </c>
      <c r="AB1062" t="s">
        <v>64</v>
      </c>
      <c r="AC1062" t="s">
        <v>62</v>
      </c>
      <c r="AD1062">
        <f t="shared" si="675"/>
        <v>1</v>
      </c>
    </row>
    <row r="1063" spans="1:30" x14ac:dyDescent="0.35">
      <c r="A1063" t="s">
        <v>1063</v>
      </c>
      <c r="B1063" t="s">
        <v>316</v>
      </c>
      <c r="C1063" s="36">
        <f t="shared" si="663"/>
        <v>9.6866663228383595E-2</v>
      </c>
      <c r="D1063" s="3">
        <f t="shared" si="664"/>
        <v>9.6866663228383595E-2</v>
      </c>
      <c r="F1063">
        <v>1010</v>
      </c>
      <c r="G1063" t="s">
        <v>76</v>
      </c>
      <c r="H1063">
        <v>1000</v>
      </c>
      <c r="I1063" s="22"/>
      <c r="J1063">
        <v>1</v>
      </c>
      <c r="K1063" s="22"/>
      <c r="L1063">
        <v>9.5038624741595008</v>
      </c>
      <c r="M1063" s="22">
        <v>0.1</v>
      </c>
      <c r="N1063" s="21">
        <v>45309</v>
      </c>
      <c r="O1063" s="21">
        <v>46769</v>
      </c>
      <c r="P1063">
        <f t="shared" si="665"/>
        <v>4</v>
      </c>
      <c r="Q1063" s="6">
        <f t="shared" si="666"/>
        <v>9.9009900990099015E-2</v>
      </c>
      <c r="R1063" s="5">
        <f t="shared" si="667"/>
        <v>1</v>
      </c>
      <c r="S1063" t="s">
        <v>93</v>
      </c>
      <c r="U1063">
        <f t="shared" si="668"/>
        <v>4</v>
      </c>
      <c r="V1063">
        <f t="shared" si="669"/>
        <v>100</v>
      </c>
      <c r="W1063" s="28">
        <f t="shared" si="670"/>
        <v>9.6866663228383595E-2</v>
      </c>
      <c r="X1063" s="27">
        <f t="shared" si="671"/>
        <v>9.6866663228383595E-2</v>
      </c>
      <c r="Y1063" s="5">
        <f t="shared" si="672"/>
        <v>3.4868078809575449</v>
      </c>
      <c r="Z1063" s="5">
        <f t="shared" si="673"/>
        <v>3.1788803487699222</v>
      </c>
      <c r="AA1063" s="5">
        <f t="shared" si="674"/>
        <v>-3210.6691522576216</v>
      </c>
      <c r="AB1063" t="s">
        <v>64</v>
      </c>
      <c r="AC1063" t="s">
        <v>62</v>
      </c>
      <c r="AD1063">
        <f t="shared" si="675"/>
        <v>1</v>
      </c>
    </row>
    <row r="1064" spans="1:30" x14ac:dyDescent="0.35">
      <c r="A1064" t="s">
        <v>1062</v>
      </c>
      <c r="B1064" t="s">
        <v>283</v>
      </c>
      <c r="C1064" s="36">
        <f t="shared" si="663"/>
        <v>2.4326899547764066E-2</v>
      </c>
      <c r="D1064" s="3">
        <f t="shared" si="664"/>
        <v>9.7307598191056263E-2</v>
      </c>
      <c r="F1064">
        <v>1026611</v>
      </c>
      <c r="G1064" t="s">
        <v>76</v>
      </c>
      <c r="H1064">
        <v>1000000</v>
      </c>
      <c r="I1064" s="22"/>
      <c r="J1064">
        <v>1</v>
      </c>
      <c r="K1064" s="22"/>
      <c r="M1064" s="22">
        <v>0.10150000000000001</v>
      </c>
      <c r="N1064" s="21">
        <v>43186</v>
      </c>
      <c r="O1064" s="21">
        <v>46772</v>
      </c>
      <c r="P1064">
        <f t="shared" si="665"/>
        <v>10</v>
      </c>
      <c r="Q1064" s="6">
        <f t="shared" si="666"/>
        <v>9.8868997117700863E-2</v>
      </c>
      <c r="R1064" s="5">
        <f t="shared" si="667"/>
        <v>4</v>
      </c>
      <c r="S1064" t="s">
        <v>105</v>
      </c>
      <c r="U1064">
        <f t="shared" si="668"/>
        <v>40</v>
      </c>
      <c r="V1064">
        <f t="shared" si="669"/>
        <v>25375</v>
      </c>
      <c r="W1064" s="28">
        <f t="shared" si="670"/>
        <v>2.4326899547764066E-2</v>
      </c>
      <c r="X1064" s="27">
        <f t="shared" si="671"/>
        <v>9.7307598191056263E-2</v>
      </c>
      <c r="Y1064" s="5">
        <f t="shared" si="672"/>
        <v>6.2596064212272697</v>
      </c>
      <c r="Z1064" s="5">
        <f t="shared" si="673"/>
        <v>6.1109460505145954</v>
      </c>
      <c r="AA1064" s="5">
        <f t="shared" si="674"/>
        <v>-6273564.4358648397</v>
      </c>
      <c r="AB1064" t="s">
        <v>64</v>
      </c>
      <c r="AC1064" t="s">
        <v>62</v>
      </c>
      <c r="AD1064">
        <f t="shared" si="675"/>
        <v>4</v>
      </c>
    </row>
    <row r="1065" spans="1:30" x14ac:dyDescent="0.35">
      <c r="A1065" t="s">
        <v>1061</v>
      </c>
      <c r="B1065" t="s">
        <v>122</v>
      </c>
      <c r="C1065" s="36">
        <f t="shared" si="663"/>
        <v>9.8169548726733599E-2</v>
      </c>
      <c r="D1065" s="3">
        <f t="shared" si="664"/>
        <v>9.8169548726733599E-2</v>
      </c>
      <c r="F1065">
        <v>1010.78</v>
      </c>
      <c r="G1065" t="s">
        <v>76</v>
      </c>
      <c r="H1065">
        <v>1000</v>
      </c>
      <c r="I1065" s="22"/>
      <c r="J1065">
        <v>105</v>
      </c>
      <c r="K1065" s="22"/>
      <c r="L1065">
        <v>9.56497953162601</v>
      </c>
      <c r="M1065" s="22">
        <v>0.10099999999999999</v>
      </c>
      <c r="N1065" s="21">
        <v>44946</v>
      </c>
      <c r="O1065" s="21">
        <v>46772</v>
      </c>
      <c r="P1065">
        <f t="shared" si="665"/>
        <v>5</v>
      </c>
      <c r="Q1065" s="6">
        <f t="shared" si="666"/>
        <v>9.9922831872415352E-2</v>
      </c>
      <c r="R1065" s="5">
        <f t="shared" si="667"/>
        <v>1</v>
      </c>
      <c r="S1065" t="s">
        <v>93</v>
      </c>
      <c r="U1065">
        <f t="shared" si="668"/>
        <v>5</v>
      </c>
      <c r="V1065">
        <f t="shared" si="669"/>
        <v>100.99999999999999</v>
      </c>
      <c r="W1065" s="28">
        <f t="shared" si="670"/>
        <v>9.8169548726733599E-2</v>
      </c>
      <c r="X1065" s="27">
        <f t="shared" si="671"/>
        <v>9.8169548726733599E-2</v>
      </c>
      <c r="Y1065" s="5">
        <f t="shared" si="672"/>
        <v>4.1678655957788502</v>
      </c>
      <c r="Z1065" s="5">
        <f t="shared" si="673"/>
        <v>3.7952842533388931</v>
      </c>
      <c r="AA1065" s="5">
        <f t="shared" si="674"/>
        <v>-3836.1974175898863</v>
      </c>
      <c r="AB1065" t="s">
        <v>64</v>
      </c>
      <c r="AC1065" t="s">
        <v>62</v>
      </c>
      <c r="AD1065">
        <f t="shared" si="675"/>
        <v>1</v>
      </c>
    </row>
    <row r="1066" spans="1:30" x14ac:dyDescent="0.35">
      <c r="C1066" s="28"/>
      <c r="D1066" s="27"/>
      <c r="I1066" s="22"/>
      <c r="K1066" s="22"/>
      <c r="M1066" s="22"/>
      <c r="N1066" s="21"/>
      <c r="O1066" s="21"/>
      <c r="P1066" s="5"/>
      <c r="Q1066" s="6"/>
      <c r="R1066" s="5"/>
      <c r="W1066" s="28"/>
      <c r="Y1066" s="33"/>
      <c r="Z1066" s="33"/>
      <c r="AA1066" s="33"/>
    </row>
    <row r="1067" spans="1:30" x14ac:dyDescent="0.35">
      <c r="A1067" t="s">
        <v>1059</v>
      </c>
      <c r="B1067" t="s">
        <v>122</v>
      </c>
      <c r="C1067" s="36">
        <f>RATE(U1067,V1067,-F1067,H1067)</f>
        <v>0.10580245291203871</v>
      </c>
      <c r="D1067" s="3">
        <f>C1067*AD1067</f>
        <v>0.10580245291203871</v>
      </c>
      <c r="F1067">
        <v>966</v>
      </c>
      <c r="G1067" t="s">
        <v>76</v>
      </c>
      <c r="H1067">
        <v>1000</v>
      </c>
      <c r="I1067" s="22"/>
      <c r="J1067">
        <v>301</v>
      </c>
      <c r="K1067" s="22"/>
      <c r="L1067">
        <v>11.420537575026099</v>
      </c>
      <c r="M1067" s="22">
        <v>9.6699999999999994E-2</v>
      </c>
      <c r="N1067" s="21">
        <v>44946</v>
      </c>
      <c r="O1067" s="21">
        <v>46772</v>
      </c>
      <c r="P1067">
        <f>ROUND(YEARFRAC(N1067,O1067),0)</f>
        <v>5</v>
      </c>
      <c r="Q1067" s="6">
        <f>(M1067*H1067)/F1067</f>
        <v>0.10010351966873705</v>
      </c>
      <c r="R1067" s="5">
        <f>IF(S1067="Quarterly",4,IF(S1067="Semi-annual",2,IF(S1067="Annual",1,IF(S1067="Pays at maturity",0,12))))</f>
        <v>1</v>
      </c>
      <c r="S1067" t="s">
        <v>93</v>
      </c>
      <c r="U1067">
        <f>R1067*P1067</f>
        <v>5</v>
      </c>
      <c r="V1067">
        <f>(H1067*M1067)/AD1067</f>
        <v>96.699999999999989</v>
      </c>
      <c r="W1067" s="28">
        <f>RATE(U1067,V1067,-F1067,H1067)</f>
        <v>0.10580245291203871</v>
      </c>
      <c r="X1067" s="27">
        <f>W1067*AD1067</f>
        <v>0.10580245291203871</v>
      </c>
      <c r="Y1067" s="5">
        <f>DURATION(N1067,O1067,M1067,D1067,AD1067)</f>
        <v>4.1772932590385388</v>
      </c>
      <c r="Z1067" s="5">
        <f>Y1067/(1+C1067)</f>
        <v>3.7776125817391568</v>
      </c>
      <c r="AA1067" s="5">
        <f>-Z1067*F1067</f>
        <v>-3649.1737539600254</v>
      </c>
      <c r="AB1067" t="s">
        <v>64</v>
      </c>
      <c r="AC1067" t="s">
        <v>62</v>
      </c>
      <c r="AD1067">
        <f>_xlfn.SWITCH(PROPER(TRIM(S1067)),
   "Annual",1,
   "Semi-Annual",2,
   "Quarterly",4,
   "Monthly",12,
   "")</f>
        <v>1</v>
      </c>
    </row>
    <row r="1068" spans="1:30" x14ac:dyDescent="0.35">
      <c r="A1068" t="s">
        <v>1058</v>
      </c>
      <c r="B1068" t="s">
        <v>171</v>
      </c>
      <c r="C1068" s="36">
        <f>RATE(U1068,V1068,-F1068,H1068)</f>
        <v>6.6101468020218837E-2</v>
      </c>
      <c r="D1068" s="3">
        <f>C1068*AD1068</f>
        <v>6.6101468020218837E-2</v>
      </c>
      <c r="F1068">
        <v>1070.01</v>
      </c>
      <c r="G1068" t="s">
        <v>76</v>
      </c>
      <c r="H1068">
        <v>1000</v>
      </c>
      <c r="I1068" s="22"/>
      <c r="J1068">
        <v>30</v>
      </c>
      <c r="K1068" s="22"/>
      <c r="L1068">
        <v>4.2627018676561299</v>
      </c>
      <c r="M1068" s="22">
        <v>7.3599999999999999E-2</v>
      </c>
      <c r="N1068" s="21">
        <v>41296</v>
      </c>
      <c r="O1068" s="21">
        <v>46774</v>
      </c>
      <c r="P1068">
        <f>ROUND(YEARFRAC(N1068,O1068),0)</f>
        <v>15</v>
      </c>
      <c r="Q1068" s="6">
        <f>(M1068*H1068)/F1068</f>
        <v>6.8784403884075848E-2</v>
      </c>
      <c r="R1068" s="5">
        <f>IF(S1068="Quarterly",4,IF(S1068="Semi-annual",2,IF(S1068="Annual",1,IF(S1068="Pays at maturity",0,12))))</f>
        <v>1</v>
      </c>
      <c r="S1068" t="s">
        <v>93</v>
      </c>
      <c r="U1068">
        <f>R1068*P1068</f>
        <v>15</v>
      </c>
      <c r="V1068">
        <f>(H1068*M1068)/AD1068</f>
        <v>73.599999999999994</v>
      </c>
      <c r="W1068" s="28">
        <f>RATE(U1068,V1068,-F1068,H1068)</f>
        <v>6.6101468020218837E-2</v>
      </c>
      <c r="X1068" s="27">
        <f>W1068*AD1068</f>
        <v>6.6101468020218837E-2</v>
      </c>
      <c r="Y1068" s="5">
        <f>DURATION(N1068,O1068,M1068,D1068,AD1068)</f>
        <v>9.748828152297639</v>
      </c>
      <c r="Z1068" s="5">
        <f>Y1068/(1+C1068)</f>
        <v>9.1443717551590051</v>
      </c>
      <c r="AA1068" s="5">
        <f>-Z1068*F1068</f>
        <v>-9784.5692217376873</v>
      </c>
      <c r="AB1068" t="s">
        <v>64</v>
      </c>
      <c r="AC1068" t="s">
        <v>62</v>
      </c>
      <c r="AD1068">
        <f>_xlfn.SWITCH(PROPER(TRIM(S1068)),
   "Annual",1,
   "Semi-Annual",2,
   "Quarterly",4,
   "Monthly",12,
   "")</f>
        <v>1</v>
      </c>
    </row>
    <row r="1069" spans="1:30" x14ac:dyDescent="0.35">
      <c r="C1069" s="28"/>
      <c r="D1069" s="27"/>
      <c r="I1069" s="22"/>
      <c r="K1069" s="22"/>
      <c r="M1069" s="22"/>
      <c r="N1069" s="21"/>
      <c r="O1069" s="21"/>
      <c r="P1069" s="5"/>
      <c r="Q1069" s="6"/>
      <c r="R1069" s="5"/>
      <c r="W1069" s="28"/>
      <c r="Y1069" s="33"/>
      <c r="Z1069" s="33"/>
      <c r="AA1069" s="33"/>
    </row>
    <row r="1070" spans="1:30" x14ac:dyDescent="0.35">
      <c r="A1070" t="s">
        <v>1056</v>
      </c>
      <c r="B1070" t="s">
        <v>316</v>
      </c>
      <c r="C1070" s="36">
        <f>RATE(U1070,V1070,-F1070,H1070)</f>
        <v>0.10353902382177528</v>
      </c>
      <c r="D1070" s="3">
        <f>C1070*AD1070</f>
        <v>0.10353902382177528</v>
      </c>
      <c r="F1070">
        <v>995</v>
      </c>
      <c r="G1070" t="s">
        <v>76</v>
      </c>
      <c r="H1070">
        <v>1000</v>
      </c>
      <c r="I1070" s="22"/>
      <c r="J1070">
        <v>75</v>
      </c>
      <c r="K1070" s="22"/>
      <c r="L1070">
        <v>10.5021826858581</v>
      </c>
      <c r="M1070" s="22">
        <v>0.10249999999999999</v>
      </c>
      <c r="N1070" s="21">
        <v>44219</v>
      </c>
      <c r="O1070" s="21">
        <v>46774</v>
      </c>
      <c r="P1070">
        <f>ROUND(YEARFRAC(N1070,O1070),0)</f>
        <v>7</v>
      </c>
      <c r="Q1070" s="6">
        <f>(M1070*H1070)/F1070</f>
        <v>0.10301507537688442</v>
      </c>
      <c r="R1070" s="5">
        <f>IF(S1070="Quarterly",4,IF(S1070="Semi-annual",2,IF(S1070="Annual",1,IF(S1070="Pays at maturity",0,12))))</f>
        <v>1</v>
      </c>
      <c r="S1070" t="s">
        <v>93</v>
      </c>
      <c r="U1070">
        <f>R1070*P1070</f>
        <v>7</v>
      </c>
      <c r="V1070">
        <f>(H1070*M1070)/AD1070</f>
        <v>102.5</v>
      </c>
      <c r="W1070" s="28">
        <f>RATE(U1070,V1070,-F1070,H1070)</f>
        <v>0.10353902382177528</v>
      </c>
      <c r="X1070" s="27">
        <f>W1070*AD1070</f>
        <v>0.10353902382177528</v>
      </c>
      <c r="Y1070" s="5">
        <f>DURATION(N1070,O1070,M1070,D1070,AD1070)</f>
        <v>5.3162326093073276</v>
      </c>
      <c r="Z1070" s="5">
        <f>Y1070/(1+C1070)</f>
        <v>4.817439614320258</v>
      </c>
      <c r="AA1070" s="5">
        <f>-Z1070*F1070</f>
        <v>-4793.3524162486565</v>
      </c>
      <c r="AB1070" t="s">
        <v>64</v>
      </c>
      <c r="AC1070" t="s">
        <v>62</v>
      </c>
      <c r="AD1070">
        <f>_xlfn.SWITCH(PROPER(TRIM(S1070)),
   "Annual",1,
   "Semi-Annual",2,
   "Quarterly",4,
   "Monthly",12,
   "")</f>
        <v>1</v>
      </c>
    </row>
    <row r="1071" spans="1:30" x14ac:dyDescent="0.35">
      <c r="C1071" s="28"/>
      <c r="D1071" s="27"/>
      <c r="I1071" s="22"/>
      <c r="K1071" s="22"/>
      <c r="M1071" s="22"/>
      <c r="N1071" s="21"/>
      <c r="O1071" s="21"/>
      <c r="P1071" s="5"/>
      <c r="Q1071" s="6"/>
      <c r="R1071" s="5"/>
      <c r="W1071" s="28"/>
      <c r="Y1071" s="33"/>
      <c r="Z1071" s="33"/>
      <c r="AA1071" s="33"/>
    </row>
    <row r="1072" spans="1:30" x14ac:dyDescent="0.35">
      <c r="A1072" t="s">
        <v>1054</v>
      </c>
      <c r="B1072" t="s">
        <v>483</v>
      </c>
      <c r="C1072" s="36">
        <f>RATE(U1072,V1072,-F1072,H1072)</f>
        <v>8.6433947408233361E-2</v>
      </c>
      <c r="D1072" s="3">
        <f>C1072*AD1072</f>
        <v>8.6433947408233361E-2</v>
      </c>
      <c r="F1072">
        <v>1014</v>
      </c>
      <c r="G1072" t="s">
        <v>76</v>
      </c>
      <c r="H1072">
        <v>1000</v>
      </c>
      <c r="I1072" s="22"/>
      <c r="J1072">
        <v>71</v>
      </c>
      <c r="K1072" s="22"/>
      <c r="L1072">
        <v>8.32558159565213</v>
      </c>
      <c r="M1072" s="22">
        <v>0.09</v>
      </c>
      <c r="N1072" s="21">
        <v>44950</v>
      </c>
      <c r="O1072" s="21">
        <v>46776</v>
      </c>
      <c r="P1072">
        <f>ROUND(YEARFRAC(N1072,O1072),0)</f>
        <v>5</v>
      </c>
      <c r="Q1072" s="6">
        <f>(M1072*H1072)/F1072</f>
        <v>8.8757396449704137E-2</v>
      </c>
      <c r="R1072" s="5">
        <f>IF(S1072="Quarterly",4,IF(S1072="Semi-annual",2,IF(S1072="Annual",1,IF(S1072="Pays at maturity",0,12))))</f>
        <v>1</v>
      </c>
      <c r="S1072" t="s">
        <v>93</v>
      </c>
      <c r="U1072">
        <f>R1072*P1072</f>
        <v>5</v>
      </c>
      <c r="V1072">
        <f>(H1072*M1072)/AD1072</f>
        <v>90</v>
      </c>
      <c r="W1072" s="28">
        <f>RATE(U1072,V1072,-F1072,H1072)</f>
        <v>8.6433947408233361E-2</v>
      </c>
      <c r="X1072" s="27">
        <f>W1072*AD1072</f>
        <v>8.6433947408233361E-2</v>
      </c>
      <c r="Y1072" s="5">
        <f>DURATION(N1072,O1072,M1072,D1072,AD1072)</f>
        <v>4.2454902330080335</v>
      </c>
      <c r="Z1072" s="5">
        <f>Y1072/(1+C1072)</f>
        <v>3.9077297272751434</v>
      </c>
      <c r="AA1072" s="5">
        <f>-Z1072*F1072</f>
        <v>-3962.4379434569955</v>
      </c>
      <c r="AB1072" t="s">
        <v>64</v>
      </c>
      <c r="AC1072" t="s">
        <v>62</v>
      </c>
      <c r="AD1072">
        <f>_xlfn.SWITCH(PROPER(TRIM(S1072)),
   "Annual",1,
   "Semi-Annual",2,
   "Quarterly",4,
   "Monthly",12,
   "")</f>
        <v>1</v>
      </c>
    </row>
    <row r="1073" spans="1:30" x14ac:dyDescent="0.35">
      <c r="A1073" t="s">
        <v>1053</v>
      </c>
      <c r="B1073" t="s">
        <v>483</v>
      </c>
      <c r="C1073" s="36">
        <f>RATE(U1073,V1073,-F1073,H1073)</f>
        <v>9.4298996727546949E-2</v>
      </c>
      <c r="D1073" s="3">
        <f>C1073*AD1073</f>
        <v>9.4298996727546949E-2</v>
      </c>
      <c r="F1073">
        <v>970</v>
      </c>
      <c r="G1073" t="s">
        <v>76</v>
      </c>
      <c r="H1073">
        <v>1000</v>
      </c>
      <c r="I1073" s="22"/>
      <c r="J1073">
        <v>610</v>
      </c>
      <c r="K1073" s="22"/>
      <c r="L1073">
        <v>10.148568280700101</v>
      </c>
      <c r="M1073" s="22">
        <v>8.6500000000000007E-2</v>
      </c>
      <c r="N1073" s="21">
        <v>44950</v>
      </c>
      <c r="O1073" s="21">
        <v>46776</v>
      </c>
      <c r="P1073">
        <f>ROUND(YEARFRAC(N1073,O1073),0)</f>
        <v>5</v>
      </c>
      <c r="Q1073" s="6">
        <f>(M1073*H1073)/F1073</f>
        <v>8.9175257731958779E-2</v>
      </c>
      <c r="R1073" s="5">
        <f>IF(S1073="Quarterly",4,IF(S1073="Semi-annual",2,IF(S1073="Annual",1,IF(S1073="Pays at maturity",0,12))))</f>
        <v>1</v>
      </c>
      <c r="S1073" t="s">
        <v>93</v>
      </c>
      <c r="U1073">
        <f>R1073*P1073</f>
        <v>5</v>
      </c>
      <c r="V1073">
        <f>(H1073*M1073)/AD1073</f>
        <v>86.500000000000014</v>
      </c>
      <c r="W1073" s="28">
        <f>RATE(U1073,V1073,-F1073,H1073)</f>
        <v>9.4298996727546949E-2</v>
      </c>
      <c r="X1073" s="27">
        <f>W1073*AD1073</f>
        <v>9.4298996727546949E-2</v>
      </c>
      <c r="Y1073" s="5">
        <f>DURATION(N1073,O1073,M1073,D1073,AD1073)</f>
        <v>4.2523418861995257</v>
      </c>
      <c r="Z1073" s="5">
        <f>Y1073/(1+C1073)</f>
        <v>3.8859049482051682</v>
      </c>
      <c r="AA1073" s="5">
        <f>-Z1073*F1073</f>
        <v>-3769.327799759013</v>
      </c>
      <c r="AB1073" t="s">
        <v>64</v>
      </c>
      <c r="AC1073" t="s">
        <v>62</v>
      </c>
      <c r="AD1073">
        <f>_xlfn.SWITCH(PROPER(TRIM(S1073)),
   "Annual",1,
   "Semi-Annual",2,
   "Quarterly",4,
   "Monthly",12,
   "")</f>
        <v>1</v>
      </c>
    </row>
    <row r="1074" spans="1:30" x14ac:dyDescent="0.35">
      <c r="A1074" t="s">
        <v>1052</v>
      </c>
      <c r="B1074" t="s">
        <v>122</v>
      </c>
      <c r="C1074" s="36">
        <f>RATE(U1074,V1074,-F1074,H1074)</f>
        <v>0.10214196723295671</v>
      </c>
      <c r="D1074" s="3">
        <f>C1074*AD1074</f>
        <v>0.10214196723295671</v>
      </c>
      <c r="F1074">
        <v>984.04</v>
      </c>
      <c r="G1074" t="s">
        <v>76</v>
      </c>
      <c r="H1074">
        <v>1000</v>
      </c>
      <c r="I1074" s="22"/>
      <c r="J1074">
        <v>1</v>
      </c>
      <c r="K1074" s="22"/>
      <c r="L1074">
        <v>10.371489673885099</v>
      </c>
      <c r="M1074" s="22">
        <v>9.5700000000000007E-2</v>
      </c>
      <c r="N1074" s="21">
        <v>45681</v>
      </c>
      <c r="O1074" s="21">
        <v>46776</v>
      </c>
      <c r="P1074">
        <f>ROUND(YEARFRAC(N1074,O1074),0)</f>
        <v>3</v>
      </c>
      <c r="Q1074" s="6">
        <f>(M1074*H1074)/F1074</f>
        <v>9.7252144221779607E-2</v>
      </c>
      <c r="R1074" s="5">
        <f>IF(S1074="Quarterly",4,IF(S1074="Semi-annual",2,IF(S1074="Annual",1,IF(S1074="Pays at maturity",0,12))))</f>
        <v>1</v>
      </c>
      <c r="S1074" t="s">
        <v>93</v>
      </c>
      <c r="U1074">
        <f>R1074*P1074</f>
        <v>3</v>
      </c>
      <c r="V1074">
        <f>(H1074*M1074)/AD1074</f>
        <v>95.7</v>
      </c>
      <c r="W1074" s="28">
        <f>RATE(U1074,V1074,-F1074,H1074)</f>
        <v>0.10214196723295671</v>
      </c>
      <c r="X1074" s="27">
        <f>W1074*AD1074</f>
        <v>0.10214196723295671</v>
      </c>
      <c r="Y1074" s="5">
        <f>DURATION(N1074,O1074,M1074,D1074,AD1074)</f>
        <v>2.7434599953010785</v>
      </c>
      <c r="Z1074" s="5">
        <f>Y1074/(1+C1074)</f>
        <v>2.4892074495528225</v>
      </c>
      <c r="AA1074" s="5">
        <f>-Z1074*F1074</f>
        <v>-2449.4796986579595</v>
      </c>
      <c r="AB1074" t="s">
        <v>64</v>
      </c>
      <c r="AC1074" t="s">
        <v>62</v>
      </c>
      <c r="AD1074">
        <f>_xlfn.SWITCH(PROPER(TRIM(S1074)),
   "Annual",1,
   "Semi-Annual",2,
   "Quarterly",4,
   "Monthly",12,
   "")</f>
        <v>1</v>
      </c>
    </row>
    <row r="1075" spans="1:30" x14ac:dyDescent="0.35">
      <c r="A1075" t="s">
        <v>1051</v>
      </c>
      <c r="B1075" t="s">
        <v>1050</v>
      </c>
      <c r="C1075" s="36">
        <f>RATE(U1075,V1075,-F1075,H1075)</f>
        <v>2.6625055816217619E-2</v>
      </c>
      <c r="D1075" s="3">
        <f>C1075*AD1075</f>
        <v>5.3250111632435239E-2</v>
      </c>
      <c r="F1075">
        <v>1009.59445999999</v>
      </c>
      <c r="G1075" t="s">
        <v>66</v>
      </c>
      <c r="H1075">
        <v>1000</v>
      </c>
      <c r="I1075" s="22"/>
      <c r="J1075">
        <v>1860000</v>
      </c>
      <c r="K1075" s="22"/>
      <c r="M1075" s="22">
        <v>5.45E-2</v>
      </c>
      <c r="N1075" s="21">
        <v>43124</v>
      </c>
      <c r="O1075" s="21">
        <v>46776</v>
      </c>
      <c r="P1075">
        <f>ROUND(YEARFRAC(N1075,O1075),0)</f>
        <v>10</v>
      </c>
      <c r="Q1075" s="6">
        <f>(M1075*H1075)/F1075</f>
        <v>5.3982071177372089E-2</v>
      </c>
      <c r="R1075" s="5">
        <f>IF(S1075="Quarterly",4,IF(S1075="Semi-annual",2,IF(S1075="Annual",1,IF(S1075="Pays at maturity",0,12))))</f>
        <v>2</v>
      </c>
      <c r="S1075" t="s">
        <v>65</v>
      </c>
      <c r="U1075">
        <f>R1075*P1075</f>
        <v>20</v>
      </c>
      <c r="V1075">
        <f>(H1075*M1075)/AD1075</f>
        <v>27.25</v>
      </c>
      <c r="W1075" s="28">
        <f>RATE(U1075,V1075,-F1075,H1075)</f>
        <v>2.6625055816217619E-2</v>
      </c>
      <c r="X1075" s="27">
        <f>W1075*AD1075</f>
        <v>5.3250111632435239E-2</v>
      </c>
      <c r="Y1075" s="5">
        <f>DURATION(N1075,O1075,M1075,D1075,AD1075)</f>
        <v>7.8515020681123939</v>
      </c>
      <c r="Z1075" s="5">
        <f>Y1075/(1+C1075)</f>
        <v>7.6478769182874293</v>
      </c>
      <c r="AA1075" s="5">
        <f>-Z1075*F1075</f>
        <v>-7721.2541674647846</v>
      </c>
      <c r="AB1075" t="s">
        <v>64</v>
      </c>
      <c r="AC1075" t="s">
        <v>62</v>
      </c>
      <c r="AD1075">
        <f>_xlfn.SWITCH(PROPER(TRIM(S1075)),
   "Annual",1,
   "Semi-Annual",2,
   "Quarterly",4,
   "Monthly",12,
   "")</f>
        <v>2</v>
      </c>
    </row>
    <row r="1076" spans="1:30" x14ac:dyDescent="0.35">
      <c r="A1076" t="s">
        <v>1049</v>
      </c>
      <c r="B1076" t="s">
        <v>122</v>
      </c>
      <c r="C1076" s="36">
        <f>RATE(U1076,V1076,-F1076,H1076)</f>
        <v>9.6403856692787837E-2</v>
      </c>
      <c r="D1076" s="3">
        <f>C1076*AD1076</f>
        <v>9.6403856692787837E-2</v>
      </c>
      <c r="F1076">
        <v>1009</v>
      </c>
      <c r="G1076" t="s">
        <v>76</v>
      </c>
      <c r="H1076">
        <v>1000</v>
      </c>
      <c r="I1076" s="22"/>
      <c r="J1076">
        <v>10</v>
      </c>
      <c r="K1076" s="22"/>
      <c r="L1076">
        <v>9.55730671513383</v>
      </c>
      <c r="M1076" s="22">
        <v>0.1</v>
      </c>
      <c r="N1076" s="21">
        <v>45681</v>
      </c>
      <c r="O1076" s="21">
        <v>46776</v>
      </c>
      <c r="P1076">
        <f>ROUND(YEARFRAC(N1076,O1076),0)</f>
        <v>3</v>
      </c>
      <c r="Q1076" s="6">
        <f>(M1076*H1076)/F1076</f>
        <v>9.9108027750247768E-2</v>
      </c>
      <c r="R1076" s="5">
        <f>IF(S1076="Quarterly",4,IF(S1076="Semi-annual",2,IF(S1076="Annual",1,IF(S1076="Pays at maturity",0,12))))</f>
        <v>1</v>
      </c>
      <c r="S1076" t="s">
        <v>93</v>
      </c>
      <c r="U1076">
        <f>R1076*P1076</f>
        <v>3</v>
      </c>
      <c r="V1076">
        <f>(H1076*M1076)/AD1076</f>
        <v>100</v>
      </c>
      <c r="W1076" s="28">
        <f>RATE(U1076,V1076,-F1076,H1076)</f>
        <v>9.6403856692787837E-2</v>
      </c>
      <c r="X1076" s="27">
        <f>W1076*AD1076</f>
        <v>9.6403856692787837E-2</v>
      </c>
      <c r="Y1076" s="5">
        <f>DURATION(N1076,O1076,M1076,D1076,AD1076)</f>
        <v>2.7367669058591844</v>
      </c>
      <c r="Z1076" s="5">
        <f>Y1076/(1+C1076)</f>
        <v>2.4961303165372084</v>
      </c>
      <c r="AA1076" s="5">
        <f>-Z1076*F1076</f>
        <v>-2518.5954893860435</v>
      </c>
      <c r="AB1076" t="s">
        <v>64</v>
      </c>
      <c r="AC1076" t="s">
        <v>62</v>
      </c>
      <c r="AD1076">
        <f>_xlfn.SWITCH(PROPER(TRIM(S1076)),
   "Annual",1,
   "Semi-Annual",2,
   "Quarterly",4,
   "Monthly",12,
   "")</f>
        <v>1</v>
      </c>
    </row>
    <row r="1077" spans="1:30" x14ac:dyDescent="0.35">
      <c r="C1077" s="28"/>
      <c r="D1077" s="27"/>
      <c r="I1077" s="22"/>
      <c r="K1077" s="22"/>
      <c r="M1077" s="22"/>
      <c r="N1077" s="21"/>
      <c r="O1077" s="21"/>
      <c r="P1077" s="5"/>
      <c r="Q1077" s="6"/>
      <c r="R1077" s="5"/>
      <c r="W1077" s="28"/>
      <c r="Y1077" s="33"/>
      <c r="Z1077" s="33"/>
      <c r="AA1077" s="33"/>
    </row>
    <row r="1078" spans="1:30" x14ac:dyDescent="0.35">
      <c r="A1078" t="s">
        <v>1047</v>
      </c>
      <c r="B1078" t="s">
        <v>390</v>
      </c>
      <c r="C1078" s="36">
        <f>RATE(U1078,V1078,-F1078,H1078)</f>
        <v>0.12000000000002739</v>
      </c>
      <c r="D1078" s="3">
        <f>C1078*AD1078</f>
        <v>0.12000000000002739</v>
      </c>
      <c r="F1078">
        <v>1000</v>
      </c>
      <c r="G1078" t="s">
        <v>76</v>
      </c>
      <c r="H1078">
        <v>1000</v>
      </c>
      <c r="I1078" s="22"/>
      <c r="J1078">
        <v>100</v>
      </c>
      <c r="K1078" s="22"/>
      <c r="L1078">
        <v>12</v>
      </c>
      <c r="M1078" s="22">
        <v>0.12</v>
      </c>
      <c r="N1078" s="21">
        <v>45684</v>
      </c>
      <c r="O1078" s="21">
        <v>46779</v>
      </c>
      <c r="P1078">
        <f>ROUND(YEARFRAC(N1078,O1078),0)</f>
        <v>3</v>
      </c>
      <c r="Q1078" s="6">
        <f>(M1078*H1078)/F1078</f>
        <v>0.12</v>
      </c>
      <c r="R1078" s="5">
        <f>IF(S1078="Quarterly",4,IF(S1078="Semi-annual",2,IF(S1078="Annual",1,IF(S1078="Pays at maturity",0,12))))</f>
        <v>1</v>
      </c>
      <c r="S1078" t="s">
        <v>93</v>
      </c>
      <c r="U1078">
        <f>R1078*P1078</f>
        <v>3</v>
      </c>
      <c r="V1078">
        <f>(H1078*M1078)/AD1078</f>
        <v>120</v>
      </c>
      <c r="W1078" s="28">
        <f>RATE(U1078,V1078,-F1078,H1078)</f>
        <v>0.12000000000002739</v>
      </c>
      <c r="X1078" s="27">
        <f>W1078*AD1078</f>
        <v>0.12000000000002739</v>
      </c>
      <c r="Y1078" s="5">
        <f>DURATION(N1078,O1078,M1078,D1078,AD1078)</f>
        <v>2.6900510204081529</v>
      </c>
      <c r="Z1078" s="5">
        <f>Y1078/(1+C1078)</f>
        <v>2.4018312682215064</v>
      </c>
      <c r="AA1078" s="5">
        <f>-Z1078*F1078</f>
        <v>-2401.8312682215064</v>
      </c>
      <c r="AB1078" t="s">
        <v>64</v>
      </c>
      <c r="AC1078" t="s">
        <v>62</v>
      </c>
      <c r="AD1078">
        <f>_xlfn.SWITCH(PROPER(TRIM(S1078)),
   "Annual",1,
   "Semi-Annual",2,
   "Quarterly",4,
   "Monthly",12,
   "")</f>
        <v>1</v>
      </c>
    </row>
    <row r="1079" spans="1:30" x14ac:dyDescent="0.35">
      <c r="A1079" t="s">
        <v>1046</v>
      </c>
      <c r="B1079" t="s">
        <v>304</v>
      </c>
      <c r="C1079" s="36">
        <f>RATE(U1079,V1079,-F1079,H1079)</f>
        <v>3.6511274219782154E-2</v>
      </c>
      <c r="D1079" s="3">
        <f>C1079*AD1079</f>
        <v>7.3022548439564308E-2</v>
      </c>
      <c r="F1079">
        <v>1017</v>
      </c>
      <c r="G1079" t="s">
        <v>66</v>
      </c>
      <c r="H1079">
        <v>1000</v>
      </c>
      <c r="I1079" s="22"/>
      <c r="J1079">
        <v>500000</v>
      </c>
      <c r="K1079" s="22"/>
      <c r="M1079" s="22">
        <v>7.8E-2</v>
      </c>
      <c r="N1079" s="21">
        <v>45502</v>
      </c>
      <c r="O1079" s="21">
        <v>46781</v>
      </c>
      <c r="P1079">
        <f>ROUND(YEARFRAC(N1079,O1079),0)</f>
        <v>4</v>
      </c>
      <c r="Q1079" s="6">
        <f>(M1079*H1079)/F1079</f>
        <v>7.6696165191740412E-2</v>
      </c>
      <c r="R1079" s="5">
        <f>IF(S1079="Quarterly",4,IF(S1079="Semi-annual",2,IF(S1079="Annual",1,IF(S1079="Pays at maturity",0,12))))</f>
        <v>2</v>
      </c>
      <c r="S1079" t="s">
        <v>65</v>
      </c>
      <c r="U1079">
        <f>R1079*P1079</f>
        <v>8</v>
      </c>
      <c r="V1079">
        <f>(H1079*M1079)/AD1079</f>
        <v>39</v>
      </c>
      <c r="W1079" s="28">
        <f>RATE(U1079,V1079,-F1079,H1079)</f>
        <v>3.6511274219782154E-2</v>
      </c>
      <c r="X1079" s="27">
        <f>W1079*AD1079</f>
        <v>7.3022548439564308E-2</v>
      </c>
      <c r="Y1079" s="5">
        <f>DURATION(N1079,O1079,M1079,D1079,AD1079)</f>
        <v>3.1328743941198156</v>
      </c>
      <c r="Z1079" s="5">
        <f>Y1079/(1+C1079)</f>
        <v>3.0225183961245752</v>
      </c>
      <c r="AA1079" s="5">
        <f>-Z1079*F1079</f>
        <v>-3073.9012088586928</v>
      </c>
      <c r="AB1079" t="s">
        <v>64</v>
      </c>
      <c r="AC1079" t="s">
        <v>62</v>
      </c>
      <c r="AD1079">
        <f>_xlfn.SWITCH(PROPER(TRIM(S1079)),
   "Annual",1,
   "Semi-Annual",2,
   "Quarterly",4,
   "Monthly",12,
   "")</f>
        <v>2</v>
      </c>
    </row>
    <row r="1080" spans="1:30" x14ac:dyDescent="0.35">
      <c r="A1080" t="s">
        <v>1045</v>
      </c>
      <c r="B1080" t="s">
        <v>338</v>
      </c>
      <c r="C1080" s="36">
        <f>RATE(U1080,V1080,-F1080,H1080)</f>
        <v>0.10790772478378217</v>
      </c>
      <c r="D1080" s="3">
        <f>C1080*AD1080</f>
        <v>0.10790772478378217</v>
      </c>
      <c r="F1080">
        <v>999</v>
      </c>
      <c r="G1080" t="s">
        <v>76</v>
      </c>
      <c r="H1080">
        <v>1000</v>
      </c>
      <c r="I1080" s="22"/>
      <c r="J1080">
        <v>100</v>
      </c>
      <c r="K1080" s="22"/>
      <c r="L1080">
        <v>10.7992202729044</v>
      </c>
      <c r="M1080" s="22">
        <v>0.1075</v>
      </c>
      <c r="N1080" s="21">
        <v>45686</v>
      </c>
      <c r="O1080" s="21">
        <v>46781</v>
      </c>
      <c r="P1080">
        <f>ROUND(YEARFRAC(N1080,O1080),0)</f>
        <v>3</v>
      </c>
      <c r="Q1080" s="6">
        <f>(M1080*H1080)/F1080</f>
        <v>0.10760760760760761</v>
      </c>
      <c r="R1080" s="5">
        <f>IF(S1080="Quarterly",4,IF(S1080="Semi-annual",2,IF(S1080="Annual",1,IF(S1080="Pays at maturity",0,12))))</f>
        <v>1</v>
      </c>
      <c r="S1080" t="s">
        <v>93</v>
      </c>
      <c r="U1080">
        <f>R1080*P1080</f>
        <v>3</v>
      </c>
      <c r="V1080">
        <f>(H1080*M1080)/AD1080</f>
        <v>107.5</v>
      </c>
      <c r="W1080" s="28">
        <f>RATE(U1080,V1080,-F1080,H1080)</f>
        <v>0.10790772478378217</v>
      </c>
      <c r="X1080" s="27">
        <f>W1080*AD1080</f>
        <v>0.10790772478378217</v>
      </c>
      <c r="Y1080" s="5">
        <f>DURATION(N1080,O1080,M1080,D1080,AD1080)</f>
        <v>2.7180793341642406</v>
      </c>
      <c r="Z1080" s="5">
        <f>Y1080/(1+C1080)</f>
        <v>2.4533445099813682</v>
      </c>
      <c r="AA1080" s="5">
        <f>-Z1080*F1080</f>
        <v>-2450.891165471387</v>
      </c>
      <c r="AB1080" t="s">
        <v>64</v>
      </c>
      <c r="AC1080" t="s">
        <v>62</v>
      </c>
      <c r="AD1080">
        <f>_xlfn.SWITCH(PROPER(TRIM(S1080)),
   "Annual",1,
   "Semi-Annual",2,
   "Quarterly",4,
   "Monthly",12,
   "")</f>
        <v>1</v>
      </c>
    </row>
    <row r="1081" spans="1:30" x14ac:dyDescent="0.35">
      <c r="C1081" s="28"/>
      <c r="D1081" s="27"/>
      <c r="I1081" s="22"/>
      <c r="K1081" s="22"/>
      <c r="M1081" s="22"/>
      <c r="N1081" s="21"/>
      <c r="O1081" s="21"/>
      <c r="P1081" s="5"/>
      <c r="Q1081" s="6"/>
      <c r="R1081" s="5"/>
      <c r="W1081" s="28"/>
      <c r="Y1081" s="33"/>
      <c r="Z1081" s="33"/>
      <c r="AA1081" s="33"/>
    </row>
    <row r="1082" spans="1:30" x14ac:dyDescent="0.35">
      <c r="A1082" t="s">
        <v>1043</v>
      </c>
      <c r="B1082" t="s">
        <v>1042</v>
      </c>
      <c r="C1082" s="36">
        <f t="shared" ref="C1082:C1087" si="676">RATE(U1082,V1082,-F1082,H1082)</f>
        <v>2.7247608655926691E-2</v>
      </c>
      <c r="D1082" s="3">
        <f t="shared" ref="D1082:D1087" si="677">C1082*AD1082</f>
        <v>0.10899043462370676</v>
      </c>
      <c r="F1082">
        <v>99774.73</v>
      </c>
      <c r="G1082" t="s">
        <v>76</v>
      </c>
      <c r="H1082">
        <v>100000</v>
      </c>
      <c r="I1082" s="22"/>
      <c r="J1082">
        <v>1</v>
      </c>
      <c r="K1082" s="22"/>
      <c r="M1082" s="22">
        <v>0.1081</v>
      </c>
      <c r="N1082" s="21">
        <v>45702</v>
      </c>
      <c r="O1082" s="21">
        <v>46783</v>
      </c>
      <c r="P1082">
        <f t="shared" ref="P1082:P1087" si="678">ROUND(YEARFRAC(N1082,O1082),0)</f>
        <v>3</v>
      </c>
      <c r="Q1082" s="6">
        <f t="shared" ref="Q1082:Q1087" si="679">(M1082*H1082)/F1082</f>
        <v>0.10834406667900781</v>
      </c>
      <c r="R1082" s="5">
        <f t="shared" ref="R1082:R1087" si="680">IF(S1082="Quarterly",4,IF(S1082="Semi-annual",2,IF(S1082="Annual",1,IF(S1082="Pays at maturity",0,12))))</f>
        <v>4</v>
      </c>
      <c r="S1082" t="s">
        <v>105</v>
      </c>
      <c r="U1082">
        <f t="shared" ref="U1082:U1087" si="681">R1082*P1082</f>
        <v>12</v>
      </c>
      <c r="V1082">
        <f t="shared" ref="V1082:V1087" si="682">(H1082*M1082)/AD1082</f>
        <v>2702.5</v>
      </c>
      <c r="W1082" s="28">
        <f t="shared" ref="W1082:W1087" si="683">RATE(U1082,V1082,-F1082,H1082)</f>
        <v>2.7247608655926691E-2</v>
      </c>
      <c r="X1082" s="27">
        <f t="shared" ref="X1082:X1087" si="684">W1082*AD1082</f>
        <v>0.10899043462370676</v>
      </c>
      <c r="Y1082" s="5">
        <f t="shared" ref="Y1082:Y1087" si="685">DURATION(N1082,O1082,M1082,D1082,AD1082)</f>
        <v>2.562311849497998</v>
      </c>
      <c r="Z1082" s="5">
        <f t="shared" ref="Z1082:Z1087" si="686">Y1082/(1+C1082)</f>
        <v>2.4943468623407972</v>
      </c>
      <c r="AA1082" s="5">
        <f t="shared" ref="AA1082:AA1087" si="687">-Z1082*F1082</f>
        <v>-248872.7847164002</v>
      </c>
      <c r="AB1082" t="s">
        <v>503</v>
      </c>
      <c r="AC1082" t="s">
        <v>62</v>
      </c>
      <c r="AD1082">
        <f t="shared" ref="AD1082:AD1087" si="688">_xlfn.SWITCH(PROPER(TRIM(S1082)),
   "Annual",1,
   "Semi-Annual",2,
   "Quarterly",4,
   "Monthly",12,
   "")</f>
        <v>4</v>
      </c>
    </row>
    <row r="1083" spans="1:30" x14ac:dyDescent="0.35">
      <c r="A1083" t="s">
        <v>1041</v>
      </c>
      <c r="B1083" t="s">
        <v>241</v>
      </c>
      <c r="C1083" s="36">
        <f t="shared" si="676"/>
        <v>8.9883277387014029E-2</v>
      </c>
      <c r="D1083" s="3">
        <f t="shared" si="677"/>
        <v>8.9883277387014029E-2</v>
      </c>
      <c r="F1083">
        <v>981</v>
      </c>
      <c r="G1083" t="s">
        <v>76</v>
      </c>
      <c r="H1083">
        <v>1000</v>
      </c>
      <c r="I1083" s="22"/>
      <c r="J1083">
        <v>50</v>
      </c>
      <c r="K1083" s="22"/>
      <c r="L1083">
        <v>9.4288784197041</v>
      </c>
      <c r="M1083" s="22">
        <v>8.5000000000000006E-2</v>
      </c>
      <c r="N1083" s="21">
        <v>44958</v>
      </c>
      <c r="O1083" s="21">
        <v>46784</v>
      </c>
      <c r="P1083">
        <f t="shared" si="678"/>
        <v>5</v>
      </c>
      <c r="Q1083" s="6">
        <f t="shared" si="679"/>
        <v>8.6646279306829763E-2</v>
      </c>
      <c r="R1083" s="5">
        <f t="shared" si="680"/>
        <v>1</v>
      </c>
      <c r="S1083" t="s">
        <v>93</v>
      </c>
      <c r="U1083">
        <f t="shared" si="681"/>
        <v>5</v>
      </c>
      <c r="V1083">
        <f t="shared" si="682"/>
        <v>85</v>
      </c>
      <c r="W1083" s="28">
        <f t="shared" si="683"/>
        <v>8.9883277387014029E-2</v>
      </c>
      <c r="X1083" s="27">
        <f t="shared" si="684"/>
        <v>8.9883277387014029E-2</v>
      </c>
      <c r="Y1083" s="5">
        <f t="shared" si="685"/>
        <v>4.2679004084324879</v>
      </c>
      <c r="Z1083" s="5">
        <f t="shared" si="686"/>
        <v>3.9159242984851952</v>
      </c>
      <c r="AA1083" s="5">
        <f t="shared" si="687"/>
        <v>-3841.5217368139765</v>
      </c>
      <c r="AB1083" t="s">
        <v>64</v>
      </c>
      <c r="AC1083" t="s">
        <v>62</v>
      </c>
      <c r="AD1083">
        <f t="shared" si="688"/>
        <v>1</v>
      </c>
    </row>
    <row r="1084" spans="1:30" x14ac:dyDescent="0.35">
      <c r="A1084" t="s">
        <v>1040</v>
      </c>
      <c r="B1084" t="s">
        <v>241</v>
      </c>
      <c r="C1084" s="36">
        <f t="shared" si="676"/>
        <v>8.8000000000072132E-2</v>
      </c>
      <c r="D1084" s="3">
        <f t="shared" si="677"/>
        <v>8.8000000000072132E-2</v>
      </c>
      <c r="F1084">
        <v>1000</v>
      </c>
      <c r="G1084" t="s">
        <v>76</v>
      </c>
      <c r="H1084">
        <v>1000</v>
      </c>
      <c r="I1084" s="22"/>
      <c r="J1084">
        <v>50</v>
      </c>
      <c r="K1084" s="22"/>
      <c r="L1084">
        <v>8.8000000000000007</v>
      </c>
      <c r="M1084" s="22">
        <v>8.8000000000000009E-2</v>
      </c>
      <c r="N1084" s="21">
        <v>44958</v>
      </c>
      <c r="O1084" s="21">
        <v>46784</v>
      </c>
      <c r="P1084">
        <f t="shared" si="678"/>
        <v>5</v>
      </c>
      <c r="Q1084" s="6">
        <f t="shared" si="679"/>
        <v>8.8000000000000009E-2</v>
      </c>
      <c r="R1084" s="5">
        <f t="shared" si="680"/>
        <v>1</v>
      </c>
      <c r="S1084" t="s">
        <v>93</v>
      </c>
      <c r="U1084">
        <f t="shared" si="681"/>
        <v>5</v>
      </c>
      <c r="V1084">
        <f t="shared" si="682"/>
        <v>88.000000000000014</v>
      </c>
      <c r="W1084" s="28">
        <f t="shared" si="683"/>
        <v>8.8000000000072132E-2</v>
      </c>
      <c r="X1084" s="27">
        <f t="shared" si="684"/>
        <v>8.8000000000072132E-2</v>
      </c>
      <c r="Y1084" s="5">
        <f t="shared" si="685"/>
        <v>4.253993174363405</v>
      </c>
      <c r="Z1084" s="5">
        <f t="shared" si="686"/>
        <v>3.9099201970249298</v>
      </c>
      <c r="AA1084" s="5">
        <f t="shared" si="687"/>
        <v>-3909.9201970249296</v>
      </c>
      <c r="AB1084" t="s">
        <v>64</v>
      </c>
      <c r="AC1084" t="s">
        <v>62</v>
      </c>
      <c r="AD1084">
        <f t="shared" si="688"/>
        <v>1</v>
      </c>
    </row>
    <row r="1085" spans="1:30" x14ac:dyDescent="0.35">
      <c r="A1085" t="s">
        <v>1039</v>
      </c>
      <c r="B1085" t="s">
        <v>241</v>
      </c>
      <c r="C1085" s="36">
        <f t="shared" si="676"/>
        <v>9.1984811571134778E-2</v>
      </c>
      <c r="D1085" s="3">
        <f t="shared" si="677"/>
        <v>9.1984811571134778E-2</v>
      </c>
      <c r="F1085">
        <v>980</v>
      </c>
      <c r="G1085" t="s">
        <v>76</v>
      </c>
      <c r="H1085">
        <v>1000</v>
      </c>
      <c r="I1085" s="22"/>
      <c r="J1085">
        <v>34</v>
      </c>
      <c r="K1085" s="22"/>
      <c r="L1085">
        <v>9.6996873283474798</v>
      </c>
      <c r="M1085" s="22">
        <v>8.7499999999999994E-2</v>
      </c>
      <c r="N1085" s="21">
        <v>44594</v>
      </c>
      <c r="O1085" s="21">
        <v>46785</v>
      </c>
      <c r="P1085">
        <f t="shared" si="678"/>
        <v>6</v>
      </c>
      <c r="Q1085" s="6">
        <f t="shared" si="679"/>
        <v>8.9285714285714288E-2</v>
      </c>
      <c r="R1085" s="5">
        <f t="shared" si="680"/>
        <v>1</v>
      </c>
      <c r="S1085" t="s">
        <v>93</v>
      </c>
      <c r="U1085">
        <f t="shared" si="681"/>
        <v>6</v>
      </c>
      <c r="V1085">
        <f t="shared" si="682"/>
        <v>87.5</v>
      </c>
      <c r="W1085" s="28">
        <f t="shared" si="683"/>
        <v>9.1984811571134778E-2</v>
      </c>
      <c r="X1085" s="27">
        <f t="shared" si="684"/>
        <v>9.1984811571134778E-2</v>
      </c>
      <c r="Y1085" s="5">
        <f t="shared" si="685"/>
        <v>4.9028682505756551</v>
      </c>
      <c r="Z1085" s="5">
        <f t="shared" si="686"/>
        <v>4.4898685390334929</v>
      </c>
      <c r="AA1085" s="5">
        <f t="shared" si="687"/>
        <v>-4400.0711682528226</v>
      </c>
      <c r="AB1085" t="s">
        <v>64</v>
      </c>
      <c r="AC1085" t="s">
        <v>62</v>
      </c>
      <c r="AD1085">
        <f t="shared" si="688"/>
        <v>1</v>
      </c>
    </row>
    <row r="1086" spans="1:30" x14ac:dyDescent="0.35">
      <c r="A1086" t="s">
        <v>1038</v>
      </c>
      <c r="B1086" t="s">
        <v>860</v>
      </c>
      <c r="C1086" s="36">
        <f t="shared" si="676"/>
        <v>0.39087622394758004</v>
      </c>
      <c r="D1086" s="3">
        <f t="shared" si="677"/>
        <v>0.39087622394758004</v>
      </c>
      <c r="F1086">
        <v>405</v>
      </c>
      <c r="G1086" t="s">
        <v>76</v>
      </c>
      <c r="H1086">
        <v>1000</v>
      </c>
      <c r="I1086" s="22"/>
      <c r="J1086">
        <v>50</v>
      </c>
      <c r="K1086" s="22"/>
      <c r="L1086">
        <v>82.236608077003496</v>
      </c>
      <c r="M1086" s="22">
        <v>0.10300000000000001</v>
      </c>
      <c r="N1086" s="21">
        <v>44959</v>
      </c>
      <c r="O1086" s="21">
        <v>46785</v>
      </c>
      <c r="P1086">
        <f t="shared" si="678"/>
        <v>5</v>
      </c>
      <c r="Q1086" s="6">
        <f t="shared" si="679"/>
        <v>0.25432098765432104</v>
      </c>
      <c r="R1086" s="5">
        <f t="shared" si="680"/>
        <v>1</v>
      </c>
      <c r="S1086" t="s">
        <v>93</v>
      </c>
      <c r="U1086">
        <f t="shared" si="681"/>
        <v>5</v>
      </c>
      <c r="V1086">
        <f t="shared" si="682"/>
        <v>103.00000000000001</v>
      </c>
      <c r="W1086" s="28">
        <f t="shared" si="683"/>
        <v>0.39087622394758004</v>
      </c>
      <c r="X1086" s="27">
        <f t="shared" si="684"/>
        <v>0.39087622394758004</v>
      </c>
      <c r="Y1086" s="5">
        <f t="shared" si="685"/>
        <v>3.6172185165481006</v>
      </c>
      <c r="Z1086" s="5">
        <f t="shared" si="686"/>
        <v>2.6006760733041534</v>
      </c>
      <c r="AA1086" s="5">
        <f t="shared" si="687"/>
        <v>-1053.2738096881822</v>
      </c>
      <c r="AB1086" t="s">
        <v>64</v>
      </c>
      <c r="AC1086" t="s">
        <v>62</v>
      </c>
      <c r="AD1086">
        <f t="shared" si="688"/>
        <v>1</v>
      </c>
    </row>
    <row r="1087" spans="1:30" x14ac:dyDescent="0.35">
      <c r="A1087" t="s">
        <v>1037</v>
      </c>
      <c r="B1087" t="s">
        <v>860</v>
      </c>
      <c r="C1087" s="36">
        <f t="shared" si="676"/>
        <v>0.23067386949038504</v>
      </c>
      <c r="D1087" s="3">
        <f t="shared" si="677"/>
        <v>0.23067386949038504</v>
      </c>
      <c r="F1087">
        <v>629.98</v>
      </c>
      <c r="G1087" t="s">
        <v>76</v>
      </c>
      <c r="H1087">
        <v>1000</v>
      </c>
      <c r="I1087" s="22"/>
      <c r="J1087">
        <v>51</v>
      </c>
      <c r="K1087" s="22"/>
      <c r="L1087">
        <v>38.613281144330699</v>
      </c>
      <c r="M1087" s="22">
        <v>9.849999999999999E-2</v>
      </c>
      <c r="N1087" s="21">
        <v>44959</v>
      </c>
      <c r="O1087" s="21">
        <v>46785</v>
      </c>
      <c r="P1087">
        <f t="shared" si="678"/>
        <v>5</v>
      </c>
      <c r="Q1087" s="6">
        <f t="shared" si="679"/>
        <v>0.15635416997364993</v>
      </c>
      <c r="R1087" s="5">
        <f t="shared" si="680"/>
        <v>1</v>
      </c>
      <c r="S1087" t="s">
        <v>93</v>
      </c>
      <c r="U1087">
        <f t="shared" si="681"/>
        <v>5</v>
      </c>
      <c r="V1087">
        <f t="shared" si="682"/>
        <v>98.499999999999986</v>
      </c>
      <c r="W1087" s="28">
        <f t="shared" si="683"/>
        <v>0.23067386949038504</v>
      </c>
      <c r="X1087" s="27">
        <f t="shared" si="684"/>
        <v>0.23067386949038504</v>
      </c>
      <c r="Y1087" s="5">
        <f t="shared" si="685"/>
        <v>3.946177243723707</v>
      </c>
      <c r="Z1087" s="5">
        <f t="shared" si="686"/>
        <v>3.2065174548296835</v>
      </c>
      <c r="AA1087" s="5">
        <f t="shared" si="687"/>
        <v>-2020.0418661936042</v>
      </c>
      <c r="AB1087" t="s">
        <v>64</v>
      </c>
      <c r="AC1087" t="s">
        <v>62</v>
      </c>
      <c r="AD1087">
        <f t="shared" si="688"/>
        <v>1</v>
      </c>
    </row>
    <row r="1088" spans="1:30" x14ac:dyDescent="0.35">
      <c r="C1088" s="28"/>
      <c r="D1088" s="27"/>
      <c r="I1088" s="22"/>
      <c r="K1088" s="22"/>
      <c r="M1088" s="22"/>
      <c r="N1088" s="21"/>
      <c r="O1088" s="21"/>
      <c r="P1088" s="5"/>
      <c r="Q1088" s="6"/>
      <c r="R1088" s="5"/>
      <c r="W1088" s="28"/>
      <c r="Y1088" s="33"/>
      <c r="Z1088" s="33"/>
      <c r="AA1088" s="33"/>
    </row>
    <row r="1089" spans="1:30" x14ac:dyDescent="0.35">
      <c r="C1089" s="28"/>
      <c r="D1089" s="27"/>
      <c r="I1089" s="22"/>
      <c r="K1089" s="22"/>
      <c r="M1089" s="22"/>
      <c r="N1089" s="21"/>
      <c r="O1089" s="21"/>
      <c r="P1089" s="5"/>
      <c r="Q1089" s="6"/>
      <c r="R1089" s="5"/>
      <c r="W1089" s="28"/>
      <c r="Y1089" s="33"/>
      <c r="Z1089" s="33"/>
      <c r="AA1089" s="33"/>
    </row>
    <row r="1090" spans="1:30" x14ac:dyDescent="0.35">
      <c r="A1090" t="s">
        <v>1034</v>
      </c>
      <c r="B1090" t="s">
        <v>272</v>
      </c>
      <c r="C1090" s="36">
        <f>RATE(U1090,V1090,-F1090,H1090)</f>
        <v>3.5442817966881576E-2</v>
      </c>
      <c r="D1090" s="3">
        <f>C1090*AD1090</f>
        <v>7.0885635933763153E-2</v>
      </c>
      <c r="F1090">
        <v>1001.25</v>
      </c>
      <c r="G1090" t="s">
        <v>66</v>
      </c>
      <c r="H1090">
        <v>1000</v>
      </c>
      <c r="I1090" s="22"/>
      <c r="J1090">
        <v>6000000</v>
      </c>
      <c r="K1090" s="22"/>
      <c r="M1090" s="22">
        <v>7.1249999999999994E-2</v>
      </c>
      <c r="N1090" s="21">
        <v>45426</v>
      </c>
      <c r="O1090" s="21">
        <v>46797</v>
      </c>
      <c r="P1090">
        <f>ROUND(YEARFRAC(N1090,O1090),0)</f>
        <v>4</v>
      </c>
      <c r="Q1090" s="6">
        <f>(M1090*H1090)/F1090</f>
        <v>7.116104868913857E-2</v>
      </c>
      <c r="R1090" s="5">
        <f>IF(S1090="Quarterly",4,IF(S1090="Semi-annual",2,IF(S1090="Annual",1,IF(S1090="Pays at maturity",0,12))))</f>
        <v>2</v>
      </c>
      <c r="S1090" t="s">
        <v>65</v>
      </c>
      <c r="U1090">
        <f>R1090*P1090</f>
        <v>8</v>
      </c>
      <c r="V1090">
        <f>(H1090*M1090)/AD1090</f>
        <v>35.625</v>
      </c>
      <c r="W1090" s="28">
        <f>RATE(U1090,V1090,-F1090,H1090)</f>
        <v>3.5442817966881576E-2</v>
      </c>
      <c r="X1090" s="27">
        <f>W1090*AD1090</f>
        <v>7.0885635933763153E-2</v>
      </c>
      <c r="Y1090" s="5">
        <f>DURATION(N1090,O1090,M1090,D1090,AD1090)</f>
        <v>3.3004862941925079</v>
      </c>
      <c r="Z1090" s="5">
        <f>Y1090/(1+C1090)</f>
        <v>3.1875118904905797</v>
      </c>
      <c r="AA1090" s="5">
        <f>-Z1090*F1090</f>
        <v>-3191.4962803536928</v>
      </c>
      <c r="AB1090" t="s">
        <v>64</v>
      </c>
      <c r="AC1090" t="s">
        <v>62</v>
      </c>
      <c r="AD1090">
        <f>_xlfn.SWITCH(PROPER(TRIM(S1090)),
   "Annual",1,
   "Semi-Annual",2,
   "Quarterly",4,
   "Monthly",12,
   "")</f>
        <v>2</v>
      </c>
    </row>
    <row r="1091" spans="1:30" x14ac:dyDescent="0.35">
      <c r="A1091" t="s">
        <v>1033</v>
      </c>
      <c r="B1091" t="s">
        <v>272</v>
      </c>
      <c r="C1091" s="36">
        <f>RATE(U1091,V1091,-F1091,H1091)</f>
        <v>3.2458375195604017E-2</v>
      </c>
      <c r="D1091" s="3">
        <f>C1091*AD1091</f>
        <v>6.4916750391208033E-2</v>
      </c>
      <c r="F1091">
        <v>1022</v>
      </c>
      <c r="G1091" t="s">
        <v>66</v>
      </c>
      <c r="H1091">
        <v>1000</v>
      </c>
      <c r="I1091" s="22"/>
      <c r="J1091">
        <v>550000</v>
      </c>
      <c r="K1091" s="22"/>
      <c r="M1091" s="22">
        <v>7.1249999999999994E-2</v>
      </c>
      <c r="N1091" s="21">
        <v>45426</v>
      </c>
      <c r="O1091" s="21">
        <v>46797</v>
      </c>
      <c r="P1091">
        <f>ROUND(YEARFRAC(N1091,O1091),0)</f>
        <v>4</v>
      </c>
      <c r="Q1091" s="6">
        <f>(M1091*H1091)/F1091</f>
        <v>6.9716242661448144E-2</v>
      </c>
      <c r="R1091" s="5">
        <f>IF(S1091="Quarterly",4,IF(S1091="Semi-annual",2,IF(S1091="Annual",1,IF(S1091="Pays at maturity",0,12))))</f>
        <v>2</v>
      </c>
      <c r="S1091" t="s">
        <v>65</v>
      </c>
      <c r="U1091">
        <f>R1091*P1091</f>
        <v>8</v>
      </c>
      <c r="V1091">
        <f>(H1091*M1091)/AD1091</f>
        <v>35.625</v>
      </c>
      <c r="W1091" s="28">
        <f>RATE(U1091,V1091,-F1091,H1091)</f>
        <v>3.2458375195604017E-2</v>
      </c>
      <c r="X1091" s="27">
        <f>W1091*AD1091</f>
        <v>6.4916750391208033E-2</v>
      </c>
      <c r="Y1091" s="5">
        <f>DURATION(N1091,O1091,M1091,D1091,AD1091)</f>
        <v>3.3059091107975402</v>
      </c>
      <c r="Z1091" s="5">
        <f>Y1091/(1+C1091)</f>
        <v>3.2019781041257187</v>
      </c>
      <c r="AA1091" s="5">
        <f>-Z1091*F1091</f>
        <v>-3272.4216224164843</v>
      </c>
      <c r="AB1091" t="s">
        <v>64</v>
      </c>
      <c r="AC1091" t="s">
        <v>62</v>
      </c>
      <c r="AD1091">
        <f>_xlfn.SWITCH(PROPER(TRIM(S1091)),
   "Annual",1,
   "Semi-Annual",2,
   "Quarterly",4,
   "Monthly",12,
   "")</f>
        <v>2</v>
      </c>
    </row>
    <row r="1092" spans="1:30" x14ac:dyDescent="0.35">
      <c r="C1092" s="28"/>
      <c r="D1092" s="27"/>
      <c r="I1092" s="22"/>
      <c r="K1092" s="22"/>
      <c r="M1092" s="22"/>
      <c r="N1092" s="21"/>
      <c r="O1092" s="21"/>
      <c r="P1092" s="5"/>
      <c r="Q1092" s="6"/>
      <c r="R1092" s="5"/>
      <c r="W1092" s="28"/>
      <c r="Y1092" s="33"/>
      <c r="Z1092" s="33"/>
      <c r="AA1092" s="33"/>
    </row>
    <row r="1093" spans="1:30" x14ac:dyDescent="0.35">
      <c r="A1093" t="s">
        <v>1031</v>
      </c>
      <c r="B1093" t="s">
        <v>1030</v>
      </c>
      <c r="C1093" s="36">
        <f>RATE(U1093,V1093,-F1093,H1093)</f>
        <v>7.6051173566941022E-2</v>
      </c>
      <c r="D1093" s="3">
        <f>C1093*AD1093</f>
        <v>7.6051173566941022E-2</v>
      </c>
      <c r="F1093">
        <v>1014721.6</v>
      </c>
      <c r="G1093" t="s">
        <v>76</v>
      </c>
      <c r="H1093">
        <v>1000000</v>
      </c>
      <c r="I1093" s="22"/>
      <c r="J1093">
        <v>16</v>
      </c>
      <c r="K1093" s="22"/>
      <c r="L1093">
        <v>7.5609956421227897</v>
      </c>
      <c r="M1093" s="22">
        <v>7.9699999999999993E-2</v>
      </c>
      <c r="N1093" s="21">
        <v>44923</v>
      </c>
      <c r="O1093" s="21">
        <v>46800</v>
      </c>
      <c r="P1093">
        <f>ROUND(YEARFRAC(N1093,O1093),0)</f>
        <v>5</v>
      </c>
      <c r="Q1093" s="6">
        <f>(M1093*H1093)/F1093</f>
        <v>7.854371090553311E-2</v>
      </c>
      <c r="R1093" s="5">
        <f>IF(S1093="Quarterly",4,IF(S1093="Semi-annual",2,IF(S1093="Annual",1,IF(S1093="Pays at maturity",0,12))))</f>
        <v>1</v>
      </c>
      <c r="S1093" t="s">
        <v>93</v>
      </c>
      <c r="U1093">
        <f>R1093*P1093</f>
        <v>5</v>
      </c>
      <c r="V1093">
        <f>(H1093*M1093)/AD1093</f>
        <v>79700</v>
      </c>
      <c r="W1093" s="28">
        <f>RATE(U1093,V1093,-F1093,H1093)</f>
        <v>7.6051173566941022E-2</v>
      </c>
      <c r="X1093" s="27">
        <f>W1093*AD1093</f>
        <v>7.6051173566941022E-2</v>
      </c>
      <c r="Y1093" s="5">
        <f>DURATION(N1093,O1093,M1093,D1093,AD1093)</f>
        <v>4.1413874856165309</v>
      </c>
      <c r="Z1093" s="5">
        <f>Y1093/(1+C1093)</f>
        <v>3.8486900877478538</v>
      </c>
      <c r="AA1093" s="5">
        <f>-Z1093*F1093</f>
        <v>-3905348.9637436424</v>
      </c>
      <c r="AB1093" t="s">
        <v>64</v>
      </c>
      <c r="AC1093" t="s">
        <v>62</v>
      </c>
      <c r="AD1093">
        <f>_xlfn.SWITCH(PROPER(TRIM(S1093)),
   "Annual",1,
   "Semi-Annual",2,
   "Quarterly",4,
   "Monthly",12,
   "")</f>
        <v>1</v>
      </c>
    </row>
    <row r="1094" spans="1:30" x14ac:dyDescent="0.35">
      <c r="A1094" t="s">
        <v>1029</v>
      </c>
      <c r="B1094" t="s">
        <v>72</v>
      </c>
      <c r="C1094" s="36">
        <f>RATE(U1094,V1094,-F1094,H1094)</f>
        <v>6.2917074017050656E-2</v>
      </c>
      <c r="D1094" s="3">
        <f>C1094*AD1094</f>
        <v>6.2917074017050656E-2</v>
      </c>
      <c r="F1094">
        <v>1099.9000000000001</v>
      </c>
      <c r="G1094" t="s">
        <v>76</v>
      </c>
      <c r="H1094">
        <v>1000</v>
      </c>
      <c r="I1094" s="22"/>
      <c r="J1094">
        <v>100</v>
      </c>
      <c r="K1094" s="22"/>
      <c r="L1094">
        <v>3.1540504840335699</v>
      </c>
      <c r="M1094" s="22">
        <v>7.3399999999999993E-2</v>
      </c>
      <c r="N1094" s="21">
        <v>41324</v>
      </c>
      <c r="O1094" s="21">
        <v>46802</v>
      </c>
      <c r="P1094">
        <f>ROUND(YEARFRAC(N1094,O1094),0)</f>
        <v>15</v>
      </c>
      <c r="Q1094" s="6">
        <f>(M1094*H1094)/F1094</f>
        <v>6.6733339394490401E-2</v>
      </c>
      <c r="R1094" s="5">
        <f>IF(S1094="Quarterly",4,IF(S1094="Semi-annual",2,IF(S1094="Annual",1,IF(S1094="Pays at maturity",0,12))))</f>
        <v>1</v>
      </c>
      <c r="S1094" t="s">
        <v>93</v>
      </c>
      <c r="U1094">
        <f>R1094*P1094</f>
        <v>15</v>
      </c>
      <c r="V1094">
        <f>(H1094*M1094)/AD1094</f>
        <v>73.399999999999991</v>
      </c>
      <c r="W1094" s="28">
        <f>RATE(U1094,V1094,-F1094,H1094)</f>
        <v>6.2917074017050656E-2</v>
      </c>
      <c r="X1094" s="27">
        <f>W1094*AD1094</f>
        <v>6.2917074017050656E-2</v>
      </c>
      <c r="Y1094" s="5">
        <f>DURATION(N1094,O1094,M1094,D1094,AD1094)</f>
        <v>9.8339375444419321</v>
      </c>
      <c r="Z1094" s="5">
        <f>Y1094/(1+C1094)</f>
        <v>9.2518389108915411</v>
      </c>
      <c r="AA1094" s="5">
        <f>-Z1094*F1094</f>
        <v>-10176.097618089607</v>
      </c>
      <c r="AB1094" t="s">
        <v>64</v>
      </c>
      <c r="AC1094" t="s">
        <v>62</v>
      </c>
      <c r="AD1094">
        <f>_xlfn.SWITCH(PROPER(TRIM(S1094)),
   "Annual",1,
   "Semi-Annual",2,
   "Quarterly",4,
   "Monthly",12,
   "")</f>
        <v>1</v>
      </c>
    </row>
    <row r="1095" spans="1:30" x14ac:dyDescent="0.35">
      <c r="A1095" t="s">
        <v>1028</v>
      </c>
      <c r="B1095" t="s">
        <v>128</v>
      </c>
      <c r="C1095" s="36">
        <f>RATE(U1095,V1095,-F1095,H1095)</f>
        <v>9.1889657892577845E-2</v>
      </c>
      <c r="D1095" s="3">
        <f>C1095*AD1095</f>
        <v>9.1889657892577845E-2</v>
      </c>
      <c r="F1095">
        <v>951694.7</v>
      </c>
      <c r="G1095" t="s">
        <v>76</v>
      </c>
      <c r="H1095">
        <v>1000000</v>
      </c>
      <c r="I1095" s="22"/>
      <c r="J1095">
        <v>2</v>
      </c>
      <c r="K1095" s="22"/>
      <c r="L1095">
        <v>10.773741591140601</v>
      </c>
      <c r="M1095" s="22">
        <v>8.43E-2</v>
      </c>
      <c r="N1095" s="21">
        <v>43154</v>
      </c>
      <c r="O1095" s="21">
        <v>46806</v>
      </c>
      <c r="P1095">
        <f>ROUND(YEARFRAC(N1095,O1095),0)</f>
        <v>10</v>
      </c>
      <c r="Q1095" s="6">
        <f>(M1095*H1095)/F1095</f>
        <v>8.8578826802334823E-2</v>
      </c>
      <c r="R1095" s="5">
        <f>IF(S1095="Quarterly",4,IF(S1095="Semi-annual",2,IF(S1095="Annual",1,IF(S1095="Pays at maturity",0,12))))</f>
        <v>1</v>
      </c>
      <c r="S1095" t="s">
        <v>93</v>
      </c>
      <c r="U1095">
        <f>R1095*P1095</f>
        <v>10</v>
      </c>
      <c r="V1095">
        <f>(H1095*M1095)/AD1095</f>
        <v>84300</v>
      </c>
      <c r="W1095" s="28">
        <f>RATE(U1095,V1095,-F1095,H1095)</f>
        <v>9.1889657892577845E-2</v>
      </c>
      <c r="X1095" s="27">
        <f>W1095*AD1095</f>
        <v>9.1889657892577845E-2</v>
      </c>
      <c r="Y1095" s="5">
        <f>DURATION(N1095,O1095,M1095,D1095,AD1095)</f>
        <v>7.0593767687123394</v>
      </c>
      <c r="Z1095" s="5">
        <f>Y1095/(1+C1095)</f>
        <v>6.4652840309316808</v>
      </c>
      <c r="AA1095" s="5">
        <f>-Z1095*F1095</f>
        <v>-6152976.5462323166</v>
      </c>
      <c r="AB1095" t="s">
        <v>64</v>
      </c>
      <c r="AC1095" t="s">
        <v>62</v>
      </c>
      <c r="AD1095">
        <f>_xlfn.SWITCH(PROPER(TRIM(S1095)),
   "Annual",1,
   "Semi-Annual",2,
   "Quarterly",4,
   "Monthly",12,
   "")</f>
        <v>1</v>
      </c>
    </row>
    <row r="1096" spans="1:30" x14ac:dyDescent="0.35">
      <c r="C1096" s="28"/>
      <c r="D1096" s="27"/>
      <c r="I1096" s="22"/>
      <c r="K1096" s="22"/>
      <c r="M1096" s="22"/>
      <c r="N1096" s="21"/>
      <c r="O1096" s="21"/>
      <c r="P1096" s="5"/>
      <c r="Q1096" s="6"/>
      <c r="R1096" s="5"/>
      <c r="W1096" s="28"/>
      <c r="Y1096" s="33"/>
      <c r="Z1096" s="33"/>
      <c r="AA1096" s="33"/>
    </row>
    <row r="1097" spans="1:30" x14ac:dyDescent="0.35">
      <c r="A1097" t="s">
        <v>1026</v>
      </c>
      <c r="B1097" t="s">
        <v>241</v>
      </c>
      <c r="C1097" s="36">
        <f t="shared" ref="C1097:C1103" si="689">RATE(U1097,V1097,-F1097,H1097)</f>
        <v>0.1116852828687004</v>
      </c>
      <c r="D1097" s="3">
        <f t="shared" ref="D1097:D1103" si="690">C1097*AD1097</f>
        <v>0.1116852828687004</v>
      </c>
      <c r="F1097">
        <v>963</v>
      </c>
      <c r="G1097" t="s">
        <v>76</v>
      </c>
      <c r="H1097">
        <v>1000</v>
      </c>
      <c r="I1097" s="22"/>
      <c r="J1097">
        <v>75</v>
      </c>
      <c r="K1097" s="22"/>
      <c r="L1097">
        <v>11.388952207279001</v>
      </c>
      <c r="M1097" s="22">
        <v>9.6500000000000002E-2</v>
      </c>
      <c r="N1097" s="21">
        <v>45712</v>
      </c>
      <c r="O1097" s="21">
        <v>46807</v>
      </c>
      <c r="P1097">
        <f t="shared" ref="P1097:P1103" si="691">ROUND(YEARFRAC(N1097,O1097),0)</f>
        <v>3</v>
      </c>
      <c r="Q1097" s="6">
        <f t="shared" ref="Q1097:Q1103" si="692">(M1097*H1097)/F1097</f>
        <v>0.10020768431983386</v>
      </c>
      <c r="R1097" s="5">
        <f t="shared" ref="R1097:R1103" si="693">IF(S1097="Quarterly",4,IF(S1097="Semi-annual",2,IF(S1097="Annual",1,IF(S1097="Pays at maturity",0,12))))</f>
        <v>1</v>
      </c>
      <c r="S1097" t="s">
        <v>93</v>
      </c>
      <c r="U1097">
        <f t="shared" ref="U1097:U1103" si="694">R1097*P1097</f>
        <v>3</v>
      </c>
      <c r="V1097">
        <f t="shared" ref="V1097:V1103" si="695">(H1097*M1097)/AD1097</f>
        <v>96.5</v>
      </c>
      <c r="W1097" s="28">
        <f t="shared" ref="W1097:W1103" si="696">RATE(U1097,V1097,-F1097,H1097)</f>
        <v>0.1116852828687004</v>
      </c>
      <c r="X1097" s="27">
        <f t="shared" ref="X1097:X1103" si="697">W1097*AD1097</f>
        <v>0.1116852828687004</v>
      </c>
      <c r="Y1097" s="5">
        <f t="shared" ref="Y1097:Y1103" si="698">DURATION(N1097,O1097,M1097,D1097,AD1097)</f>
        <v>2.7386349279119844</v>
      </c>
      <c r="Z1097" s="5">
        <f t="shared" ref="Z1097:Z1103" si="699">Y1097/(1+C1097)</f>
        <v>2.4634984110295544</v>
      </c>
      <c r="AA1097" s="5">
        <f t="shared" ref="AA1097:AA1103" si="700">-Z1097*F1097</f>
        <v>-2372.3489698214607</v>
      </c>
      <c r="AB1097" t="s">
        <v>64</v>
      </c>
      <c r="AC1097" t="s">
        <v>62</v>
      </c>
      <c r="AD1097">
        <f t="shared" ref="AD1097:AD1103" si="701">_xlfn.SWITCH(PROPER(TRIM(S1097)),
   "Annual",1,
   "Semi-Annual",2,
   "Quarterly",4,
   "Monthly",12,
   "")</f>
        <v>1</v>
      </c>
    </row>
    <row r="1098" spans="1:30" x14ac:dyDescent="0.35">
      <c r="A1098" t="s">
        <v>1025</v>
      </c>
      <c r="B1098" t="s">
        <v>241</v>
      </c>
      <c r="C1098" s="36">
        <f t="shared" si="689"/>
        <v>0.10259889795382779</v>
      </c>
      <c r="D1098" s="3">
        <f t="shared" si="690"/>
        <v>0.10259889795382779</v>
      </c>
      <c r="F1098">
        <v>975</v>
      </c>
      <c r="G1098" t="s">
        <v>76</v>
      </c>
      <c r="H1098">
        <v>1000</v>
      </c>
      <c r="I1098" s="22"/>
      <c r="J1098">
        <v>5</v>
      </c>
      <c r="K1098" s="22"/>
      <c r="L1098">
        <v>10.4765002439421</v>
      </c>
      <c r="M1098" s="22">
        <v>9.2499999999999999E-2</v>
      </c>
      <c r="N1098" s="21">
        <v>45712</v>
      </c>
      <c r="O1098" s="21">
        <v>46807</v>
      </c>
      <c r="P1098">
        <f t="shared" si="691"/>
        <v>3</v>
      </c>
      <c r="Q1098" s="6">
        <f t="shared" si="692"/>
        <v>9.4871794871794868E-2</v>
      </c>
      <c r="R1098" s="5">
        <f t="shared" si="693"/>
        <v>1</v>
      </c>
      <c r="S1098" t="s">
        <v>93</v>
      </c>
      <c r="U1098">
        <f t="shared" si="694"/>
        <v>3</v>
      </c>
      <c r="V1098">
        <f t="shared" si="695"/>
        <v>92.5</v>
      </c>
      <c r="W1098" s="28">
        <f t="shared" si="696"/>
        <v>0.10259889795382779</v>
      </c>
      <c r="X1098" s="27">
        <f t="shared" si="697"/>
        <v>0.10259889795382779</v>
      </c>
      <c r="Y1098" s="5">
        <f t="shared" si="698"/>
        <v>2.7498751481970798</v>
      </c>
      <c r="Z1098" s="5">
        <f t="shared" si="699"/>
        <v>2.4939941018444891</v>
      </c>
      <c r="AA1098" s="5">
        <f t="shared" si="700"/>
        <v>-2431.644249298377</v>
      </c>
      <c r="AB1098" t="s">
        <v>64</v>
      </c>
      <c r="AC1098" t="s">
        <v>62</v>
      </c>
      <c r="AD1098">
        <f t="shared" si="701"/>
        <v>1</v>
      </c>
    </row>
    <row r="1099" spans="1:30" x14ac:dyDescent="0.35">
      <c r="A1099" t="s">
        <v>1024</v>
      </c>
      <c r="B1099" t="s">
        <v>401</v>
      </c>
      <c r="C1099" s="36">
        <f t="shared" si="689"/>
        <v>0.10469280053847112</v>
      </c>
      <c r="D1099" s="3">
        <f t="shared" si="690"/>
        <v>0.10469280053847112</v>
      </c>
      <c r="F1099">
        <v>100115.07</v>
      </c>
      <c r="G1099" t="s">
        <v>76</v>
      </c>
      <c r="H1099">
        <v>100000</v>
      </c>
      <c r="I1099" s="22"/>
      <c r="J1099">
        <v>2</v>
      </c>
      <c r="K1099" s="22"/>
      <c r="L1099">
        <v>10.445979261663499</v>
      </c>
      <c r="M1099" s="22">
        <v>0.105</v>
      </c>
      <c r="N1099" s="21">
        <v>44986</v>
      </c>
      <c r="O1099" s="21">
        <v>46813</v>
      </c>
      <c r="P1099">
        <f t="shared" si="691"/>
        <v>5</v>
      </c>
      <c r="Q1099" s="6">
        <f t="shared" si="692"/>
        <v>0.10487931537180166</v>
      </c>
      <c r="R1099" s="5">
        <f t="shared" si="693"/>
        <v>1</v>
      </c>
      <c r="S1099" t="s">
        <v>93</v>
      </c>
      <c r="U1099">
        <f t="shared" si="694"/>
        <v>5</v>
      </c>
      <c r="V1099">
        <f t="shared" si="695"/>
        <v>10500</v>
      </c>
      <c r="W1099" s="28">
        <f t="shared" si="696"/>
        <v>0.10469280053847112</v>
      </c>
      <c r="X1099" s="27">
        <f t="shared" si="697"/>
        <v>0.10469280053847112</v>
      </c>
      <c r="Y1099" s="5">
        <f t="shared" si="698"/>
        <v>4.1363946334985444</v>
      </c>
      <c r="Z1099" s="5">
        <f t="shared" si="699"/>
        <v>3.7443845306878996</v>
      </c>
      <c r="AA1099" s="5">
        <f t="shared" si="700"/>
        <v>-374869.31939673622</v>
      </c>
      <c r="AB1099" t="s">
        <v>64</v>
      </c>
      <c r="AC1099" t="s">
        <v>62</v>
      </c>
      <c r="AD1099">
        <f t="shared" si="701"/>
        <v>1</v>
      </c>
    </row>
    <row r="1100" spans="1:30" x14ac:dyDescent="0.35">
      <c r="A1100" t="s">
        <v>1023</v>
      </c>
      <c r="B1100" t="s">
        <v>449</v>
      </c>
      <c r="C1100" s="36">
        <f t="shared" si="689"/>
        <v>2.5036613071925153E-2</v>
      </c>
      <c r="D1100" s="3">
        <f t="shared" si="690"/>
        <v>5.0073226143850305E-2</v>
      </c>
      <c r="F1100">
        <v>960.47</v>
      </c>
      <c r="G1100" t="s">
        <v>66</v>
      </c>
      <c r="H1100">
        <v>1000</v>
      </c>
      <c r="I1100" s="22"/>
      <c r="J1100">
        <v>750000</v>
      </c>
      <c r="K1100" s="22"/>
      <c r="M1100" s="22">
        <v>4.4999999999999998E-2</v>
      </c>
      <c r="N1100" s="21">
        <v>43167</v>
      </c>
      <c r="O1100" s="21">
        <v>46820</v>
      </c>
      <c r="P1100">
        <f t="shared" si="691"/>
        <v>10</v>
      </c>
      <c r="Q1100" s="6">
        <f t="shared" si="692"/>
        <v>4.6852062011306962E-2</v>
      </c>
      <c r="R1100" s="5">
        <f t="shared" si="693"/>
        <v>2</v>
      </c>
      <c r="S1100" t="s">
        <v>65</v>
      </c>
      <c r="U1100">
        <f t="shared" si="694"/>
        <v>20</v>
      </c>
      <c r="V1100">
        <f t="shared" si="695"/>
        <v>22.5</v>
      </c>
      <c r="W1100" s="28">
        <f t="shared" si="696"/>
        <v>2.5036613071925153E-2</v>
      </c>
      <c r="X1100" s="27">
        <f t="shared" si="697"/>
        <v>5.0073226143850305E-2</v>
      </c>
      <c r="Y1100" s="5">
        <f t="shared" si="698"/>
        <v>8.1164649302814986</v>
      </c>
      <c r="Z1100" s="5">
        <f t="shared" si="699"/>
        <v>7.9182195316490418</v>
      </c>
      <c r="AA1100" s="5">
        <f t="shared" si="700"/>
        <v>-7605.2123135629554</v>
      </c>
      <c r="AB1100" t="s">
        <v>69</v>
      </c>
      <c r="AC1100" t="s">
        <v>62</v>
      </c>
      <c r="AD1100">
        <f t="shared" si="701"/>
        <v>2</v>
      </c>
    </row>
    <row r="1101" spans="1:30" x14ac:dyDescent="0.35">
      <c r="A1101" t="s">
        <v>1022</v>
      </c>
      <c r="B1101" t="s">
        <v>326</v>
      </c>
      <c r="C1101" s="36">
        <f t="shared" si="689"/>
        <v>0.11300692247143054</v>
      </c>
      <c r="D1101" s="3">
        <f t="shared" si="690"/>
        <v>0.11300692247143054</v>
      </c>
      <c r="F1101">
        <v>979.8</v>
      </c>
      <c r="G1101" t="s">
        <v>76</v>
      </c>
      <c r="H1101">
        <v>1000</v>
      </c>
      <c r="I1101" s="22"/>
      <c r="J1101">
        <v>4</v>
      </c>
      <c r="K1101" s="22"/>
      <c r="L1101">
        <v>11.7159399292009</v>
      </c>
      <c r="M1101" s="22">
        <v>0.1075</v>
      </c>
      <c r="N1101" s="21">
        <v>44995</v>
      </c>
      <c r="O1101" s="21">
        <v>46821</v>
      </c>
      <c r="P1101">
        <f t="shared" si="691"/>
        <v>5</v>
      </c>
      <c r="Q1101" s="6">
        <f t="shared" si="692"/>
        <v>0.10971626862625027</v>
      </c>
      <c r="R1101" s="5">
        <f t="shared" si="693"/>
        <v>1</v>
      </c>
      <c r="S1101" t="s">
        <v>93</v>
      </c>
      <c r="U1101">
        <f t="shared" si="694"/>
        <v>5</v>
      </c>
      <c r="V1101">
        <f t="shared" si="695"/>
        <v>107.5</v>
      </c>
      <c r="W1101" s="28">
        <f t="shared" si="696"/>
        <v>0.11300692247143054</v>
      </c>
      <c r="X1101" s="27">
        <f t="shared" si="697"/>
        <v>0.11300692247143054</v>
      </c>
      <c r="Y1101" s="5">
        <f t="shared" si="698"/>
        <v>4.1065674442636624</v>
      </c>
      <c r="Z1101" s="5">
        <f t="shared" si="699"/>
        <v>3.6896153665828368</v>
      </c>
      <c r="AA1101" s="5">
        <f t="shared" si="700"/>
        <v>-3615.0851361778632</v>
      </c>
      <c r="AB1101" t="s">
        <v>64</v>
      </c>
      <c r="AC1101" t="s">
        <v>62</v>
      </c>
      <c r="AD1101">
        <f t="shared" si="701"/>
        <v>1</v>
      </c>
    </row>
    <row r="1102" spans="1:30" x14ac:dyDescent="0.35">
      <c r="A1102" t="s">
        <v>1021</v>
      </c>
      <c r="B1102" t="s">
        <v>326</v>
      </c>
      <c r="C1102" s="36">
        <f t="shared" si="689"/>
        <v>0.1089125428977315</v>
      </c>
      <c r="D1102" s="3">
        <f t="shared" si="690"/>
        <v>0.1089125428977315</v>
      </c>
      <c r="F1102">
        <v>985.5</v>
      </c>
      <c r="G1102" t="s">
        <v>76</v>
      </c>
      <c r="H1102">
        <v>1000</v>
      </c>
      <c r="I1102" s="22"/>
      <c r="J1102">
        <v>11</v>
      </c>
      <c r="K1102" s="22"/>
      <c r="L1102">
        <v>11.2139036867918</v>
      </c>
      <c r="M1102" s="22">
        <v>0.105</v>
      </c>
      <c r="N1102" s="21">
        <v>44995</v>
      </c>
      <c r="O1102" s="21">
        <v>46821</v>
      </c>
      <c r="P1102">
        <f t="shared" si="691"/>
        <v>5</v>
      </c>
      <c r="Q1102" s="6">
        <f t="shared" si="692"/>
        <v>0.106544901065449</v>
      </c>
      <c r="R1102" s="5">
        <f t="shared" si="693"/>
        <v>1</v>
      </c>
      <c r="S1102" t="s">
        <v>93</v>
      </c>
      <c r="U1102">
        <f t="shared" si="694"/>
        <v>5</v>
      </c>
      <c r="V1102">
        <f t="shared" si="695"/>
        <v>105</v>
      </c>
      <c r="W1102" s="28">
        <f t="shared" si="696"/>
        <v>0.1089125428977315</v>
      </c>
      <c r="X1102" s="27">
        <f t="shared" si="697"/>
        <v>0.1089125428977315</v>
      </c>
      <c r="Y1102" s="5">
        <f t="shared" si="698"/>
        <v>4.1262399656797424</v>
      </c>
      <c r="Z1102" s="5">
        <f t="shared" si="699"/>
        <v>3.7209787120789031</v>
      </c>
      <c r="AA1102" s="5">
        <f t="shared" si="700"/>
        <v>-3667.0245207537591</v>
      </c>
      <c r="AB1102" t="s">
        <v>64</v>
      </c>
      <c r="AC1102" t="s">
        <v>62</v>
      </c>
      <c r="AD1102">
        <f t="shared" si="701"/>
        <v>1</v>
      </c>
    </row>
    <row r="1103" spans="1:30" x14ac:dyDescent="0.35">
      <c r="A1103" t="s">
        <v>1020</v>
      </c>
      <c r="B1103" t="s">
        <v>1019</v>
      </c>
      <c r="C1103" s="36">
        <f t="shared" si="689"/>
        <v>9.2186489232222502E-2</v>
      </c>
      <c r="D1103" s="3">
        <f t="shared" si="690"/>
        <v>9.2186489232222502E-2</v>
      </c>
      <c r="F1103">
        <v>102852.66</v>
      </c>
      <c r="G1103" t="s">
        <v>76</v>
      </c>
      <c r="H1103">
        <v>100000</v>
      </c>
      <c r="I1103" s="22"/>
      <c r="J1103">
        <v>1</v>
      </c>
      <c r="K1103" s="22"/>
      <c r="L1103">
        <v>9.1333313969107994</v>
      </c>
      <c r="M1103" s="22">
        <v>0.10349999999999999</v>
      </c>
      <c r="N1103" s="21">
        <v>45726</v>
      </c>
      <c r="O1103" s="21">
        <v>46822</v>
      </c>
      <c r="P1103">
        <f t="shared" si="691"/>
        <v>3</v>
      </c>
      <c r="Q1103" s="6">
        <f t="shared" si="692"/>
        <v>0.10062938576406288</v>
      </c>
      <c r="R1103" s="5">
        <f t="shared" si="693"/>
        <v>1</v>
      </c>
      <c r="S1103" t="s">
        <v>93</v>
      </c>
      <c r="U1103">
        <f t="shared" si="694"/>
        <v>3</v>
      </c>
      <c r="V1103">
        <f t="shared" si="695"/>
        <v>10350</v>
      </c>
      <c r="W1103" s="28">
        <f t="shared" si="696"/>
        <v>9.2186489232222502E-2</v>
      </c>
      <c r="X1103" s="27">
        <f t="shared" si="697"/>
        <v>9.2186489232222502E-2</v>
      </c>
      <c r="Y1103" s="5">
        <f t="shared" si="698"/>
        <v>2.7313696041280284</v>
      </c>
      <c r="Z1103" s="5">
        <f t="shared" si="699"/>
        <v>2.5008271307660168</v>
      </c>
      <c r="AA1103" s="5">
        <f t="shared" si="700"/>
        <v>-257216.72259945268</v>
      </c>
      <c r="AB1103" t="s">
        <v>64</v>
      </c>
      <c r="AC1103" t="s">
        <v>62</v>
      </c>
      <c r="AD1103">
        <f t="shared" si="701"/>
        <v>1</v>
      </c>
    </row>
    <row r="1104" spans="1:30" x14ac:dyDescent="0.35">
      <c r="C1104" s="28"/>
      <c r="D1104" s="27"/>
      <c r="I1104" s="22"/>
      <c r="K1104" s="22"/>
      <c r="M1104" s="22"/>
      <c r="N1104" s="21"/>
      <c r="O1104" s="21"/>
      <c r="P1104" s="5"/>
      <c r="Q1104" s="6"/>
      <c r="R1104" s="5"/>
      <c r="W1104" s="28"/>
      <c r="Y1104" s="33"/>
      <c r="Z1104" s="33"/>
      <c r="AA1104" s="33"/>
    </row>
    <row r="1105" spans="1:30" x14ac:dyDescent="0.35">
      <c r="A1105" t="s">
        <v>1016</v>
      </c>
      <c r="B1105" t="s">
        <v>114</v>
      </c>
      <c r="C1105" s="36">
        <f>RATE(U1105,V1105,-F1105,H1105)</f>
        <v>2.2754946298122882E-2</v>
      </c>
      <c r="D1105" s="3">
        <f>C1105*AD1105</f>
        <v>4.5509892596245764E-2</v>
      </c>
      <c r="F1105">
        <v>995.94</v>
      </c>
      <c r="G1105" t="s">
        <v>66</v>
      </c>
      <c r="H1105">
        <v>1000</v>
      </c>
      <c r="I1105" s="22"/>
      <c r="J1105">
        <v>600000</v>
      </c>
      <c r="K1105" s="22"/>
      <c r="M1105" s="22">
        <v>4.4999999999999998E-2</v>
      </c>
      <c r="N1105" s="21">
        <v>43178</v>
      </c>
      <c r="O1105" s="21">
        <v>46831</v>
      </c>
      <c r="P1105">
        <f>ROUND(YEARFRAC(N1105,O1105),0)</f>
        <v>10</v>
      </c>
      <c r="Q1105" s="6">
        <f>(M1105*H1105)/F1105</f>
        <v>4.5183444785830466E-2</v>
      </c>
      <c r="R1105" s="5">
        <f>IF(S1105="Quarterly",4,IF(S1105="Semi-annual",2,IF(S1105="Annual",1,IF(S1105="Pays at maturity",0,12))))</f>
        <v>2</v>
      </c>
      <c r="S1105" t="s">
        <v>65</v>
      </c>
      <c r="U1105">
        <f>R1105*P1105</f>
        <v>20</v>
      </c>
      <c r="V1105">
        <f>(H1105*M1105)/AD1105</f>
        <v>22.5</v>
      </c>
      <c r="W1105" s="28">
        <f>RATE(U1105,V1105,-F1105,H1105)</f>
        <v>2.2754946298122882E-2</v>
      </c>
      <c r="X1105" s="27">
        <f>W1105*AD1105</f>
        <v>4.5509892596245764E-2</v>
      </c>
      <c r="Y1105" s="5">
        <f>DURATION(N1105,O1105,M1105,D1105,AD1105)</f>
        <v>8.1569623909902198</v>
      </c>
      <c r="Z1105" s="5">
        <f>Y1105/(1+C1105)</f>
        <v>7.975480754714968</v>
      </c>
      <c r="AA1105" s="5">
        <f>-Z1105*F1105</f>
        <v>-7943.1003028508258</v>
      </c>
      <c r="AB1105" t="s">
        <v>64</v>
      </c>
      <c r="AC1105" t="s">
        <v>62</v>
      </c>
      <c r="AD1105">
        <f>_xlfn.SWITCH(PROPER(TRIM(S1105)),
   "Annual",1,
   "Semi-Annual",2,
   "Quarterly",4,
   "Monthly",12,
   "")</f>
        <v>2</v>
      </c>
    </row>
    <row r="1106" spans="1:30" x14ac:dyDescent="0.35">
      <c r="A1106" t="s">
        <v>1015</v>
      </c>
      <c r="B1106" t="s">
        <v>128</v>
      </c>
      <c r="C1106" s="36">
        <f>RATE(U1106,V1106,-F1106,H1106)</f>
        <v>0.10494042265581244</v>
      </c>
      <c r="D1106" s="3">
        <f>C1106*AD1106</f>
        <v>0.10494042265581244</v>
      </c>
      <c r="F1106">
        <v>975</v>
      </c>
      <c r="G1106" t="s">
        <v>76</v>
      </c>
      <c r="H1106">
        <v>1000</v>
      </c>
      <c r="I1106" s="22"/>
      <c r="J1106">
        <v>3</v>
      </c>
      <c r="K1106" s="22"/>
      <c r="L1106">
        <v>10.681006744875701</v>
      </c>
      <c r="M1106" s="22">
        <v>9.4800000000000009E-2</v>
      </c>
      <c r="N1106" s="21">
        <v>45735</v>
      </c>
      <c r="O1106" s="21">
        <v>46831</v>
      </c>
      <c r="P1106">
        <f>ROUND(YEARFRAC(N1106,O1106),0)</f>
        <v>3</v>
      </c>
      <c r="Q1106" s="6">
        <f>(M1106*H1106)/F1106</f>
        <v>9.7230769230769246E-2</v>
      </c>
      <c r="R1106" s="5">
        <f>IF(S1106="Quarterly",4,IF(S1106="Semi-annual",2,IF(S1106="Annual",1,IF(S1106="Pays at maturity",0,12))))</f>
        <v>1</v>
      </c>
      <c r="S1106" t="s">
        <v>93</v>
      </c>
      <c r="U1106">
        <f>R1106*P1106</f>
        <v>3</v>
      </c>
      <c r="V1106">
        <f>(H1106*M1106)/AD1106</f>
        <v>94.800000000000011</v>
      </c>
      <c r="W1106" s="28">
        <f>RATE(U1106,V1106,-F1106,H1106)</f>
        <v>0.10494042265581244</v>
      </c>
      <c r="X1106" s="27">
        <f>W1106*AD1106</f>
        <v>0.10494042265581244</v>
      </c>
      <c r="Y1106" s="5">
        <f>DURATION(N1106,O1106,M1106,D1106,AD1106)</f>
        <v>2.7443681817959051</v>
      </c>
      <c r="Z1106" s="5">
        <f>Y1106/(1+C1106)</f>
        <v>2.4837250276350624</v>
      </c>
      <c r="AA1106" s="5">
        <f>-Z1106*F1106</f>
        <v>-2421.6319019441858</v>
      </c>
      <c r="AB1106" t="s">
        <v>64</v>
      </c>
      <c r="AC1106" t="s">
        <v>62</v>
      </c>
      <c r="AD1106">
        <f>_xlfn.SWITCH(PROPER(TRIM(S1106)),
   "Annual",1,
   "Semi-Annual",2,
   "Quarterly",4,
   "Monthly",12,
   "")</f>
        <v>1</v>
      </c>
    </row>
    <row r="1107" spans="1:30" x14ac:dyDescent="0.35">
      <c r="C1107" s="28"/>
      <c r="D1107" s="27"/>
      <c r="I1107" s="22"/>
      <c r="K1107" s="22"/>
      <c r="M1107" s="22"/>
      <c r="N1107" s="21"/>
      <c r="O1107" s="21"/>
      <c r="P1107" s="5"/>
      <c r="Q1107" s="6"/>
      <c r="R1107" s="5"/>
      <c r="W1107" s="28"/>
      <c r="Y1107" s="33"/>
      <c r="Z1107" s="33"/>
      <c r="AA1107" s="33"/>
    </row>
    <row r="1108" spans="1:30" x14ac:dyDescent="0.35">
      <c r="A1108" t="s">
        <v>1013</v>
      </c>
      <c r="B1108" t="s">
        <v>114</v>
      </c>
      <c r="C1108" s="36">
        <f t="shared" ref="C1108:C1129" si="702">RATE(U1108,V1108,-F1108,H1108)</f>
        <v>1.7089806408936144E-2</v>
      </c>
      <c r="D1108" s="3">
        <f t="shared" ref="D1108:D1129" si="703">C1108*AD1108</f>
        <v>3.4179612817872289E-2</v>
      </c>
      <c r="F1108">
        <v>1091</v>
      </c>
      <c r="G1108" t="s">
        <v>66</v>
      </c>
      <c r="H1108">
        <v>1000</v>
      </c>
      <c r="I1108" s="22"/>
      <c r="J1108">
        <v>0</v>
      </c>
      <c r="K1108" s="22"/>
      <c r="M1108" s="22">
        <v>4.4999999999999998E-2</v>
      </c>
      <c r="N1108" s="21">
        <v>43178</v>
      </c>
      <c r="O1108" s="21">
        <v>46831</v>
      </c>
      <c r="P1108">
        <f t="shared" ref="P1108:P1129" si="704">ROUND(YEARFRAC(N1108,O1108),0)</f>
        <v>10</v>
      </c>
      <c r="Q1108" s="6">
        <f t="shared" ref="Q1108:Q1129" si="705">(M1108*H1108)/F1108</f>
        <v>4.1246562786434467E-2</v>
      </c>
      <c r="R1108" s="5">
        <f t="shared" ref="R1108:R1129" si="706">IF(S1108="Quarterly",4,IF(S1108="Semi-annual",2,IF(S1108="Annual",1,IF(S1108="Pays at maturity",0,12))))</f>
        <v>2</v>
      </c>
      <c r="S1108" t="s">
        <v>65</v>
      </c>
      <c r="U1108">
        <f t="shared" ref="U1108:U1129" si="707">R1108*P1108</f>
        <v>20</v>
      </c>
      <c r="V1108">
        <f t="shared" ref="V1108:V1129" si="708">(H1108*M1108)/AD1108</f>
        <v>22.5</v>
      </c>
      <c r="W1108" s="28">
        <f t="shared" ref="W1108:W1129" si="709">RATE(U1108,V1108,-F1108,H1108)</f>
        <v>1.7089806408936144E-2</v>
      </c>
      <c r="X1108" s="27">
        <f t="shared" ref="X1108:X1129" si="710">W1108*AD1108</f>
        <v>3.4179612817872289E-2</v>
      </c>
      <c r="Y1108" s="5">
        <f t="shared" ref="Y1108:Y1129" si="711">DURATION(N1108,O1108,M1108,D1108,AD1108)</f>
        <v>8.2547563264891295</v>
      </c>
      <c r="Z1108" s="5">
        <f t="shared" ref="Z1108:Z1129" si="712">Y1108/(1+C1108)</f>
        <v>8.1160545258381838</v>
      </c>
      <c r="AA1108" s="5">
        <f t="shared" ref="AA1108:AA1129" si="713">-Z1108*F1108</f>
        <v>-8854.615487689458</v>
      </c>
      <c r="AB1108" t="s">
        <v>64</v>
      </c>
      <c r="AC1108" t="s">
        <v>62</v>
      </c>
      <c r="AD1108">
        <f t="shared" ref="AD1108:AD1129" si="714">_xlfn.SWITCH(PROPER(TRIM(S1108)),
   "Annual",1,
   "Semi-Annual",2,
   "Quarterly",4,
   "Monthly",12,
   "")</f>
        <v>2</v>
      </c>
    </row>
    <row r="1109" spans="1:30" x14ac:dyDescent="0.35">
      <c r="A1109" t="s">
        <v>1012</v>
      </c>
      <c r="B1109" t="s">
        <v>460</v>
      </c>
      <c r="C1109" s="36">
        <f t="shared" si="702"/>
        <v>0.10040239970347875</v>
      </c>
      <c r="D1109" s="3">
        <f t="shared" si="703"/>
        <v>0.10040239970347875</v>
      </c>
      <c r="F1109">
        <v>9990</v>
      </c>
      <c r="G1109" t="s">
        <v>76</v>
      </c>
      <c r="H1109">
        <v>10000</v>
      </c>
      <c r="I1109" s="22"/>
      <c r="J1109">
        <v>1</v>
      </c>
      <c r="K1109" s="22"/>
      <c r="L1109">
        <v>10.047330272049299</v>
      </c>
      <c r="M1109" s="22">
        <v>0.1</v>
      </c>
      <c r="N1109" s="21">
        <v>45737</v>
      </c>
      <c r="O1109" s="21">
        <v>46833</v>
      </c>
      <c r="P1109">
        <f t="shared" si="704"/>
        <v>3</v>
      </c>
      <c r="Q1109" s="6">
        <f t="shared" si="705"/>
        <v>0.10010010010010011</v>
      </c>
      <c r="R1109" s="5">
        <f t="shared" si="706"/>
        <v>1</v>
      </c>
      <c r="S1109" t="s">
        <v>93</v>
      </c>
      <c r="U1109">
        <f t="shared" si="707"/>
        <v>3</v>
      </c>
      <c r="V1109">
        <f t="shared" si="708"/>
        <v>1000</v>
      </c>
      <c r="W1109" s="28">
        <f t="shared" si="709"/>
        <v>0.10040239970347875</v>
      </c>
      <c r="X1109" s="27">
        <f t="shared" si="710"/>
        <v>0.10040239970347875</v>
      </c>
      <c r="Y1109" s="5">
        <f t="shared" si="711"/>
        <v>2.7353995102256459</v>
      </c>
      <c r="Z1109" s="5">
        <f t="shared" si="712"/>
        <v>2.4858174709204048</v>
      </c>
      <c r="AA1109" s="5">
        <f t="shared" si="713"/>
        <v>-24833.316534494843</v>
      </c>
      <c r="AB1109" t="s">
        <v>64</v>
      </c>
      <c r="AC1109" t="s">
        <v>62</v>
      </c>
      <c r="AD1109">
        <f t="shared" si="714"/>
        <v>1</v>
      </c>
    </row>
    <row r="1110" spans="1:30" x14ac:dyDescent="0.35">
      <c r="A1110" t="s">
        <v>1011</v>
      </c>
      <c r="B1110" t="s">
        <v>101</v>
      </c>
      <c r="C1110" s="36">
        <f t="shared" si="702"/>
        <v>2.465959139690722E-2</v>
      </c>
      <c r="D1110" s="3">
        <f t="shared" si="703"/>
        <v>4.9319182793814441E-2</v>
      </c>
      <c r="F1110">
        <v>975.99990000000003</v>
      </c>
      <c r="G1110" t="s">
        <v>66</v>
      </c>
      <c r="H1110">
        <v>1000</v>
      </c>
      <c r="I1110" s="22"/>
      <c r="J1110">
        <v>0</v>
      </c>
      <c r="K1110" s="22"/>
      <c r="M1110" s="22">
        <v>4.6249999999999999E-2</v>
      </c>
      <c r="N1110" s="21">
        <v>43181</v>
      </c>
      <c r="O1110" s="21">
        <v>46834</v>
      </c>
      <c r="P1110">
        <f t="shared" si="704"/>
        <v>10</v>
      </c>
      <c r="Q1110" s="6">
        <f t="shared" si="705"/>
        <v>4.7387299937223355E-2</v>
      </c>
      <c r="R1110" s="5">
        <f t="shared" si="706"/>
        <v>2</v>
      </c>
      <c r="S1110" t="s">
        <v>65</v>
      </c>
      <c r="U1110">
        <f t="shared" si="707"/>
        <v>20</v>
      </c>
      <c r="V1110">
        <f t="shared" si="708"/>
        <v>23.125</v>
      </c>
      <c r="W1110" s="28">
        <f t="shared" si="709"/>
        <v>2.465959139690722E-2</v>
      </c>
      <c r="X1110" s="27">
        <f t="shared" si="710"/>
        <v>4.9319182793814441E-2</v>
      </c>
      <c r="Y1110" s="5">
        <f t="shared" si="711"/>
        <v>8.0903854437762064</v>
      </c>
      <c r="Z1110" s="5">
        <f t="shared" si="712"/>
        <v>7.8956811722678282</v>
      </c>
      <c r="AA1110" s="5">
        <f t="shared" si="713"/>
        <v>-7706.1840345652836</v>
      </c>
      <c r="AB1110" t="s">
        <v>64</v>
      </c>
      <c r="AC1110" t="s">
        <v>62</v>
      </c>
      <c r="AD1110">
        <f t="shared" si="714"/>
        <v>2</v>
      </c>
    </row>
    <row r="1111" spans="1:30" x14ac:dyDescent="0.35">
      <c r="A1111" t="s">
        <v>1010</v>
      </c>
      <c r="B1111" t="s">
        <v>1007</v>
      </c>
      <c r="C1111" s="36">
        <f t="shared" si="702"/>
        <v>9.5694955223202621E-2</v>
      </c>
      <c r="D1111" s="3">
        <f t="shared" si="703"/>
        <v>9.5694955223202621E-2</v>
      </c>
      <c r="F1111">
        <v>980</v>
      </c>
      <c r="G1111" t="s">
        <v>76</v>
      </c>
      <c r="H1111">
        <v>1000</v>
      </c>
      <c r="I1111" s="22"/>
      <c r="J1111">
        <v>65</v>
      </c>
      <c r="K1111" s="22"/>
      <c r="L1111">
        <v>10.202773417059101</v>
      </c>
      <c r="M1111" s="22">
        <v>9.2499999999999999E-2</v>
      </c>
      <c r="N1111" s="21">
        <v>43181</v>
      </c>
      <c r="O1111" s="21">
        <v>46834</v>
      </c>
      <c r="P1111">
        <f t="shared" si="704"/>
        <v>10</v>
      </c>
      <c r="Q1111" s="6">
        <f t="shared" si="705"/>
        <v>9.438775510204081E-2</v>
      </c>
      <c r="R1111" s="5">
        <f t="shared" si="706"/>
        <v>1</v>
      </c>
      <c r="S1111" t="s">
        <v>93</v>
      </c>
      <c r="U1111">
        <f t="shared" si="707"/>
        <v>10</v>
      </c>
      <c r="V1111">
        <f t="shared" si="708"/>
        <v>92.5</v>
      </c>
      <c r="W1111" s="28">
        <f t="shared" si="709"/>
        <v>9.5694955223202621E-2</v>
      </c>
      <c r="X1111" s="27">
        <f t="shared" si="710"/>
        <v>9.5694955223202621E-2</v>
      </c>
      <c r="Y1111" s="5">
        <f t="shared" si="711"/>
        <v>6.9018140547639675</v>
      </c>
      <c r="Z1111" s="5">
        <f t="shared" si="712"/>
        <v>6.299028777912012</v>
      </c>
      <c r="AA1111" s="5">
        <f t="shared" si="713"/>
        <v>-6173.0482023537716</v>
      </c>
      <c r="AB1111" t="s">
        <v>64</v>
      </c>
      <c r="AC1111" t="s">
        <v>62</v>
      </c>
      <c r="AD1111">
        <f t="shared" si="714"/>
        <v>1</v>
      </c>
    </row>
    <row r="1112" spans="1:30" x14ac:dyDescent="0.35">
      <c r="A1112" t="s">
        <v>1009</v>
      </c>
      <c r="B1112" t="s">
        <v>101</v>
      </c>
      <c r="C1112" s="36">
        <f t="shared" si="702"/>
        <v>2.5761054930313641E-2</v>
      </c>
      <c r="D1112" s="3">
        <f t="shared" si="703"/>
        <v>5.1522109860627281E-2</v>
      </c>
      <c r="F1112">
        <v>959.2</v>
      </c>
      <c r="G1112" t="s">
        <v>66</v>
      </c>
      <c r="H1112">
        <v>1000</v>
      </c>
      <c r="I1112" s="22"/>
      <c r="J1112">
        <v>1300000</v>
      </c>
      <c r="K1112" s="22"/>
      <c r="M1112" s="22">
        <v>4.6249999999999999E-2</v>
      </c>
      <c r="N1112" s="21">
        <v>43181</v>
      </c>
      <c r="O1112" s="21">
        <v>46834</v>
      </c>
      <c r="P1112">
        <f t="shared" si="704"/>
        <v>10</v>
      </c>
      <c r="Q1112" s="6">
        <f t="shared" si="705"/>
        <v>4.8217264386989159E-2</v>
      </c>
      <c r="R1112" s="5">
        <f t="shared" si="706"/>
        <v>2</v>
      </c>
      <c r="S1112" t="s">
        <v>65</v>
      </c>
      <c r="U1112">
        <f t="shared" si="707"/>
        <v>20</v>
      </c>
      <c r="V1112">
        <f t="shared" si="708"/>
        <v>23.125</v>
      </c>
      <c r="W1112" s="28">
        <f t="shared" si="709"/>
        <v>2.5761054930313641E-2</v>
      </c>
      <c r="X1112" s="27">
        <f t="shared" si="710"/>
        <v>5.1522109860627281E-2</v>
      </c>
      <c r="Y1112" s="5">
        <f t="shared" si="711"/>
        <v>8.0704505164590348</v>
      </c>
      <c r="Z1112" s="5">
        <f t="shared" si="712"/>
        <v>7.8677684999527608</v>
      </c>
      <c r="AA1112" s="5">
        <f t="shared" si="713"/>
        <v>-7546.7635451546885</v>
      </c>
      <c r="AB1112" t="s">
        <v>64</v>
      </c>
      <c r="AC1112" t="s">
        <v>62</v>
      </c>
      <c r="AD1112">
        <f t="shared" si="714"/>
        <v>2</v>
      </c>
    </row>
    <row r="1113" spans="1:30" x14ac:dyDescent="0.35">
      <c r="A1113" t="s">
        <v>1008</v>
      </c>
      <c r="B1113" t="s">
        <v>1007</v>
      </c>
      <c r="C1113" s="36">
        <f t="shared" si="702"/>
        <v>9.7126425004180242E-2</v>
      </c>
      <c r="D1113" s="3">
        <f t="shared" si="703"/>
        <v>9.7126425004180242E-2</v>
      </c>
      <c r="F1113">
        <v>948.2</v>
      </c>
      <c r="G1113" t="s">
        <v>76</v>
      </c>
      <c r="H1113">
        <v>1000</v>
      </c>
      <c r="I1113" s="22"/>
      <c r="J1113">
        <v>94</v>
      </c>
      <c r="K1113" s="22"/>
      <c r="L1113">
        <v>11.414433102326401</v>
      </c>
      <c r="M1113" s="22">
        <v>8.8800000000000004E-2</v>
      </c>
      <c r="N1113" s="21">
        <v>43181</v>
      </c>
      <c r="O1113" s="21">
        <v>46834</v>
      </c>
      <c r="P1113">
        <f t="shared" si="704"/>
        <v>10</v>
      </c>
      <c r="Q1113" s="6">
        <f t="shared" si="705"/>
        <v>9.3651128453912671E-2</v>
      </c>
      <c r="R1113" s="5">
        <f t="shared" si="706"/>
        <v>1</v>
      </c>
      <c r="S1113" t="s">
        <v>93</v>
      </c>
      <c r="U1113">
        <f t="shared" si="707"/>
        <v>10</v>
      </c>
      <c r="V1113">
        <f t="shared" si="708"/>
        <v>88.8</v>
      </c>
      <c r="W1113" s="28">
        <f t="shared" si="709"/>
        <v>9.7126425004180242E-2</v>
      </c>
      <c r="X1113" s="27">
        <f t="shared" si="710"/>
        <v>9.7126425004180242E-2</v>
      </c>
      <c r="Y1113" s="5">
        <f t="shared" si="711"/>
        <v>6.9389871305555104</v>
      </c>
      <c r="Z1113" s="5">
        <f t="shared" si="712"/>
        <v>6.3246923712817065</v>
      </c>
      <c r="AA1113" s="5">
        <f t="shared" si="713"/>
        <v>-5997.0733064493143</v>
      </c>
      <c r="AB1113" t="s">
        <v>64</v>
      </c>
      <c r="AC1113" t="s">
        <v>62</v>
      </c>
      <c r="AD1113">
        <f t="shared" si="714"/>
        <v>1</v>
      </c>
    </row>
    <row r="1114" spans="1:30" x14ac:dyDescent="0.35">
      <c r="A1114" t="s">
        <v>1006</v>
      </c>
      <c r="B1114" t="s">
        <v>128</v>
      </c>
      <c r="C1114" s="36">
        <f t="shared" si="702"/>
        <v>0.20054792864799875</v>
      </c>
      <c r="D1114" s="3">
        <f t="shared" si="703"/>
        <v>0.20054792864799875</v>
      </c>
      <c r="F1114">
        <v>691</v>
      </c>
      <c r="G1114" t="s">
        <v>76</v>
      </c>
      <c r="H1114">
        <v>1000</v>
      </c>
      <c r="I1114" s="22"/>
      <c r="J1114">
        <v>50</v>
      </c>
      <c r="K1114" s="22"/>
      <c r="L1114">
        <v>30.792608260046698</v>
      </c>
      <c r="M1114" s="22">
        <v>9.7100000000000006E-2</v>
      </c>
      <c r="N1114" s="21">
        <v>45008</v>
      </c>
      <c r="O1114" s="21">
        <v>46835</v>
      </c>
      <c r="P1114">
        <f t="shared" si="704"/>
        <v>5</v>
      </c>
      <c r="Q1114" s="6">
        <f t="shared" si="705"/>
        <v>0.14052098408104199</v>
      </c>
      <c r="R1114" s="5">
        <f t="shared" si="706"/>
        <v>1</v>
      </c>
      <c r="S1114" t="s">
        <v>93</v>
      </c>
      <c r="U1114">
        <f t="shared" si="707"/>
        <v>5</v>
      </c>
      <c r="V1114">
        <f t="shared" si="708"/>
        <v>97.100000000000009</v>
      </c>
      <c r="W1114" s="28">
        <f t="shared" si="709"/>
        <v>0.20054792864799875</v>
      </c>
      <c r="X1114" s="27">
        <f t="shared" si="710"/>
        <v>0.20054792864799875</v>
      </c>
      <c r="Y1114" s="5">
        <f t="shared" si="711"/>
        <v>4.009265118890446</v>
      </c>
      <c r="Z1114" s="5">
        <f t="shared" si="712"/>
        <v>3.3395294125453985</v>
      </c>
      <c r="AA1114" s="5">
        <f t="shared" si="713"/>
        <v>-2307.6148240688703</v>
      </c>
      <c r="AB1114" t="s">
        <v>64</v>
      </c>
      <c r="AC1114" t="s">
        <v>62</v>
      </c>
      <c r="AD1114">
        <f t="shared" si="714"/>
        <v>1</v>
      </c>
    </row>
    <row r="1115" spans="1:30" x14ac:dyDescent="0.35">
      <c r="A1115" t="s">
        <v>1005</v>
      </c>
      <c r="B1115" t="s">
        <v>72</v>
      </c>
      <c r="C1115" s="36">
        <f t="shared" si="702"/>
        <v>6.2538720842572615E-2</v>
      </c>
      <c r="D1115" s="3">
        <f t="shared" si="703"/>
        <v>6.2538720842572615E-2</v>
      </c>
      <c r="F1115">
        <v>1075.0999999999999</v>
      </c>
      <c r="G1115" t="s">
        <v>76</v>
      </c>
      <c r="H1115">
        <v>1000</v>
      </c>
      <c r="I1115" s="22"/>
      <c r="J1115">
        <v>5</v>
      </c>
      <c r="K1115" s="22"/>
      <c r="L1115">
        <v>4.1496675843582498</v>
      </c>
      <c r="M1115" s="22">
        <v>7.0400000000000004E-2</v>
      </c>
      <c r="N1115" s="21">
        <v>41356</v>
      </c>
      <c r="O1115" s="21">
        <v>46835</v>
      </c>
      <c r="P1115">
        <f t="shared" si="704"/>
        <v>15</v>
      </c>
      <c r="Q1115" s="6">
        <f t="shared" si="705"/>
        <v>6.5482280718072744E-2</v>
      </c>
      <c r="R1115" s="5">
        <f t="shared" si="706"/>
        <v>1</v>
      </c>
      <c r="S1115" t="s">
        <v>93</v>
      </c>
      <c r="U1115">
        <f t="shared" si="707"/>
        <v>15</v>
      </c>
      <c r="V1115">
        <f t="shared" si="708"/>
        <v>70.400000000000006</v>
      </c>
      <c r="W1115" s="28">
        <f t="shared" si="709"/>
        <v>6.2538720842572615E-2</v>
      </c>
      <c r="X1115" s="27">
        <f t="shared" si="710"/>
        <v>6.2538720842572615E-2</v>
      </c>
      <c r="Y1115" s="5">
        <f t="shared" si="711"/>
        <v>9.922343789210899</v>
      </c>
      <c r="Z1115" s="5">
        <f t="shared" si="712"/>
        <v>9.3383361891439325</v>
      </c>
      <c r="AA1115" s="5">
        <f t="shared" si="713"/>
        <v>-10039.645236948641</v>
      </c>
      <c r="AB1115" t="s">
        <v>64</v>
      </c>
      <c r="AC1115" t="s">
        <v>62</v>
      </c>
      <c r="AD1115">
        <f t="shared" si="714"/>
        <v>1</v>
      </c>
    </row>
    <row r="1116" spans="1:30" x14ac:dyDescent="0.35">
      <c r="A1116" t="s">
        <v>1004</v>
      </c>
      <c r="B1116" t="s">
        <v>128</v>
      </c>
      <c r="C1116" s="36">
        <f t="shared" si="702"/>
        <v>0.24263039270548151</v>
      </c>
      <c r="D1116" s="3">
        <f t="shared" si="703"/>
        <v>0.24263039270548151</v>
      </c>
      <c r="F1116">
        <v>601</v>
      </c>
      <c r="G1116" t="s">
        <v>76</v>
      </c>
      <c r="H1116">
        <v>1000</v>
      </c>
      <c r="I1116" s="22"/>
      <c r="J1116">
        <v>636</v>
      </c>
      <c r="K1116" s="22"/>
      <c r="L1116">
        <v>40.9355386470871</v>
      </c>
      <c r="M1116" s="22">
        <v>9.6500000000000002E-2</v>
      </c>
      <c r="N1116" s="21">
        <v>45008</v>
      </c>
      <c r="O1116" s="21">
        <v>46835</v>
      </c>
      <c r="P1116">
        <f t="shared" si="704"/>
        <v>5</v>
      </c>
      <c r="Q1116" s="6">
        <f t="shared" si="705"/>
        <v>0.1605657237936772</v>
      </c>
      <c r="R1116" s="5">
        <f t="shared" si="706"/>
        <v>1</v>
      </c>
      <c r="S1116" t="s">
        <v>93</v>
      </c>
      <c r="U1116">
        <f t="shared" si="707"/>
        <v>5</v>
      </c>
      <c r="V1116">
        <f t="shared" si="708"/>
        <v>96.5</v>
      </c>
      <c r="W1116" s="28">
        <f t="shared" si="709"/>
        <v>0.24263039270548151</v>
      </c>
      <c r="X1116" s="27">
        <f t="shared" si="710"/>
        <v>0.24263039270548151</v>
      </c>
      <c r="Y1116" s="5">
        <f t="shared" si="711"/>
        <v>3.9364848840556372</v>
      </c>
      <c r="Z1116" s="5">
        <f t="shared" si="712"/>
        <v>3.1678646419431589</v>
      </c>
      <c r="AA1116" s="5">
        <f t="shared" si="713"/>
        <v>-1903.8866498078385</v>
      </c>
      <c r="AB1116" t="s">
        <v>64</v>
      </c>
      <c r="AC1116" t="s">
        <v>62</v>
      </c>
      <c r="AD1116">
        <f t="shared" si="714"/>
        <v>1</v>
      </c>
    </row>
    <row r="1117" spans="1:30" x14ac:dyDescent="0.35">
      <c r="A1117" t="s">
        <v>1003</v>
      </c>
      <c r="B1117" t="s">
        <v>128</v>
      </c>
      <c r="C1117" s="36">
        <f t="shared" si="702"/>
        <v>0.2483177950501973</v>
      </c>
      <c r="D1117" s="3">
        <f t="shared" si="703"/>
        <v>0.2483177950501973</v>
      </c>
      <c r="F1117">
        <v>603.79999999999995</v>
      </c>
      <c r="G1117" t="s">
        <v>76</v>
      </c>
      <c r="H1117">
        <v>1000</v>
      </c>
      <c r="I1117" s="22"/>
      <c r="J1117">
        <v>200</v>
      </c>
      <c r="K1117" s="22"/>
      <c r="L1117">
        <v>41.374797224416298</v>
      </c>
      <c r="M1117" s="22">
        <v>0.10150000000000001</v>
      </c>
      <c r="N1117" s="21">
        <v>45008</v>
      </c>
      <c r="O1117" s="21">
        <v>46835</v>
      </c>
      <c r="P1117">
        <f t="shared" si="704"/>
        <v>5</v>
      </c>
      <c r="Q1117" s="6">
        <f t="shared" si="705"/>
        <v>0.16810202053660153</v>
      </c>
      <c r="R1117" s="5">
        <f t="shared" si="706"/>
        <v>1</v>
      </c>
      <c r="S1117" t="s">
        <v>93</v>
      </c>
      <c r="U1117">
        <f t="shared" si="707"/>
        <v>5</v>
      </c>
      <c r="V1117">
        <f t="shared" si="708"/>
        <v>101.5</v>
      </c>
      <c r="W1117" s="28">
        <f t="shared" si="709"/>
        <v>0.2483177950501973</v>
      </c>
      <c r="X1117" s="27">
        <f t="shared" si="710"/>
        <v>0.2483177950501973</v>
      </c>
      <c r="Y1117" s="5">
        <f t="shared" si="711"/>
        <v>3.8956624990392865</v>
      </c>
      <c r="Z1117" s="5">
        <f t="shared" si="712"/>
        <v>3.1207297648774079</v>
      </c>
      <c r="AA1117" s="5">
        <f t="shared" si="713"/>
        <v>-1884.2966320329788</v>
      </c>
      <c r="AB1117" t="s">
        <v>64</v>
      </c>
      <c r="AC1117" t="s">
        <v>62</v>
      </c>
      <c r="AD1117">
        <f t="shared" si="714"/>
        <v>1</v>
      </c>
    </row>
    <row r="1118" spans="1:30" x14ac:dyDescent="0.35">
      <c r="A1118" t="s">
        <v>1002</v>
      </c>
      <c r="B1118" t="s">
        <v>520</v>
      </c>
      <c r="C1118" s="36" t="e">
        <f t="shared" si="702"/>
        <v>#VALUE!</v>
      </c>
      <c r="D1118" s="3" t="e">
        <f t="shared" si="703"/>
        <v>#VALUE!</v>
      </c>
      <c r="F1118">
        <v>85305</v>
      </c>
      <c r="G1118" t="s">
        <v>76</v>
      </c>
      <c r="H1118">
        <v>100000</v>
      </c>
      <c r="I1118" s="22"/>
      <c r="J1118">
        <v>14</v>
      </c>
      <c r="K1118" s="22"/>
      <c r="L1118">
        <v>12.2577039851557</v>
      </c>
      <c r="M1118" s="22">
        <v>0.05</v>
      </c>
      <c r="N1118" s="21">
        <v>45558</v>
      </c>
      <c r="O1118" s="21">
        <v>46836</v>
      </c>
      <c r="P1118">
        <f t="shared" si="704"/>
        <v>4</v>
      </c>
      <c r="Q1118" s="6">
        <f t="shared" si="705"/>
        <v>5.8613211417853583E-2</v>
      </c>
      <c r="R1118" s="5">
        <f t="shared" si="706"/>
        <v>0</v>
      </c>
      <c r="S1118" t="s">
        <v>782</v>
      </c>
      <c r="U1118">
        <f t="shared" si="707"/>
        <v>0</v>
      </c>
      <c r="V1118" t="e">
        <f t="shared" si="708"/>
        <v>#VALUE!</v>
      </c>
      <c r="W1118" s="28" t="e">
        <f t="shared" si="709"/>
        <v>#VALUE!</v>
      </c>
      <c r="X1118" s="27" t="e">
        <f t="shared" si="710"/>
        <v>#VALUE!</v>
      </c>
      <c r="Y1118" s="5" t="e">
        <f t="shared" si="711"/>
        <v>#VALUE!</v>
      </c>
      <c r="Z1118" s="5" t="e">
        <f t="shared" si="712"/>
        <v>#VALUE!</v>
      </c>
      <c r="AA1118" s="5" t="e">
        <f t="shared" si="713"/>
        <v>#VALUE!</v>
      </c>
      <c r="AB1118" t="s">
        <v>64</v>
      </c>
      <c r="AC1118" t="s">
        <v>62</v>
      </c>
      <c r="AD1118" t="str">
        <f t="shared" si="714"/>
        <v/>
      </c>
    </row>
    <row r="1119" spans="1:30" x14ac:dyDescent="0.35">
      <c r="A1119" t="s">
        <v>1001</v>
      </c>
      <c r="B1119" t="s">
        <v>101</v>
      </c>
      <c r="C1119" s="36">
        <f t="shared" si="702"/>
        <v>6.2747173477196896E-2</v>
      </c>
      <c r="D1119" s="3">
        <f t="shared" si="703"/>
        <v>6.2747173477196896E-2</v>
      </c>
      <c r="F1119">
        <v>1073.01</v>
      </c>
      <c r="G1119" t="s">
        <v>76</v>
      </c>
      <c r="H1119">
        <v>1000</v>
      </c>
      <c r="I1119" s="22"/>
      <c r="J1119">
        <v>430</v>
      </c>
      <c r="K1119" s="22"/>
      <c r="L1119">
        <v>4.0574124688733599</v>
      </c>
      <c r="M1119" s="22">
        <v>7.0400000000000004E-2</v>
      </c>
      <c r="N1119" s="21">
        <v>41358</v>
      </c>
      <c r="O1119" s="21">
        <v>46837</v>
      </c>
      <c r="P1119">
        <f t="shared" si="704"/>
        <v>15</v>
      </c>
      <c r="Q1119" s="6">
        <f t="shared" si="705"/>
        <v>6.5609826562660192E-2</v>
      </c>
      <c r="R1119" s="5">
        <f t="shared" si="706"/>
        <v>1</v>
      </c>
      <c r="S1119" t="s">
        <v>93</v>
      </c>
      <c r="U1119">
        <f t="shared" si="707"/>
        <v>15</v>
      </c>
      <c r="V1119">
        <f t="shared" si="708"/>
        <v>70.400000000000006</v>
      </c>
      <c r="W1119" s="28">
        <f t="shared" si="709"/>
        <v>6.2747173477196896E-2</v>
      </c>
      <c r="X1119" s="27">
        <f t="shared" si="710"/>
        <v>6.2747173477196896E-2</v>
      </c>
      <c r="Y1119" s="5">
        <f t="shared" si="711"/>
        <v>9.9171169805989567</v>
      </c>
      <c r="Z1119" s="5">
        <f t="shared" si="712"/>
        <v>9.3315863152580238</v>
      </c>
      <c r="AA1119" s="5">
        <f t="shared" si="713"/>
        <v>-10012.885432135012</v>
      </c>
      <c r="AB1119" t="s">
        <v>64</v>
      </c>
      <c r="AC1119" t="s">
        <v>62</v>
      </c>
      <c r="AD1119">
        <f t="shared" si="714"/>
        <v>1</v>
      </c>
    </row>
    <row r="1120" spans="1:30" x14ac:dyDescent="0.35">
      <c r="A1120" t="s">
        <v>1000</v>
      </c>
      <c r="B1120" t="s">
        <v>176</v>
      </c>
      <c r="C1120" s="36">
        <f t="shared" si="702"/>
        <v>6.8544085283390635E-2</v>
      </c>
      <c r="D1120" s="3">
        <f t="shared" si="703"/>
        <v>6.8544085283390635E-2</v>
      </c>
      <c r="F1120">
        <v>1029.01</v>
      </c>
      <c r="G1120" t="s">
        <v>76</v>
      </c>
      <c r="H1120">
        <v>1000</v>
      </c>
      <c r="I1120" s="22"/>
      <c r="J1120">
        <v>271</v>
      </c>
      <c r="K1120" s="22"/>
      <c r="L1120">
        <v>6.0097493501238501</v>
      </c>
      <c r="M1120" s="22">
        <v>7.17E-2</v>
      </c>
      <c r="N1120" s="21">
        <v>41359</v>
      </c>
      <c r="O1120" s="21">
        <v>46837</v>
      </c>
      <c r="P1120">
        <f t="shared" si="704"/>
        <v>15</v>
      </c>
      <c r="Q1120" s="6">
        <f t="shared" si="705"/>
        <v>6.9678623142632248E-2</v>
      </c>
      <c r="R1120" s="5">
        <f t="shared" si="706"/>
        <v>1</v>
      </c>
      <c r="S1120" t="s">
        <v>93</v>
      </c>
      <c r="U1120">
        <f t="shared" si="707"/>
        <v>15</v>
      </c>
      <c r="V1120">
        <f t="shared" si="708"/>
        <v>71.7</v>
      </c>
      <c r="W1120" s="28">
        <f t="shared" si="709"/>
        <v>6.8544085283390635E-2</v>
      </c>
      <c r="X1120" s="27">
        <f t="shared" si="710"/>
        <v>6.8544085283390635E-2</v>
      </c>
      <c r="Y1120" s="5">
        <f t="shared" si="711"/>
        <v>9.7338607748104184</v>
      </c>
      <c r="Z1120" s="5">
        <f t="shared" si="712"/>
        <v>9.1094610965245124</v>
      </c>
      <c r="AA1120" s="5">
        <f t="shared" si="713"/>
        <v>-9373.7265629346875</v>
      </c>
      <c r="AB1120" t="s">
        <v>64</v>
      </c>
      <c r="AC1120" t="s">
        <v>62</v>
      </c>
      <c r="AD1120">
        <f t="shared" si="714"/>
        <v>1</v>
      </c>
    </row>
    <row r="1121" spans="1:30" x14ac:dyDescent="0.35">
      <c r="A1121" t="s">
        <v>999</v>
      </c>
      <c r="B1121" t="s">
        <v>171</v>
      </c>
      <c r="C1121" s="36">
        <f t="shared" si="702"/>
        <v>6.4068402580486669E-2</v>
      </c>
      <c r="D1121" s="3">
        <f t="shared" si="703"/>
        <v>6.4068402580486669E-2</v>
      </c>
      <c r="F1121">
        <v>1058</v>
      </c>
      <c r="G1121" t="s">
        <v>76</v>
      </c>
      <c r="H1121">
        <v>1000</v>
      </c>
      <c r="I1121" s="22"/>
      <c r="J1121">
        <v>48</v>
      </c>
      <c r="K1121" s="22"/>
      <c r="L1121">
        <v>4.6461495676226097</v>
      </c>
      <c r="M1121" s="22">
        <v>7.0199999999999999E-2</v>
      </c>
      <c r="N1121" s="21">
        <v>41359</v>
      </c>
      <c r="O1121" s="21">
        <v>46838</v>
      </c>
      <c r="P1121">
        <f t="shared" si="704"/>
        <v>15</v>
      </c>
      <c r="Q1121" s="6">
        <f t="shared" si="705"/>
        <v>6.6351606805293006E-2</v>
      </c>
      <c r="R1121" s="5">
        <f t="shared" si="706"/>
        <v>1</v>
      </c>
      <c r="S1121" t="s">
        <v>93</v>
      </c>
      <c r="U1121">
        <f t="shared" si="707"/>
        <v>15</v>
      </c>
      <c r="V1121">
        <f t="shared" si="708"/>
        <v>70.2</v>
      </c>
      <c r="W1121" s="28">
        <f t="shared" si="709"/>
        <v>6.4068402580486669E-2</v>
      </c>
      <c r="X1121" s="27">
        <f t="shared" si="710"/>
        <v>6.4068402580486669E-2</v>
      </c>
      <c r="Y1121" s="5">
        <f t="shared" si="711"/>
        <v>9.889374619631381</v>
      </c>
      <c r="Z1121" s="5">
        <f t="shared" si="712"/>
        <v>9.2939275291405359</v>
      </c>
      <c r="AA1121" s="5">
        <f t="shared" si="713"/>
        <v>-9832.9753258306864</v>
      </c>
      <c r="AB1121" t="s">
        <v>64</v>
      </c>
      <c r="AC1121" t="s">
        <v>62</v>
      </c>
      <c r="AD1121">
        <f t="shared" si="714"/>
        <v>1</v>
      </c>
    </row>
    <row r="1122" spans="1:30" x14ac:dyDescent="0.35">
      <c r="A1122" t="s">
        <v>998</v>
      </c>
      <c r="B1122" t="s">
        <v>261</v>
      </c>
      <c r="C1122" s="36">
        <f t="shared" si="702"/>
        <v>8.7839222527039365E-2</v>
      </c>
      <c r="D1122" s="3">
        <f t="shared" si="703"/>
        <v>8.7839222527039365E-2</v>
      </c>
      <c r="F1122">
        <v>1014000</v>
      </c>
      <c r="G1122" t="s">
        <v>76</v>
      </c>
      <c r="H1122">
        <v>1000000</v>
      </c>
      <c r="I1122" s="22"/>
      <c r="J1122">
        <v>1</v>
      </c>
      <c r="K1122" s="22"/>
      <c r="L1122">
        <v>8.3878937851683393</v>
      </c>
      <c r="M1122" s="22">
        <v>0.09</v>
      </c>
      <c r="N1122" s="21">
        <v>43187</v>
      </c>
      <c r="O1122" s="21">
        <v>46840</v>
      </c>
      <c r="P1122">
        <f t="shared" si="704"/>
        <v>10</v>
      </c>
      <c r="Q1122" s="6">
        <f t="shared" si="705"/>
        <v>8.8757396449704137E-2</v>
      </c>
      <c r="R1122" s="5">
        <f t="shared" si="706"/>
        <v>1</v>
      </c>
      <c r="S1122" t="s">
        <v>93</v>
      </c>
      <c r="U1122">
        <f t="shared" si="707"/>
        <v>10</v>
      </c>
      <c r="V1122">
        <f t="shared" si="708"/>
        <v>90000</v>
      </c>
      <c r="W1122" s="28">
        <f t="shared" si="709"/>
        <v>8.7839222527039365E-2</v>
      </c>
      <c r="X1122" s="27">
        <f t="shared" si="710"/>
        <v>8.7839222527039365E-2</v>
      </c>
      <c r="Y1122" s="5">
        <f t="shared" si="711"/>
        <v>7.0174187259114769</v>
      </c>
      <c r="Z1122" s="5">
        <f t="shared" si="712"/>
        <v>6.4507866425427141</v>
      </c>
      <c r="AA1122" s="5">
        <f t="shared" si="713"/>
        <v>-6541097.6555383122</v>
      </c>
      <c r="AB1122" t="s">
        <v>64</v>
      </c>
      <c r="AC1122" t="s">
        <v>62</v>
      </c>
      <c r="AD1122">
        <f t="shared" si="714"/>
        <v>1</v>
      </c>
    </row>
    <row r="1123" spans="1:30" x14ac:dyDescent="0.35">
      <c r="A1123" t="s">
        <v>997</v>
      </c>
      <c r="B1123" t="s">
        <v>94</v>
      </c>
      <c r="C1123" s="36">
        <f t="shared" si="702"/>
        <v>6.5906077549211378E-2</v>
      </c>
      <c r="D1123" s="3">
        <f t="shared" si="703"/>
        <v>6.5906077549211378E-2</v>
      </c>
      <c r="F1123">
        <v>1042.01</v>
      </c>
      <c r="G1123" t="s">
        <v>76</v>
      </c>
      <c r="H1123">
        <v>1000</v>
      </c>
      <c r="I1123" s="22"/>
      <c r="J1123">
        <v>12</v>
      </c>
      <c r="K1123" s="22"/>
      <c r="L1123">
        <v>5.3466469405706798</v>
      </c>
      <c r="M1123" s="22">
        <v>7.0400000000000004E-2</v>
      </c>
      <c r="N1123" s="21">
        <v>41361</v>
      </c>
      <c r="O1123" s="21">
        <v>46840</v>
      </c>
      <c r="P1123">
        <f t="shared" si="704"/>
        <v>15</v>
      </c>
      <c r="Q1123" s="6">
        <f t="shared" si="705"/>
        <v>6.7561731653247095E-2</v>
      </c>
      <c r="R1123" s="5">
        <f t="shared" si="706"/>
        <v>1</v>
      </c>
      <c r="S1123" t="s">
        <v>93</v>
      </c>
      <c r="U1123">
        <f t="shared" si="707"/>
        <v>15</v>
      </c>
      <c r="V1123">
        <f t="shared" si="708"/>
        <v>70.400000000000006</v>
      </c>
      <c r="W1123" s="28">
        <f t="shared" si="709"/>
        <v>6.5906077549211378E-2</v>
      </c>
      <c r="X1123" s="27">
        <f t="shared" si="710"/>
        <v>6.5906077549211378E-2</v>
      </c>
      <c r="Y1123" s="5">
        <f t="shared" si="711"/>
        <v>9.8377784759342308</v>
      </c>
      <c r="Z1123" s="5">
        <f t="shared" si="712"/>
        <v>9.2294984362541417</v>
      </c>
      <c r="AA1123" s="5">
        <f t="shared" si="713"/>
        <v>-9617.229665561179</v>
      </c>
      <c r="AB1123" t="s">
        <v>64</v>
      </c>
      <c r="AC1123" t="s">
        <v>62</v>
      </c>
      <c r="AD1123">
        <f t="shared" si="714"/>
        <v>1</v>
      </c>
    </row>
    <row r="1124" spans="1:30" x14ac:dyDescent="0.35">
      <c r="A1124" t="s">
        <v>996</v>
      </c>
      <c r="B1124" t="s">
        <v>283</v>
      </c>
      <c r="C1124" s="36">
        <f t="shared" si="702"/>
        <v>2.2684929730660611E-2</v>
      </c>
      <c r="D1124" s="3">
        <f t="shared" si="703"/>
        <v>9.0739718922642446E-2</v>
      </c>
      <c r="F1124">
        <v>1034900</v>
      </c>
      <c r="G1124" t="s">
        <v>76</v>
      </c>
      <c r="H1124">
        <v>1000000</v>
      </c>
      <c r="I1124" s="22"/>
      <c r="J1124">
        <v>3</v>
      </c>
      <c r="K1124" s="22"/>
      <c r="M1124" s="22">
        <v>9.9499999999999991E-2</v>
      </c>
      <c r="N1124" s="21">
        <v>44841</v>
      </c>
      <c r="O1124" s="21">
        <v>46843</v>
      </c>
      <c r="P1124">
        <f t="shared" si="704"/>
        <v>5</v>
      </c>
      <c r="Q1124" s="6">
        <f t="shared" si="705"/>
        <v>9.6144555029471432E-2</v>
      </c>
      <c r="R1124" s="5">
        <f t="shared" si="706"/>
        <v>4</v>
      </c>
      <c r="S1124" t="s">
        <v>105</v>
      </c>
      <c r="U1124">
        <f t="shared" si="707"/>
        <v>20</v>
      </c>
      <c r="V1124">
        <f t="shared" si="708"/>
        <v>24874.999999999996</v>
      </c>
      <c r="W1124" s="28">
        <f t="shared" si="709"/>
        <v>2.2684929730660611E-2</v>
      </c>
      <c r="X1124" s="27">
        <f t="shared" si="710"/>
        <v>9.0739718922642446E-2</v>
      </c>
      <c r="Y1124" s="5">
        <f t="shared" si="711"/>
        <v>4.3074786901730882</v>
      </c>
      <c r="Z1124" s="5">
        <f t="shared" si="712"/>
        <v>4.2119313240564979</v>
      </c>
      <c r="AA1124" s="5">
        <f t="shared" si="713"/>
        <v>-4358927.7272660695</v>
      </c>
      <c r="AB1124" t="s">
        <v>64</v>
      </c>
      <c r="AC1124" t="s">
        <v>62</v>
      </c>
      <c r="AD1124">
        <f t="shared" si="714"/>
        <v>4</v>
      </c>
    </row>
    <row r="1125" spans="1:30" x14ac:dyDescent="0.35">
      <c r="A1125" t="s">
        <v>995</v>
      </c>
      <c r="B1125" t="s">
        <v>281</v>
      </c>
      <c r="C1125" s="36">
        <f t="shared" si="702"/>
        <v>2.2349886808392113E-2</v>
      </c>
      <c r="D1125" s="3">
        <f t="shared" si="703"/>
        <v>8.9399547233568452E-2</v>
      </c>
      <c r="F1125">
        <v>1035000</v>
      </c>
      <c r="G1125" t="s">
        <v>76</v>
      </c>
      <c r="H1125">
        <v>1000000</v>
      </c>
      <c r="I1125" s="22"/>
      <c r="J1125">
        <v>1</v>
      </c>
      <c r="K1125" s="22"/>
      <c r="M1125" s="22">
        <v>9.6999999999999989E-2</v>
      </c>
      <c r="N1125" s="21">
        <v>44650</v>
      </c>
      <c r="O1125" s="21">
        <v>46843</v>
      </c>
      <c r="P1125">
        <f t="shared" si="704"/>
        <v>6</v>
      </c>
      <c r="Q1125" s="6">
        <f t="shared" si="705"/>
        <v>9.3719806763285007E-2</v>
      </c>
      <c r="R1125" s="5">
        <f t="shared" si="706"/>
        <v>4</v>
      </c>
      <c r="S1125" t="s">
        <v>105</v>
      </c>
      <c r="U1125">
        <f t="shared" si="707"/>
        <v>24</v>
      </c>
      <c r="V1125">
        <f t="shared" si="708"/>
        <v>24249.999999999996</v>
      </c>
      <c r="W1125" s="28">
        <f t="shared" si="709"/>
        <v>2.2349886808392113E-2</v>
      </c>
      <c r="X1125" s="27">
        <f t="shared" si="710"/>
        <v>8.9399547233568452E-2</v>
      </c>
      <c r="Y1125" s="5">
        <f t="shared" si="711"/>
        <v>4.539117844100975</v>
      </c>
      <c r="Z1125" s="5">
        <f t="shared" si="712"/>
        <v>4.4398868750026015</v>
      </c>
      <c r="AA1125" s="5">
        <f t="shared" si="713"/>
        <v>-4595282.9156276928</v>
      </c>
      <c r="AB1125" t="s">
        <v>64</v>
      </c>
      <c r="AC1125" t="s">
        <v>62</v>
      </c>
      <c r="AD1125">
        <f t="shared" si="714"/>
        <v>4</v>
      </c>
    </row>
    <row r="1126" spans="1:30" x14ac:dyDescent="0.35">
      <c r="A1126" t="s">
        <v>994</v>
      </c>
      <c r="B1126" t="s">
        <v>993</v>
      </c>
      <c r="C1126" s="36">
        <f t="shared" si="702"/>
        <v>0.10593675701082615</v>
      </c>
      <c r="D1126" s="3">
        <f t="shared" si="703"/>
        <v>0.10593675701082615</v>
      </c>
      <c r="F1126">
        <v>101000</v>
      </c>
      <c r="G1126" t="s">
        <v>76</v>
      </c>
      <c r="H1126">
        <v>100000</v>
      </c>
      <c r="I1126" s="22"/>
      <c r="J1126">
        <v>5</v>
      </c>
      <c r="K1126" s="22"/>
      <c r="L1126">
        <v>10.5307838859658</v>
      </c>
      <c r="M1126" s="22">
        <v>0.11</v>
      </c>
      <c r="N1126" s="21">
        <v>45749</v>
      </c>
      <c r="O1126" s="21">
        <v>46845</v>
      </c>
      <c r="P1126">
        <f t="shared" si="704"/>
        <v>3</v>
      </c>
      <c r="Q1126" s="6">
        <f t="shared" si="705"/>
        <v>0.10891089108910891</v>
      </c>
      <c r="R1126" s="5">
        <f t="shared" si="706"/>
        <v>1</v>
      </c>
      <c r="S1126" t="s">
        <v>93</v>
      </c>
      <c r="U1126">
        <f t="shared" si="707"/>
        <v>3</v>
      </c>
      <c r="V1126">
        <f t="shared" si="708"/>
        <v>11000</v>
      </c>
      <c r="W1126" s="28">
        <f t="shared" si="709"/>
        <v>0.10593675701082615</v>
      </c>
      <c r="X1126" s="27">
        <f t="shared" si="710"/>
        <v>0.10593675701082615</v>
      </c>
      <c r="Y1126" s="5">
        <f t="shared" si="711"/>
        <v>2.7139979405768657</v>
      </c>
      <c r="Z1126" s="5">
        <f t="shared" si="712"/>
        <v>2.4540263476840911</v>
      </c>
      <c r="AA1126" s="5">
        <f t="shared" si="713"/>
        <v>-247856.66111609319</v>
      </c>
      <c r="AB1126" t="s">
        <v>79</v>
      </c>
      <c r="AC1126" t="s">
        <v>62</v>
      </c>
      <c r="AD1126">
        <f t="shared" si="714"/>
        <v>1</v>
      </c>
    </row>
    <row r="1127" spans="1:30" x14ac:dyDescent="0.35">
      <c r="A1127" t="s">
        <v>992</v>
      </c>
      <c r="B1127" t="s">
        <v>119</v>
      </c>
      <c r="C1127" s="36">
        <f t="shared" si="702"/>
        <v>0.11350348131545616</v>
      </c>
      <c r="D1127" s="3">
        <f t="shared" si="703"/>
        <v>0.11350348131545616</v>
      </c>
      <c r="F1127">
        <v>957</v>
      </c>
      <c r="G1127" t="s">
        <v>76</v>
      </c>
      <c r="H1127">
        <v>1000</v>
      </c>
      <c r="I1127" s="22"/>
      <c r="J1127">
        <v>164</v>
      </c>
      <c r="K1127" s="22"/>
      <c r="L1127">
        <v>11.675445156978499</v>
      </c>
      <c r="M1127" s="22">
        <v>9.5799999999999996E-2</v>
      </c>
      <c r="N1127" s="21">
        <v>45750</v>
      </c>
      <c r="O1127" s="21">
        <v>46846</v>
      </c>
      <c r="P1127">
        <f t="shared" si="704"/>
        <v>3</v>
      </c>
      <c r="Q1127" s="6">
        <f t="shared" si="705"/>
        <v>0.10010449320794149</v>
      </c>
      <c r="R1127" s="5">
        <f t="shared" si="706"/>
        <v>1</v>
      </c>
      <c r="S1127" t="s">
        <v>93</v>
      </c>
      <c r="U1127">
        <f t="shared" si="707"/>
        <v>3</v>
      </c>
      <c r="V1127">
        <f t="shared" si="708"/>
        <v>95.8</v>
      </c>
      <c r="W1127" s="28">
        <f t="shared" si="709"/>
        <v>0.11350348131545616</v>
      </c>
      <c r="X1127" s="27">
        <f t="shared" si="710"/>
        <v>0.11350348131545616</v>
      </c>
      <c r="Y1127" s="5">
        <f t="shared" si="711"/>
        <v>2.7394624556882623</v>
      </c>
      <c r="Z1127" s="5">
        <f t="shared" si="712"/>
        <v>2.460219030884351</v>
      </c>
      <c r="AA1127" s="5">
        <f t="shared" si="713"/>
        <v>-2354.4296125563237</v>
      </c>
      <c r="AB1127" t="s">
        <v>64</v>
      </c>
      <c r="AC1127" t="s">
        <v>62</v>
      </c>
      <c r="AD1127">
        <f t="shared" si="714"/>
        <v>1</v>
      </c>
    </row>
    <row r="1128" spans="1:30" x14ac:dyDescent="0.35">
      <c r="A1128" t="s">
        <v>991</v>
      </c>
      <c r="B1128" t="s">
        <v>261</v>
      </c>
      <c r="C1128" s="36">
        <f t="shared" si="702"/>
        <v>3.0571499963015777E-2</v>
      </c>
      <c r="D1128" s="3">
        <f t="shared" si="703"/>
        <v>6.1142999926031553E-2</v>
      </c>
      <c r="F1128">
        <v>1001.25</v>
      </c>
      <c r="G1128" t="s">
        <v>66</v>
      </c>
      <c r="H1128">
        <v>1000</v>
      </c>
      <c r="I1128" s="22"/>
      <c r="J1128">
        <v>200000</v>
      </c>
      <c r="K1128" s="22"/>
      <c r="M1128" s="22">
        <v>6.1500000000000006E-2</v>
      </c>
      <c r="N1128" s="21">
        <v>45565</v>
      </c>
      <c r="O1128" s="21">
        <v>46846</v>
      </c>
      <c r="P1128">
        <f t="shared" si="704"/>
        <v>4</v>
      </c>
      <c r="Q1128" s="6">
        <f t="shared" si="705"/>
        <v>6.1423220973782777E-2</v>
      </c>
      <c r="R1128" s="5">
        <f t="shared" si="706"/>
        <v>2</v>
      </c>
      <c r="S1128" t="s">
        <v>65</v>
      </c>
      <c r="U1128">
        <f t="shared" si="707"/>
        <v>8</v>
      </c>
      <c r="V1128">
        <f t="shared" si="708"/>
        <v>30.750000000000004</v>
      </c>
      <c r="W1128" s="28">
        <f t="shared" si="709"/>
        <v>3.0571499963015777E-2</v>
      </c>
      <c r="X1128" s="27">
        <f t="shared" si="710"/>
        <v>6.1142999926031553E-2</v>
      </c>
      <c r="Y1128" s="5">
        <f t="shared" si="711"/>
        <v>3.1149816894563958</v>
      </c>
      <c r="Z1128" s="5">
        <f t="shared" si="712"/>
        <v>3.0225769775005262</v>
      </c>
      <c r="AA1128" s="5">
        <f t="shared" si="713"/>
        <v>-3026.3551987224018</v>
      </c>
      <c r="AB1128" t="s">
        <v>69</v>
      </c>
      <c r="AC1128" t="s">
        <v>62</v>
      </c>
      <c r="AD1128">
        <f t="shared" si="714"/>
        <v>2</v>
      </c>
    </row>
    <row r="1129" spans="1:30" x14ac:dyDescent="0.35">
      <c r="A1129" t="s">
        <v>990</v>
      </c>
      <c r="B1129" t="s">
        <v>119</v>
      </c>
      <c r="C1129" s="36">
        <f t="shared" si="702"/>
        <v>0.14331277907117776</v>
      </c>
      <c r="D1129" s="3">
        <f t="shared" si="703"/>
        <v>0.14331277907117776</v>
      </c>
      <c r="F1129">
        <v>900</v>
      </c>
      <c r="G1129" t="s">
        <v>76</v>
      </c>
      <c r="H1129">
        <v>1000</v>
      </c>
      <c r="I1129" s="22"/>
      <c r="J1129">
        <v>20</v>
      </c>
      <c r="K1129" s="22"/>
      <c r="L1129">
        <v>14.9735449735449</v>
      </c>
      <c r="M1129" s="22">
        <v>0.1</v>
      </c>
      <c r="N1129" s="21">
        <v>45750</v>
      </c>
      <c r="O1129" s="21">
        <v>46846</v>
      </c>
      <c r="P1129">
        <f t="shared" si="704"/>
        <v>3</v>
      </c>
      <c r="Q1129" s="6">
        <f t="shared" si="705"/>
        <v>0.1111111111111111</v>
      </c>
      <c r="R1129" s="5">
        <f t="shared" si="706"/>
        <v>1</v>
      </c>
      <c r="S1129" t="s">
        <v>93</v>
      </c>
      <c r="U1129">
        <f t="shared" si="707"/>
        <v>3</v>
      </c>
      <c r="V1129">
        <f t="shared" si="708"/>
        <v>100</v>
      </c>
      <c r="W1129" s="28">
        <f t="shared" si="709"/>
        <v>0.14331277907117776</v>
      </c>
      <c r="X1129" s="27">
        <f t="shared" si="710"/>
        <v>0.14331277907117776</v>
      </c>
      <c r="Y1129" s="5">
        <f t="shared" si="711"/>
        <v>2.7206313923724688</v>
      </c>
      <c r="Z1129" s="5">
        <f t="shared" si="712"/>
        <v>2.3796037638822667</v>
      </c>
      <c r="AA1129" s="5">
        <f t="shared" si="713"/>
        <v>-2141.6433874940399</v>
      </c>
      <c r="AB1129" t="s">
        <v>64</v>
      </c>
      <c r="AC1129" t="s">
        <v>62</v>
      </c>
      <c r="AD1129">
        <f t="shared" si="714"/>
        <v>1</v>
      </c>
    </row>
    <row r="1130" spans="1:30" x14ac:dyDescent="0.35">
      <c r="C1130" s="28"/>
      <c r="D1130" s="27"/>
      <c r="I1130" s="22"/>
      <c r="K1130" s="22"/>
      <c r="M1130" s="22"/>
      <c r="N1130" s="21"/>
      <c r="O1130" s="21"/>
      <c r="P1130" s="5"/>
      <c r="Q1130" s="6"/>
      <c r="R1130" s="5"/>
      <c r="W1130" s="28"/>
      <c r="Y1130" s="33"/>
      <c r="Z1130" s="33"/>
      <c r="AA1130" s="33"/>
    </row>
    <row r="1131" spans="1:30" x14ac:dyDescent="0.35">
      <c r="A1131" t="s">
        <v>988</v>
      </c>
      <c r="B1131" t="s">
        <v>94</v>
      </c>
      <c r="C1131" s="36">
        <f>RATE(U1131,V1131,-F1131,H1131)</f>
        <v>3.3629615106376881E-2</v>
      </c>
      <c r="D1131" s="3">
        <f>C1131*AD1131</f>
        <v>6.7259230212753762E-2</v>
      </c>
      <c r="F1131">
        <v>1080878.8</v>
      </c>
      <c r="G1131" t="s">
        <v>76</v>
      </c>
      <c r="H1131">
        <v>1000000</v>
      </c>
      <c r="I1131" s="22"/>
      <c r="J1131">
        <v>6</v>
      </c>
      <c r="K1131" s="22"/>
      <c r="M1131" s="22">
        <v>7.85E-2</v>
      </c>
      <c r="N1131" s="21">
        <v>43193</v>
      </c>
      <c r="O1131" s="21">
        <v>46846</v>
      </c>
      <c r="P1131">
        <f>ROUND(YEARFRAC(N1131,O1131),0)</f>
        <v>10</v>
      </c>
      <c r="Q1131" s="6">
        <f>(M1131*H1131)/F1131</f>
        <v>7.2626089067525421E-2</v>
      </c>
      <c r="R1131" s="5">
        <f>IF(S1131="Quarterly",4,IF(S1131="Semi-annual",2,IF(S1131="Annual",1,IF(S1131="Pays at maturity",0,12))))</f>
        <v>2</v>
      </c>
      <c r="S1131" t="s">
        <v>65</v>
      </c>
      <c r="U1131">
        <f>R1131*P1131</f>
        <v>20</v>
      </c>
      <c r="V1131">
        <f>(H1131*M1131)/AD1131</f>
        <v>39250</v>
      </c>
      <c r="W1131" s="28">
        <f>RATE(U1131,V1131,-F1131,H1131)</f>
        <v>3.3629615106376881E-2</v>
      </c>
      <c r="X1131" s="27">
        <f>W1131*AD1131</f>
        <v>6.7259230212753762E-2</v>
      </c>
      <c r="Y1131" s="5">
        <f>DURATION(N1131,O1131,M1131,D1131,AD1131)</f>
        <v>7.2325962949119784</v>
      </c>
      <c r="Z1131" s="5">
        <f>Y1131/(1+C1131)</f>
        <v>6.9972804466981433</v>
      </c>
      <c r="AA1131" s="5">
        <f>-Z1131*F1131</f>
        <v>-7563212.0924905539</v>
      </c>
      <c r="AB1131" t="s">
        <v>64</v>
      </c>
      <c r="AC1131" t="s">
        <v>62</v>
      </c>
      <c r="AD1131">
        <f>_xlfn.SWITCH(PROPER(TRIM(S1131)),
   "Annual",1,
   "Semi-Annual",2,
   "Quarterly",4,
   "Monthly",12,
   "")</f>
        <v>2</v>
      </c>
    </row>
    <row r="1132" spans="1:30" x14ac:dyDescent="0.35">
      <c r="A1132" t="s">
        <v>987</v>
      </c>
      <c r="B1132" t="s">
        <v>272</v>
      </c>
      <c r="C1132" s="36">
        <f>RATE(U1132,V1132,-F1132,H1132)</f>
        <v>8.0498428884983958E-2</v>
      </c>
      <c r="D1132" s="3">
        <f>C1132*AD1132</f>
        <v>8.0498428884983958E-2</v>
      </c>
      <c r="F1132">
        <v>1002</v>
      </c>
      <c r="G1132" t="s">
        <v>76</v>
      </c>
      <c r="H1132">
        <v>1000</v>
      </c>
      <c r="I1132" s="22"/>
      <c r="J1132">
        <v>220</v>
      </c>
      <c r="K1132" s="22"/>
      <c r="L1132">
        <v>8.0118419287906395</v>
      </c>
      <c r="M1132" s="22">
        <v>8.1000000000000003E-2</v>
      </c>
      <c r="N1132" s="21">
        <v>44995</v>
      </c>
      <c r="O1132" s="21">
        <v>46853</v>
      </c>
      <c r="P1132">
        <f>ROUND(YEARFRAC(N1132,O1132),0)</f>
        <v>5</v>
      </c>
      <c r="Q1132" s="6">
        <f>(M1132*H1132)/F1132</f>
        <v>8.0838323353293412E-2</v>
      </c>
      <c r="R1132" s="5">
        <f>IF(S1132="Quarterly",4,IF(S1132="Semi-annual",2,IF(S1132="Annual",1,IF(S1132="Pays at maturity",0,12))))</f>
        <v>1</v>
      </c>
      <c r="S1132" t="s">
        <v>93</v>
      </c>
      <c r="U1132">
        <f>R1132*P1132</f>
        <v>5</v>
      </c>
      <c r="V1132">
        <f>(H1132*M1132)/AD1132</f>
        <v>81</v>
      </c>
      <c r="W1132" s="28">
        <f>RATE(U1132,V1132,-F1132,H1132)</f>
        <v>8.0498428884983958E-2</v>
      </c>
      <c r="X1132" s="27">
        <f>W1132*AD1132</f>
        <v>8.0498428884983958E-2</v>
      </c>
      <c r="Y1132" s="5">
        <f>DURATION(N1132,O1132,M1132,D1132,AD1132)</f>
        <v>4.0668482403773156</v>
      </c>
      <c r="Z1132" s="5">
        <f>Y1132/(1+C1132)</f>
        <v>3.7638631687545199</v>
      </c>
      <c r="AA1132" s="5">
        <f>-Z1132*F1132</f>
        <v>-3771.390895092029</v>
      </c>
      <c r="AB1132" t="s">
        <v>64</v>
      </c>
      <c r="AC1132" t="s">
        <v>62</v>
      </c>
      <c r="AD1132">
        <f>_xlfn.SWITCH(PROPER(TRIM(S1132)),
   "Annual",1,
   "Semi-Annual",2,
   "Quarterly",4,
   "Monthly",12,
   "")</f>
        <v>1</v>
      </c>
    </row>
    <row r="1133" spans="1:30" x14ac:dyDescent="0.35">
      <c r="A1133" t="s">
        <v>986</v>
      </c>
      <c r="B1133" t="s">
        <v>272</v>
      </c>
      <c r="C1133" s="36">
        <f>RATE(U1133,V1133,-F1133,H1133)</f>
        <v>9.1561631917566028E-2</v>
      </c>
      <c r="D1133" s="3">
        <f>C1133*AD1133</f>
        <v>9.1561631917566028E-2</v>
      </c>
      <c r="F1133">
        <v>949.4</v>
      </c>
      <c r="G1133" t="s">
        <v>76</v>
      </c>
      <c r="H1133">
        <v>1000</v>
      </c>
      <c r="I1133" s="22"/>
      <c r="J1133">
        <v>271</v>
      </c>
      <c r="K1133" s="22"/>
      <c r="L1133">
        <v>10.219567486956301</v>
      </c>
      <c r="M1133" s="22">
        <v>7.85E-2</v>
      </c>
      <c r="N1133" s="21">
        <v>44995</v>
      </c>
      <c r="O1133" s="21">
        <v>46853</v>
      </c>
      <c r="P1133">
        <f>ROUND(YEARFRAC(N1133,O1133),0)</f>
        <v>5</v>
      </c>
      <c r="Q1133" s="6">
        <f>(M1133*H1133)/F1133</f>
        <v>8.2683800294923115E-2</v>
      </c>
      <c r="R1133" s="5">
        <f>IF(S1133="Quarterly",4,IF(S1133="Semi-annual",2,IF(S1133="Annual",1,IF(S1133="Pays at maturity",0,12))))</f>
        <v>1</v>
      </c>
      <c r="S1133" t="s">
        <v>93</v>
      </c>
      <c r="U1133">
        <f>R1133*P1133</f>
        <v>5</v>
      </c>
      <c r="V1133">
        <f>(H1133*M1133)/AD1133</f>
        <v>78.5</v>
      </c>
      <c r="W1133" s="28">
        <f>RATE(U1133,V1133,-F1133,H1133)</f>
        <v>9.1561631917566028E-2</v>
      </c>
      <c r="X1133" s="27">
        <f>W1133*AD1133</f>
        <v>9.1561631917566028E-2</v>
      </c>
      <c r="Y1133" s="5">
        <f>DURATION(N1133,O1133,M1133,D1133,AD1133)</f>
        <v>4.0581195874234721</v>
      </c>
      <c r="Z1133" s="5">
        <f>Y1133/(1+C1133)</f>
        <v>3.7177191546156676</v>
      </c>
      <c r="AA1133" s="5">
        <f>-Z1133*F1133</f>
        <v>-3529.6025653921147</v>
      </c>
      <c r="AB1133" t="s">
        <v>64</v>
      </c>
      <c r="AC1133" t="s">
        <v>62</v>
      </c>
      <c r="AD1133">
        <f>_xlfn.SWITCH(PROPER(TRIM(S1133)),
   "Annual",1,
   "Semi-Annual",2,
   "Quarterly",4,
   "Monthly",12,
   "")</f>
        <v>1</v>
      </c>
    </row>
    <row r="1134" spans="1:30" x14ac:dyDescent="0.35">
      <c r="C1134" s="28"/>
      <c r="D1134" s="27"/>
      <c r="I1134" s="22"/>
      <c r="K1134" s="22"/>
      <c r="M1134" s="22"/>
      <c r="N1134" s="21"/>
      <c r="O1134" s="21"/>
      <c r="P1134" s="5"/>
      <c r="Q1134" s="6"/>
      <c r="R1134" s="5"/>
      <c r="W1134" s="28"/>
      <c r="Y1134" s="33"/>
      <c r="Z1134" s="33"/>
      <c r="AA1134" s="33"/>
    </row>
    <row r="1135" spans="1:30" x14ac:dyDescent="0.35">
      <c r="A1135" t="s">
        <v>984</v>
      </c>
      <c r="B1135" t="s">
        <v>101</v>
      </c>
      <c r="C1135" s="36">
        <f>RATE(U1135,V1135,-F1135,H1135)</f>
        <v>2.931893521550236E-2</v>
      </c>
      <c r="D1135" s="3">
        <f>C1135*AD1135</f>
        <v>5.863787043100472E-2</v>
      </c>
      <c r="F1135">
        <v>989.78</v>
      </c>
      <c r="G1135" t="s">
        <v>66</v>
      </c>
      <c r="H1135">
        <v>1000</v>
      </c>
      <c r="I1135" s="22"/>
      <c r="J1135">
        <v>200000</v>
      </c>
      <c r="K1135" s="22"/>
      <c r="M1135" s="22">
        <v>5.6250000000000001E-2</v>
      </c>
      <c r="N1135" s="21">
        <v>45027</v>
      </c>
      <c r="O1135" s="21">
        <v>46854</v>
      </c>
      <c r="P1135">
        <f>ROUND(YEARFRAC(N1135,O1135),0)</f>
        <v>5</v>
      </c>
      <c r="Q1135" s="6">
        <f>(M1135*H1135)/F1135</f>
        <v>5.683081088726788E-2</v>
      </c>
      <c r="R1135" s="5">
        <f>IF(S1135="Quarterly",4,IF(S1135="Semi-annual",2,IF(S1135="Annual",1,IF(S1135="Pays at maturity",0,12))))</f>
        <v>2</v>
      </c>
      <c r="S1135" t="s">
        <v>65</v>
      </c>
      <c r="U1135">
        <f>R1135*P1135</f>
        <v>10</v>
      </c>
      <c r="V1135">
        <f>(H1135*M1135)/AD1135</f>
        <v>28.125</v>
      </c>
      <c r="W1135" s="28">
        <f>RATE(U1135,V1135,-F1135,H1135)</f>
        <v>2.931893521550236E-2</v>
      </c>
      <c r="X1135" s="27">
        <f>W1135*AD1135</f>
        <v>5.863787043100472E-2</v>
      </c>
      <c r="Y1135" s="5">
        <f>DURATION(N1135,O1135,M1135,D1135,AD1135)</f>
        <v>4.4237706809864141</v>
      </c>
      <c r="Z1135" s="5">
        <f>Y1135/(1+C1135)</f>
        <v>4.2977647934361913</v>
      </c>
      <c r="AA1135" s="5">
        <f>-Z1135*F1135</f>
        <v>-4253.841637247273</v>
      </c>
      <c r="AB1135" t="s">
        <v>64</v>
      </c>
      <c r="AC1135" t="s">
        <v>62</v>
      </c>
      <c r="AD1135">
        <f>_xlfn.SWITCH(PROPER(TRIM(S1135)),
   "Annual",1,
   "Semi-Annual",2,
   "Quarterly",4,
   "Monthly",12,
   "")</f>
        <v>2</v>
      </c>
    </row>
    <row r="1136" spans="1:30" x14ac:dyDescent="0.35">
      <c r="A1136" t="s">
        <v>983</v>
      </c>
      <c r="B1136" t="s">
        <v>101</v>
      </c>
      <c r="C1136" s="36">
        <f>RATE(U1136,V1136,-F1136,H1136)</f>
        <v>2.6159451155308062E-2</v>
      </c>
      <c r="D1136" s="3">
        <f>C1136*AD1136</f>
        <v>5.2318902310616124E-2</v>
      </c>
      <c r="F1136">
        <v>1017.1</v>
      </c>
      <c r="G1136" t="s">
        <v>66</v>
      </c>
      <c r="H1136">
        <v>1000</v>
      </c>
      <c r="I1136" s="22"/>
      <c r="J1136">
        <v>0</v>
      </c>
      <c r="K1136" s="22"/>
      <c r="M1136" s="22">
        <v>5.6250000000000001E-2</v>
      </c>
      <c r="N1136" s="21">
        <v>45027</v>
      </c>
      <c r="O1136" s="21">
        <v>46854</v>
      </c>
      <c r="P1136">
        <f>ROUND(YEARFRAC(N1136,O1136),0)</f>
        <v>5</v>
      </c>
      <c r="Q1136" s="6">
        <f>(M1136*H1136)/F1136</f>
        <v>5.5304296529348144E-2</v>
      </c>
      <c r="R1136" s="5">
        <f>IF(S1136="Quarterly",4,IF(S1136="Semi-annual",2,IF(S1136="Annual",1,IF(S1136="Pays at maturity",0,12))))</f>
        <v>2</v>
      </c>
      <c r="S1136" t="s">
        <v>65</v>
      </c>
      <c r="U1136">
        <f>R1136*P1136</f>
        <v>10</v>
      </c>
      <c r="V1136">
        <f>(H1136*M1136)/AD1136</f>
        <v>28.125</v>
      </c>
      <c r="W1136" s="28">
        <f>RATE(U1136,V1136,-F1136,H1136)</f>
        <v>2.6159451155308062E-2</v>
      </c>
      <c r="X1136" s="27">
        <f>W1136*AD1136</f>
        <v>5.2318902310616124E-2</v>
      </c>
      <c r="Y1136" s="5">
        <f>DURATION(N1136,O1136,M1136,D1136,AD1136)</f>
        <v>4.4331210092785849</v>
      </c>
      <c r="Z1136" s="5">
        <f>Y1136/(1+C1136)</f>
        <v>4.3201093205227785</v>
      </c>
      <c r="AA1136" s="5">
        <f>-Z1136*F1136</f>
        <v>-4393.9831899037181</v>
      </c>
      <c r="AB1136" t="s">
        <v>64</v>
      </c>
      <c r="AC1136" t="s">
        <v>62</v>
      </c>
      <c r="AD1136">
        <f>_xlfn.SWITCH(PROPER(TRIM(S1136)),
   "Annual",1,
   "Semi-Annual",2,
   "Quarterly",4,
   "Monthly",12,
   "")</f>
        <v>2</v>
      </c>
    </row>
    <row r="1137" spans="1:30" x14ac:dyDescent="0.35">
      <c r="A1137" t="s">
        <v>982</v>
      </c>
      <c r="B1137" t="s">
        <v>128</v>
      </c>
      <c r="C1137" s="36">
        <f>RATE(U1137,V1137,-F1137,H1137)</f>
        <v>7.6036943334648624E-2</v>
      </c>
      <c r="D1137" s="3">
        <f>C1137*AD1137</f>
        <v>7.6036943334648624E-2</v>
      </c>
      <c r="F1137">
        <v>107172</v>
      </c>
      <c r="G1137" t="s">
        <v>76</v>
      </c>
      <c r="H1137">
        <v>100000</v>
      </c>
      <c r="I1137" s="22"/>
      <c r="J1137">
        <v>1</v>
      </c>
      <c r="K1137" s="22"/>
      <c r="L1137">
        <v>6.7352460272649797</v>
      </c>
      <c r="M1137" s="22">
        <v>9.7500000000000003E-2</v>
      </c>
      <c r="N1137" s="21">
        <v>45516</v>
      </c>
      <c r="O1137" s="21">
        <v>46855</v>
      </c>
      <c r="P1137">
        <f>ROUND(YEARFRAC(N1137,O1137),0)</f>
        <v>4</v>
      </c>
      <c r="Q1137" s="6">
        <f>(M1137*H1137)/F1137</f>
        <v>9.0975254730713245E-2</v>
      </c>
      <c r="R1137" s="5">
        <f>IF(S1137="Quarterly",4,IF(S1137="Semi-annual",2,IF(S1137="Annual",1,IF(S1137="Pays at maturity",0,12))))</f>
        <v>1</v>
      </c>
      <c r="S1137" t="s">
        <v>93</v>
      </c>
      <c r="U1137">
        <f>R1137*P1137</f>
        <v>4</v>
      </c>
      <c r="V1137">
        <f>(H1137*M1137)/AD1137</f>
        <v>9750</v>
      </c>
      <c r="W1137" s="28">
        <f>RATE(U1137,V1137,-F1137,H1137)</f>
        <v>7.6036943334648624E-2</v>
      </c>
      <c r="X1137" s="27">
        <f>W1137*AD1137</f>
        <v>7.6036943334648624E-2</v>
      </c>
      <c r="Y1137" s="5">
        <f>DURATION(N1137,O1137,M1137,D1137,AD1137)</f>
        <v>3.1828625103705424</v>
      </c>
      <c r="Z1137" s="5">
        <f>Y1137/(1+C1137)</f>
        <v>2.9579491021068676</v>
      </c>
      <c r="AA1137" s="5">
        <f>-Z1137*F1137</f>
        <v>-317009.32117099722</v>
      </c>
      <c r="AB1137" t="s">
        <v>64</v>
      </c>
      <c r="AC1137" t="s">
        <v>62</v>
      </c>
      <c r="AD1137">
        <f>_xlfn.SWITCH(PROPER(TRIM(S1137)),
   "Annual",1,
   "Semi-Annual",2,
   "Quarterly",4,
   "Monthly",12,
   "")</f>
        <v>1</v>
      </c>
    </row>
    <row r="1138" spans="1:30" x14ac:dyDescent="0.35">
      <c r="A1138" t="s">
        <v>981</v>
      </c>
      <c r="B1138" t="s">
        <v>316</v>
      </c>
      <c r="C1138" s="36">
        <f>RATE(U1138,V1138,-F1138,H1138)</f>
        <v>0.10815805525856946</v>
      </c>
      <c r="D1138" s="3">
        <f>C1138*AD1138</f>
        <v>0.10815805525856946</v>
      </c>
      <c r="F1138">
        <v>980</v>
      </c>
      <c r="G1138" t="s">
        <v>76</v>
      </c>
      <c r="H1138">
        <v>1000</v>
      </c>
      <c r="I1138" s="22"/>
      <c r="J1138">
        <v>27</v>
      </c>
      <c r="K1138" s="22"/>
      <c r="L1138">
        <v>10.9128332588982</v>
      </c>
      <c r="M1138" s="22">
        <v>0.1</v>
      </c>
      <c r="N1138" s="21">
        <v>45762</v>
      </c>
      <c r="O1138" s="21">
        <v>46857</v>
      </c>
      <c r="P1138">
        <f>ROUND(YEARFRAC(N1138,O1138),0)</f>
        <v>3</v>
      </c>
      <c r="Q1138" s="6">
        <f>(M1138*H1138)/F1138</f>
        <v>0.10204081632653061</v>
      </c>
      <c r="R1138" s="5">
        <f>IF(S1138="Quarterly",4,IF(S1138="Semi-annual",2,IF(S1138="Annual",1,IF(S1138="Pays at maturity",0,12))))</f>
        <v>1</v>
      </c>
      <c r="S1138" t="s">
        <v>93</v>
      </c>
      <c r="U1138">
        <f>R1138*P1138</f>
        <v>3</v>
      </c>
      <c r="V1138">
        <f>(H1138*M1138)/AD1138</f>
        <v>100</v>
      </c>
      <c r="W1138" s="28">
        <f>RATE(U1138,V1138,-F1138,H1138)</f>
        <v>0.10815805525856946</v>
      </c>
      <c r="X1138" s="27">
        <f>W1138*AD1138</f>
        <v>0.10815805525856946</v>
      </c>
      <c r="Y1138" s="5">
        <f>DURATION(N1138,O1138,M1138,D1138,AD1138)</f>
        <v>2.7299651324255829</v>
      </c>
      <c r="Z1138" s="5">
        <f>Y1138/(1+C1138)</f>
        <v>2.463516029569079</v>
      </c>
      <c r="AA1138" s="5">
        <f>-Z1138*F1138</f>
        <v>-2414.2457089776976</v>
      </c>
      <c r="AB1138" t="s">
        <v>64</v>
      </c>
      <c r="AC1138" t="s">
        <v>62</v>
      </c>
      <c r="AD1138">
        <f>_xlfn.SWITCH(PROPER(TRIM(S1138)),
   "Annual",1,
   "Semi-Annual",2,
   "Quarterly",4,
   "Monthly",12,
   "")</f>
        <v>1</v>
      </c>
    </row>
    <row r="1139" spans="1:30" x14ac:dyDescent="0.35">
      <c r="A1139" t="s">
        <v>980</v>
      </c>
      <c r="B1139" t="s">
        <v>338</v>
      </c>
      <c r="C1139" s="36">
        <f>RATE(U1139,V1139,-F1139,H1139)</f>
        <v>0.10749999999999998</v>
      </c>
      <c r="D1139" s="3">
        <f>C1139*AD1139</f>
        <v>0.10749999999999998</v>
      </c>
      <c r="F1139">
        <v>1000</v>
      </c>
      <c r="G1139" t="s">
        <v>76</v>
      </c>
      <c r="H1139">
        <v>1000</v>
      </c>
      <c r="I1139" s="22"/>
      <c r="J1139">
        <v>60</v>
      </c>
      <c r="K1139" s="22"/>
      <c r="L1139">
        <v>10.75</v>
      </c>
      <c r="M1139" s="22">
        <v>0.1075</v>
      </c>
      <c r="N1139" s="21">
        <v>45768</v>
      </c>
      <c r="O1139" s="21">
        <v>46863</v>
      </c>
      <c r="P1139">
        <f>ROUND(YEARFRAC(N1139,O1139),0)</f>
        <v>3</v>
      </c>
      <c r="Q1139" s="6">
        <f>(M1139*H1139)/F1139</f>
        <v>0.1075</v>
      </c>
      <c r="R1139" s="5">
        <f>IF(S1139="Quarterly",4,IF(S1139="Semi-annual",2,IF(S1139="Annual",1,IF(S1139="Pays at maturity",0,12))))</f>
        <v>1</v>
      </c>
      <c r="S1139" t="s">
        <v>93</v>
      </c>
      <c r="U1139">
        <f>R1139*P1139</f>
        <v>3</v>
      </c>
      <c r="V1139">
        <f>(H1139*M1139)/AD1139</f>
        <v>107.5</v>
      </c>
      <c r="W1139" s="28">
        <f>RATE(U1139,V1139,-F1139,H1139)</f>
        <v>0.10749999999999998</v>
      </c>
      <c r="X1139" s="27">
        <f>W1139*AD1139</f>
        <v>0.10749999999999998</v>
      </c>
      <c r="Y1139" s="5">
        <f>DURATION(N1139,O1139,M1139,D1139,AD1139)</f>
        <v>2.7154475380200096</v>
      </c>
      <c r="Z1139" s="5">
        <f>Y1139/(1+C1139)</f>
        <v>2.4518713661580223</v>
      </c>
      <c r="AA1139" s="5">
        <f>-Z1139*F1139</f>
        <v>-2451.8713661580223</v>
      </c>
      <c r="AB1139" t="s">
        <v>64</v>
      </c>
      <c r="AC1139" t="s">
        <v>62</v>
      </c>
      <c r="AD1139">
        <f>_xlfn.SWITCH(PROPER(TRIM(S1139)),
   "Annual",1,
   "Semi-Annual",2,
   "Quarterly",4,
   "Monthly",12,
   "")</f>
        <v>1</v>
      </c>
    </row>
    <row r="1140" spans="1:30" x14ac:dyDescent="0.35">
      <c r="C1140" s="28"/>
      <c r="D1140" s="27"/>
      <c r="I1140" s="22"/>
      <c r="K1140" s="22"/>
      <c r="M1140" s="22"/>
      <c r="N1140" s="21"/>
      <c r="O1140" s="21"/>
      <c r="P1140" s="5"/>
      <c r="Q1140" s="6"/>
      <c r="R1140" s="5"/>
      <c r="W1140" s="28"/>
      <c r="Y1140" s="33"/>
      <c r="Z1140" s="33"/>
      <c r="AA1140" s="33"/>
    </row>
    <row r="1141" spans="1:30" x14ac:dyDescent="0.35">
      <c r="A1141" t="s">
        <v>978</v>
      </c>
      <c r="B1141" t="s">
        <v>483</v>
      </c>
      <c r="C1141" s="36">
        <f>RATE(U1141,V1141,-F1141,H1141)</f>
        <v>-4.0045085844751922E-2</v>
      </c>
      <c r="D1141" s="3">
        <f>C1141*AD1141</f>
        <v>-4.0045085844751922E-2</v>
      </c>
      <c r="F1141">
        <v>1435</v>
      </c>
      <c r="G1141" t="s">
        <v>76</v>
      </c>
      <c r="H1141">
        <v>1000</v>
      </c>
      <c r="I1141" s="22"/>
      <c r="J1141">
        <v>1</v>
      </c>
      <c r="K1141" s="22"/>
      <c r="L1141">
        <v>-4.2369541146473502</v>
      </c>
      <c r="M1141" s="22">
        <v>9.35E-2</v>
      </c>
      <c r="N1141" s="21">
        <v>45768</v>
      </c>
      <c r="O1141" s="21">
        <v>46864</v>
      </c>
      <c r="P1141">
        <f>ROUND(YEARFRAC(N1141,O1141),0)</f>
        <v>3</v>
      </c>
      <c r="Q1141" s="6">
        <f>(M1141*H1141)/F1141</f>
        <v>6.5156794425087108E-2</v>
      </c>
      <c r="R1141" s="5">
        <f>IF(S1141="Quarterly",4,IF(S1141="Semi-annual",2,IF(S1141="Annual",1,IF(S1141="Pays at maturity",0,12))))</f>
        <v>1</v>
      </c>
      <c r="S1141" t="s">
        <v>93</v>
      </c>
      <c r="U1141">
        <f>R1141*P1141</f>
        <v>3</v>
      </c>
      <c r="V1141">
        <f>(H1141*M1141)/AD1141</f>
        <v>93.5</v>
      </c>
      <c r="W1141" s="28">
        <f>RATE(U1141,V1141,-F1141,H1141)</f>
        <v>-4.0045085844751922E-2</v>
      </c>
      <c r="X1141" s="27">
        <f>W1141*AD1141</f>
        <v>-4.0045085844751922E-2</v>
      </c>
      <c r="Y1141" s="5" t="e">
        <f>DURATION(N1141,O1141,M1141,D1141,AD1141)</f>
        <v>#NUM!</v>
      </c>
      <c r="Z1141" s="5" t="e">
        <f>Y1141/(1+C1141)</f>
        <v>#NUM!</v>
      </c>
      <c r="AA1141" s="5" t="e">
        <f>-Z1141*F1141</f>
        <v>#NUM!</v>
      </c>
      <c r="AB1141" t="s">
        <v>64</v>
      </c>
      <c r="AC1141" t="s">
        <v>62</v>
      </c>
      <c r="AD1141">
        <f>_xlfn.SWITCH(PROPER(TRIM(S1141)),
   "Annual",1,
   "Semi-Annual",2,
   "Quarterly",4,
   "Monthly",12,
   "")</f>
        <v>1</v>
      </c>
    </row>
    <row r="1142" spans="1:30" x14ac:dyDescent="0.35">
      <c r="A1142" t="s">
        <v>977</v>
      </c>
      <c r="B1142" t="s">
        <v>483</v>
      </c>
      <c r="C1142" s="36">
        <f>RATE(U1142,V1142,-F1142,H1142)</f>
        <v>0.11611060991921095</v>
      </c>
      <c r="D1142" s="3">
        <f>C1142*AD1142</f>
        <v>0.11611060991921095</v>
      </c>
      <c r="F1142">
        <v>955</v>
      </c>
      <c r="G1142" t="s">
        <v>76</v>
      </c>
      <c r="H1142">
        <v>1000</v>
      </c>
      <c r="I1142" s="22"/>
      <c r="J1142">
        <v>27</v>
      </c>
      <c r="K1142" s="22"/>
      <c r="L1142">
        <v>11.794581031196399</v>
      </c>
      <c r="M1142" s="22">
        <v>9.7500000000000003E-2</v>
      </c>
      <c r="N1142" s="21">
        <v>45768</v>
      </c>
      <c r="O1142" s="21">
        <v>46864</v>
      </c>
      <c r="P1142">
        <f>ROUND(YEARFRAC(N1142,O1142),0)</f>
        <v>3</v>
      </c>
      <c r="Q1142" s="6">
        <f>(M1142*H1142)/F1142</f>
        <v>0.10209424083769633</v>
      </c>
      <c r="R1142" s="5">
        <f>IF(S1142="Quarterly",4,IF(S1142="Semi-annual",2,IF(S1142="Annual",1,IF(S1142="Pays at maturity",0,12))))</f>
        <v>1</v>
      </c>
      <c r="S1142" t="s">
        <v>93</v>
      </c>
      <c r="U1142">
        <f>R1142*P1142</f>
        <v>3</v>
      </c>
      <c r="V1142">
        <f>(H1142*M1142)/AD1142</f>
        <v>97.5</v>
      </c>
      <c r="W1142" s="28">
        <f>RATE(U1142,V1142,-F1142,H1142)</f>
        <v>0.11611060991921095</v>
      </c>
      <c r="X1142" s="27">
        <f>W1142*AD1142</f>
        <v>0.11611060991921095</v>
      </c>
      <c r="Y1142" s="5">
        <f>DURATION(N1142,O1142,M1142,D1142,AD1142)</f>
        <v>2.7350964075293485</v>
      </c>
      <c r="Z1142" s="5">
        <f>Y1142/(1+C1142)</f>
        <v>2.4505603505797038</v>
      </c>
      <c r="AA1142" s="5">
        <f>-Z1142*F1142</f>
        <v>-2340.285134803617</v>
      </c>
      <c r="AB1142" t="s">
        <v>64</v>
      </c>
      <c r="AC1142" t="s">
        <v>62</v>
      </c>
      <c r="AD1142">
        <f>_xlfn.SWITCH(PROPER(TRIM(S1142)),
   "Annual",1,
   "Semi-Annual",2,
   "Quarterly",4,
   "Monthly",12,
   "")</f>
        <v>1</v>
      </c>
    </row>
    <row r="1143" spans="1:30" x14ac:dyDescent="0.35">
      <c r="A1143" t="s">
        <v>976</v>
      </c>
      <c r="B1143" t="s">
        <v>225</v>
      </c>
      <c r="C1143" s="36">
        <f>RATE(U1143,V1143,-F1143,H1143)</f>
        <v>9.7500000000000017E-2</v>
      </c>
      <c r="D1143" s="3">
        <f>C1143*AD1143</f>
        <v>9.7500000000000017E-2</v>
      </c>
      <c r="F1143">
        <v>1000000</v>
      </c>
      <c r="G1143" t="s">
        <v>76</v>
      </c>
      <c r="H1143">
        <v>1000000</v>
      </c>
      <c r="I1143" s="22"/>
      <c r="J1143">
        <v>2</v>
      </c>
      <c r="K1143" s="22"/>
      <c r="L1143">
        <v>9.75</v>
      </c>
      <c r="M1143" s="22">
        <v>9.7500000000000003E-2</v>
      </c>
      <c r="N1143" s="21">
        <v>44308</v>
      </c>
      <c r="O1143" s="21">
        <v>46864</v>
      </c>
      <c r="P1143">
        <f>ROUND(YEARFRAC(N1143,O1143),0)</f>
        <v>7</v>
      </c>
      <c r="Q1143" s="6">
        <f>(M1143*H1143)/F1143</f>
        <v>9.7500000000000003E-2</v>
      </c>
      <c r="R1143" s="5">
        <f>IF(S1143="Quarterly",4,IF(S1143="Semi-annual",2,IF(S1143="Annual",1,IF(S1143="Pays at maturity",0,12))))</f>
        <v>1</v>
      </c>
      <c r="S1143" t="s">
        <v>93</v>
      </c>
      <c r="U1143">
        <f>R1143*P1143</f>
        <v>7</v>
      </c>
      <c r="V1143">
        <f>(H1143*M1143)/AD1143</f>
        <v>97500</v>
      </c>
      <c r="W1143" s="28">
        <f>RATE(U1143,V1143,-F1143,H1143)</f>
        <v>9.7500000000000017E-2</v>
      </c>
      <c r="X1143" s="27">
        <f>W1143*AD1143</f>
        <v>9.7500000000000017E-2</v>
      </c>
      <c r="Y1143" s="5">
        <f>DURATION(N1143,O1143,M1143,D1143,AD1143)</f>
        <v>5.3845770538882327</v>
      </c>
      <c r="Z1143" s="5">
        <f>Y1143/(1+C1143)</f>
        <v>4.9062205502398477</v>
      </c>
      <c r="AA1143" s="5">
        <f>-Z1143*F1143</f>
        <v>-4906220.550239848</v>
      </c>
      <c r="AB1143" t="s">
        <v>64</v>
      </c>
      <c r="AC1143" t="s">
        <v>62</v>
      </c>
      <c r="AD1143">
        <f>_xlfn.SWITCH(PROPER(TRIM(S1143)),
   "Annual",1,
   "Semi-Annual",2,
   "Quarterly",4,
   "Monthly",12,
   "")</f>
        <v>1</v>
      </c>
    </row>
    <row r="1144" spans="1:30" x14ac:dyDescent="0.35">
      <c r="A1144" t="s">
        <v>975</v>
      </c>
      <c r="B1144" t="s">
        <v>478</v>
      </c>
      <c r="C1144" s="36">
        <f>RATE(U1144,V1144,-F1144,H1144)</f>
        <v>0.10008694187946278</v>
      </c>
      <c r="D1144" s="3">
        <f>C1144*AD1144</f>
        <v>0.10008694187946278</v>
      </c>
      <c r="F1144">
        <v>1006</v>
      </c>
      <c r="G1144" t="s">
        <v>76</v>
      </c>
      <c r="H1144">
        <v>1000</v>
      </c>
      <c r="I1144" s="22"/>
      <c r="J1144">
        <v>10</v>
      </c>
      <c r="K1144" s="22"/>
      <c r="L1144">
        <v>9.9764825680065901</v>
      </c>
      <c r="M1144" s="22">
        <v>0.10249999999999999</v>
      </c>
      <c r="N1144" s="21">
        <v>45771</v>
      </c>
      <c r="O1144" s="21">
        <v>46867</v>
      </c>
      <c r="P1144">
        <f>ROUND(YEARFRAC(N1144,O1144),0)</f>
        <v>3</v>
      </c>
      <c r="Q1144" s="6">
        <f>(M1144*H1144)/F1144</f>
        <v>0.10188866799204771</v>
      </c>
      <c r="R1144" s="5">
        <f>IF(S1144="Quarterly",4,IF(S1144="Semi-annual",2,IF(S1144="Annual",1,IF(S1144="Pays at maturity",0,12))))</f>
        <v>1</v>
      </c>
      <c r="S1144" t="s">
        <v>93</v>
      </c>
      <c r="U1144">
        <f>R1144*P1144</f>
        <v>3</v>
      </c>
      <c r="V1144">
        <f>(H1144*M1144)/AD1144</f>
        <v>102.5</v>
      </c>
      <c r="W1144" s="28">
        <f>RATE(U1144,V1144,-F1144,H1144)</f>
        <v>0.10008694187946278</v>
      </c>
      <c r="X1144" s="27">
        <f>W1144*AD1144</f>
        <v>0.10008694187946278</v>
      </c>
      <c r="Y1144" s="5">
        <f>DURATION(N1144,O1144,M1144,D1144,AD1144)</f>
        <v>2.7305703157589605</v>
      </c>
      <c r="Z1144" s="5">
        <f>Y1144/(1+C1144)</f>
        <v>2.4821404670924188</v>
      </c>
      <c r="AA1144" s="5">
        <f>-Z1144*F1144</f>
        <v>-2497.0333098949732</v>
      </c>
      <c r="AB1144" t="s">
        <v>64</v>
      </c>
      <c r="AC1144" t="s">
        <v>62</v>
      </c>
      <c r="AD1144">
        <f>_xlfn.SWITCH(PROPER(TRIM(S1144)),
   "Annual",1,
   "Semi-Annual",2,
   "Quarterly",4,
   "Monthly",12,
   "")</f>
        <v>1</v>
      </c>
    </row>
    <row r="1145" spans="1:30" x14ac:dyDescent="0.35">
      <c r="C1145" s="28"/>
      <c r="D1145" s="27"/>
      <c r="I1145" s="22"/>
      <c r="K1145" s="22"/>
      <c r="M1145" s="22"/>
      <c r="N1145" s="21"/>
      <c r="O1145" s="21"/>
      <c r="P1145" s="5"/>
      <c r="Q1145" s="6"/>
      <c r="R1145" s="5"/>
      <c r="W1145" s="28"/>
      <c r="Y1145" s="33"/>
      <c r="Z1145" s="33"/>
      <c r="AA1145" s="33"/>
    </row>
    <row r="1146" spans="1:30" x14ac:dyDescent="0.35">
      <c r="A1146" t="s">
        <v>973</v>
      </c>
      <c r="B1146" t="s">
        <v>316</v>
      </c>
      <c r="C1146" s="36">
        <f t="shared" ref="C1146:C1151" si="715">RATE(U1146,V1146,-F1146,H1146)</f>
        <v>0.15681709284192238</v>
      </c>
      <c r="D1146" s="3">
        <f t="shared" ref="D1146:D1151" si="716">C1146*AD1146</f>
        <v>0.15681709284192238</v>
      </c>
      <c r="F1146">
        <v>840</v>
      </c>
      <c r="G1146" t="s">
        <v>76</v>
      </c>
      <c r="H1146">
        <v>1000</v>
      </c>
      <c r="I1146" s="22"/>
      <c r="J1146">
        <v>100</v>
      </c>
      <c r="K1146" s="22"/>
      <c r="L1146">
        <v>18.700833216962199</v>
      </c>
      <c r="M1146" s="22">
        <v>0.1</v>
      </c>
      <c r="N1146" s="21">
        <v>45408</v>
      </c>
      <c r="O1146" s="21">
        <v>46868</v>
      </c>
      <c r="P1146">
        <f t="shared" ref="P1146:P1151" si="717">ROUND(YEARFRAC(N1146,O1146),0)</f>
        <v>4</v>
      </c>
      <c r="Q1146" s="6">
        <f t="shared" ref="Q1146:Q1151" si="718">(M1146*H1146)/F1146</f>
        <v>0.11904761904761904</v>
      </c>
      <c r="R1146" s="5">
        <f t="shared" ref="R1146:R1151" si="719">IF(S1146="Quarterly",4,IF(S1146="Semi-annual",2,IF(S1146="Annual",1,IF(S1146="Pays at maturity",0,12))))</f>
        <v>1</v>
      </c>
      <c r="S1146" t="s">
        <v>93</v>
      </c>
      <c r="U1146">
        <f t="shared" ref="U1146:U1151" si="720">R1146*P1146</f>
        <v>4</v>
      </c>
      <c r="V1146">
        <f t="shared" ref="V1146:V1151" si="721">(H1146*M1146)/AD1146</f>
        <v>100</v>
      </c>
      <c r="W1146" s="28">
        <f t="shared" ref="W1146:W1151" si="722">RATE(U1146,V1146,-F1146,H1146)</f>
        <v>0.15681709284192238</v>
      </c>
      <c r="X1146" s="27">
        <f t="shared" ref="X1146:X1151" si="723">W1146*AD1146</f>
        <v>0.15681709284192238</v>
      </c>
      <c r="Y1146" s="5">
        <f t="shared" ref="Y1146:Y1151" si="724">DURATION(N1146,O1146,M1146,D1146,AD1146)</f>
        <v>3.4336746971413135</v>
      </c>
      <c r="Z1146" s="5">
        <f t="shared" ref="Z1146:Z1151" si="725">Y1146/(1+C1146)</f>
        <v>2.96820881917114</v>
      </c>
      <c r="AA1146" s="5">
        <f t="shared" ref="AA1146:AA1151" si="726">-Z1146*F1146</f>
        <v>-2493.2954081037574</v>
      </c>
      <c r="AB1146" t="s">
        <v>64</v>
      </c>
      <c r="AC1146" t="s">
        <v>62</v>
      </c>
      <c r="AD1146">
        <f t="shared" ref="AD1146:AD1151" si="727">_xlfn.SWITCH(PROPER(TRIM(S1146)),
   "Annual",1,
   "Semi-Annual",2,
   "Quarterly",4,
   "Monthly",12,
   "")</f>
        <v>1</v>
      </c>
    </row>
    <row r="1147" spans="1:30" x14ac:dyDescent="0.35">
      <c r="A1147" t="s">
        <v>972</v>
      </c>
      <c r="B1147" t="s">
        <v>860</v>
      </c>
      <c r="C1147" s="36">
        <f t="shared" si="715"/>
        <v>0.25456018886793008</v>
      </c>
      <c r="D1147" s="3">
        <f t="shared" si="716"/>
        <v>0.25456018886793008</v>
      </c>
      <c r="F1147">
        <v>589</v>
      </c>
      <c r="G1147" t="s">
        <v>76</v>
      </c>
      <c r="H1147">
        <v>1000</v>
      </c>
      <c r="I1147" s="22"/>
      <c r="J1147">
        <v>528</v>
      </c>
      <c r="K1147" s="22"/>
      <c r="L1147">
        <v>42.146653137902902</v>
      </c>
      <c r="M1147" s="22">
        <v>0.1003</v>
      </c>
      <c r="N1147" s="21">
        <v>45041</v>
      </c>
      <c r="O1147" s="21">
        <v>46868</v>
      </c>
      <c r="P1147">
        <f t="shared" si="717"/>
        <v>5</v>
      </c>
      <c r="Q1147" s="6">
        <f t="shared" si="718"/>
        <v>0.1702886247877759</v>
      </c>
      <c r="R1147" s="5">
        <f t="shared" si="719"/>
        <v>1</v>
      </c>
      <c r="S1147" t="s">
        <v>93</v>
      </c>
      <c r="U1147">
        <f t="shared" si="720"/>
        <v>5</v>
      </c>
      <c r="V1147">
        <f t="shared" si="721"/>
        <v>100.3</v>
      </c>
      <c r="W1147" s="28">
        <f t="shared" si="722"/>
        <v>0.25456018886793008</v>
      </c>
      <c r="X1147" s="27">
        <f t="shared" si="723"/>
        <v>0.25456018886793008</v>
      </c>
      <c r="Y1147" s="5">
        <f t="shared" si="724"/>
        <v>3.8912529977508066</v>
      </c>
      <c r="Z1147" s="5">
        <f t="shared" si="725"/>
        <v>3.1016869754667833</v>
      </c>
      <c r="AA1147" s="5">
        <f t="shared" si="726"/>
        <v>-1826.8936285499353</v>
      </c>
      <c r="AB1147" t="s">
        <v>64</v>
      </c>
      <c r="AC1147" t="s">
        <v>62</v>
      </c>
      <c r="AD1147">
        <f t="shared" si="727"/>
        <v>1</v>
      </c>
    </row>
    <row r="1148" spans="1:30" x14ac:dyDescent="0.35">
      <c r="A1148" t="s">
        <v>971</v>
      </c>
      <c r="B1148" t="s">
        <v>860</v>
      </c>
      <c r="C1148" s="36">
        <f t="shared" si="715"/>
        <v>0.18807160211418</v>
      </c>
      <c r="D1148" s="3">
        <f t="shared" si="716"/>
        <v>0.18807160211418</v>
      </c>
      <c r="F1148">
        <v>744.9</v>
      </c>
      <c r="G1148" t="s">
        <v>76</v>
      </c>
      <c r="H1148">
        <v>1000</v>
      </c>
      <c r="I1148" s="22"/>
      <c r="J1148">
        <v>116</v>
      </c>
      <c r="K1148" s="22"/>
      <c r="L1148">
        <v>26.196399472528</v>
      </c>
      <c r="M1148" s="22">
        <v>0.105</v>
      </c>
      <c r="N1148" s="21">
        <v>45041</v>
      </c>
      <c r="O1148" s="21">
        <v>46868</v>
      </c>
      <c r="P1148">
        <f t="shared" si="717"/>
        <v>5</v>
      </c>
      <c r="Q1148" s="6">
        <f t="shared" si="718"/>
        <v>0.1409585179218687</v>
      </c>
      <c r="R1148" s="5">
        <f t="shared" si="719"/>
        <v>1</v>
      </c>
      <c r="S1148" t="s">
        <v>93</v>
      </c>
      <c r="U1148">
        <f t="shared" si="720"/>
        <v>5</v>
      </c>
      <c r="V1148">
        <f t="shared" si="721"/>
        <v>105</v>
      </c>
      <c r="W1148" s="28">
        <f t="shared" si="722"/>
        <v>0.18807160211418</v>
      </c>
      <c r="X1148" s="27">
        <f t="shared" si="723"/>
        <v>0.18807160211418</v>
      </c>
      <c r="Y1148" s="5">
        <f t="shared" si="724"/>
        <v>3.9869717117274148</v>
      </c>
      <c r="Z1148" s="5">
        <f t="shared" si="725"/>
        <v>3.3558345344107012</v>
      </c>
      <c r="AA1148" s="5">
        <f t="shared" si="726"/>
        <v>-2499.7611446825313</v>
      </c>
      <c r="AB1148" t="s">
        <v>64</v>
      </c>
      <c r="AC1148" t="s">
        <v>62</v>
      </c>
      <c r="AD1148">
        <f t="shared" si="727"/>
        <v>1</v>
      </c>
    </row>
    <row r="1149" spans="1:30" x14ac:dyDescent="0.35">
      <c r="A1149" t="s">
        <v>970</v>
      </c>
      <c r="B1149" t="s">
        <v>969</v>
      </c>
      <c r="C1149" s="36">
        <f t="shared" si="715"/>
        <v>7.2515083694198401E-2</v>
      </c>
      <c r="D1149" s="3">
        <f t="shared" si="716"/>
        <v>7.2515083694198401E-2</v>
      </c>
      <c r="F1149">
        <v>103455.67999999999</v>
      </c>
      <c r="G1149" t="s">
        <v>76</v>
      </c>
      <c r="H1149">
        <v>100000</v>
      </c>
      <c r="I1149" s="22"/>
      <c r="J1149">
        <v>150</v>
      </c>
      <c r="K1149" s="22"/>
      <c r="L1149">
        <v>6.6223189954527903</v>
      </c>
      <c r="M1149" s="22">
        <v>8.1000000000000003E-2</v>
      </c>
      <c r="N1149" s="21">
        <v>45042</v>
      </c>
      <c r="O1149" s="21">
        <v>46869</v>
      </c>
      <c r="P1149">
        <f t="shared" si="717"/>
        <v>5</v>
      </c>
      <c r="Q1149" s="6">
        <f t="shared" si="718"/>
        <v>7.8294396209082004E-2</v>
      </c>
      <c r="R1149" s="5">
        <f t="shared" si="719"/>
        <v>1</v>
      </c>
      <c r="S1149" t="s">
        <v>93</v>
      </c>
      <c r="U1149">
        <f t="shared" si="720"/>
        <v>5</v>
      </c>
      <c r="V1149">
        <f t="shared" si="721"/>
        <v>8100</v>
      </c>
      <c r="W1149" s="28">
        <f t="shared" si="722"/>
        <v>7.2515083694198401E-2</v>
      </c>
      <c r="X1149" s="27">
        <f t="shared" si="723"/>
        <v>7.2515083694198401E-2</v>
      </c>
      <c r="Y1149" s="5">
        <f t="shared" si="724"/>
        <v>4.317703962551807</v>
      </c>
      <c r="Z1149" s="5">
        <f t="shared" si="725"/>
        <v>4.0257745818173456</v>
      </c>
      <c r="AA1149" s="5">
        <f t="shared" si="726"/>
        <v>-416489.2468886291</v>
      </c>
      <c r="AB1149" t="s">
        <v>64</v>
      </c>
      <c r="AC1149" t="s">
        <v>62</v>
      </c>
      <c r="AD1149">
        <f t="shared" si="727"/>
        <v>1</v>
      </c>
    </row>
    <row r="1150" spans="1:30" x14ac:dyDescent="0.35">
      <c r="A1150" t="s">
        <v>968</v>
      </c>
      <c r="B1150" t="s">
        <v>417</v>
      </c>
      <c r="C1150" s="36">
        <f t="shared" si="715"/>
        <v>9.1492604655542611E-2</v>
      </c>
      <c r="D1150" s="3">
        <f t="shared" si="716"/>
        <v>9.1492604655542611E-2</v>
      </c>
      <c r="F1150">
        <v>1048000</v>
      </c>
      <c r="G1150" t="s">
        <v>76</v>
      </c>
      <c r="H1150">
        <v>1000000</v>
      </c>
      <c r="I1150" s="22"/>
      <c r="J1150">
        <v>1</v>
      </c>
      <c r="K1150" s="22"/>
      <c r="L1150">
        <v>7.80410262554342</v>
      </c>
      <c r="M1150" s="22">
        <v>9.7500000000000003E-2</v>
      </c>
      <c r="N1150" s="21">
        <v>41390</v>
      </c>
      <c r="O1150" s="21">
        <v>46869</v>
      </c>
      <c r="P1150">
        <f t="shared" si="717"/>
        <v>15</v>
      </c>
      <c r="Q1150" s="6">
        <f t="shared" si="718"/>
        <v>9.3034351145038163E-2</v>
      </c>
      <c r="R1150" s="5">
        <f t="shared" si="719"/>
        <v>1</v>
      </c>
      <c r="S1150" t="s">
        <v>93</v>
      </c>
      <c r="U1150">
        <f t="shared" si="720"/>
        <v>15</v>
      </c>
      <c r="V1150">
        <f t="shared" si="721"/>
        <v>97500</v>
      </c>
      <c r="W1150" s="28">
        <f t="shared" si="722"/>
        <v>9.1492604655542611E-2</v>
      </c>
      <c r="X1150" s="27">
        <f t="shared" si="723"/>
        <v>9.1492604655542611E-2</v>
      </c>
      <c r="Y1150" s="5">
        <f t="shared" si="724"/>
        <v>8.615386949247533</v>
      </c>
      <c r="Z1150" s="5">
        <f t="shared" si="725"/>
        <v>7.8932160534119324</v>
      </c>
      <c r="AA1150" s="5">
        <f t="shared" si="726"/>
        <v>-8272090.4239757052</v>
      </c>
      <c r="AB1150" t="s">
        <v>64</v>
      </c>
      <c r="AC1150" t="s">
        <v>62</v>
      </c>
      <c r="AD1150">
        <f t="shared" si="727"/>
        <v>1</v>
      </c>
    </row>
    <row r="1151" spans="1:30" x14ac:dyDescent="0.35">
      <c r="A1151" t="s">
        <v>967</v>
      </c>
      <c r="B1151" t="s">
        <v>401</v>
      </c>
      <c r="C1151" s="36" t="e">
        <f t="shared" si="715"/>
        <v>#VALUE!</v>
      </c>
      <c r="D1151" s="3" t="e">
        <f t="shared" si="716"/>
        <v>#VALUE!</v>
      </c>
      <c r="F1151">
        <v>1228004</v>
      </c>
      <c r="G1151" t="s">
        <v>76</v>
      </c>
      <c r="H1151">
        <v>1000000</v>
      </c>
      <c r="I1151" s="22"/>
      <c r="J1151">
        <v>2</v>
      </c>
      <c r="K1151" s="22"/>
      <c r="L1151">
        <v>3.5317089864607598</v>
      </c>
      <c r="M1151" s="22">
        <v>0.11</v>
      </c>
      <c r="N1151" s="21">
        <v>44861</v>
      </c>
      <c r="O1151" s="21">
        <v>46870</v>
      </c>
      <c r="P1151">
        <f t="shared" si="717"/>
        <v>6</v>
      </c>
      <c r="Q1151" s="6">
        <f t="shared" si="718"/>
        <v>8.9576255451936634E-2</v>
      </c>
      <c r="R1151" s="5">
        <f t="shared" si="719"/>
        <v>0</v>
      </c>
      <c r="S1151" t="s">
        <v>782</v>
      </c>
      <c r="U1151">
        <f t="shared" si="720"/>
        <v>0</v>
      </c>
      <c r="V1151" t="e">
        <f t="shared" si="721"/>
        <v>#VALUE!</v>
      </c>
      <c r="W1151" s="28" t="e">
        <f t="shared" si="722"/>
        <v>#VALUE!</v>
      </c>
      <c r="X1151" s="27" t="e">
        <f t="shared" si="723"/>
        <v>#VALUE!</v>
      </c>
      <c r="Y1151" s="5" t="e">
        <f t="shared" si="724"/>
        <v>#VALUE!</v>
      </c>
      <c r="Z1151" s="5" t="e">
        <f t="shared" si="725"/>
        <v>#VALUE!</v>
      </c>
      <c r="AA1151" s="5" t="e">
        <f t="shared" si="726"/>
        <v>#VALUE!</v>
      </c>
      <c r="AB1151" t="s">
        <v>64</v>
      </c>
      <c r="AC1151" t="s">
        <v>62</v>
      </c>
      <c r="AD1151" t="str">
        <f t="shared" si="727"/>
        <v/>
      </c>
    </row>
    <row r="1152" spans="1:30" x14ac:dyDescent="0.35">
      <c r="C1152" s="28"/>
      <c r="D1152" s="27"/>
      <c r="I1152" s="22"/>
      <c r="K1152" s="22"/>
      <c r="M1152" s="22"/>
      <c r="N1152" s="21"/>
      <c r="O1152" s="21"/>
      <c r="P1152" s="5"/>
      <c r="Q1152" s="6"/>
      <c r="R1152" s="5"/>
      <c r="W1152" s="28"/>
      <c r="Y1152" s="33"/>
      <c r="Z1152" s="33"/>
      <c r="AA1152" s="33"/>
    </row>
    <row r="1153" spans="1:30" x14ac:dyDescent="0.35">
      <c r="A1153" t="s">
        <v>965</v>
      </c>
      <c r="B1153" t="s">
        <v>122</v>
      </c>
      <c r="C1153" s="36">
        <f>RATE(U1153,V1153,-F1153,H1153)</f>
        <v>0.10200297337459251</v>
      </c>
      <c r="D1153" s="3">
        <f>C1153*AD1153</f>
        <v>0.10200297337459251</v>
      </c>
      <c r="F1153">
        <v>980</v>
      </c>
      <c r="G1153" t="s">
        <v>76</v>
      </c>
      <c r="H1153">
        <v>1000</v>
      </c>
      <c r="I1153" s="22"/>
      <c r="J1153">
        <v>137</v>
      </c>
      <c r="K1153" s="22"/>
      <c r="L1153">
        <v>10.6048696706405</v>
      </c>
      <c r="M1153" s="22">
        <v>9.6699999999999994E-2</v>
      </c>
      <c r="N1153" s="21">
        <v>45043</v>
      </c>
      <c r="O1153" s="21">
        <v>46870</v>
      </c>
      <c r="P1153">
        <f>ROUND(YEARFRAC(N1153,O1153),0)</f>
        <v>5</v>
      </c>
      <c r="Q1153" s="6">
        <f>(M1153*H1153)/F1153</f>
        <v>9.8673469387755092E-2</v>
      </c>
      <c r="R1153" s="5">
        <f>IF(S1153="Quarterly",4,IF(S1153="Semi-annual",2,IF(S1153="Annual",1,IF(S1153="Pays at maturity",0,12))))</f>
        <v>1</v>
      </c>
      <c r="S1153" t="s">
        <v>93</v>
      </c>
      <c r="U1153">
        <f>R1153*P1153</f>
        <v>5</v>
      </c>
      <c r="V1153">
        <f>(H1153*M1153)/AD1153</f>
        <v>96.699999999999989</v>
      </c>
      <c r="W1153" s="28">
        <f>RATE(U1153,V1153,-F1153,H1153)</f>
        <v>0.10200297337459251</v>
      </c>
      <c r="X1153" s="27">
        <f>W1153*AD1153</f>
        <v>0.10200297337459251</v>
      </c>
      <c r="Y1153" s="5">
        <f>DURATION(N1153,O1153,M1153,D1153,AD1153)</f>
        <v>4.183713772610993</v>
      </c>
      <c r="Z1153" s="5">
        <f>Y1153/(1+C1153)</f>
        <v>3.7964632343953455</v>
      </c>
      <c r="AA1153" s="5">
        <f>-Z1153*F1153</f>
        <v>-3720.5339697074387</v>
      </c>
      <c r="AB1153" t="s">
        <v>64</v>
      </c>
      <c r="AC1153" t="s">
        <v>62</v>
      </c>
      <c r="AD1153">
        <f>_xlfn.SWITCH(PROPER(TRIM(S1153)),
   "Annual",1,
   "Semi-Annual",2,
   "Quarterly",4,
   "Monthly",12,
   "")</f>
        <v>1</v>
      </c>
    </row>
    <row r="1154" spans="1:30" x14ac:dyDescent="0.35">
      <c r="A1154" t="s">
        <v>964</v>
      </c>
      <c r="B1154" t="s">
        <v>122</v>
      </c>
      <c r="C1154" s="36">
        <f>RATE(U1154,V1154,-F1154,H1154)</f>
        <v>0.10636197129656003</v>
      </c>
      <c r="D1154" s="3">
        <f>C1154*AD1154</f>
        <v>0.10636197129656003</v>
      </c>
      <c r="F1154">
        <v>980</v>
      </c>
      <c r="G1154" t="s">
        <v>76</v>
      </c>
      <c r="H1154">
        <v>1000</v>
      </c>
      <c r="I1154" s="22"/>
      <c r="J1154">
        <v>250</v>
      </c>
      <c r="K1154" s="22"/>
      <c r="L1154">
        <v>11.0407358209556</v>
      </c>
      <c r="M1154" s="22">
        <v>0.10099999999999999</v>
      </c>
      <c r="N1154" s="21">
        <v>45043</v>
      </c>
      <c r="O1154" s="21">
        <v>46870</v>
      </c>
      <c r="P1154">
        <f>ROUND(YEARFRAC(N1154,O1154),0)</f>
        <v>5</v>
      </c>
      <c r="Q1154" s="6">
        <f>(M1154*H1154)/F1154</f>
        <v>0.10306122448979591</v>
      </c>
      <c r="R1154" s="5">
        <f>IF(S1154="Quarterly",4,IF(S1154="Semi-annual",2,IF(S1154="Annual",1,IF(S1154="Pays at maturity",0,12))))</f>
        <v>1</v>
      </c>
      <c r="S1154" t="s">
        <v>93</v>
      </c>
      <c r="U1154">
        <f>R1154*P1154</f>
        <v>5</v>
      </c>
      <c r="V1154">
        <f>(H1154*M1154)/AD1154</f>
        <v>100.99999999999999</v>
      </c>
      <c r="W1154" s="28">
        <f>RATE(U1154,V1154,-F1154,H1154)</f>
        <v>0.10636197129656003</v>
      </c>
      <c r="X1154" s="27">
        <f>W1154*AD1154</f>
        <v>0.10636197129656003</v>
      </c>
      <c r="Y1154" s="5">
        <f>DURATION(N1154,O1154,M1154,D1154,AD1154)</f>
        <v>4.1537998886368444</v>
      </c>
      <c r="Z1154" s="5">
        <f>Y1154/(1+C1154)</f>
        <v>3.7544673410718845</v>
      </c>
      <c r="AA1154" s="5">
        <f>-Z1154*F1154</f>
        <v>-3679.377994250447</v>
      </c>
      <c r="AB1154" t="s">
        <v>64</v>
      </c>
      <c r="AC1154" t="s">
        <v>62</v>
      </c>
      <c r="AD1154">
        <f>_xlfn.SWITCH(PROPER(TRIM(S1154)),
   "Annual",1,
   "Semi-Annual",2,
   "Quarterly",4,
   "Monthly",12,
   "")</f>
        <v>1</v>
      </c>
    </row>
    <row r="1155" spans="1:30" x14ac:dyDescent="0.35">
      <c r="C1155" s="28"/>
      <c r="D1155" s="27"/>
      <c r="I1155" s="22"/>
      <c r="K1155" s="22"/>
      <c r="M1155" s="22"/>
      <c r="N1155" s="21"/>
      <c r="O1155" s="21"/>
      <c r="P1155" s="5"/>
      <c r="Q1155" s="6"/>
      <c r="R1155" s="5"/>
      <c r="W1155" s="28"/>
      <c r="Y1155" s="33"/>
      <c r="Z1155" s="33"/>
      <c r="AA1155" s="33"/>
    </row>
    <row r="1156" spans="1:30" x14ac:dyDescent="0.35">
      <c r="A1156" t="s">
        <v>962</v>
      </c>
      <c r="B1156" t="s">
        <v>261</v>
      </c>
      <c r="C1156" s="36">
        <f>RATE(U1156,V1156,-F1156,H1156)</f>
        <v>7.018960947869754E-2</v>
      </c>
      <c r="D1156" s="3">
        <f>C1156*AD1156</f>
        <v>7.018960947869754E-2</v>
      </c>
      <c r="F1156">
        <v>107094</v>
      </c>
      <c r="G1156" t="s">
        <v>76</v>
      </c>
      <c r="H1156">
        <v>100000</v>
      </c>
      <c r="I1156" s="22"/>
      <c r="J1156">
        <v>70</v>
      </c>
      <c r="K1156" s="22"/>
      <c r="L1156">
        <v>6.0914655844888097</v>
      </c>
      <c r="M1156" s="22">
        <v>8.7499999999999994E-2</v>
      </c>
      <c r="N1156" s="21">
        <v>45044</v>
      </c>
      <c r="O1156" s="21">
        <v>46871</v>
      </c>
      <c r="P1156">
        <f>ROUND(YEARFRAC(N1156,O1156),0)</f>
        <v>5</v>
      </c>
      <c r="Q1156" s="6">
        <f>(M1156*H1156)/F1156</f>
        <v>8.170392365585373E-2</v>
      </c>
      <c r="R1156" s="5">
        <f>IF(S1156="Quarterly",4,IF(S1156="Semi-annual",2,IF(S1156="Annual",1,IF(S1156="Pays at maturity",0,12))))</f>
        <v>1</v>
      </c>
      <c r="S1156" t="s">
        <v>93</v>
      </c>
      <c r="U1156">
        <f>R1156*P1156</f>
        <v>5</v>
      </c>
      <c r="V1156">
        <f>(H1156*M1156)/AD1156</f>
        <v>8750</v>
      </c>
      <c r="W1156" s="28">
        <f>RATE(U1156,V1156,-F1156,H1156)</f>
        <v>7.018960947869754E-2</v>
      </c>
      <c r="X1156" s="27">
        <f>W1156*AD1156</f>
        <v>7.018960947869754E-2</v>
      </c>
      <c r="Y1156" s="5">
        <f>DURATION(N1156,O1156,M1156,D1156,AD1156)</f>
        <v>4.2849986666047393</v>
      </c>
      <c r="Z1156" s="5">
        <f>Y1156/(1+C1156)</f>
        <v>4.0039621284419074</v>
      </c>
      <c r="AA1156" s="5">
        <f>-Z1156*F1156</f>
        <v>-428800.32018335763</v>
      </c>
      <c r="AB1156" t="s">
        <v>64</v>
      </c>
      <c r="AC1156" t="s">
        <v>62</v>
      </c>
      <c r="AD1156">
        <f>_xlfn.SWITCH(PROPER(TRIM(S1156)),
   "Annual",1,
   "Semi-Annual",2,
   "Quarterly",4,
   "Monthly",12,
   "")</f>
        <v>1</v>
      </c>
    </row>
    <row r="1157" spans="1:30" x14ac:dyDescent="0.35">
      <c r="C1157" s="28"/>
      <c r="D1157" s="27"/>
      <c r="I1157" s="22"/>
      <c r="K1157" s="22"/>
      <c r="M1157" s="22"/>
      <c r="N1157" s="21"/>
      <c r="O1157" s="21"/>
      <c r="P1157" s="5"/>
      <c r="Q1157" s="6"/>
      <c r="R1157" s="5"/>
      <c r="W1157" s="28"/>
      <c r="Y1157" s="33"/>
      <c r="Z1157" s="33"/>
      <c r="AA1157" s="33"/>
    </row>
    <row r="1158" spans="1:30" x14ac:dyDescent="0.35">
      <c r="A1158" t="s">
        <v>960</v>
      </c>
      <c r="B1158" t="s">
        <v>122</v>
      </c>
      <c r="C1158" s="36">
        <f>RATE(U1158,V1158,-F1158,H1158)</f>
        <v>0.12071148663675964</v>
      </c>
      <c r="D1158" s="3">
        <f>C1158*AD1158</f>
        <v>0.12071148663675964</v>
      </c>
      <c r="F1158">
        <v>940</v>
      </c>
      <c r="G1158" t="s">
        <v>76</v>
      </c>
      <c r="H1158">
        <v>1000</v>
      </c>
      <c r="I1158" s="22"/>
      <c r="J1158">
        <v>9</v>
      </c>
      <c r="K1158" s="22"/>
      <c r="L1158">
        <v>12.4362114065621</v>
      </c>
      <c r="M1158" s="22">
        <v>9.5700000000000007E-2</v>
      </c>
      <c r="N1158" s="21">
        <v>45777</v>
      </c>
      <c r="O1158" s="21">
        <v>46873</v>
      </c>
      <c r="P1158">
        <f>ROUND(YEARFRAC(N1158,O1158),0)</f>
        <v>3</v>
      </c>
      <c r="Q1158" s="6">
        <f>(M1158*H1158)/F1158</f>
        <v>0.10180851063829788</v>
      </c>
      <c r="R1158" s="5">
        <f>IF(S1158="Quarterly",4,IF(S1158="Semi-annual",2,IF(S1158="Annual",1,IF(S1158="Pays at maturity",0,12))))</f>
        <v>1</v>
      </c>
      <c r="S1158" t="s">
        <v>93</v>
      </c>
      <c r="U1158">
        <f>R1158*P1158</f>
        <v>3</v>
      </c>
      <c r="V1158">
        <f>(H1158*M1158)/AD1158</f>
        <v>95.7</v>
      </c>
      <c r="W1158" s="28">
        <f>RATE(U1158,V1158,-F1158,H1158)</f>
        <v>0.12071148663675964</v>
      </c>
      <c r="X1158" s="27">
        <f>W1158*AD1158</f>
        <v>0.12071148663675964</v>
      </c>
      <c r="Y1158" s="5">
        <f>DURATION(N1158,O1158,M1158,D1158,AD1158)</f>
        <v>2.7372564015617744</v>
      </c>
      <c r="Z1158" s="5">
        <f>Y1158/(1+C1158)</f>
        <v>2.4424273635101614</v>
      </c>
      <c r="AA1158" s="5">
        <f>-Z1158*F1158</f>
        <v>-2295.8817216995517</v>
      </c>
      <c r="AB1158" t="s">
        <v>64</v>
      </c>
      <c r="AC1158" t="s">
        <v>62</v>
      </c>
      <c r="AD1158">
        <f>_xlfn.SWITCH(PROPER(TRIM(S1158)),
   "Annual",1,
   "Semi-Annual",2,
   "Quarterly",4,
   "Monthly",12,
   "")</f>
        <v>1</v>
      </c>
    </row>
    <row r="1159" spans="1:30" x14ac:dyDescent="0.35">
      <c r="A1159" t="s">
        <v>959</v>
      </c>
      <c r="B1159" t="s">
        <v>122</v>
      </c>
      <c r="C1159" s="36">
        <f>RATE(U1159,V1159,-F1159,H1159)</f>
        <v>0.10364226204923221</v>
      </c>
      <c r="D1159" s="3">
        <f>C1159*AD1159</f>
        <v>0.10364226204923221</v>
      </c>
      <c r="F1159">
        <v>991</v>
      </c>
      <c r="G1159" t="s">
        <v>76</v>
      </c>
      <c r="H1159">
        <v>1000</v>
      </c>
      <c r="I1159" s="22"/>
      <c r="J1159">
        <v>40</v>
      </c>
      <c r="K1159" s="22"/>
      <c r="L1159">
        <v>10.4167596867381</v>
      </c>
      <c r="M1159" s="22">
        <v>0.1</v>
      </c>
      <c r="N1159" s="21">
        <v>45777</v>
      </c>
      <c r="O1159" s="21">
        <v>46873</v>
      </c>
      <c r="P1159">
        <f>ROUND(YEARFRAC(N1159,O1159),0)</f>
        <v>3</v>
      </c>
      <c r="Q1159" s="6">
        <f>(M1159*H1159)/F1159</f>
        <v>0.10090817356205853</v>
      </c>
      <c r="R1159" s="5">
        <f>IF(S1159="Quarterly",4,IF(S1159="Semi-annual",2,IF(S1159="Annual",1,IF(S1159="Pays at maturity",0,12))))</f>
        <v>1</v>
      </c>
      <c r="S1159" t="s">
        <v>93</v>
      </c>
      <c r="U1159">
        <f>R1159*P1159</f>
        <v>3</v>
      </c>
      <c r="V1159">
        <f>(H1159*M1159)/AD1159</f>
        <v>100</v>
      </c>
      <c r="W1159" s="28">
        <f>RATE(U1159,V1159,-F1159,H1159)</f>
        <v>0.10364226204923221</v>
      </c>
      <c r="X1159" s="27">
        <f>W1159*AD1159</f>
        <v>0.10364226204923221</v>
      </c>
      <c r="Y1159" s="5">
        <f>DURATION(N1159,O1159,M1159,D1159,AD1159)</f>
        <v>2.7342904347168537</v>
      </c>
      <c r="Z1159" s="5">
        <f>Y1159/(1+C1159)</f>
        <v>2.4775151593414422</v>
      </c>
      <c r="AA1159" s="5">
        <f>-Z1159*F1159</f>
        <v>-2455.2175229073691</v>
      </c>
      <c r="AB1159" t="s">
        <v>64</v>
      </c>
      <c r="AC1159" t="s">
        <v>62</v>
      </c>
      <c r="AD1159">
        <f>_xlfn.SWITCH(PROPER(TRIM(S1159)),
   "Annual",1,
   "Semi-Annual",2,
   "Quarterly",4,
   "Monthly",12,
   "")</f>
        <v>1</v>
      </c>
    </row>
    <row r="1160" spans="1:30" x14ac:dyDescent="0.35">
      <c r="C1160" s="28"/>
      <c r="D1160" s="27"/>
      <c r="I1160" s="22"/>
      <c r="K1160" s="22"/>
      <c r="M1160" s="22"/>
      <c r="N1160" s="21"/>
      <c r="O1160" s="21"/>
      <c r="P1160" s="5"/>
      <c r="Q1160" s="6"/>
      <c r="R1160" s="5"/>
      <c r="W1160" s="28"/>
      <c r="Y1160" s="33"/>
      <c r="Z1160" s="33"/>
      <c r="AA1160" s="33"/>
    </row>
    <row r="1161" spans="1:30" x14ac:dyDescent="0.35">
      <c r="A1161" t="s">
        <v>957</v>
      </c>
      <c r="B1161" t="s">
        <v>216</v>
      </c>
      <c r="C1161" s="36">
        <f>RATE(U1161,V1161,-F1161,H1161)</f>
        <v>8.1109857199421001E-2</v>
      </c>
      <c r="D1161" s="3">
        <f>C1161*AD1161</f>
        <v>8.1109857199421001E-2</v>
      </c>
      <c r="F1161">
        <v>99597.97</v>
      </c>
      <c r="G1161" t="s">
        <v>76</v>
      </c>
      <c r="H1161">
        <v>100000</v>
      </c>
      <c r="I1161" s="22"/>
      <c r="J1161">
        <v>5</v>
      </c>
      <c r="K1161" s="22"/>
      <c r="L1161">
        <v>8.1801560452401603</v>
      </c>
      <c r="M1161" s="22">
        <v>8.0100000000000005E-2</v>
      </c>
      <c r="N1161" s="21">
        <v>45048</v>
      </c>
      <c r="O1161" s="21">
        <v>46875</v>
      </c>
      <c r="P1161">
        <f>ROUND(YEARFRAC(N1161,O1161),0)</f>
        <v>5</v>
      </c>
      <c r="Q1161" s="6">
        <f>(M1161*H1161)/F1161</f>
        <v>8.0423325897104131E-2</v>
      </c>
      <c r="R1161" s="5">
        <f>IF(S1161="Quarterly",4,IF(S1161="Semi-annual",2,IF(S1161="Annual",1,IF(S1161="Pays at maturity",0,12))))</f>
        <v>1</v>
      </c>
      <c r="S1161" t="s">
        <v>93</v>
      </c>
      <c r="U1161">
        <f>R1161*P1161</f>
        <v>5</v>
      </c>
      <c r="V1161">
        <f>(H1161*M1161)/AD1161</f>
        <v>8010</v>
      </c>
      <c r="W1161" s="28">
        <f>RATE(U1161,V1161,-F1161,H1161)</f>
        <v>8.1109857199421001E-2</v>
      </c>
      <c r="X1161" s="27">
        <f>W1161*AD1161</f>
        <v>8.1109857199421001E-2</v>
      </c>
      <c r="Y1161" s="5">
        <f>DURATION(N1161,O1161,M1161,D1161,AD1161)</f>
        <v>4.3098523818234424</v>
      </c>
      <c r="Z1161" s="5">
        <f>Y1161/(1+C1161)</f>
        <v>3.9865073406952098</v>
      </c>
      <c r="AA1161" s="5">
        <f>-Z1161*F1161</f>
        <v>-397048.0385233413</v>
      </c>
      <c r="AB1161" t="s">
        <v>64</v>
      </c>
      <c r="AC1161" t="s">
        <v>62</v>
      </c>
      <c r="AD1161">
        <f>_xlfn.SWITCH(PROPER(TRIM(S1161)),
   "Annual",1,
   "Semi-Annual",2,
   "Quarterly",4,
   "Monthly",12,
   "")</f>
        <v>1</v>
      </c>
    </row>
    <row r="1162" spans="1:30" x14ac:dyDescent="0.35">
      <c r="A1162" t="s">
        <v>956</v>
      </c>
      <c r="B1162" t="s">
        <v>241</v>
      </c>
      <c r="C1162" s="36">
        <f>RATE(U1162,V1162,-F1162,H1162)</f>
        <v>9.7166165771731497E-2</v>
      </c>
      <c r="D1162" s="3">
        <f>C1162*AD1162</f>
        <v>9.7166165771731497E-2</v>
      </c>
      <c r="F1162">
        <v>965</v>
      </c>
      <c r="G1162" t="s">
        <v>76</v>
      </c>
      <c r="H1162">
        <v>1000</v>
      </c>
      <c r="I1162" s="22"/>
      <c r="J1162">
        <v>400</v>
      </c>
      <c r="K1162" s="22"/>
      <c r="L1162">
        <v>10.4145077720207</v>
      </c>
      <c r="M1162" s="22">
        <v>8.8000000000000009E-2</v>
      </c>
      <c r="N1162" s="21">
        <v>45048</v>
      </c>
      <c r="O1162" s="21">
        <v>46875</v>
      </c>
      <c r="P1162">
        <f>ROUND(YEARFRAC(N1162,O1162),0)</f>
        <v>5</v>
      </c>
      <c r="Q1162" s="6">
        <f>(M1162*H1162)/F1162</f>
        <v>9.1191709844559599E-2</v>
      </c>
      <c r="R1162" s="5">
        <f>IF(S1162="Quarterly",4,IF(S1162="Semi-annual",2,IF(S1162="Annual",1,IF(S1162="Pays at maturity",0,12))))</f>
        <v>1</v>
      </c>
      <c r="S1162" t="s">
        <v>93</v>
      </c>
      <c r="U1162">
        <f>R1162*P1162</f>
        <v>5</v>
      </c>
      <c r="V1162">
        <f>(H1162*M1162)/AD1162</f>
        <v>88.000000000000014</v>
      </c>
      <c r="W1162" s="28">
        <f>RATE(U1162,V1162,-F1162,H1162)</f>
        <v>9.7166165771731497E-2</v>
      </c>
      <c r="X1162" s="27">
        <f>W1162*AD1162</f>
        <v>9.7166165771731497E-2</v>
      </c>
      <c r="Y1162" s="5">
        <f>DURATION(N1162,O1162,M1162,D1162,AD1162)</f>
        <v>4.2392496463931959</v>
      </c>
      <c r="Z1162" s="5">
        <f>Y1162/(1+C1162)</f>
        <v>3.8638173310889203</v>
      </c>
      <c r="AA1162" s="5">
        <f>-Z1162*F1162</f>
        <v>-3728.5837245008083</v>
      </c>
      <c r="AB1162" t="s">
        <v>64</v>
      </c>
      <c r="AC1162" t="s">
        <v>62</v>
      </c>
      <c r="AD1162">
        <f>_xlfn.SWITCH(PROPER(TRIM(S1162)),
   "Annual",1,
   "Semi-Annual",2,
   "Quarterly",4,
   "Monthly",12,
   "")</f>
        <v>1</v>
      </c>
    </row>
    <row r="1163" spans="1:30" x14ac:dyDescent="0.35">
      <c r="A1163" t="s">
        <v>955</v>
      </c>
      <c r="B1163" t="s">
        <v>241</v>
      </c>
      <c r="C1163" s="36">
        <f>RATE(U1163,V1163,-F1163,H1163)</f>
        <v>9.6731974889093048E-2</v>
      </c>
      <c r="D1163" s="3">
        <f>C1163*AD1163</f>
        <v>9.6731974889093048E-2</v>
      </c>
      <c r="F1163">
        <v>980</v>
      </c>
      <c r="G1163" t="s">
        <v>76</v>
      </c>
      <c r="H1163">
        <v>1000</v>
      </c>
      <c r="I1163" s="22"/>
      <c r="J1163">
        <v>130</v>
      </c>
      <c r="K1163" s="22"/>
      <c r="L1163">
        <v>10.062049162410799</v>
      </c>
      <c r="M1163" s="22">
        <v>9.1499999999999998E-2</v>
      </c>
      <c r="N1163" s="21">
        <v>45048</v>
      </c>
      <c r="O1163" s="21">
        <v>46875</v>
      </c>
      <c r="P1163">
        <f>ROUND(YEARFRAC(N1163,O1163),0)</f>
        <v>5</v>
      </c>
      <c r="Q1163" s="6">
        <f>(M1163*H1163)/F1163</f>
        <v>9.3367346938775506E-2</v>
      </c>
      <c r="R1163" s="5">
        <f>IF(S1163="Quarterly",4,IF(S1163="Semi-annual",2,IF(S1163="Annual",1,IF(S1163="Pays at maturity",0,12))))</f>
        <v>1</v>
      </c>
      <c r="S1163" t="s">
        <v>93</v>
      </c>
      <c r="U1163">
        <f>R1163*P1163</f>
        <v>5</v>
      </c>
      <c r="V1163">
        <f>(H1163*M1163)/AD1163</f>
        <v>91.5</v>
      </c>
      <c r="W1163" s="28">
        <f>RATE(U1163,V1163,-F1163,H1163)</f>
        <v>9.6731974889093048E-2</v>
      </c>
      <c r="X1163" s="27">
        <f>W1163*AD1163</f>
        <v>9.6731974889093048E-2</v>
      </c>
      <c r="Y1163" s="5">
        <f>DURATION(N1163,O1163,M1163,D1163,AD1163)</f>
        <v>4.2205106672984067</v>
      </c>
      <c r="Z1163" s="5">
        <f>Y1163/(1+C1163)</f>
        <v>3.8482608002061811</v>
      </c>
      <c r="AA1163" s="5">
        <f>-Z1163*F1163</f>
        <v>-3771.2955842020574</v>
      </c>
      <c r="AB1163" t="s">
        <v>64</v>
      </c>
      <c r="AC1163" t="s">
        <v>62</v>
      </c>
      <c r="AD1163">
        <f>_xlfn.SWITCH(PROPER(TRIM(S1163)),
   "Annual",1,
   "Semi-Annual",2,
   "Quarterly",4,
   "Monthly",12,
   "")</f>
        <v>1</v>
      </c>
    </row>
    <row r="1164" spans="1:30" x14ac:dyDescent="0.35">
      <c r="C1164" s="28"/>
      <c r="D1164" s="27"/>
      <c r="I1164" s="22"/>
      <c r="K1164" s="22"/>
      <c r="M1164" s="22"/>
      <c r="N1164" s="21"/>
      <c r="O1164" s="21"/>
      <c r="P1164" s="5"/>
      <c r="Q1164" s="6"/>
      <c r="R1164" s="5"/>
      <c r="W1164" s="28"/>
      <c r="Y1164" s="33"/>
      <c r="Z1164" s="33"/>
      <c r="AA1164" s="33"/>
    </row>
    <row r="1165" spans="1:30" x14ac:dyDescent="0.35">
      <c r="A1165" t="s">
        <v>953</v>
      </c>
      <c r="B1165" t="s">
        <v>749</v>
      </c>
      <c r="C1165" s="36">
        <f t="shared" ref="C1165:C1170" si="728">RATE(U1165,V1165,-F1165,H1165)</f>
        <v>7.9497749938582843E-2</v>
      </c>
      <c r="D1165" s="3">
        <f t="shared" ref="D1165:D1170" si="729">C1165*AD1165</f>
        <v>7.9497749938582843E-2</v>
      </c>
      <c r="F1165">
        <v>1018</v>
      </c>
      <c r="G1165" t="s">
        <v>76</v>
      </c>
      <c r="H1165">
        <v>1000</v>
      </c>
      <c r="I1165" s="22"/>
      <c r="J1165">
        <v>10</v>
      </c>
      <c r="K1165" s="22"/>
      <c r="L1165">
        <v>7.6199831602582098</v>
      </c>
      <c r="M1165" s="22">
        <v>8.4000000000000005E-2</v>
      </c>
      <c r="N1165" s="21">
        <v>45050</v>
      </c>
      <c r="O1165" s="21">
        <v>46877</v>
      </c>
      <c r="P1165">
        <f t="shared" ref="P1165:P1170" si="730">ROUND(YEARFRAC(N1165,O1165),0)</f>
        <v>5</v>
      </c>
      <c r="Q1165" s="6">
        <f t="shared" ref="Q1165:Q1170" si="731">(M1165*H1165)/F1165</f>
        <v>8.2514734774066803E-2</v>
      </c>
      <c r="R1165" s="5">
        <f t="shared" ref="R1165:R1170" si="732">IF(S1165="Quarterly",4,IF(S1165="Semi-annual",2,IF(S1165="Annual",1,IF(S1165="Pays at maturity",0,12))))</f>
        <v>1</v>
      </c>
      <c r="S1165" t="s">
        <v>93</v>
      </c>
      <c r="U1165">
        <f t="shared" ref="U1165:U1170" si="733">R1165*P1165</f>
        <v>5</v>
      </c>
      <c r="V1165">
        <f t="shared" ref="V1165:V1170" si="734">(H1165*M1165)/AD1165</f>
        <v>84</v>
      </c>
      <c r="W1165" s="28">
        <f t="shared" ref="W1165:W1170" si="735">RATE(U1165,V1165,-F1165,H1165)</f>
        <v>7.9497749938582843E-2</v>
      </c>
      <c r="X1165" s="27">
        <f t="shared" ref="X1165:X1170" si="736">W1165*AD1165</f>
        <v>7.9497749938582843E-2</v>
      </c>
      <c r="Y1165" s="5">
        <f t="shared" ref="Y1165:Y1170" si="737">DURATION(N1165,O1165,M1165,D1165,AD1165)</f>
        <v>4.2898684940988838</v>
      </c>
      <c r="Z1165" s="5">
        <f t="shared" ref="Z1165:Z1170" si="738">Y1165/(1+C1165)</f>
        <v>3.9739485277694668</v>
      </c>
      <c r="AA1165" s="5">
        <f t="shared" ref="AA1165:AA1170" si="739">-Z1165*F1165</f>
        <v>-4045.4796012693173</v>
      </c>
      <c r="AB1165" t="s">
        <v>64</v>
      </c>
      <c r="AC1165" t="s">
        <v>62</v>
      </c>
      <c r="AD1165">
        <f t="shared" ref="AD1165:AD1170" si="740">_xlfn.SWITCH(PROPER(TRIM(S1165)),
   "Annual",1,
   "Semi-Annual",2,
   "Quarterly",4,
   "Monthly",12,
   "")</f>
        <v>1</v>
      </c>
    </row>
    <row r="1166" spans="1:30" x14ac:dyDescent="0.35">
      <c r="A1166" t="s">
        <v>952</v>
      </c>
      <c r="B1166" t="s">
        <v>772</v>
      </c>
      <c r="C1166" s="36">
        <f t="shared" si="728"/>
        <v>2.3876312138728015E-2</v>
      </c>
      <c r="D1166" s="3">
        <f t="shared" si="729"/>
        <v>4.7752624277456031E-2</v>
      </c>
      <c r="F1166">
        <v>1004.39</v>
      </c>
      <c r="G1166" t="s">
        <v>66</v>
      </c>
      <c r="H1166">
        <v>1000</v>
      </c>
      <c r="I1166" s="22"/>
      <c r="J1166">
        <v>1000000</v>
      </c>
      <c r="K1166" s="22"/>
      <c r="M1166" s="22">
        <v>4.8750000000000002E-2</v>
      </c>
      <c r="N1166" s="21">
        <v>45051</v>
      </c>
      <c r="O1166" s="21">
        <v>46878</v>
      </c>
      <c r="P1166">
        <f t="shared" si="730"/>
        <v>5</v>
      </c>
      <c r="Q1166" s="6">
        <f t="shared" si="731"/>
        <v>4.8536922908431986E-2</v>
      </c>
      <c r="R1166" s="5">
        <f t="shared" si="732"/>
        <v>2</v>
      </c>
      <c r="S1166" t="s">
        <v>65</v>
      </c>
      <c r="U1166">
        <f t="shared" si="733"/>
        <v>10</v>
      </c>
      <c r="V1166">
        <f t="shared" si="734"/>
        <v>24.375</v>
      </c>
      <c r="W1166" s="28">
        <f t="shared" si="735"/>
        <v>2.3876312138728015E-2</v>
      </c>
      <c r="X1166" s="27">
        <f t="shared" si="736"/>
        <v>4.7752624277456031E-2</v>
      </c>
      <c r="Y1166" s="5">
        <f t="shared" si="737"/>
        <v>4.4985406874243967</v>
      </c>
      <c r="Z1166" s="5">
        <f t="shared" si="738"/>
        <v>4.3936368427428532</v>
      </c>
      <c r="AA1166" s="5">
        <f t="shared" si="739"/>
        <v>-4412.9249084824942</v>
      </c>
      <c r="AB1166" t="s">
        <v>64</v>
      </c>
      <c r="AC1166" t="s">
        <v>62</v>
      </c>
      <c r="AD1166">
        <f t="shared" si="740"/>
        <v>2</v>
      </c>
    </row>
    <row r="1167" spans="1:30" x14ac:dyDescent="0.35">
      <c r="A1167" t="s">
        <v>951</v>
      </c>
      <c r="B1167" t="s">
        <v>330</v>
      </c>
      <c r="C1167" s="36">
        <f t="shared" si="728"/>
        <v>1.9225000000013381E-2</v>
      </c>
      <c r="D1167" s="3">
        <f t="shared" si="729"/>
        <v>7.6900000000053523E-2</v>
      </c>
      <c r="F1167">
        <v>1000</v>
      </c>
      <c r="G1167" t="s">
        <v>76</v>
      </c>
      <c r="H1167">
        <v>1000</v>
      </c>
      <c r="I1167" s="22"/>
      <c r="J1167">
        <v>100</v>
      </c>
      <c r="K1167" s="22"/>
      <c r="M1167" s="22">
        <v>7.690000000000001E-2</v>
      </c>
      <c r="N1167" s="21">
        <v>44322</v>
      </c>
      <c r="O1167" s="21">
        <v>46879</v>
      </c>
      <c r="P1167">
        <f t="shared" si="730"/>
        <v>7</v>
      </c>
      <c r="Q1167" s="6">
        <f t="shared" si="731"/>
        <v>7.690000000000001E-2</v>
      </c>
      <c r="R1167" s="5">
        <f t="shared" si="732"/>
        <v>4</v>
      </c>
      <c r="S1167" t="s">
        <v>105</v>
      </c>
      <c r="U1167">
        <f t="shared" si="733"/>
        <v>28</v>
      </c>
      <c r="V1167">
        <f t="shared" si="734"/>
        <v>19.225000000000001</v>
      </c>
      <c r="W1167" s="28">
        <f t="shared" si="735"/>
        <v>1.9225000000013381E-2</v>
      </c>
      <c r="X1167" s="27">
        <f t="shared" si="736"/>
        <v>7.6900000000053523E-2</v>
      </c>
      <c r="Y1167" s="5">
        <f t="shared" si="737"/>
        <v>5.4774431370489198</v>
      </c>
      <c r="Z1167" s="5">
        <f t="shared" si="738"/>
        <v>5.3741255729096595</v>
      </c>
      <c r="AA1167" s="5">
        <f t="shared" si="739"/>
        <v>-5374.1255729096592</v>
      </c>
      <c r="AB1167" t="s">
        <v>64</v>
      </c>
      <c r="AC1167" t="s">
        <v>62</v>
      </c>
      <c r="AD1167">
        <f t="shared" si="740"/>
        <v>4</v>
      </c>
    </row>
    <row r="1168" spans="1:30" x14ac:dyDescent="0.35">
      <c r="A1168" t="s">
        <v>950</v>
      </c>
      <c r="B1168" t="s">
        <v>330</v>
      </c>
      <c r="C1168" s="36">
        <f t="shared" si="728"/>
        <v>7.9191541649328623E-2</v>
      </c>
      <c r="D1168" s="3">
        <f t="shared" si="729"/>
        <v>7.9191541649328623E-2</v>
      </c>
      <c r="F1168">
        <v>999</v>
      </c>
      <c r="G1168" t="s">
        <v>76</v>
      </c>
      <c r="H1168">
        <v>1000</v>
      </c>
      <c r="I1168" s="22"/>
      <c r="J1168">
        <v>100</v>
      </c>
      <c r="K1168" s="22"/>
      <c r="L1168">
        <v>7.9430391930391897</v>
      </c>
      <c r="M1168" s="22">
        <v>7.9000000000000001E-2</v>
      </c>
      <c r="N1168" s="21">
        <v>44322</v>
      </c>
      <c r="O1168" s="21">
        <v>46879</v>
      </c>
      <c r="P1168">
        <f t="shared" si="730"/>
        <v>7</v>
      </c>
      <c r="Q1168" s="6">
        <f t="shared" si="731"/>
        <v>7.9079079079079073E-2</v>
      </c>
      <c r="R1168" s="5">
        <f t="shared" si="732"/>
        <v>1</v>
      </c>
      <c r="S1168" t="s">
        <v>93</v>
      </c>
      <c r="U1168">
        <f t="shared" si="733"/>
        <v>7</v>
      </c>
      <c r="V1168">
        <f t="shared" si="734"/>
        <v>79</v>
      </c>
      <c r="W1168" s="28">
        <f t="shared" si="735"/>
        <v>7.9191541649328623E-2</v>
      </c>
      <c r="X1168" s="27">
        <f t="shared" si="736"/>
        <v>7.9191541649328623E-2</v>
      </c>
      <c r="Y1168" s="5">
        <f t="shared" si="737"/>
        <v>5.6361791411553357</v>
      </c>
      <c r="Z1168" s="5">
        <f t="shared" si="738"/>
        <v>5.2225938803611838</v>
      </c>
      <c r="AA1168" s="5">
        <f t="shared" si="739"/>
        <v>-5217.3712864808222</v>
      </c>
      <c r="AB1168" t="s">
        <v>64</v>
      </c>
      <c r="AC1168" t="s">
        <v>62</v>
      </c>
      <c r="AD1168">
        <f t="shared" si="740"/>
        <v>1</v>
      </c>
    </row>
    <row r="1169" spans="1:30" x14ac:dyDescent="0.35">
      <c r="A1169" t="s">
        <v>949</v>
      </c>
      <c r="B1169" t="s">
        <v>357</v>
      </c>
      <c r="C1169" s="36">
        <f t="shared" si="728"/>
        <v>0.11372482750094588</v>
      </c>
      <c r="D1169" s="3">
        <f t="shared" si="729"/>
        <v>0.11372482750094588</v>
      </c>
      <c r="F1169">
        <v>958.9</v>
      </c>
      <c r="G1169" t="s">
        <v>76</v>
      </c>
      <c r="H1169">
        <v>1000</v>
      </c>
      <c r="I1169" s="22"/>
      <c r="J1169">
        <v>4</v>
      </c>
      <c r="K1169" s="22"/>
      <c r="L1169">
        <v>12.2201033922798</v>
      </c>
      <c r="M1169" s="22">
        <v>0.10249999999999999</v>
      </c>
      <c r="N1169" s="21">
        <v>45054</v>
      </c>
      <c r="O1169" s="21">
        <v>46881</v>
      </c>
      <c r="P1169">
        <f t="shared" si="730"/>
        <v>5</v>
      </c>
      <c r="Q1169" s="6">
        <f t="shared" si="731"/>
        <v>0.10689331525706539</v>
      </c>
      <c r="R1169" s="5">
        <f t="shared" si="732"/>
        <v>1</v>
      </c>
      <c r="S1169" t="s">
        <v>93</v>
      </c>
      <c r="U1169">
        <f t="shared" si="733"/>
        <v>5</v>
      </c>
      <c r="V1169">
        <f t="shared" si="734"/>
        <v>102.5</v>
      </c>
      <c r="W1169" s="28">
        <f t="shared" si="735"/>
        <v>0.11372482750094588</v>
      </c>
      <c r="X1169" s="27">
        <f t="shared" si="736"/>
        <v>0.11372482750094588</v>
      </c>
      <c r="Y1169" s="5">
        <f t="shared" si="737"/>
        <v>4.1333217250500827</v>
      </c>
      <c r="Z1169" s="5">
        <f t="shared" si="738"/>
        <v>3.7112593909976135</v>
      </c>
      <c r="AA1169" s="5">
        <f t="shared" si="739"/>
        <v>-3558.7266300276115</v>
      </c>
      <c r="AB1169" t="s">
        <v>64</v>
      </c>
      <c r="AC1169" t="s">
        <v>62</v>
      </c>
      <c r="AD1169">
        <f t="shared" si="740"/>
        <v>1</v>
      </c>
    </row>
    <row r="1170" spans="1:30" x14ac:dyDescent="0.35">
      <c r="A1170" t="s">
        <v>948</v>
      </c>
      <c r="B1170" t="s">
        <v>947</v>
      </c>
      <c r="C1170" s="36">
        <f t="shared" si="728"/>
        <v>3.4085255852660944E-2</v>
      </c>
      <c r="D1170" s="3">
        <f t="shared" si="729"/>
        <v>6.8170511705321887E-2</v>
      </c>
      <c r="F1170">
        <v>1019.25</v>
      </c>
      <c r="G1170" t="s">
        <v>66</v>
      </c>
      <c r="H1170">
        <v>1000</v>
      </c>
      <c r="I1170" s="22"/>
      <c r="J1170">
        <v>400000</v>
      </c>
      <c r="K1170" s="22"/>
      <c r="M1170" s="22">
        <v>7.3749999999999996E-2</v>
      </c>
      <c r="N1170" s="21">
        <v>45426</v>
      </c>
      <c r="O1170" s="21">
        <v>46885</v>
      </c>
      <c r="P1170">
        <f t="shared" si="730"/>
        <v>4</v>
      </c>
      <c r="Q1170" s="6">
        <f t="shared" si="731"/>
        <v>7.2357125337257786E-2</v>
      </c>
      <c r="R1170" s="5">
        <f t="shared" si="732"/>
        <v>2</v>
      </c>
      <c r="S1170" t="s">
        <v>65</v>
      </c>
      <c r="U1170">
        <f t="shared" si="733"/>
        <v>8</v>
      </c>
      <c r="V1170">
        <f t="shared" si="734"/>
        <v>36.875</v>
      </c>
      <c r="W1170" s="28">
        <f t="shared" si="735"/>
        <v>3.4085255852660944E-2</v>
      </c>
      <c r="X1170" s="27">
        <f t="shared" si="736"/>
        <v>6.8170511705321887E-2</v>
      </c>
      <c r="Y1170" s="5">
        <f t="shared" si="737"/>
        <v>3.535633433325637</v>
      </c>
      <c r="Z1170" s="5">
        <f t="shared" si="738"/>
        <v>3.4190927810979277</v>
      </c>
      <c r="AA1170" s="5">
        <f t="shared" si="739"/>
        <v>-3484.910317134063</v>
      </c>
      <c r="AB1170" t="s">
        <v>64</v>
      </c>
      <c r="AC1170" t="s">
        <v>62</v>
      </c>
      <c r="AD1170">
        <f t="shared" si="740"/>
        <v>2</v>
      </c>
    </row>
    <row r="1171" spans="1:30" x14ac:dyDescent="0.35">
      <c r="C1171" s="28"/>
      <c r="D1171" s="27"/>
      <c r="I1171" s="22"/>
      <c r="K1171" s="22"/>
      <c r="M1171" s="22"/>
      <c r="N1171" s="21"/>
      <c r="O1171" s="21"/>
      <c r="P1171" s="5"/>
      <c r="Q1171" s="6"/>
      <c r="R1171" s="5"/>
      <c r="W1171" s="28"/>
      <c r="Y1171" s="33"/>
      <c r="Z1171" s="33"/>
      <c r="AA1171" s="33"/>
    </row>
    <row r="1172" spans="1:30" x14ac:dyDescent="0.35">
      <c r="A1172" t="s">
        <v>945</v>
      </c>
      <c r="B1172" t="s">
        <v>390</v>
      </c>
      <c r="C1172" s="36">
        <f>RATE(U1172,V1172,-F1172,H1172)</f>
        <v>0.11792567154156015</v>
      </c>
      <c r="D1172" s="3">
        <f>C1172*AD1172</f>
        <v>0.11792567154156015</v>
      </c>
      <c r="F1172">
        <v>1005</v>
      </c>
      <c r="G1172" t="s">
        <v>76</v>
      </c>
      <c r="H1172">
        <v>1000</v>
      </c>
      <c r="I1172" s="22"/>
      <c r="J1172">
        <v>7</v>
      </c>
      <c r="K1172" s="22"/>
      <c r="L1172">
        <v>11.769146726311799</v>
      </c>
      <c r="M1172" s="22">
        <v>0.12</v>
      </c>
      <c r="N1172" s="21">
        <v>45793</v>
      </c>
      <c r="O1172" s="21">
        <v>46889</v>
      </c>
      <c r="P1172">
        <f>ROUND(YEARFRAC(N1172,O1172),0)</f>
        <v>3</v>
      </c>
      <c r="Q1172" s="6">
        <f>(M1172*H1172)/F1172</f>
        <v>0.11940298507462686</v>
      </c>
      <c r="R1172" s="5">
        <f>IF(S1172="Quarterly",4,IF(S1172="Semi-annual",2,IF(S1172="Annual",1,IF(S1172="Pays at maturity",0,12))))</f>
        <v>1</v>
      </c>
      <c r="S1172" t="s">
        <v>93</v>
      </c>
      <c r="U1172">
        <f>R1172*P1172</f>
        <v>3</v>
      </c>
      <c r="V1172">
        <f>(H1172*M1172)/AD1172</f>
        <v>120</v>
      </c>
      <c r="W1172" s="28">
        <f>RATE(U1172,V1172,-F1172,H1172)</f>
        <v>0.11792567154156015</v>
      </c>
      <c r="X1172" s="27">
        <f>W1172*AD1172</f>
        <v>0.11792567154156015</v>
      </c>
      <c r="Y1172" s="5">
        <f>DURATION(N1172,O1172,M1172,D1172,AD1172)</f>
        <v>2.6908438519611964</v>
      </c>
      <c r="Z1172" s="5">
        <f>Y1172/(1+C1172)</f>
        <v>2.4069971022766348</v>
      </c>
      <c r="AA1172" s="5">
        <f>-Z1172*F1172</f>
        <v>-2419.0320877880181</v>
      </c>
      <c r="AB1172" t="s">
        <v>64</v>
      </c>
      <c r="AC1172" t="s">
        <v>62</v>
      </c>
      <c r="AD1172">
        <f>_xlfn.SWITCH(PROPER(TRIM(S1172)),
   "Annual",1,
   "Semi-Annual",2,
   "Quarterly",4,
   "Monthly",12,
   "")</f>
        <v>1</v>
      </c>
    </row>
    <row r="1173" spans="1:30" x14ac:dyDescent="0.35">
      <c r="C1173" s="28"/>
      <c r="D1173" s="27"/>
      <c r="I1173" s="22"/>
      <c r="K1173" s="22"/>
      <c r="M1173" s="22"/>
      <c r="N1173" s="21"/>
      <c r="O1173" s="21"/>
      <c r="P1173" s="5"/>
      <c r="Q1173" s="6"/>
      <c r="R1173" s="5"/>
      <c r="W1173" s="28"/>
      <c r="Y1173" s="33"/>
      <c r="Z1173" s="33"/>
      <c r="AA1173" s="33"/>
    </row>
    <row r="1174" spans="1:30" x14ac:dyDescent="0.35">
      <c r="A1174" t="s">
        <v>943</v>
      </c>
      <c r="B1174" t="s">
        <v>241</v>
      </c>
      <c r="C1174" s="36">
        <f t="shared" ref="C1174:C1181" si="741">RATE(U1174,V1174,-F1174,H1174)</f>
        <v>9.8324227035107264E-2</v>
      </c>
      <c r="D1174" s="3">
        <f t="shared" ref="D1174:D1181" si="742">C1174*AD1174</f>
        <v>9.8324227035107264E-2</v>
      </c>
      <c r="F1174">
        <v>995.45</v>
      </c>
      <c r="G1174" t="s">
        <v>76</v>
      </c>
      <c r="H1174">
        <v>1000</v>
      </c>
      <c r="I1174" s="22"/>
      <c r="J1174">
        <v>100</v>
      </c>
      <c r="K1174" s="22"/>
      <c r="L1174">
        <v>9.8540641799381792</v>
      </c>
      <c r="M1174" s="22">
        <v>9.6500000000000002E-2</v>
      </c>
      <c r="N1174" s="21">
        <v>45796</v>
      </c>
      <c r="O1174" s="21">
        <v>46892</v>
      </c>
      <c r="P1174">
        <f t="shared" ref="P1174:P1181" si="743">ROUND(YEARFRAC(N1174,O1174),0)</f>
        <v>3</v>
      </c>
      <c r="Q1174" s="6">
        <f t="shared" ref="Q1174:Q1181" si="744">(M1174*H1174)/F1174</f>
        <v>9.6941081922748501E-2</v>
      </c>
      <c r="R1174" s="5">
        <f t="shared" ref="R1174:R1181" si="745">IF(S1174="Quarterly",4,IF(S1174="Semi-annual",2,IF(S1174="Annual",1,IF(S1174="Pays at maturity",0,12))))</f>
        <v>1</v>
      </c>
      <c r="S1174" t="s">
        <v>93</v>
      </c>
      <c r="U1174">
        <f t="shared" ref="U1174:U1181" si="746">R1174*P1174</f>
        <v>3</v>
      </c>
      <c r="V1174">
        <f t="shared" ref="V1174:V1181" si="747">(H1174*M1174)/AD1174</f>
        <v>96.5</v>
      </c>
      <c r="W1174" s="28">
        <f t="shared" ref="W1174:W1181" si="748">RATE(U1174,V1174,-F1174,H1174)</f>
        <v>9.8324227035107264E-2</v>
      </c>
      <c r="X1174" s="27">
        <f t="shared" ref="X1174:X1181" si="749">W1174*AD1174</f>
        <v>9.8324227035107264E-2</v>
      </c>
      <c r="Y1174" s="5">
        <f t="shared" ref="Y1174:Y1181" si="750">DURATION(N1174,O1174,M1174,D1174,AD1174)</f>
        <v>2.7431133036455009</v>
      </c>
      <c r="Z1174" s="5">
        <f t="shared" ref="Z1174:Z1181" si="751">Y1174/(1+C1174)</f>
        <v>2.4975442006323139</v>
      </c>
      <c r="AA1174" s="5">
        <f t="shared" ref="AA1174:AA1181" si="752">-Z1174*F1174</f>
        <v>-2486.180374519437</v>
      </c>
      <c r="AB1174" t="s">
        <v>64</v>
      </c>
      <c r="AC1174" t="s">
        <v>62</v>
      </c>
      <c r="AD1174">
        <f t="shared" ref="AD1174:AD1181" si="753">_xlfn.SWITCH(PROPER(TRIM(S1174)),
   "Annual",1,
   "Semi-Annual",2,
   "Quarterly",4,
   "Monthly",12,
   "")</f>
        <v>1</v>
      </c>
    </row>
    <row r="1175" spans="1:30" x14ac:dyDescent="0.35">
      <c r="A1175" t="s">
        <v>942</v>
      </c>
      <c r="B1175" t="s">
        <v>241</v>
      </c>
      <c r="C1175" s="36">
        <f t="shared" si="741"/>
        <v>9.6496368443511907E-2</v>
      </c>
      <c r="D1175" s="3">
        <f t="shared" si="742"/>
        <v>9.6496368443511907E-2</v>
      </c>
      <c r="F1175">
        <v>990</v>
      </c>
      <c r="G1175" t="s">
        <v>76</v>
      </c>
      <c r="H1175">
        <v>1000</v>
      </c>
      <c r="I1175" s="22"/>
      <c r="J1175">
        <v>95</v>
      </c>
      <c r="K1175" s="22"/>
      <c r="L1175">
        <v>9.7006890611541792</v>
      </c>
      <c r="M1175" s="22">
        <v>9.2499999999999999E-2</v>
      </c>
      <c r="N1175" s="21">
        <v>45796</v>
      </c>
      <c r="O1175" s="21">
        <v>46892</v>
      </c>
      <c r="P1175">
        <f t="shared" si="743"/>
        <v>3</v>
      </c>
      <c r="Q1175" s="6">
        <f t="shared" si="744"/>
        <v>9.3434343434343439E-2</v>
      </c>
      <c r="R1175" s="5">
        <f t="shared" si="745"/>
        <v>1</v>
      </c>
      <c r="S1175" t="s">
        <v>93</v>
      </c>
      <c r="U1175">
        <f t="shared" si="746"/>
        <v>3</v>
      </c>
      <c r="V1175">
        <f t="shared" si="747"/>
        <v>92.5</v>
      </c>
      <c r="W1175" s="28">
        <f t="shared" si="748"/>
        <v>9.6496368443511907E-2</v>
      </c>
      <c r="X1175" s="27">
        <f t="shared" si="749"/>
        <v>9.6496368443511907E-2</v>
      </c>
      <c r="Y1175" s="5">
        <f t="shared" si="750"/>
        <v>2.7518638306177068</v>
      </c>
      <c r="Z1175" s="5">
        <f t="shared" si="751"/>
        <v>2.509688048054374</v>
      </c>
      <c r="AA1175" s="5">
        <f t="shared" si="752"/>
        <v>-2484.5911675738303</v>
      </c>
      <c r="AB1175" t="s">
        <v>64</v>
      </c>
      <c r="AC1175" t="s">
        <v>62</v>
      </c>
      <c r="AD1175">
        <f t="shared" si="753"/>
        <v>1</v>
      </c>
    </row>
    <row r="1176" spans="1:30" x14ac:dyDescent="0.35">
      <c r="A1176" t="s">
        <v>941</v>
      </c>
      <c r="B1176" t="s">
        <v>940</v>
      </c>
      <c r="C1176" s="36">
        <f t="shared" si="741"/>
        <v>4.7500000000000001E-2</v>
      </c>
      <c r="D1176" s="3">
        <f t="shared" si="742"/>
        <v>9.5000000000000001E-2</v>
      </c>
      <c r="F1176">
        <v>100000</v>
      </c>
      <c r="G1176" t="s">
        <v>76</v>
      </c>
      <c r="H1176">
        <v>100000</v>
      </c>
      <c r="I1176" s="22"/>
      <c r="J1176">
        <v>10</v>
      </c>
      <c r="K1176" s="22"/>
      <c r="M1176" s="22">
        <v>9.5000000000000001E-2</v>
      </c>
      <c r="N1176" s="21">
        <v>43067</v>
      </c>
      <c r="O1176" s="21">
        <v>46901</v>
      </c>
      <c r="P1176">
        <f t="shared" si="743"/>
        <v>11</v>
      </c>
      <c r="Q1176" s="6">
        <f t="shared" si="744"/>
        <v>9.5000000000000001E-2</v>
      </c>
      <c r="R1176" s="5">
        <f t="shared" si="745"/>
        <v>2</v>
      </c>
      <c r="S1176" t="s">
        <v>65</v>
      </c>
      <c r="U1176">
        <f t="shared" si="746"/>
        <v>22</v>
      </c>
      <c r="V1176">
        <f t="shared" si="747"/>
        <v>4750</v>
      </c>
      <c r="W1176" s="28">
        <f t="shared" si="748"/>
        <v>4.7500000000000001E-2</v>
      </c>
      <c r="X1176" s="27">
        <f t="shared" si="749"/>
        <v>9.5000000000000001E-2</v>
      </c>
      <c r="Y1176" s="5">
        <f t="shared" si="750"/>
        <v>6.8653345093641382</v>
      </c>
      <c r="Z1176" s="5">
        <f t="shared" si="751"/>
        <v>6.5540186246913006</v>
      </c>
      <c r="AA1176" s="5">
        <f t="shared" si="752"/>
        <v>-655401.86246913008</v>
      </c>
      <c r="AB1176" t="s">
        <v>69</v>
      </c>
      <c r="AC1176" t="s">
        <v>62</v>
      </c>
      <c r="AD1176">
        <f t="shared" si="753"/>
        <v>2</v>
      </c>
    </row>
    <row r="1177" spans="1:30" x14ac:dyDescent="0.35">
      <c r="A1177" t="s">
        <v>939</v>
      </c>
      <c r="B1177" t="s">
        <v>465</v>
      </c>
      <c r="C1177" s="36">
        <f t="shared" si="741"/>
        <v>0.14678207646598687</v>
      </c>
      <c r="D1177" s="3">
        <f t="shared" si="742"/>
        <v>0.14678207646598687</v>
      </c>
      <c r="F1177">
        <v>95000</v>
      </c>
      <c r="G1177" t="s">
        <v>76</v>
      </c>
      <c r="H1177">
        <v>100000</v>
      </c>
      <c r="I1177" s="22"/>
      <c r="J1177">
        <v>5</v>
      </c>
      <c r="K1177" s="22"/>
      <c r="L1177">
        <v>15.0032863137671</v>
      </c>
      <c r="M1177" s="22">
        <v>0.125</v>
      </c>
      <c r="N1177" s="21">
        <v>45805</v>
      </c>
      <c r="O1177" s="21">
        <v>46901</v>
      </c>
      <c r="P1177">
        <f t="shared" si="743"/>
        <v>3</v>
      </c>
      <c r="Q1177" s="6">
        <f t="shared" si="744"/>
        <v>0.13157894736842105</v>
      </c>
      <c r="R1177" s="5">
        <f t="shared" si="745"/>
        <v>1</v>
      </c>
      <c r="S1177" t="s">
        <v>93</v>
      </c>
      <c r="U1177">
        <f t="shared" si="746"/>
        <v>3</v>
      </c>
      <c r="V1177">
        <f t="shared" si="747"/>
        <v>12500</v>
      </c>
      <c r="W1177" s="28">
        <f t="shared" si="748"/>
        <v>0.14678207646598687</v>
      </c>
      <c r="X1177" s="27">
        <f t="shared" si="749"/>
        <v>0.14678207646598687</v>
      </c>
      <c r="Y1177" s="5">
        <f t="shared" si="750"/>
        <v>2.6704731994101656</v>
      </c>
      <c r="Z1177" s="5">
        <f t="shared" si="751"/>
        <v>2.3286666701660566</v>
      </c>
      <c r="AA1177" s="5">
        <f t="shared" si="752"/>
        <v>-221223.33366577537</v>
      </c>
      <c r="AB1177" t="s">
        <v>64</v>
      </c>
      <c r="AC1177" t="s">
        <v>62</v>
      </c>
      <c r="AD1177">
        <f t="shared" si="753"/>
        <v>1</v>
      </c>
    </row>
    <row r="1178" spans="1:30" x14ac:dyDescent="0.35">
      <c r="A1178" t="s">
        <v>938</v>
      </c>
      <c r="B1178" t="s">
        <v>249</v>
      </c>
      <c r="C1178" s="36">
        <f t="shared" si="741"/>
        <v>2.2420051890087497E-2</v>
      </c>
      <c r="D1178" s="3">
        <f t="shared" si="742"/>
        <v>8.9680207560349987E-2</v>
      </c>
      <c r="F1178">
        <v>1030000</v>
      </c>
      <c r="G1178" t="s">
        <v>76</v>
      </c>
      <c r="H1178">
        <v>1000000</v>
      </c>
      <c r="I1178" s="22"/>
      <c r="J1178">
        <v>2</v>
      </c>
      <c r="K1178" s="22"/>
      <c r="M1178" s="22">
        <v>9.6199999999999994E-2</v>
      </c>
      <c r="N1178" s="21">
        <v>44726</v>
      </c>
      <c r="O1178" s="21">
        <v>46904</v>
      </c>
      <c r="P1178">
        <f t="shared" si="743"/>
        <v>6</v>
      </c>
      <c r="Q1178" s="6">
        <f t="shared" si="744"/>
        <v>9.3398058252427182E-2</v>
      </c>
      <c r="R1178" s="5">
        <f t="shared" si="745"/>
        <v>4</v>
      </c>
      <c r="S1178" t="s">
        <v>105</v>
      </c>
      <c r="U1178">
        <f t="shared" si="746"/>
        <v>24</v>
      </c>
      <c r="V1178">
        <f t="shared" si="747"/>
        <v>24050</v>
      </c>
      <c r="W1178" s="28">
        <f t="shared" si="748"/>
        <v>2.2420051890087497E-2</v>
      </c>
      <c r="X1178" s="27">
        <f t="shared" si="749"/>
        <v>8.9680207560349987E-2</v>
      </c>
      <c r="Y1178" s="5">
        <f t="shared" si="750"/>
        <v>4.6119419021600656</v>
      </c>
      <c r="Z1178" s="5">
        <f t="shared" si="751"/>
        <v>4.5108093230705339</v>
      </c>
      <c r="AA1178" s="5">
        <f t="shared" si="752"/>
        <v>-4646133.6027626498</v>
      </c>
      <c r="AB1178" t="s">
        <v>64</v>
      </c>
      <c r="AC1178" t="s">
        <v>62</v>
      </c>
      <c r="AD1178">
        <f t="shared" si="753"/>
        <v>4</v>
      </c>
    </row>
    <row r="1179" spans="1:30" x14ac:dyDescent="0.35">
      <c r="A1179" t="s">
        <v>937</v>
      </c>
      <c r="B1179" t="s">
        <v>257</v>
      </c>
      <c r="C1179" s="36">
        <f t="shared" si="741"/>
        <v>6.9440903768725457E-2</v>
      </c>
      <c r="D1179" s="3">
        <f t="shared" si="742"/>
        <v>6.9440903768725457E-2</v>
      </c>
      <c r="F1179">
        <v>1157447.6000000001</v>
      </c>
      <c r="G1179" t="s">
        <v>76</v>
      </c>
      <c r="H1179">
        <v>1000000</v>
      </c>
      <c r="I1179" s="22"/>
      <c r="J1179">
        <v>1</v>
      </c>
      <c r="K1179" s="22"/>
      <c r="L1179">
        <v>6.0834235515970203</v>
      </c>
      <c r="M1179" s="22">
        <v>9.1799999999999993E-2</v>
      </c>
      <c r="N1179" s="21">
        <v>43252</v>
      </c>
      <c r="O1179" s="21">
        <v>46905</v>
      </c>
      <c r="P1179">
        <f t="shared" si="743"/>
        <v>10</v>
      </c>
      <c r="Q1179" s="6">
        <f t="shared" si="744"/>
        <v>7.9312445764283396E-2</v>
      </c>
      <c r="R1179" s="5">
        <f t="shared" si="745"/>
        <v>1</v>
      </c>
      <c r="S1179" t="s">
        <v>93</v>
      </c>
      <c r="U1179">
        <f t="shared" si="746"/>
        <v>10</v>
      </c>
      <c r="V1179">
        <f t="shared" si="747"/>
        <v>91799.999999999985</v>
      </c>
      <c r="W1179" s="28">
        <f t="shared" si="748"/>
        <v>6.9440903768725457E-2</v>
      </c>
      <c r="X1179" s="27">
        <f t="shared" si="749"/>
        <v>6.9440903768725457E-2</v>
      </c>
      <c r="Y1179" s="5">
        <f t="shared" si="750"/>
        <v>7.1797348458697909</v>
      </c>
      <c r="Z1179" s="5">
        <f t="shared" si="751"/>
        <v>6.7135405243696029</v>
      </c>
      <c r="AA1179" s="5">
        <f t="shared" si="752"/>
        <v>-7770571.3674343387</v>
      </c>
      <c r="AB1179" t="s">
        <v>64</v>
      </c>
      <c r="AC1179" t="s">
        <v>62</v>
      </c>
      <c r="AD1179">
        <f t="shared" si="753"/>
        <v>1</v>
      </c>
    </row>
    <row r="1180" spans="1:30" x14ac:dyDescent="0.35">
      <c r="A1180" t="s">
        <v>936</v>
      </c>
      <c r="B1180" t="s">
        <v>272</v>
      </c>
      <c r="C1180" s="36">
        <f t="shared" si="741"/>
        <v>8.3271048878630433E-2</v>
      </c>
      <c r="D1180" s="3">
        <f t="shared" si="742"/>
        <v>8.3271048878630433E-2</v>
      </c>
      <c r="F1180">
        <v>991.01</v>
      </c>
      <c r="G1180" t="s">
        <v>76</v>
      </c>
      <c r="H1180">
        <v>1000</v>
      </c>
      <c r="I1180" s="22"/>
      <c r="J1180">
        <v>200</v>
      </c>
      <c r="K1180" s="22"/>
      <c r="L1180">
        <v>8.48438258062043</v>
      </c>
      <c r="M1180" s="22">
        <v>8.1000000000000003E-2</v>
      </c>
      <c r="N1180" s="21">
        <v>45049</v>
      </c>
      <c r="O1180" s="21">
        <v>46907</v>
      </c>
      <c r="P1180">
        <f t="shared" si="743"/>
        <v>5</v>
      </c>
      <c r="Q1180" s="6">
        <f t="shared" si="744"/>
        <v>8.1734795814371194E-2</v>
      </c>
      <c r="R1180" s="5">
        <f t="shared" si="745"/>
        <v>1</v>
      </c>
      <c r="S1180" t="s">
        <v>93</v>
      </c>
      <c r="U1180">
        <f t="shared" si="746"/>
        <v>5</v>
      </c>
      <c r="V1180">
        <f t="shared" si="747"/>
        <v>81</v>
      </c>
      <c r="W1180" s="28">
        <f t="shared" si="748"/>
        <v>8.3271048878630433E-2</v>
      </c>
      <c r="X1180" s="27">
        <f t="shared" si="749"/>
        <v>8.3271048878630433E-2</v>
      </c>
      <c r="Y1180" s="5">
        <f t="shared" si="750"/>
        <v>4.0596189073101234</v>
      </c>
      <c r="Z1180" s="5">
        <f t="shared" si="751"/>
        <v>3.7475559893458974</v>
      </c>
      <c r="AA1180" s="5">
        <f t="shared" si="752"/>
        <v>-3713.8654610016779</v>
      </c>
      <c r="AB1180" t="s">
        <v>64</v>
      </c>
      <c r="AC1180" t="s">
        <v>62</v>
      </c>
      <c r="AD1180">
        <f t="shared" si="753"/>
        <v>1</v>
      </c>
    </row>
    <row r="1181" spans="1:30" x14ac:dyDescent="0.35">
      <c r="A1181" t="s">
        <v>935</v>
      </c>
      <c r="B1181" t="s">
        <v>272</v>
      </c>
      <c r="C1181" s="36">
        <f t="shared" si="741"/>
        <v>7.8749631630729233E-2</v>
      </c>
      <c r="D1181" s="3">
        <f t="shared" si="742"/>
        <v>7.8749631630729233E-2</v>
      </c>
      <c r="F1181">
        <v>999</v>
      </c>
      <c r="G1181" t="s">
        <v>76</v>
      </c>
      <c r="H1181">
        <v>1000</v>
      </c>
      <c r="I1181" s="22"/>
      <c r="J1181">
        <v>1</v>
      </c>
      <c r="K1181" s="22"/>
      <c r="L1181">
        <v>7.8920360959650004</v>
      </c>
      <c r="M1181" s="22">
        <v>7.85E-2</v>
      </c>
      <c r="N1181" s="21">
        <v>45049</v>
      </c>
      <c r="O1181" s="21">
        <v>46907</v>
      </c>
      <c r="P1181">
        <f t="shared" si="743"/>
        <v>5</v>
      </c>
      <c r="Q1181" s="6">
        <f t="shared" si="744"/>
        <v>7.8578578578578584E-2</v>
      </c>
      <c r="R1181" s="5">
        <f t="shared" si="745"/>
        <v>1</v>
      </c>
      <c r="S1181" t="s">
        <v>93</v>
      </c>
      <c r="U1181">
        <f t="shared" si="746"/>
        <v>5</v>
      </c>
      <c r="V1181">
        <f t="shared" si="747"/>
        <v>78.5</v>
      </c>
      <c r="W1181" s="28">
        <f t="shared" si="748"/>
        <v>7.8749631630729233E-2</v>
      </c>
      <c r="X1181" s="27">
        <f t="shared" si="749"/>
        <v>7.8749631630729233E-2</v>
      </c>
      <c r="Y1181" s="5">
        <f t="shared" si="750"/>
        <v>4.0912380051912765</v>
      </c>
      <c r="Z1181" s="5">
        <f t="shared" si="751"/>
        <v>3.7925741851764201</v>
      </c>
      <c r="AA1181" s="5">
        <f t="shared" si="752"/>
        <v>-3788.7816109912437</v>
      </c>
      <c r="AB1181" t="s">
        <v>64</v>
      </c>
      <c r="AC1181" t="s">
        <v>62</v>
      </c>
      <c r="AD1181">
        <f t="shared" si="753"/>
        <v>1</v>
      </c>
    </row>
    <row r="1182" spans="1:30" x14ac:dyDescent="0.35">
      <c r="C1182" s="28"/>
      <c r="D1182" s="27"/>
      <c r="I1182" s="22"/>
      <c r="K1182" s="22"/>
      <c r="M1182" s="22"/>
      <c r="N1182" s="21"/>
      <c r="O1182" s="21"/>
      <c r="P1182" s="5"/>
      <c r="Q1182" s="6"/>
      <c r="R1182" s="5"/>
      <c r="W1182" s="28"/>
      <c r="Y1182" s="33"/>
      <c r="Z1182" s="33"/>
      <c r="AA1182" s="33"/>
    </row>
    <row r="1183" spans="1:30" x14ac:dyDescent="0.35">
      <c r="A1183" t="s">
        <v>933</v>
      </c>
      <c r="B1183" t="s">
        <v>324</v>
      </c>
      <c r="C1183" s="36">
        <f t="shared" ref="C1183:C1189" si="754">RATE(U1183,V1183,-F1183,H1183)</f>
        <v>9.3350779098521616E-2</v>
      </c>
      <c r="D1183" s="3">
        <f t="shared" ref="D1183:D1189" si="755">C1183*AD1183</f>
        <v>9.3350779098521616E-2</v>
      </c>
      <c r="F1183">
        <v>1026.24</v>
      </c>
      <c r="G1183" t="s">
        <v>76</v>
      </c>
      <c r="H1183">
        <v>1000</v>
      </c>
      <c r="I1183" s="22"/>
      <c r="J1183">
        <v>177</v>
      </c>
      <c r="K1183" s="22"/>
      <c r="L1183">
        <v>8.61608455732941</v>
      </c>
      <c r="M1183" s="22">
        <v>9.7500000000000003E-2</v>
      </c>
      <c r="N1183" s="21">
        <v>43258</v>
      </c>
      <c r="O1183" s="21">
        <v>46911</v>
      </c>
      <c r="P1183">
        <f t="shared" ref="P1183:P1189" si="756">ROUND(YEARFRAC(N1183,O1183),0)</f>
        <v>10</v>
      </c>
      <c r="Q1183" s="6">
        <f t="shared" ref="Q1183:Q1189" si="757">(M1183*H1183)/F1183</f>
        <v>9.5007015902712821E-2</v>
      </c>
      <c r="R1183" s="5">
        <f t="shared" ref="R1183:R1189" si="758">IF(S1183="Quarterly",4,IF(S1183="Semi-annual",2,IF(S1183="Annual",1,IF(S1183="Pays at maturity",0,12))))</f>
        <v>1</v>
      </c>
      <c r="S1183" t="s">
        <v>93</v>
      </c>
      <c r="U1183">
        <f t="shared" ref="U1183:U1189" si="759">R1183*P1183</f>
        <v>10</v>
      </c>
      <c r="V1183">
        <f t="shared" ref="V1183:V1189" si="760">(H1183*M1183)/AD1183</f>
        <v>97.5</v>
      </c>
      <c r="W1183" s="28">
        <f t="shared" ref="W1183:W1189" si="761">RATE(U1183,V1183,-F1183,H1183)</f>
        <v>9.3350779098521616E-2</v>
      </c>
      <c r="X1183" s="27">
        <f t="shared" ref="X1183:X1189" si="762">W1183*AD1183</f>
        <v>9.3350779098521616E-2</v>
      </c>
      <c r="Y1183" s="5">
        <f t="shared" ref="Y1183:Y1189" si="763">DURATION(N1183,O1183,M1183,D1183,AD1183)</f>
        <v>6.8596921899837469</v>
      </c>
      <c r="Z1183" s="5">
        <f t="shared" ref="Z1183:Z1189" si="764">Y1183/(1+C1183)</f>
        <v>6.2740085991795151</v>
      </c>
      <c r="AA1183" s="5">
        <f t="shared" ref="AA1183:AA1189" si="765">-Z1183*F1183</f>
        <v>-6438.6385848219861</v>
      </c>
      <c r="AB1183" t="s">
        <v>64</v>
      </c>
      <c r="AC1183" t="s">
        <v>62</v>
      </c>
      <c r="AD1183">
        <f t="shared" ref="AD1183:AD1189" si="766">_xlfn.SWITCH(PROPER(TRIM(S1183)),
   "Annual",1,
   "Semi-Annual",2,
   "Quarterly",4,
   "Monthly",12,
   "")</f>
        <v>1</v>
      </c>
    </row>
    <row r="1184" spans="1:30" x14ac:dyDescent="0.35">
      <c r="A1184" t="s">
        <v>932</v>
      </c>
      <c r="B1184" t="s">
        <v>324</v>
      </c>
      <c r="C1184" s="36">
        <f t="shared" si="754"/>
        <v>8.7242637714466886E-2</v>
      </c>
      <c r="D1184" s="3">
        <f t="shared" si="755"/>
        <v>8.7242637714466886E-2</v>
      </c>
      <c r="F1184">
        <v>1040</v>
      </c>
      <c r="G1184" t="s">
        <v>76</v>
      </c>
      <c r="H1184">
        <v>1000</v>
      </c>
      <c r="I1184" s="22"/>
      <c r="J1184">
        <v>20</v>
      </c>
      <c r="K1184" s="22"/>
      <c r="L1184">
        <v>7.6588801970157903</v>
      </c>
      <c r="M1184" s="22">
        <v>9.3399999999999997E-2</v>
      </c>
      <c r="N1184" s="21">
        <v>43258</v>
      </c>
      <c r="O1184" s="21">
        <v>46911</v>
      </c>
      <c r="P1184">
        <f t="shared" si="756"/>
        <v>10</v>
      </c>
      <c r="Q1184" s="6">
        <f t="shared" si="757"/>
        <v>8.9807692307692297E-2</v>
      </c>
      <c r="R1184" s="5">
        <f t="shared" si="758"/>
        <v>1</v>
      </c>
      <c r="S1184" t="s">
        <v>93</v>
      </c>
      <c r="U1184">
        <f t="shared" si="759"/>
        <v>10</v>
      </c>
      <c r="V1184">
        <f t="shared" si="760"/>
        <v>93.399999999999991</v>
      </c>
      <c r="W1184" s="28">
        <f t="shared" si="761"/>
        <v>8.7242637714466886E-2</v>
      </c>
      <c r="X1184" s="27">
        <f t="shared" si="762"/>
        <v>8.7242637714466886E-2</v>
      </c>
      <c r="Y1184" s="5">
        <f t="shared" si="763"/>
        <v>6.9766908711969053</v>
      </c>
      <c r="Z1184" s="5">
        <f t="shared" si="764"/>
        <v>6.4168665109224072</v>
      </c>
      <c r="AA1184" s="5">
        <f t="shared" si="765"/>
        <v>-6673.5411713593039</v>
      </c>
      <c r="AB1184" t="s">
        <v>64</v>
      </c>
      <c r="AC1184" t="s">
        <v>62</v>
      </c>
      <c r="AD1184">
        <f t="shared" si="766"/>
        <v>1</v>
      </c>
    </row>
    <row r="1185" spans="1:30" x14ac:dyDescent="0.35">
      <c r="A1185" t="s">
        <v>931</v>
      </c>
      <c r="B1185" t="s">
        <v>714</v>
      </c>
      <c r="C1185" s="36">
        <f t="shared" si="754"/>
        <v>9.0235159957481423E-2</v>
      </c>
      <c r="D1185" s="3">
        <f t="shared" si="755"/>
        <v>9.0235159957481423E-2</v>
      </c>
      <c r="F1185">
        <v>103000</v>
      </c>
      <c r="G1185" t="s">
        <v>76</v>
      </c>
      <c r="H1185">
        <v>100000</v>
      </c>
      <c r="I1185" s="22"/>
      <c r="J1185">
        <v>10</v>
      </c>
      <c r="K1185" s="22"/>
      <c r="L1185">
        <v>8.6544166949876402</v>
      </c>
      <c r="M1185" s="22">
        <v>9.9499999999999991E-2</v>
      </c>
      <c r="N1185" s="21">
        <v>45455</v>
      </c>
      <c r="O1185" s="21">
        <v>46916</v>
      </c>
      <c r="P1185">
        <f t="shared" si="756"/>
        <v>4</v>
      </c>
      <c r="Q1185" s="6">
        <f t="shared" si="757"/>
        <v>9.660194174757282E-2</v>
      </c>
      <c r="R1185" s="5">
        <f t="shared" si="758"/>
        <v>1</v>
      </c>
      <c r="S1185" t="s">
        <v>93</v>
      </c>
      <c r="U1185">
        <f t="shared" si="759"/>
        <v>4</v>
      </c>
      <c r="V1185">
        <f t="shared" si="760"/>
        <v>9950</v>
      </c>
      <c r="W1185" s="28">
        <f t="shared" si="761"/>
        <v>9.0235159957481423E-2</v>
      </c>
      <c r="X1185" s="27">
        <f t="shared" si="762"/>
        <v>9.0235159957481423E-2</v>
      </c>
      <c r="Y1185" s="5">
        <f t="shared" si="763"/>
        <v>3.4970885805717691</v>
      </c>
      <c r="Z1185" s="5">
        <f t="shared" si="764"/>
        <v>3.2076461198592732</v>
      </c>
      <c r="AA1185" s="5">
        <f t="shared" si="765"/>
        <v>-330387.55034550512</v>
      </c>
      <c r="AB1185" t="s">
        <v>64</v>
      </c>
      <c r="AC1185" t="s">
        <v>62</v>
      </c>
      <c r="AD1185">
        <f t="shared" si="766"/>
        <v>1</v>
      </c>
    </row>
    <row r="1186" spans="1:30" x14ac:dyDescent="0.35">
      <c r="A1186" t="s">
        <v>930</v>
      </c>
      <c r="B1186" t="s">
        <v>929</v>
      </c>
      <c r="C1186" s="36">
        <f t="shared" si="754"/>
        <v>0.10167693762143043</v>
      </c>
      <c r="D1186" s="3">
        <f t="shared" si="755"/>
        <v>0.10167693762143043</v>
      </c>
      <c r="F1186">
        <v>98840.34</v>
      </c>
      <c r="G1186" t="s">
        <v>76</v>
      </c>
      <c r="H1186">
        <v>100000</v>
      </c>
      <c r="I1186" s="22"/>
      <c r="J1186">
        <v>5</v>
      </c>
      <c r="K1186" s="22"/>
      <c r="L1186">
        <v>10.2147824957539</v>
      </c>
      <c r="M1186" s="22">
        <v>9.6999999999999989E-2</v>
      </c>
      <c r="N1186" s="21">
        <v>45821</v>
      </c>
      <c r="O1186" s="21">
        <v>46917</v>
      </c>
      <c r="P1186">
        <f t="shared" si="756"/>
        <v>3</v>
      </c>
      <c r="Q1186" s="6">
        <f t="shared" si="757"/>
        <v>9.8138067918422764E-2</v>
      </c>
      <c r="R1186" s="5">
        <f t="shared" si="758"/>
        <v>1</v>
      </c>
      <c r="S1186" t="s">
        <v>93</v>
      </c>
      <c r="U1186">
        <f t="shared" si="759"/>
        <v>3</v>
      </c>
      <c r="V1186">
        <f t="shared" si="760"/>
        <v>9699.9999999999982</v>
      </c>
      <c r="W1186" s="28">
        <f t="shared" si="761"/>
        <v>0.10167693762143043</v>
      </c>
      <c r="X1186" s="27">
        <f t="shared" si="762"/>
        <v>0.10167693762143043</v>
      </c>
      <c r="Y1186" s="5">
        <f t="shared" si="763"/>
        <v>2.7409796383447786</v>
      </c>
      <c r="Z1186" s="5">
        <f t="shared" si="764"/>
        <v>2.4880067329562836</v>
      </c>
      <c r="AA1186" s="5">
        <f t="shared" si="765"/>
        <v>-245915.43140768827</v>
      </c>
      <c r="AB1186" t="s">
        <v>69</v>
      </c>
      <c r="AC1186" t="s">
        <v>62</v>
      </c>
      <c r="AD1186">
        <f t="shared" si="766"/>
        <v>1</v>
      </c>
    </row>
    <row r="1187" spans="1:30" x14ac:dyDescent="0.35">
      <c r="A1187" t="s">
        <v>928</v>
      </c>
      <c r="B1187" t="s">
        <v>128</v>
      </c>
      <c r="C1187" s="36">
        <f t="shared" si="754"/>
        <v>0.11537169523740938</v>
      </c>
      <c r="D1187" s="3">
        <f t="shared" si="755"/>
        <v>0.11537169523740938</v>
      </c>
      <c r="F1187">
        <v>94946.83</v>
      </c>
      <c r="G1187" t="s">
        <v>76</v>
      </c>
      <c r="H1187">
        <v>100000</v>
      </c>
      <c r="I1187" s="22"/>
      <c r="J1187">
        <v>100</v>
      </c>
      <c r="K1187" s="22"/>
      <c r="L1187">
        <v>11.7499494049316</v>
      </c>
      <c r="M1187" s="22">
        <v>9.4499999999999987E-2</v>
      </c>
      <c r="N1187" s="21">
        <v>45827</v>
      </c>
      <c r="O1187" s="21">
        <v>46923</v>
      </c>
      <c r="P1187">
        <f t="shared" si="756"/>
        <v>3</v>
      </c>
      <c r="Q1187" s="6">
        <f t="shared" si="757"/>
        <v>9.9529389238166219E-2</v>
      </c>
      <c r="R1187" s="5">
        <f t="shared" si="758"/>
        <v>1</v>
      </c>
      <c r="S1187" t="s">
        <v>93</v>
      </c>
      <c r="U1187">
        <f t="shared" si="759"/>
        <v>3</v>
      </c>
      <c r="V1187">
        <f t="shared" si="760"/>
        <v>9449.9999999999982</v>
      </c>
      <c r="W1187" s="28">
        <f t="shared" si="761"/>
        <v>0.11537169523740938</v>
      </c>
      <c r="X1187" s="27">
        <f t="shared" si="762"/>
        <v>0.11537169523740938</v>
      </c>
      <c r="Y1187" s="5">
        <f t="shared" si="763"/>
        <v>2.7415273680660524</v>
      </c>
      <c r="Z1187" s="5">
        <f t="shared" si="764"/>
        <v>2.4579495604669366</v>
      </c>
      <c r="AA1187" s="5">
        <f t="shared" si="765"/>
        <v>-233374.51906622894</v>
      </c>
      <c r="AB1187" t="s">
        <v>64</v>
      </c>
      <c r="AC1187" t="s">
        <v>62</v>
      </c>
      <c r="AD1187">
        <f t="shared" si="766"/>
        <v>1</v>
      </c>
    </row>
    <row r="1188" spans="1:30" x14ac:dyDescent="0.35">
      <c r="A1188" t="s">
        <v>927</v>
      </c>
      <c r="B1188" t="s">
        <v>483</v>
      </c>
      <c r="C1188" s="36">
        <f t="shared" si="754"/>
        <v>9.8040823847021369E-2</v>
      </c>
      <c r="D1188" s="3">
        <f t="shared" si="755"/>
        <v>9.8040823847021369E-2</v>
      </c>
      <c r="F1188">
        <v>990</v>
      </c>
      <c r="G1188" t="s">
        <v>76</v>
      </c>
      <c r="H1188">
        <v>1000</v>
      </c>
      <c r="I1188" s="22"/>
      <c r="J1188">
        <v>446</v>
      </c>
      <c r="K1188" s="22"/>
      <c r="L1188">
        <v>10.042505656376299</v>
      </c>
      <c r="M1188" s="22">
        <v>9.6000000000000002E-2</v>
      </c>
      <c r="N1188" s="21">
        <v>44279</v>
      </c>
      <c r="O1188" s="21">
        <v>46928</v>
      </c>
      <c r="P1188">
        <f t="shared" si="756"/>
        <v>7</v>
      </c>
      <c r="Q1188" s="6">
        <f t="shared" si="757"/>
        <v>9.696969696969697E-2</v>
      </c>
      <c r="R1188" s="5">
        <f t="shared" si="758"/>
        <v>1</v>
      </c>
      <c r="S1188" t="s">
        <v>93</v>
      </c>
      <c r="U1188">
        <f t="shared" si="759"/>
        <v>7</v>
      </c>
      <c r="V1188">
        <f t="shared" si="760"/>
        <v>96</v>
      </c>
      <c r="W1188" s="28">
        <f t="shared" si="761"/>
        <v>9.8040823847021369E-2</v>
      </c>
      <c r="X1188" s="27">
        <f t="shared" si="762"/>
        <v>9.8040823847021369E-2</v>
      </c>
      <c r="Y1188" s="5">
        <f t="shared" si="763"/>
        <v>5.1708971598121627</v>
      </c>
      <c r="Z1188" s="5">
        <f t="shared" si="764"/>
        <v>4.7092030164195151</v>
      </c>
      <c r="AA1188" s="5">
        <f t="shared" si="765"/>
        <v>-4662.1109862553203</v>
      </c>
      <c r="AB1188" t="s">
        <v>64</v>
      </c>
      <c r="AC1188" t="s">
        <v>62</v>
      </c>
      <c r="AD1188">
        <f t="shared" si="766"/>
        <v>1</v>
      </c>
    </row>
    <row r="1189" spans="1:30" x14ac:dyDescent="0.35">
      <c r="A1189" t="s">
        <v>926</v>
      </c>
      <c r="B1189" t="s">
        <v>483</v>
      </c>
      <c r="C1189" s="36">
        <f t="shared" si="754"/>
        <v>9.8385910145281225E-2</v>
      </c>
      <c r="D1189" s="3">
        <f t="shared" si="755"/>
        <v>9.8385910145281225E-2</v>
      </c>
      <c r="F1189">
        <v>1007.9</v>
      </c>
      <c r="G1189" t="s">
        <v>76</v>
      </c>
      <c r="H1189">
        <v>1000</v>
      </c>
      <c r="I1189" s="22"/>
      <c r="J1189">
        <v>360</v>
      </c>
      <c r="K1189" s="22"/>
      <c r="L1189">
        <v>9.6534937257149291</v>
      </c>
      <c r="M1189" s="22">
        <v>0.1</v>
      </c>
      <c r="N1189" s="21">
        <v>44279</v>
      </c>
      <c r="O1189" s="21">
        <v>46928</v>
      </c>
      <c r="P1189">
        <f t="shared" si="756"/>
        <v>7</v>
      </c>
      <c r="Q1189" s="6">
        <f t="shared" si="757"/>
        <v>9.921619208254788E-2</v>
      </c>
      <c r="R1189" s="5">
        <f t="shared" si="758"/>
        <v>1</v>
      </c>
      <c r="S1189" t="s">
        <v>93</v>
      </c>
      <c r="U1189">
        <f t="shared" si="759"/>
        <v>7</v>
      </c>
      <c r="V1189">
        <f t="shared" si="760"/>
        <v>100</v>
      </c>
      <c r="W1189" s="28">
        <f t="shared" si="761"/>
        <v>9.8385910145281225E-2</v>
      </c>
      <c r="X1189" s="27">
        <f t="shared" si="762"/>
        <v>9.8385910145281225E-2</v>
      </c>
      <c r="Y1189" s="5">
        <f t="shared" si="763"/>
        <v>5.128233773281468</v>
      </c>
      <c r="Z1189" s="5">
        <f t="shared" si="764"/>
        <v>4.6688816070147574</v>
      </c>
      <c r="AA1189" s="5">
        <f t="shared" si="765"/>
        <v>-4705.7657717101738</v>
      </c>
      <c r="AB1189" t="s">
        <v>64</v>
      </c>
      <c r="AC1189" t="s">
        <v>62</v>
      </c>
      <c r="AD1189">
        <f t="shared" si="766"/>
        <v>1</v>
      </c>
    </row>
    <row r="1190" spans="1:30" x14ac:dyDescent="0.35">
      <c r="C1190" s="28"/>
      <c r="D1190" s="27"/>
      <c r="I1190" s="22"/>
      <c r="K1190" s="22"/>
      <c r="M1190" s="22"/>
      <c r="N1190" s="21"/>
      <c r="O1190" s="21"/>
      <c r="P1190" s="5"/>
      <c r="Q1190" s="6"/>
      <c r="R1190" s="5"/>
      <c r="W1190" s="28"/>
      <c r="Y1190" s="33"/>
      <c r="Z1190" s="33"/>
      <c r="AA1190" s="33"/>
    </row>
    <row r="1191" spans="1:30" x14ac:dyDescent="0.35">
      <c r="A1191" t="s">
        <v>924</v>
      </c>
      <c r="B1191" t="s">
        <v>923</v>
      </c>
      <c r="C1191" s="36">
        <f>RATE(U1191,V1191,-F1191,H1191)</f>
        <v>0.13096875216956375</v>
      </c>
      <c r="D1191" s="3">
        <f>C1191*AD1191</f>
        <v>0.13096875216956375</v>
      </c>
      <c r="F1191">
        <v>96000</v>
      </c>
      <c r="G1191" t="s">
        <v>76</v>
      </c>
      <c r="H1191">
        <v>100000</v>
      </c>
      <c r="I1191" s="22"/>
      <c r="J1191">
        <v>1</v>
      </c>
      <c r="K1191" s="22"/>
      <c r="L1191">
        <v>13.2910459342023</v>
      </c>
      <c r="M1191" s="22">
        <v>0.114</v>
      </c>
      <c r="N1191" s="21">
        <v>45833</v>
      </c>
      <c r="O1191" s="21">
        <v>46929</v>
      </c>
      <c r="P1191">
        <f>ROUND(YEARFRAC(N1191,O1191),0)</f>
        <v>3</v>
      </c>
      <c r="Q1191" s="6">
        <f>(M1191*H1191)/F1191</f>
        <v>0.11874999999999999</v>
      </c>
      <c r="R1191" s="5">
        <f>IF(S1191="Quarterly",4,IF(S1191="Semi-annual",2,IF(S1191="Annual",1,IF(S1191="Pays at maturity",0,12))))</f>
        <v>1</v>
      </c>
      <c r="S1191" t="s">
        <v>93</v>
      </c>
      <c r="U1191">
        <f>R1191*P1191</f>
        <v>3</v>
      </c>
      <c r="V1191">
        <f>(H1191*M1191)/AD1191</f>
        <v>11400</v>
      </c>
      <c r="W1191" s="28">
        <f>RATE(U1191,V1191,-F1191,H1191)</f>
        <v>0.13096875216956375</v>
      </c>
      <c r="X1191" s="27">
        <f>W1191*AD1191</f>
        <v>0.13096875216956375</v>
      </c>
      <c r="Y1191" s="5">
        <f>DURATION(N1191,O1191,M1191,D1191,AD1191)</f>
        <v>2.6971636224018476</v>
      </c>
      <c r="Z1191" s="5">
        <f>Y1191/(1+C1191)</f>
        <v>2.3848259443311903</v>
      </c>
      <c r="AA1191" s="5">
        <f>-Z1191*F1191</f>
        <v>-228943.29065579426</v>
      </c>
      <c r="AB1191" t="s">
        <v>64</v>
      </c>
      <c r="AC1191" t="s">
        <v>62</v>
      </c>
      <c r="AD1191">
        <f>_xlfn.SWITCH(PROPER(TRIM(S1191)),
   "Annual",1,
   "Semi-Annual",2,
   "Quarterly",4,
   "Monthly",12,
   "")</f>
        <v>1</v>
      </c>
    </row>
    <row r="1192" spans="1:30" x14ac:dyDescent="0.35">
      <c r="A1192" t="s">
        <v>922</v>
      </c>
      <c r="B1192" t="s">
        <v>483</v>
      </c>
      <c r="C1192" s="36">
        <f>RATE(U1192,V1192,-F1192,H1192)</f>
        <v>9.6835908083599848E-2</v>
      </c>
      <c r="D1192" s="3">
        <f>C1192*AD1192</f>
        <v>9.6835908083599848E-2</v>
      </c>
      <c r="F1192">
        <v>960.5</v>
      </c>
      <c r="G1192" t="s">
        <v>76</v>
      </c>
      <c r="H1192">
        <v>1000</v>
      </c>
      <c r="I1192" s="22"/>
      <c r="J1192">
        <v>300</v>
      </c>
      <c r="K1192" s="22"/>
      <c r="L1192">
        <v>10.407258513330699</v>
      </c>
      <c r="M1192" s="22">
        <v>8.6500000000000007E-2</v>
      </c>
      <c r="N1192" s="21">
        <v>45105</v>
      </c>
      <c r="O1192" s="21">
        <v>46932</v>
      </c>
      <c r="P1192">
        <f>ROUND(YEARFRAC(N1192,O1192),0)</f>
        <v>5</v>
      </c>
      <c r="Q1192" s="6">
        <f>(M1192*H1192)/F1192</f>
        <v>9.0057261842790226E-2</v>
      </c>
      <c r="R1192" s="5">
        <f>IF(S1192="Quarterly",4,IF(S1192="Semi-annual",2,IF(S1192="Annual",1,IF(S1192="Pays at maturity",0,12))))</f>
        <v>1</v>
      </c>
      <c r="S1192" t="s">
        <v>93</v>
      </c>
      <c r="U1192">
        <f>R1192*P1192</f>
        <v>5</v>
      </c>
      <c r="V1192">
        <f>(H1192*M1192)/AD1192</f>
        <v>86.500000000000014</v>
      </c>
      <c r="W1192" s="28">
        <f>RATE(U1192,V1192,-F1192,H1192)</f>
        <v>9.6835908083599848E-2</v>
      </c>
      <c r="X1192" s="27">
        <f>W1192*AD1192</f>
        <v>9.6835908083599848E-2</v>
      </c>
      <c r="Y1192" s="5">
        <f>DURATION(N1192,O1192,M1192,D1192,AD1192)</f>
        <v>4.2482814285975676</v>
      </c>
      <c r="Z1192" s="5">
        <f>Y1192/(1+C1192)</f>
        <v>3.8732151247858009</v>
      </c>
      <c r="AA1192" s="5">
        <f>-Z1192*F1192</f>
        <v>-3720.2231273567618</v>
      </c>
      <c r="AB1192" t="s">
        <v>64</v>
      </c>
      <c r="AC1192" t="s">
        <v>62</v>
      </c>
      <c r="AD1192">
        <f>_xlfn.SWITCH(PROPER(TRIM(S1192)),
   "Annual",1,
   "Semi-Annual",2,
   "Quarterly",4,
   "Monthly",12,
   "")</f>
        <v>1</v>
      </c>
    </row>
    <row r="1193" spans="1:30" x14ac:dyDescent="0.35">
      <c r="C1193" s="28"/>
      <c r="D1193" s="27"/>
      <c r="I1193" s="22"/>
      <c r="K1193" s="22"/>
      <c r="M1193" s="22"/>
      <c r="N1193" s="21"/>
      <c r="O1193" s="21"/>
      <c r="P1193" s="5"/>
      <c r="Q1193" s="6"/>
      <c r="R1193" s="5"/>
      <c r="W1193" s="28"/>
      <c r="Y1193" s="33"/>
      <c r="Z1193" s="33"/>
      <c r="AA1193" s="33"/>
    </row>
    <row r="1194" spans="1:30" x14ac:dyDescent="0.35">
      <c r="A1194" t="s">
        <v>920</v>
      </c>
      <c r="B1194" t="s">
        <v>401</v>
      </c>
      <c r="C1194" s="36">
        <f>RATE(U1194,V1194,-F1194,H1194)</f>
        <v>0.10530767867010402</v>
      </c>
      <c r="D1194" s="3">
        <f>C1194*AD1194</f>
        <v>0.10530767867010402</v>
      </c>
      <c r="F1194">
        <v>99884.93</v>
      </c>
      <c r="G1194" t="s">
        <v>76</v>
      </c>
      <c r="H1194">
        <v>100000</v>
      </c>
      <c r="I1194" s="22"/>
      <c r="J1194">
        <v>10</v>
      </c>
      <c r="K1194" s="22"/>
      <c r="L1194">
        <v>10.5465908841977</v>
      </c>
      <c r="M1194" s="22">
        <v>0.105</v>
      </c>
      <c r="N1194" s="21">
        <v>45105</v>
      </c>
      <c r="O1194" s="21">
        <v>46932</v>
      </c>
      <c r="P1194">
        <f>ROUND(YEARFRAC(N1194,O1194),0)</f>
        <v>5</v>
      </c>
      <c r="Q1194" s="6">
        <f>(M1194*H1194)/F1194</f>
        <v>0.10512096269176943</v>
      </c>
      <c r="R1194" s="5">
        <f>IF(S1194="Quarterly",4,IF(S1194="Semi-annual",2,IF(S1194="Annual",1,IF(S1194="Pays at maturity",0,12))))</f>
        <v>1</v>
      </c>
      <c r="S1194" t="s">
        <v>93</v>
      </c>
      <c r="U1194">
        <f>R1194*P1194</f>
        <v>5</v>
      </c>
      <c r="V1194">
        <f>(H1194*M1194)/AD1194</f>
        <v>10500</v>
      </c>
      <c r="W1194" s="28">
        <f>RATE(U1194,V1194,-F1194,H1194)</f>
        <v>0.10530767867010402</v>
      </c>
      <c r="X1194" s="27">
        <f>W1194*AD1194</f>
        <v>0.10530767867010402</v>
      </c>
      <c r="Y1194" s="5">
        <f>DURATION(N1194,O1194,M1194,D1194,AD1194)</f>
        <v>4.1353210860109098</v>
      </c>
      <c r="Z1194" s="5">
        <f>Y1194/(1+C1194)</f>
        <v>3.7413302791730265</v>
      </c>
      <c r="AA1194" s="5">
        <f>-Z1194*F1194</f>
        <v>-373702.51304207818</v>
      </c>
      <c r="AB1194" t="s">
        <v>64</v>
      </c>
      <c r="AC1194" t="s">
        <v>62</v>
      </c>
      <c r="AD1194">
        <f>_xlfn.SWITCH(PROPER(TRIM(S1194)),
   "Annual",1,
   "Semi-Annual",2,
   "Quarterly",4,
   "Monthly",12,
   "")</f>
        <v>1</v>
      </c>
    </row>
    <row r="1195" spans="1:30" x14ac:dyDescent="0.35">
      <c r="A1195" t="s">
        <v>919</v>
      </c>
      <c r="B1195" t="s">
        <v>483</v>
      </c>
      <c r="C1195" s="36">
        <f>RATE(U1195,V1195,-F1195,H1195)</f>
        <v>9.8004855491790471E-2</v>
      </c>
      <c r="D1195" s="3">
        <f>C1195*AD1195</f>
        <v>9.8004855491790471E-2</v>
      </c>
      <c r="F1195">
        <v>969.5</v>
      </c>
      <c r="G1195" t="s">
        <v>76</v>
      </c>
      <c r="H1195">
        <v>1000</v>
      </c>
      <c r="I1195" s="22"/>
      <c r="J1195">
        <v>96</v>
      </c>
      <c r="K1195" s="22"/>
      <c r="L1195">
        <v>10.348323304191499</v>
      </c>
      <c r="M1195" s="22">
        <v>0.09</v>
      </c>
      <c r="N1195" s="21">
        <v>45105</v>
      </c>
      <c r="O1195" s="21">
        <v>46932</v>
      </c>
      <c r="P1195">
        <f>ROUND(YEARFRAC(N1195,O1195),0)</f>
        <v>5</v>
      </c>
      <c r="Q1195" s="6">
        <f>(M1195*H1195)/F1195</f>
        <v>9.2831356369262513E-2</v>
      </c>
      <c r="R1195" s="5">
        <f>IF(S1195="Quarterly",4,IF(S1195="Semi-annual",2,IF(S1195="Annual",1,IF(S1195="Pays at maturity",0,12))))</f>
        <v>1</v>
      </c>
      <c r="S1195" t="s">
        <v>93</v>
      </c>
      <c r="U1195">
        <f>R1195*P1195</f>
        <v>5</v>
      </c>
      <c r="V1195">
        <f>(H1195*M1195)/AD1195</f>
        <v>90</v>
      </c>
      <c r="W1195" s="28">
        <f>RATE(U1195,V1195,-F1195,H1195)</f>
        <v>9.8004855491790471E-2</v>
      </c>
      <c r="X1195" s="27">
        <f>W1195*AD1195</f>
        <v>9.8004855491790471E-2</v>
      </c>
      <c r="Y1195" s="5">
        <f>DURATION(N1195,O1195,M1195,D1195,AD1195)</f>
        <v>4.2267003816367446</v>
      </c>
      <c r="Z1195" s="5">
        <f>Y1195/(1+C1195)</f>
        <v>3.8494368768010849</v>
      </c>
      <c r="AA1195" s="5">
        <f>-Z1195*F1195</f>
        <v>-3732.0290520586518</v>
      </c>
      <c r="AB1195" t="s">
        <v>64</v>
      </c>
      <c r="AC1195" t="s">
        <v>62</v>
      </c>
      <c r="AD1195">
        <f>_xlfn.SWITCH(PROPER(TRIM(S1195)),
   "Annual",1,
   "Semi-Annual",2,
   "Quarterly",4,
   "Monthly",12,
   "")</f>
        <v>1</v>
      </c>
    </row>
    <row r="1196" spans="1:30" x14ac:dyDescent="0.35">
      <c r="A1196" t="s">
        <v>918</v>
      </c>
      <c r="B1196" t="s">
        <v>119</v>
      </c>
      <c r="C1196" s="36">
        <f>RATE(U1196,V1196,-F1196,H1196)</f>
        <v>9.5700000000000021E-2</v>
      </c>
      <c r="D1196" s="3">
        <f>C1196*AD1196</f>
        <v>9.5700000000000021E-2</v>
      </c>
      <c r="F1196">
        <v>1000</v>
      </c>
      <c r="G1196" t="s">
        <v>76</v>
      </c>
      <c r="H1196">
        <v>1000</v>
      </c>
      <c r="I1196" s="22"/>
      <c r="J1196">
        <v>3</v>
      </c>
      <c r="K1196" s="22"/>
      <c r="L1196">
        <v>9.57</v>
      </c>
      <c r="M1196" s="22">
        <v>9.5700000000000007E-2</v>
      </c>
      <c r="N1196" s="21">
        <v>45840</v>
      </c>
      <c r="O1196" s="21">
        <v>46936</v>
      </c>
      <c r="P1196">
        <f>ROUND(YEARFRAC(N1196,O1196),0)</f>
        <v>3</v>
      </c>
      <c r="Q1196" s="6">
        <f>(M1196*H1196)/F1196</f>
        <v>9.5700000000000007E-2</v>
      </c>
      <c r="R1196" s="5">
        <f>IF(S1196="Quarterly",4,IF(S1196="Semi-annual",2,IF(S1196="Annual",1,IF(S1196="Pays at maturity",0,12))))</f>
        <v>1</v>
      </c>
      <c r="S1196" t="s">
        <v>93</v>
      </c>
      <c r="U1196">
        <f>R1196*P1196</f>
        <v>3</v>
      </c>
      <c r="V1196">
        <f>(H1196*M1196)/AD1196</f>
        <v>95.7</v>
      </c>
      <c r="W1196" s="28">
        <f>RATE(U1196,V1196,-F1196,H1196)</f>
        <v>9.5700000000000021E-2</v>
      </c>
      <c r="X1196" s="27">
        <f>W1196*AD1196</f>
        <v>9.5700000000000021E-2</v>
      </c>
      <c r="Y1196" s="5">
        <f>DURATION(N1196,O1196,M1196,D1196,AD1196)</f>
        <v>2.7456042479029903</v>
      </c>
      <c r="Z1196" s="5">
        <f>Y1196/(1+C1196)</f>
        <v>2.5057992588327007</v>
      </c>
      <c r="AA1196" s="5">
        <f>-Z1196*F1196</f>
        <v>-2505.7992588327006</v>
      </c>
      <c r="AB1196" t="s">
        <v>64</v>
      </c>
      <c r="AC1196" t="s">
        <v>62</v>
      </c>
      <c r="AD1196">
        <f>_xlfn.SWITCH(PROPER(TRIM(S1196)),
   "Annual",1,
   "Semi-Annual",2,
   "Quarterly",4,
   "Monthly",12,
   "")</f>
        <v>1</v>
      </c>
    </row>
    <row r="1197" spans="1:30" x14ac:dyDescent="0.35">
      <c r="C1197" s="28"/>
      <c r="D1197" s="27"/>
      <c r="I1197" s="22"/>
      <c r="K1197" s="22"/>
      <c r="M1197" s="22"/>
      <c r="N1197" s="21"/>
      <c r="O1197" s="21"/>
      <c r="P1197" s="5"/>
      <c r="Q1197" s="6"/>
      <c r="R1197" s="5"/>
      <c r="W1197" s="28"/>
      <c r="Y1197" s="33"/>
      <c r="Z1197" s="33"/>
      <c r="AA1197" s="33"/>
    </row>
    <row r="1198" spans="1:30" x14ac:dyDescent="0.35">
      <c r="A1198" t="s">
        <v>916</v>
      </c>
      <c r="B1198" t="s">
        <v>915</v>
      </c>
      <c r="C1198" s="36" t="e">
        <f t="shared" ref="C1198:C1208" si="767">RATE(U1198,V1198,-F1198,H1198)</f>
        <v>#VALUE!</v>
      </c>
      <c r="D1198" s="3" t="e">
        <f t="shared" ref="D1198:D1208" si="768">C1198*AD1198</f>
        <v>#VALUE!</v>
      </c>
      <c r="F1198">
        <v>113778</v>
      </c>
      <c r="G1198" t="s">
        <v>76</v>
      </c>
      <c r="H1198">
        <v>100000</v>
      </c>
      <c r="I1198" s="22"/>
      <c r="J1198">
        <v>9</v>
      </c>
      <c r="K1198" s="22"/>
      <c r="L1198">
        <v>11.6438435622951</v>
      </c>
      <c r="M1198" s="22">
        <v>0.17460000000000001</v>
      </c>
      <c r="N1198" s="21">
        <v>45476</v>
      </c>
      <c r="O1198" s="21">
        <v>46936</v>
      </c>
      <c r="P1198">
        <f t="shared" ref="P1198:P1208" si="769">ROUND(YEARFRAC(N1198,O1198),0)</f>
        <v>4</v>
      </c>
      <c r="Q1198" s="6">
        <f t="shared" ref="Q1198:Q1208" si="770">(M1198*H1198)/F1198</f>
        <v>0.15345673152982123</v>
      </c>
      <c r="R1198" s="5">
        <f t="shared" ref="R1198:R1208" si="771">IF(S1198="Quarterly",4,IF(S1198="Semi-annual",2,IF(S1198="Annual",1,IF(S1198="Pays at maturity",0,12))))</f>
        <v>0</v>
      </c>
      <c r="S1198" t="s">
        <v>782</v>
      </c>
      <c r="U1198">
        <f t="shared" ref="U1198:U1208" si="772">R1198*P1198</f>
        <v>0</v>
      </c>
      <c r="V1198" t="e">
        <f t="shared" ref="V1198:V1208" si="773">(H1198*M1198)/AD1198</f>
        <v>#VALUE!</v>
      </c>
      <c r="W1198" s="28" t="e">
        <f t="shared" ref="W1198:W1208" si="774">RATE(U1198,V1198,-F1198,H1198)</f>
        <v>#VALUE!</v>
      </c>
      <c r="X1198" s="27" t="e">
        <f t="shared" ref="X1198:X1208" si="775">W1198*AD1198</f>
        <v>#VALUE!</v>
      </c>
      <c r="Y1198" s="5" t="e">
        <f t="shared" ref="Y1198:Y1208" si="776">DURATION(N1198,O1198,M1198,D1198,AD1198)</f>
        <v>#VALUE!</v>
      </c>
      <c r="Z1198" s="5" t="e">
        <f t="shared" ref="Z1198:Z1208" si="777">Y1198/(1+C1198)</f>
        <v>#VALUE!</v>
      </c>
      <c r="AA1198" s="5" t="e">
        <f t="shared" ref="AA1198:AA1208" si="778">-Z1198*F1198</f>
        <v>#VALUE!</v>
      </c>
      <c r="AB1198" t="s">
        <v>69</v>
      </c>
      <c r="AC1198" t="s">
        <v>62</v>
      </c>
      <c r="AD1198" t="str">
        <f t="shared" ref="AD1198:AD1208" si="779">_xlfn.SWITCH(PROPER(TRIM(S1198)),
   "Annual",1,
   "Semi-Annual",2,
   "Quarterly",4,
   "Monthly",12,
   "")</f>
        <v/>
      </c>
    </row>
    <row r="1199" spans="1:30" x14ac:dyDescent="0.35">
      <c r="A1199" t="s">
        <v>914</v>
      </c>
      <c r="B1199" t="s">
        <v>261</v>
      </c>
      <c r="C1199" s="36">
        <f t="shared" si="767"/>
        <v>8.2859321639927014E-2</v>
      </c>
      <c r="D1199" s="3">
        <f t="shared" si="768"/>
        <v>8.2859321639927014E-2</v>
      </c>
      <c r="F1199">
        <v>1049.29</v>
      </c>
      <c r="G1199" t="s">
        <v>76</v>
      </c>
      <c r="H1199">
        <v>1000</v>
      </c>
      <c r="I1199" s="22"/>
      <c r="J1199">
        <v>440</v>
      </c>
      <c r="K1199" s="22"/>
      <c r="L1199">
        <v>7.0284744957827199</v>
      </c>
      <c r="M1199" s="22">
        <v>9.0299999999999991E-2</v>
      </c>
      <c r="N1199" s="21">
        <v>43293</v>
      </c>
      <c r="O1199" s="21">
        <v>46946</v>
      </c>
      <c r="P1199">
        <f t="shared" si="769"/>
        <v>10</v>
      </c>
      <c r="Q1199" s="6">
        <f t="shared" si="770"/>
        <v>8.6058191729645767E-2</v>
      </c>
      <c r="R1199" s="5">
        <f t="shared" si="771"/>
        <v>1</v>
      </c>
      <c r="S1199" t="s">
        <v>93</v>
      </c>
      <c r="U1199">
        <f t="shared" si="772"/>
        <v>10</v>
      </c>
      <c r="V1199">
        <f t="shared" si="773"/>
        <v>90.3</v>
      </c>
      <c r="W1199" s="28">
        <f t="shared" si="774"/>
        <v>8.2859321639927014E-2</v>
      </c>
      <c r="X1199" s="27">
        <f t="shared" si="775"/>
        <v>8.2859321639927014E-2</v>
      </c>
      <c r="Y1199" s="5">
        <f t="shared" si="776"/>
        <v>7.0641608511677925</v>
      </c>
      <c r="Z1199" s="5">
        <f t="shared" si="777"/>
        <v>6.5236182669319733</v>
      </c>
      <c r="AA1199" s="5">
        <f t="shared" si="778"/>
        <v>-6845.1674113090503</v>
      </c>
      <c r="AB1199" t="s">
        <v>64</v>
      </c>
      <c r="AC1199" t="s">
        <v>62</v>
      </c>
      <c r="AD1199">
        <f t="shared" si="779"/>
        <v>1</v>
      </c>
    </row>
    <row r="1200" spans="1:30" x14ac:dyDescent="0.35">
      <c r="A1200" t="s">
        <v>913</v>
      </c>
      <c r="B1200" t="s">
        <v>261</v>
      </c>
      <c r="C1200" s="36">
        <f t="shared" si="767"/>
        <v>8.7078019703035595E-2</v>
      </c>
      <c r="D1200" s="3">
        <f t="shared" si="768"/>
        <v>8.7078019703035595E-2</v>
      </c>
      <c r="F1200">
        <v>1045</v>
      </c>
      <c r="G1200" t="s">
        <v>76</v>
      </c>
      <c r="H1200">
        <v>1000</v>
      </c>
      <c r="I1200" s="22"/>
      <c r="J1200">
        <v>5</v>
      </c>
      <c r="K1200" s="22"/>
      <c r="L1200">
        <v>7.5479129768167201</v>
      </c>
      <c r="M1200" s="22">
        <v>9.4E-2</v>
      </c>
      <c r="N1200" s="21">
        <v>43293</v>
      </c>
      <c r="O1200" s="21">
        <v>46946</v>
      </c>
      <c r="P1200">
        <f t="shared" si="769"/>
        <v>10</v>
      </c>
      <c r="Q1200" s="6">
        <f t="shared" si="770"/>
        <v>8.9952153110047853E-2</v>
      </c>
      <c r="R1200" s="5">
        <f t="shared" si="771"/>
        <v>1</v>
      </c>
      <c r="S1200" t="s">
        <v>93</v>
      </c>
      <c r="U1200">
        <f t="shared" si="772"/>
        <v>10</v>
      </c>
      <c r="V1200">
        <f t="shared" si="773"/>
        <v>94</v>
      </c>
      <c r="W1200" s="28">
        <f t="shared" si="774"/>
        <v>8.7078019703035595E-2</v>
      </c>
      <c r="X1200" s="27">
        <f t="shared" si="775"/>
        <v>8.7078019703035595E-2</v>
      </c>
      <c r="Y1200" s="5">
        <f t="shared" si="776"/>
        <v>6.9703229292619806</v>
      </c>
      <c r="Z1200" s="5">
        <f t="shared" si="777"/>
        <v>6.4119803757655873</v>
      </c>
      <c r="AA1200" s="5">
        <f t="shared" si="778"/>
        <v>-6700.5194926750391</v>
      </c>
      <c r="AB1200" t="s">
        <v>64</v>
      </c>
      <c r="AC1200" t="s">
        <v>62</v>
      </c>
      <c r="AD1200">
        <f t="shared" si="779"/>
        <v>1</v>
      </c>
    </row>
    <row r="1201" spans="1:30" x14ac:dyDescent="0.35">
      <c r="A1201" t="s">
        <v>912</v>
      </c>
      <c r="B1201" t="s">
        <v>910</v>
      </c>
      <c r="C1201" s="36">
        <f t="shared" si="767"/>
        <v>2.6947426853784796E-2</v>
      </c>
      <c r="D1201" s="3">
        <f t="shared" si="768"/>
        <v>5.3894853707569593E-2</v>
      </c>
      <c r="F1201">
        <v>948.7</v>
      </c>
      <c r="G1201" t="s">
        <v>66</v>
      </c>
      <c r="H1201">
        <v>1000</v>
      </c>
      <c r="I1201" s="22"/>
      <c r="J1201">
        <v>600000</v>
      </c>
      <c r="K1201" s="22"/>
      <c r="M1201" s="22">
        <v>4.4999999999999998E-2</v>
      </c>
      <c r="N1201" s="21">
        <v>44300</v>
      </c>
      <c r="O1201" s="21">
        <v>46948</v>
      </c>
      <c r="P1201">
        <f t="shared" si="769"/>
        <v>7</v>
      </c>
      <c r="Q1201" s="6">
        <f t="shared" si="770"/>
        <v>4.7433329819753345E-2</v>
      </c>
      <c r="R1201" s="5">
        <f t="shared" si="771"/>
        <v>2</v>
      </c>
      <c r="S1201" t="s">
        <v>65</v>
      </c>
      <c r="U1201">
        <f t="shared" si="772"/>
        <v>14</v>
      </c>
      <c r="V1201">
        <f t="shared" si="773"/>
        <v>22.5</v>
      </c>
      <c r="W1201" s="28">
        <f t="shared" si="774"/>
        <v>2.6947426853784796E-2</v>
      </c>
      <c r="X1201" s="27">
        <f t="shared" si="775"/>
        <v>5.3894853707569593E-2</v>
      </c>
      <c r="Y1201" s="5">
        <f t="shared" si="776"/>
        <v>6.1617366127195927</v>
      </c>
      <c r="Z1201" s="5">
        <f t="shared" si="777"/>
        <v>6.0000506857464391</v>
      </c>
      <c r="AA1201" s="5">
        <f t="shared" si="778"/>
        <v>-5692.2480855676467</v>
      </c>
      <c r="AB1201" t="s">
        <v>69</v>
      </c>
      <c r="AC1201" t="s">
        <v>62</v>
      </c>
      <c r="AD1201">
        <f t="shared" si="779"/>
        <v>2</v>
      </c>
    </row>
    <row r="1202" spans="1:30" x14ac:dyDescent="0.35">
      <c r="A1202" t="s">
        <v>911</v>
      </c>
      <c r="B1202" t="s">
        <v>910</v>
      </c>
      <c r="C1202" s="36">
        <f t="shared" si="767"/>
        <v>2.7189299705363833E-2</v>
      </c>
      <c r="D1202" s="3">
        <f t="shared" si="768"/>
        <v>5.4378599410727667E-2</v>
      </c>
      <c r="F1202">
        <v>946</v>
      </c>
      <c r="G1202" t="s">
        <v>66</v>
      </c>
      <c r="H1202">
        <v>1000</v>
      </c>
      <c r="I1202" s="22"/>
      <c r="J1202">
        <v>0</v>
      </c>
      <c r="K1202" s="22"/>
      <c r="M1202" s="22">
        <v>4.4999999999999998E-2</v>
      </c>
      <c r="N1202" s="21">
        <v>44300</v>
      </c>
      <c r="O1202" s="21">
        <v>46948</v>
      </c>
      <c r="P1202">
        <f t="shared" si="769"/>
        <v>7</v>
      </c>
      <c r="Q1202" s="6">
        <f t="shared" si="770"/>
        <v>4.7568710359408031E-2</v>
      </c>
      <c r="R1202" s="5">
        <f t="shared" si="771"/>
        <v>2</v>
      </c>
      <c r="S1202" t="s">
        <v>65</v>
      </c>
      <c r="U1202">
        <f t="shared" si="772"/>
        <v>14</v>
      </c>
      <c r="V1202">
        <f t="shared" si="773"/>
        <v>22.5</v>
      </c>
      <c r="W1202" s="28">
        <f t="shared" si="774"/>
        <v>2.7189299705363833E-2</v>
      </c>
      <c r="X1202" s="27">
        <f t="shared" si="775"/>
        <v>5.4378599410727667E-2</v>
      </c>
      <c r="Y1202" s="5">
        <f t="shared" si="776"/>
        <v>6.1597386943794694</v>
      </c>
      <c r="Z1202" s="5">
        <f t="shared" si="777"/>
        <v>5.9966928161598965</v>
      </c>
      <c r="AA1202" s="5">
        <f t="shared" si="778"/>
        <v>-5672.8714040872619</v>
      </c>
      <c r="AB1202" t="s">
        <v>69</v>
      </c>
      <c r="AC1202" t="s">
        <v>62</v>
      </c>
      <c r="AD1202">
        <f t="shared" si="779"/>
        <v>2</v>
      </c>
    </row>
    <row r="1203" spans="1:30" x14ac:dyDescent="0.35">
      <c r="A1203" t="s">
        <v>909</v>
      </c>
      <c r="B1203" t="s">
        <v>636</v>
      </c>
      <c r="C1203" s="36">
        <f t="shared" si="767"/>
        <v>2.158870549139049E-2</v>
      </c>
      <c r="D1203" s="3">
        <f t="shared" si="768"/>
        <v>4.3177410982780981E-2</v>
      </c>
      <c r="F1203">
        <v>1010.91</v>
      </c>
      <c r="G1203" t="s">
        <v>694</v>
      </c>
      <c r="H1203">
        <v>1000</v>
      </c>
      <c r="I1203" s="22"/>
      <c r="J1203">
        <v>0</v>
      </c>
      <c r="K1203" s="22"/>
      <c r="M1203" s="22">
        <v>4.4999999999999998E-2</v>
      </c>
      <c r="N1203" s="21">
        <v>44391</v>
      </c>
      <c r="O1203" s="21">
        <v>46949</v>
      </c>
      <c r="P1203">
        <f t="shared" si="769"/>
        <v>7</v>
      </c>
      <c r="Q1203" s="6">
        <f t="shared" si="770"/>
        <v>4.4514348458319732E-2</v>
      </c>
      <c r="R1203" s="5">
        <f t="shared" si="771"/>
        <v>2</v>
      </c>
      <c r="S1203" t="s">
        <v>65</v>
      </c>
      <c r="U1203">
        <f t="shared" si="772"/>
        <v>14</v>
      </c>
      <c r="V1203">
        <f t="shared" si="773"/>
        <v>22.5</v>
      </c>
      <c r="W1203" s="28">
        <f t="shared" si="774"/>
        <v>2.158870549139049E-2</v>
      </c>
      <c r="X1203" s="27">
        <f t="shared" si="775"/>
        <v>4.3177410982780981E-2</v>
      </c>
      <c r="Y1203" s="5">
        <f t="shared" si="776"/>
        <v>5.9580539725855699</v>
      </c>
      <c r="Z1203" s="5">
        <f t="shared" si="777"/>
        <v>5.8321455009819321</v>
      </c>
      <c r="AA1203" s="5">
        <f t="shared" si="778"/>
        <v>-5895.7742083976445</v>
      </c>
      <c r="AB1203" t="s">
        <v>69</v>
      </c>
      <c r="AC1203" t="s">
        <v>62</v>
      </c>
      <c r="AD1203">
        <f t="shared" si="779"/>
        <v>2</v>
      </c>
    </row>
    <row r="1204" spans="1:30" x14ac:dyDescent="0.35">
      <c r="A1204" t="s">
        <v>909</v>
      </c>
      <c r="B1204" t="s">
        <v>636</v>
      </c>
      <c r="C1204" s="36">
        <f t="shared" si="767"/>
        <v>2.158870549139049E-2</v>
      </c>
      <c r="D1204" s="3">
        <f t="shared" si="768"/>
        <v>4.3177410982780981E-2</v>
      </c>
      <c r="F1204">
        <v>1010.91</v>
      </c>
      <c r="G1204" t="s">
        <v>694</v>
      </c>
      <c r="H1204">
        <v>1000</v>
      </c>
      <c r="I1204" s="22"/>
      <c r="J1204">
        <v>0</v>
      </c>
      <c r="K1204" s="22"/>
      <c r="M1204" s="22">
        <v>4.4999999999999998E-2</v>
      </c>
      <c r="N1204" s="21">
        <v>44391</v>
      </c>
      <c r="O1204" s="21">
        <v>46949</v>
      </c>
      <c r="P1204">
        <f t="shared" si="769"/>
        <v>7</v>
      </c>
      <c r="Q1204" s="6">
        <f t="shared" si="770"/>
        <v>4.4514348458319732E-2</v>
      </c>
      <c r="R1204" s="5">
        <f t="shared" si="771"/>
        <v>2</v>
      </c>
      <c r="S1204" t="s">
        <v>65</v>
      </c>
      <c r="U1204">
        <f t="shared" si="772"/>
        <v>14</v>
      </c>
      <c r="V1204">
        <f t="shared" si="773"/>
        <v>22.5</v>
      </c>
      <c r="W1204" s="28">
        <f t="shared" si="774"/>
        <v>2.158870549139049E-2</v>
      </c>
      <c r="X1204" s="27">
        <f t="shared" si="775"/>
        <v>4.3177410982780981E-2</v>
      </c>
      <c r="Y1204" s="5">
        <f t="shared" si="776"/>
        <v>5.9580539725855699</v>
      </c>
      <c r="Z1204" s="5">
        <f t="shared" si="777"/>
        <v>5.8321455009819321</v>
      </c>
      <c r="AA1204" s="5">
        <f t="shared" si="778"/>
        <v>-5895.7742083976445</v>
      </c>
      <c r="AB1204" t="s">
        <v>69</v>
      </c>
      <c r="AC1204" t="s">
        <v>62</v>
      </c>
      <c r="AD1204">
        <f t="shared" si="779"/>
        <v>2</v>
      </c>
    </row>
    <row r="1205" spans="1:30" x14ac:dyDescent="0.35">
      <c r="A1205" t="s">
        <v>909</v>
      </c>
      <c r="B1205" t="s">
        <v>636</v>
      </c>
      <c r="C1205" s="36">
        <f t="shared" si="767"/>
        <v>2.1354203903328095E-2</v>
      </c>
      <c r="D1205" s="3">
        <f t="shared" si="768"/>
        <v>4.270840780665619E-2</v>
      </c>
      <c r="F1205">
        <v>1013.74</v>
      </c>
      <c r="G1205" t="s">
        <v>694</v>
      </c>
      <c r="H1205">
        <v>1000</v>
      </c>
      <c r="I1205" s="22"/>
      <c r="J1205">
        <v>0</v>
      </c>
      <c r="K1205" s="22"/>
      <c r="M1205" s="22">
        <v>4.4999999999999998E-2</v>
      </c>
      <c r="N1205" s="21">
        <v>44391</v>
      </c>
      <c r="O1205" s="21">
        <v>46949</v>
      </c>
      <c r="P1205">
        <f t="shared" si="769"/>
        <v>7</v>
      </c>
      <c r="Q1205" s="6">
        <f t="shared" si="770"/>
        <v>4.4390080296723027E-2</v>
      </c>
      <c r="R1205" s="5">
        <f t="shared" si="771"/>
        <v>2</v>
      </c>
      <c r="S1205" t="s">
        <v>65</v>
      </c>
      <c r="U1205">
        <f t="shared" si="772"/>
        <v>14</v>
      </c>
      <c r="V1205">
        <f t="shared" si="773"/>
        <v>22.5</v>
      </c>
      <c r="W1205" s="28">
        <f t="shared" si="774"/>
        <v>2.1354203903328095E-2</v>
      </c>
      <c r="X1205" s="27">
        <f t="shared" si="775"/>
        <v>4.270840780665619E-2</v>
      </c>
      <c r="Y1205" s="5">
        <f t="shared" si="776"/>
        <v>5.9599276970551669</v>
      </c>
      <c r="Z1205" s="5">
        <f t="shared" si="777"/>
        <v>5.8353191030868645</v>
      </c>
      <c r="AA1205" s="5">
        <f t="shared" si="778"/>
        <v>-5915.4963875632784</v>
      </c>
      <c r="AB1205" t="s">
        <v>69</v>
      </c>
      <c r="AC1205" t="s">
        <v>62</v>
      </c>
      <c r="AD1205">
        <f t="shared" si="779"/>
        <v>2</v>
      </c>
    </row>
    <row r="1206" spans="1:30" x14ac:dyDescent="0.35">
      <c r="A1206" t="s">
        <v>908</v>
      </c>
      <c r="B1206" t="s">
        <v>905</v>
      </c>
      <c r="C1206" s="36">
        <f t="shared" si="767"/>
        <v>3.8614773299793223E-2</v>
      </c>
      <c r="D1206" s="3">
        <f t="shared" si="768"/>
        <v>7.7229546599586446E-2</v>
      </c>
      <c r="F1206">
        <v>1041.94</v>
      </c>
      <c r="G1206" t="s">
        <v>66</v>
      </c>
      <c r="H1206">
        <v>1000</v>
      </c>
      <c r="I1206" s="22"/>
      <c r="J1206">
        <v>1400000</v>
      </c>
      <c r="K1206" s="22"/>
      <c r="M1206" s="22">
        <v>8.7499999999999994E-2</v>
      </c>
      <c r="N1206" s="21">
        <v>45124</v>
      </c>
      <c r="O1206" s="21">
        <v>46951</v>
      </c>
      <c r="P1206">
        <f t="shared" si="769"/>
        <v>5</v>
      </c>
      <c r="Q1206" s="6">
        <f t="shared" si="770"/>
        <v>8.3977964182198592E-2</v>
      </c>
      <c r="R1206" s="5">
        <f t="shared" si="771"/>
        <v>2</v>
      </c>
      <c r="S1206" t="s">
        <v>65</v>
      </c>
      <c r="U1206">
        <f t="shared" si="772"/>
        <v>10</v>
      </c>
      <c r="V1206">
        <f t="shared" si="773"/>
        <v>43.75</v>
      </c>
      <c r="W1206" s="28">
        <f t="shared" si="774"/>
        <v>3.8614773299793223E-2</v>
      </c>
      <c r="X1206" s="27">
        <f t="shared" si="775"/>
        <v>7.7229546599586446E-2</v>
      </c>
      <c r="Y1206" s="5">
        <f t="shared" si="776"/>
        <v>4.1749434209743947</v>
      </c>
      <c r="Z1206" s="5">
        <f t="shared" si="777"/>
        <v>4.0197227386917875</v>
      </c>
      <c r="AA1206" s="5">
        <f t="shared" si="778"/>
        <v>-4188.309910352521</v>
      </c>
      <c r="AB1206" t="s">
        <v>69</v>
      </c>
      <c r="AC1206" t="s">
        <v>62</v>
      </c>
      <c r="AD1206">
        <f t="shared" si="779"/>
        <v>2</v>
      </c>
    </row>
    <row r="1207" spans="1:30" x14ac:dyDescent="0.35">
      <c r="A1207" t="s">
        <v>907</v>
      </c>
      <c r="B1207" t="s">
        <v>905</v>
      </c>
      <c r="C1207" s="36">
        <f t="shared" si="767"/>
        <v>3.8673286440176209E-2</v>
      </c>
      <c r="D1207" s="3">
        <f t="shared" si="768"/>
        <v>7.7346572880352418E-2</v>
      </c>
      <c r="F1207">
        <v>1041.45</v>
      </c>
      <c r="G1207" t="s">
        <v>66</v>
      </c>
      <c r="H1207">
        <v>1000</v>
      </c>
      <c r="I1207" s="22"/>
      <c r="J1207">
        <v>0</v>
      </c>
      <c r="K1207" s="22"/>
      <c r="M1207" s="22">
        <v>8.7499999999999994E-2</v>
      </c>
      <c r="N1207" s="21">
        <v>45124</v>
      </c>
      <c r="O1207" s="21">
        <v>46951</v>
      </c>
      <c r="P1207">
        <f t="shared" si="769"/>
        <v>5</v>
      </c>
      <c r="Q1207" s="6">
        <f t="shared" si="770"/>
        <v>8.401747563493206E-2</v>
      </c>
      <c r="R1207" s="5">
        <f t="shared" si="771"/>
        <v>2</v>
      </c>
      <c r="S1207" t="s">
        <v>65</v>
      </c>
      <c r="U1207">
        <f t="shared" si="772"/>
        <v>10</v>
      </c>
      <c r="V1207">
        <f t="shared" si="773"/>
        <v>43.75</v>
      </c>
      <c r="W1207" s="28">
        <f t="shared" si="774"/>
        <v>3.8673286440176209E-2</v>
      </c>
      <c r="X1207" s="27">
        <f t="shared" si="775"/>
        <v>7.7346572880352418E-2</v>
      </c>
      <c r="Y1207" s="5">
        <f t="shared" si="776"/>
        <v>4.1747173191578186</v>
      </c>
      <c r="Z1207" s="5">
        <f t="shared" si="777"/>
        <v>4.019278606332259</v>
      </c>
      <c r="AA1207" s="5">
        <f t="shared" si="778"/>
        <v>-4185.8777045647312</v>
      </c>
      <c r="AB1207" t="s">
        <v>69</v>
      </c>
      <c r="AC1207" t="s">
        <v>62</v>
      </c>
      <c r="AD1207">
        <f t="shared" si="779"/>
        <v>2</v>
      </c>
    </row>
    <row r="1208" spans="1:30" x14ac:dyDescent="0.35">
      <c r="A1208" t="s">
        <v>906</v>
      </c>
      <c r="B1208" t="s">
        <v>905</v>
      </c>
      <c r="C1208" s="36">
        <f t="shared" si="767"/>
        <v>3.8786827198437644E-2</v>
      </c>
      <c r="D1208" s="3">
        <f t="shared" si="768"/>
        <v>7.7573654396875288E-2</v>
      </c>
      <c r="F1208">
        <v>1040.5</v>
      </c>
      <c r="G1208" t="s">
        <v>66</v>
      </c>
      <c r="H1208">
        <v>1000</v>
      </c>
      <c r="I1208" s="22"/>
      <c r="J1208">
        <v>400000</v>
      </c>
      <c r="K1208" s="22"/>
      <c r="M1208" s="22">
        <v>8.7499999999999994E-2</v>
      </c>
      <c r="N1208" s="21">
        <v>45124</v>
      </c>
      <c r="O1208" s="21">
        <v>46951</v>
      </c>
      <c r="P1208">
        <f t="shared" si="769"/>
        <v>5</v>
      </c>
      <c r="Q1208" s="6">
        <f t="shared" si="770"/>
        <v>8.4094185487746276E-2</v>
      </c>
      <c r="R1208" s="5">
        <f t="shared" si="771"/>
        <v>2</v>
      </c>
      <c r="S1208" t="s">
        <v>65</v>
      </c>
      <c r="U1208">
        <f t="shared" si="772"/>
        <v>10</v>
      </c>
      <c r="V1208">
        <f t="shared" si="773"/>
        <v>43.75</v>
      </c>
      <c r="W1208" s="28">
        <f t="shared" si="774"/>
        <v>3.8786827198437644E-2</v>
      </c>
      <c r="X1208" s="27">
        <f t="shared" si="775"/>
        <v>7.7573654396875288E-2</v>
      </c>
      <c r="Y1208" s="5">
        <f t="shared" si="776"/>
        <v>4.1742784688791632</v>
      </c>
      <c r="Z1208" s="5">
        <f t="shared" si="777"/>
        <v>4.018416829694508</v>
      </c>
      <c r="AA1208" s="5">
        <f t="shared" si="778"/>
        <v>-4181.1627112971355</v>
      </c>
      <c r="AB1208" t="s">
        <v>69</v>
      </c>
      <c r="AC1208" t="s">
        <v>62</v>
      </c>
      <c r="AD1208">
        <f t="shared" si="779"/>
        <v>2</v>
      </c>
    </row>
    <row r="1209" spans="1:30" x14ac:dyDescent="0.35">
      <c r="C1209" s="28"/>
      <c r="D1209" s="27"/>
      <c r="I1209" s="22"/>
      <c r="K1209" s="22"/>
      <c r="M1209" s="22"/>
      <c r="N1209" s="21"/>
      <c r="O1209" s="21"/>
      <c r="P1209" s="5"/>
      <c r="Q1209" s="6"/>
      <c r="R1209" s="5"/>
      <c r="W1209" s="28"/>
      <c r="Y1209" s="33"/>
      <c r="Z1209" s="33"/>
      <c r="AA1209" s="33"/>
    </row>
    <row r="1210" spans="1:30" x14ac:dyDescent="0.35">
      <c r="A1210" t="s">
        <v>903</v>
      </c>
      <c r="B1210" t="s">
        <v>122</v>
      </c>
      <c r="C1210" s="36">
        <f>RATE(U1210,V1210,-F1210,H1210)</f>
        <v>0.10470936031054699</v>
      </c>
      <c r="D1210" s="3">
        <f>C1210*AD1210</f>
        <v>0.10470936031054699</v>
      </c>
      <c r="F1210">
        <v>970</v>
      </c>
      <c r="G1210" t="s">
        <v>76</v>
      </c>
      <c r="H1210">
        <v>1000</v>
      </c>
      <c r="I1210" s="22"/>
      <c r="J1210">
        <v>20</v>
      </c>
      <c r="K1210" s="22"/>
      <c r="L1210">
        <v>11.0009423471984</v>
      </c>
      <c r="M1210" s="22">
        <v>9.6699999999999994E-2</v>
      </c>
      <c r="N1210" s="21">
        <v>45128</v>
      </c>
      <c r="O1210" s="21">
        <v>46955</v>
      </c>
      <c r="P1210">
        <f>ROUND(YEARFRAC(N1210,O1210),0)</f>
        <v>5</v>
      </c>
      <c r="Q1210" s="6">
        <f>(M1210*H1210)/F1210</f>
        <v>9.9690721649484518E-2</v>
      </c>
      <c r="R1210" s="5">
        <f>IF(S1210="Quarterly",4,IF(S1210="Semi-annual",2,IF(S1210="Annual",1,IF(S1210="Pays at maturity",0,12))))</f>
        <v>1</v>
      </c>
      <c r="S1210" t="s">
        <v>93</v>
      </c>
      <c r="U1210">
        <f>R1210*P1210</f>
        <v>5</v>
      </c>
      <c r="V1210">
        <f>(H1210*M1210)/AD1210</f>
        <v>96.699999999999989</v>
      </c>
      <c r="W1210" s="28">
        <f>RATE(U1210,V1210,-F1210,H1210)</f>
        <v>0.10470936031054699</v>
      </c>
      <c r="X1210" s="27">
        <f>W1210*AD1210</f>
        <v>0.10470936031054699</v>
      </c>
      <c r="Y1210" s="5">
        <f>DURATION(N1210,O1210,M1210,D1210,AD1210)</f>
        <v>4.1791423759496418</v>
      </c>
      <c r="Z1210" s="5">
        <f>Y1210/(1+C1210)</f>
        <v>3.7830243194235589</v>
      </c>
      <c r="AA1210" s="5">
        <f>-Z1210*F1210</f>
        <v>-3669.5335898408521</v>
      </c>
      <c r="AB1210" t="s">
        <v>64</v>
      </c>
      <c r="AC1210" t="s">
        <v>62</v>
      </c>
      <c r="AD1210">
        <f>_xlfn.SWITCH(PROPER(TRIM(S1210)),
   "Annual",1,
   "Semi-Annual",2,
   "Quarterly",4,
   "Monthly",12,
   "")</f>
        <v>1</v>
      </c>
    </row>
    <row r="1211" spans="1:30" x14ac:dyDescent="0.35">
      <c r="A1211" t="s">
        <v>902</v>
      </c>
      <c r="B1211" t="s">
        <v>901</v>
      </c>
      <c r="C1211" s="36">
        <f>RATE(U1211,V1211,-F1211,H1211)</f>
        <v>2.5245902314966515E-2</v>
      </c>
      <c r="D1211" s="3">
        <f>C1211*AD1211</f>
        <v>5.0491804629933031E-2</v>
      </c>
      <c r="F1211">
        <v>1012.17</v>
      </c>
      <c r="G1211" t="s">
        <v>66</v>
      </c>
      <c r="H1211">
        <v>1000</v>
      </c>
      <c r="I1211" s="22"/>
      <c r="J1211">
        <v>600000</v>
      </c>
      <c r="K1211" s="22"/>
      <c r="M1211" s="22">
        <v>5.389E-2</v>
      </c>
      <c r="N1211" s="21">
        <v>45678</v>
      </c>
      <c r="O1211" s="21">
        <v>46955</v>
      </c>
      <c r="P1211">
        <f>ROUND(YEARFRAC(N1211,O1211),0)</f>
        <v>4</v>
      </c>
      <c r="Q1211" s="6">
        <f>(M1211*H1211)/F1211</f>
        <v>5.3242044320618083E-2</v>
      </c>
      <c r="R1211" s="5">
        <f>IF(S1211="Quarterly",4,IF(S1211="Semi-annual",2,IF(S1211="Annual",1,IF(S1211="Pays at maturity",0,12))))</f>
        <v>2</v>
      </c>
      <c r="S1211" t="s">
        <v>65</v>
      </c>
      <c r="U1211">
        <f>R1211*P1211</f>
        <v>8</v>
      </c>
      <c r="V1211">
        <f>(H1211*M1211)/AD1211</f>
        <v>26.945</v>
      </c>
      <c r="W1211" s="28">
        <f>RATE(U1211,V1211,-F1211,H1211)</f>
        <v>2.5245902314966515E-2</v>
      </c>
      <c r="X1211" s="27">
        <f>W1211*AD1211</f>
        <v>5.0491804629933031E-2</v>
      </c>
      <c r="Y1211" s="5">
        <f>DURATION(N1211,O1211,M1211,D1211,AD1211)</f>
        <v>3.2379195367031421</v>
      </c>
      <c r="Z1211" s="5">
        <f>Y1211/(1+C1211)</f>
        <v>3.1581882252755582</v>
      </c>
      <c r="AA1211" s="5">
        <f>-Z1211*F1211</f>
        <v>-3196.6233759771617</v>
      </c>
      <c r="AB1211" t="s">
        <v>69</v>
      </c>
      <c r="AC1211" t="s">
        <v>62</v>
      </c>
      <c r="AD1211">
        <f>_xlfn.SWITCH(PROPER(TRIM(S1211)),
   "Annual",1,
   "Semi-Annual",2,
   "Quarterly",4,
   "Monthly",12,
   "")</f>
        <v>2</v>
      </c>
    </row>
    <row r="1212" spans="1:30" x14ac:dyDescent="0.35">
      <c r="C1212" s="28"/>
      <c r="D1212" s="27"/>
      <c r="I1212" s="22"/>
      <c r="K1212" s="22"/>
      <c r="M1212" s="22"/>
      <c r="N1212" s="21"/>
      <c r="O1212" s="21"/>
      <c r="P1212" s="5"/>
      <c r="Q1212" s="6"/>
      <c r="R1212" s="5"/>
      <c r="W1212" s="28"/>
      <c r="Y1212" s="33"/>
      <c r="Z1212" s="33"/>
      <c r="AA1212" s="33"/>
    </row>
    <row r="1213" spans="1:30" x14ac:dyDescent="0.35">
      <c r="A1213" t="s">
        <v>899</v>
      </c>
      <c r="B1213" t="s">
        <v>122</v>
      </c>
      <c r="C1213" s="36">
        <f>RATE(U1213,V1213,-F1213,H1213)</f>
        <v>0.11417886230069028</v>
      </c>
      <c r="D1213" s="3">
        <f>C1213*AD1213</f>
        <v>0.11417886230069028</v>
      </c>
      <c r="F1213">
        <v>951.8</v>
      </c>
      <c r="G1213" t="s">
        <v>76</v>
      </c>
      <c r="H1213">
        <v>1000</v>
      </c>
      <c r="I1213" s="22"/>
      <c r="J1213">
        <v>21</v>
      </c>
      <c r="K1213" s="22"/>
      <c r="L1213">
        <v>12.297962523562701</v>
      </c>
      <c r="M1213" s="22">
        <v>0.10099999999999999</v>
      </c>
      <c r="N1213" s="21">
        <v>45128</v>
      </c>
      <c r="O1213" s="21">
        <v>46955</v>
      </c>
      <c r="P1213">
        <f>ROUND(YEARFRAC(N1213,O1213),0)</f>
        <v>5</v>
      </c>
      <c r="Q1213" s="6">
        <f>(M1213*H1213)/F1213</f>
        <v>0.10611472998529102</v>
      </c>
      <c r="R1213" s="5">
        <f>IF(S1213="Quarterly",4,IF(S1213="Semi-annual",2,IF(S1213="Annual",1,IF(S1213="Pays at maturity",0,12))))</f>
        <v>1</v>
      </c>
      <c r="S1213" t="s">
        <v>93</v>
      </c>
      <c r="U1213">
        <f>R1213*P1213</f>
        <v>5</v>
      </c>
      <c r="V1213">
        <f>(H1213*M1213)/AD1213</f>
        <v>100.99999999999999</v>
      </c>
      <c r="W1213" s="28">
        <f>RATE(U1213,V1213,-F1213,H1213)</f>
        <v>0.11417886230069028</v>
      </c>
      <c r="X1213" s="27">
        <f>W1213*AD1213</f>
        <v>0.11417886230069028</v>
      </c>
      <c r="Y1213" s="5">
        <f>DURATION(N1213,O1213,M1213,D1213,AD1213)</f>
        <v>4.1402989316927146</v>
      </c>
      <c r="Z1213" s="5">
        <f>Y1213/(1+C1213)</f>
        <v>3.7160092259723259</v>
      </c>
      <c r="AA1213" s="5">
        <f>-Z1213*F1213</f>
        <v>-3536.8975812804597</v>
      </c>
      <c r="AB1213" t="s">
        <v>64</v>
      </c>
      <c r="AC1213" t="s">
        <v>62</v>
      </c>
      <c r="AD1213">
        <f>_xlfn.SWITCH(PROPER(TRIM(S1213)),
   "Annual",1,
   "Semi-Annual",2,
   "Quarterly",4,
   "Monthly",12,
   "")</f>
        <v>1</v>
      </c>
    </row>
    <row r="1214" spans="1:30" x14ac:dyDescent="0.35">
      <c r="C1214" s="28"/>
      <c r="D1214" s="27"/>
      <c r="I1214" s="22"/>
      <c r="K1214" s="22"/>
      <c r="M1214" s="22"/>
      <c r="N1214" s="21"/>
      <c r="O1214" s="21"/>
      <c r="P1214" s="5"/>
      <c r="Q1214" s="6"/>
      <c r="R1214" s="5"/>
      <c r="W1214" s="28"/>
      <c r="Y1214" s="33"/>
      <c r="Z1214" s="33"/>
      <c r="AA1214" s="33"/>
    </row>
    <row r="1215" spans="1:30" x14ac:dyDescent="0.35">
      <c r="A1215" t="s">
        <v>897</v>
      </c>
      <c r="B1215" t="s">
        <v>465</v>
      </c>
      <c r="C1215" s="36">
        <f>RATE(U1215,V1215,-F1215,H1215)</f>
        <v>0.11582363595849654</v>
      </c>
      <c r="D1215" s="3">
        <f>C1215*AD1215</f>
        <v>0.11582363595849654</v>
      </c>
      <c r="F1215">
        <v>997</v>
      </c>
      <c r="G1215" t="s">
        <v>76</v>
      </c>
      <c r="H1215">
        <v>1000</v>
      </c>
      <c r="I1215" s="22"/>
      <c r="J1215">
        <v>100</v>
      </c>
      <c r="K1215" s="22"/>
      <c r="L1215">
        <v>11.6342675940707</v>
      </c>
      <c r="M1215" s="22">
        <v>0.115</v>
      </c>
      <c r="N1215" s="21">
        <v>45100</v>
      </c>
      <c r="O1215" s="21">
        <v>46957</v>
      </c>
      <c r="P1215">
        <f>ROUND(YEARFRAC(N1215,O1215),0)</f>
        <v>5</v>
      </c>
      <c r="Q1215" s="6">
        <f>(M1215*H1215)/F1215</f>
        <v>0.11534603811434303</v>
      </c>
      <c r="R1215" s="5">
        <f>IF(S1215="Quarterly",4,IF(S1215="Semi-annual",2,IF(S1215="Annual",1,IF(S1215="Pays at maturity",0,12))))</f>
        <v>1</v>
      </c>
      <c r="S1215" t="s">
        <v>93</v>
      </c>
      <c r="U1215">
        <f>R1215*P1215</f>
        <v>5</v>
      </c>
      <c r="V1215">
        <f>(H1215*M1215)/AD1215</f>
        <v>115</v>
      </c>
      <c r="W1215" s="28">
        <f>RATE(U1215,V1215,-F1215,H1215)</f>
        <v>0.11582363595849654</v>
      </c>
      <c r="X1215" s="27">
        <f>W1215*AD1215</f>
        <v>0.11582363595849654</v>
      </c>
      <c r="Y1215" s="5">
        <f>DURATION(N1215,O1215,M1215,D1215,AD1215)</f>
        <v>3.730738403889291</v>
      </c>
      <c r="Z1215" s="5">
        <f>Y1215/(1+C1215)</f>
        <v>3.3434839374813685</v>
      </c>
      <c r="AA1215" s="5">
        <f>-Z1215*F1215</f>
        <v>-3333.4534856689243</v>
      </c>
      <c r="AB1215" t="s">
        <v>64</v>
      </c>
      <c r="AC1215" t="s">
        <v>62</v>
      </c>
      <c r="AD1215">
        <f>_xlfn.SWITCH(PROPER(TRIM(S1215)),
   "Annual",1,
   "Semi-Annual",2,
   "Quarterly",4,
   "Monthly",12,
   "")</f>
        <v>1</v>
      </c>
    </row>
    <row r="1216" spans="1:30" x14ac:dyDescent="0.35">
      <c r="A1216" t="s">
        <v>896</v>
      </c>
      <c r="B1216" t="s">
        <v>483</v>
      </c>
      <c r="C1216" s="36">
        <f>RATE(U1216,V1216,-F1216,H1216)</f>
        <v>4.2549237746905361E-2</v>
      </c>
      <c r="D1216" s="3">
        <f>C1216*AD1216</f>
        <v>8.5098475493810721E-2</v>
      </c>
      <c r="F1216">
        <v>1008</v>
      </c>
      <c r="G1216" t="s">
        <v>66</v>
      </c>
      <c r="H1216">
        <v>1000</v>
      </c>
      <c r="I1216" s="22"/>
      <c r="J1216">
        <v>1200000</v>
      </c>
      <c r="K1216" s="22"/>
      <c r="M1216" s="22">
        <v>8.7499999999999994E-2</v>
      </c>
      <c r="N1216" s="21">
        <v>45681</v>
      </c>
      <c r="O1216" s="21">
        <v>46958</v>
      </c>
      <c r="P1216">
        <f>ROUND(YEARFRAC(N1216,O1216),0)</f>
        <v>4</v>
      </c>
      <c r="Q1216" s="6">
        <f>(M1216*H1216)/F1216</f>
        <v>8.6805555555555552E-2</v>
      </c>
      <c r="R1216" s="5">
        <f>IF(S1216="Quarterly",4,IF(S1216="Semi-annual",2,IF(S1216="Annual",1,IF(S1216="Pays at maturity",0,12))))</f>
        <v>2</v>
      </c>
      <c r="S1216" t="s">
        <v>65</v>
      </c>
      <c r="U1216">
        <f>R1216*P1216</f>
        <v>8</v>
      </c>
      <c r="V1216">
        <f>(H1216*M1216)/AD1216</f>
        <v>43.75</v>
      </c>
      <c r="W1216" s="28">
        <f>RATE(U1216,V1216,-F1216,H1216)</f>
        <v>4.2549237746905361E-2</v>
      </c>
      <c r="X1216" s="27">
        <f>W1216*AD1216</f>
        <v>8.5098475493810721E-2</v>
      </c>
      <c r="Y1216" s="5">
        <f>DURATION(N1216,O1216,M1216,D1216,AD1216)</f>
        <v>3.0910711761027683</v>
      </c>
      <c r="Z1216" s="5">
        <f>Y1216/(1+C1216)</f>
        <v>2.9649162496948391</v>
      </c>
      <c r="AA1216" s="5">
        <f>-Z1216*F1216</f>
        <v>-2988.6355796923976</v>
      </c>
      <c r="AB1216" t="s">
        <v>64</v>
      </c>
      <c r="AC1216" t="s">
        <v>62</v>
      </c>
      <c r="AD1216">
        <f>_xlfn.SWITCH(PROPER(TRIM(S1216)),
   "Annual",1,
   "Semi-Annual",2,
   "Quarterly",4,
   "Monthly",12,
   "")</f>
        <v>2</v>
      </c>
    </row>
    <row r="1217" spans="1:30" x14ac:dyDescent="0.35">
      <c r="A1217" t="s">
        <v>895</v>
      </c>
      <c r="B1217" t="s">
        <v>128</v>
      </c>
      <c r="C1217" s="36">
        <f>RATE(U1217,V1217,-F1217,H1217)</f>
        <v>0.1701687820459295</v>
      </c>
      <c r="D1217" s="3">
        <f>C1217*AD1217</f>
        <v>0.1701687820459295</v>
      </c>
      <c r="F1217">
        <v>780.39</v>
      </c>
      <c r="G1217" t="s">
        <v>76</v>
      </c>
      <c r="H1217">
        <v>1000</v>
      </c>
      <c r="I1217" s="22"/>
      <c r="J1217">
        <v>20</v>
      </c>
      <c r="K1217" s="22"/>
      <c r="L1217">
        <v>20.7936456724496</v>
      </c>
      <c r="M1217" s="22">
        <v>0.10150000000000001</v>
      </c>
      <c r="N1217" s="21">
        <v>45134</v>
      </c>
      <c r="O1217" s="21">
        <v>46961</v>
      </c>
      <c r="P1217">
        <f>ROUND(YEARFRAC(N1217,O1217),0)</f>
        <v>5</v>
      </c>
      <c r="Q1217" s="6">
        <f>(M1217*H1217)/F1217</f>
        <v>0.1300631735414344</v>
      </c>
      <c r="R1217" s="5">
        <f>IF(S1217="Quarterly",4,IF(S1217="Semi-annual",2,IF(S1217="Annual",1,IF(S1217="Pays at maturity",0,12))))</f>
        <v>1</v>
      </c>
      <c r="S1217" t="s">
        <v>93</v>
      </c>
      <c r="U1217">
        <f>R1217*P1217</f>
        <v>5</v>
      </c>
      <c r="V1217">
        <f>(H1217*M1217)/AD1217</f>
        <v>101.5</v>
      </c>
      <c r="W1217" s="28">
        <f>RATE(U1217,V1217,-F1217,H1217)</f>
        <v>0.1701687820459295</v>
      </c>
      <c r="X1217" s="27">
        <f>W1217*AD1217</f>
        <v>0.1701687820459295</v>
      </c>
      <c r="Y1217" s="5">
        <f>DURATION(N1217,O1217,M1217,D1217,AD1217)</f>
        <v>4.0387340569019887</v>
      </c>
      <c r="Z1217" s="5">
        <f>Y1217/(1+C1217)</f>
        <v>3.451411556066847</v>
      </c>
      <c r="AA1217" s="5">
        <f>-Z1217*F1217</f>
        <v>-2693.4470642390065</v>
      </c>
      <c r="AB1217" t="s">
        <v>64</v>
      </c>
      <c r="AC1217" t="s">
        <v>62</v>
      </c>
      <c r="AD1217">
        <f>_xlfn.SWITCH(PROPER(TRIM(S1217)),
   "Annual",1,
   "Semi-Annual",2,
   "Quarterly",4,
   "Monthly",12,
   "")</f>
        <v>1</v>
      </c>
    </row>
    <row r="1218" spans="1:30" x14ac:dyDescent="0.35">
      <c r="A1218" t="s">
        <v>894</v>
      </c>
      <c r="B1218" t="s">
        <v>128</v>
      </c>
      <c r="C1218" s="36">
        <f>RATE(U1218,V1218,-F1218,H1218)</f>
        <v>0.19230060739259217</v>
      </c>
      <c r="D1218" s="3">
        <f>C1218*AD1218</f>
        <v>0.19230060739259217</v>
      </c>
      <c r="F1218">
        <v>710.4</v>
      </c>
      <c r="G1218" t="s">
        <v>76</v>
      </c>
      <c r="H1218">
        <v>1000</v>
      </c>
      <c r="I1218" s="22"/>
      <c r="J1218">
        <v>13</v>
      </c>
      <c r="K1218" s="22"/>
      <c r="L1218">
        <v>27.1706285459688</v>
      </c>
      <c r="M1218" s="22">
        <v>9.7100000000000006E-2</v>
      </c>
      <c r="N1218" s="21">
        <v>45134</v>
      </c>
      <c r="O1218" s="21">
        <v>46961</v>
      </c>
      <c r="P1218">
        <f>ROUND(YEARFRAC(N1218,O1218),0)</f>
        <v>5</v>
      </c>
      <c r="Q1218" s="6">
        <f>(M1218*H1218)/F1218</f>
        <v>0.13668355855855857</v>
      </c>
      <c r="R1218" s="5">
        <f>IF(S1218="Quarterly",4,IF(S1218="Semi-annual",2,IF(S1218="Annual",1,IF(S1218="Pays at maturity",0,12))))</f>
        <v>1</v>
      </c>
      <c r="S1218" t="s">
        <v>93</v>
      </c>
      <c r="U1218">
        <f>R1218*P1218</f>
        <v>5</v>
      </c>
      <c r="V1218">
        <f>(H1218*M1218)/AD1218</f>
        <v>97.100000000000009</v>
      </c>
      <c r="W1218" s="28">
        <f>RATE(U1218,V1218,-F1218,H1218)</f>
        <v>0.19230060739259217</v>
      </c>
      <c r="X1218" s="27">
        <f>W1218*AD1218</f>
        <v>0.19230060739259217</v>
      </c>
      <c r="Y1218" s="5">
        <f>DURATION(N1218,O1218,M1218,D1218,AD1218)</f>
        <v>4.0240805877108858</v>
      </c>
      <c r="Z1218" s="5">
        <f>Y1218/(1+C1218)</f>
        <v>3.3750553868382505</v>
      </c>
      <c r="AA1218" s="5">
        <f>-Z1218*F1218</f>
        <v>-2397.6393468098931</v>
      </c>
      <c r="AB1218" t="s">
        <v>64</v>
      </c>
      <c r="AC1218" t="s">
        <v>62</v>
      </c>
      <c r="AD1218">
        <f>_xlfn.SWITCH(PROPER(TRIM(S1218)),
   "Annual",1,
   "Semi-Annual",2,
   "Quarterly",4,
   "Monthly",12,
   "")</f>
        <v>1</v>
      </c>
    </row>
    <row r="1219" spans="1:30" x14ac:dyDescent="0.35">
      <c r="C1219" s="28"/>
      <c r="D1219" s="27"/>
      <c r="I1219" s="22"/>
      <c r="K1219" s="22"/>
      <c r="M1219" s="22"/>
      <c r="N1219" s="21"/>
      <c r="O1219" s="21"/>
      <c r="P1219" s="5"/>
      <c r="Q1219" s="6"/>
      <c r="R1219" s="5"/>
      <c r="W1219" s="28"/>
      <c r="Y1219" s="33"/>
      <c r="Z1219" s="33"/>
      <c r="AA1219" s="33"/>
    </row>
    <row r="1220" spans="1:30" x14ac:dyDescent="0.35">
      <c r="A1220" t="s">
        <v>892</v>
      </c>
      <c r="B1220" t="s">
        <v>568</v>
      </c>
      <c r="C1220" s="36">
        <f>RATE(U1220,V1220,-F1220,H1220)</f>
        <v>0.10345506159667049</v>
      </c>
      <c r="D1220" s="3">
        <f>C1220*AD1220</f>
        <v>0.10345506159667049</v>
      </c>
      <c r="F1220">
        <v>970</v>
      </c>
      <c r="G1220" t="s">
        <v>76</v>
      </c>
      <c r="H1220">
        <v>1000</v>
      </c>
      <c r="I1220" s="22"/>
      <c r="J1220">
        <v>100</v>
      </c>
      <c r="K1220" s="22"/>
      <c r="L1220">
        <v>11.171635553078801</v>
      </c>
      <c r="M1220" s="22">
        <v>9.849999999999999E-2</v>
      </c>
      <c r="N1220" s="21">
        <v>43318</v>
      </c>
      <c r="O1220" s="21">
        <v>46971</v>
      </c>
      <c r="P1220">
        <f>ROUND(YEARFRAC(N1220,O1220),0)</f>
        <v>10</v>
      </c>
      <c r="Q1220" s="6">
        <f>(M1220*H1220)/F1220</f>
        <v>0.10154639175257731</v>
      </c>
      <c r="R1220" s="5">
        <f>IF(S1220="Quarterly",4,IF(S1220="Semi-annual",2,IF(S1220="Annual",1,IF(S1220="Pays at maturity",0,12))))</f>
        <v>1</v>
      </c>
      <c r="S1220" t="s">
        <v>93</v>
      </c>
      <c r="U1220">
        <f>R1220*P1220</f>
        <v>10</v>
      </c>
      <c r="V1220">
        <f>(H1220*M1220)/AD1220</f>
        <v>98.499999999999986</v>
      </c>
      <c r="W1220" s="28">
        <f>RATE(U1220,V1220,-F1220,H1220)</f>
        <v>0.10345506159667049</v>
      </c>
      <c r="X1220" s="27">
        <f>W1220*AD1220</f>
        <v>0.10345506159667049</v>
      </c>
      <c r="Y1220" s="5">
        <f>DURATION(N1220,O1220,M1220,D1220,AD1220)</f>
        <v>6.7420123030133237</v>
      </c>
      <c r="Z1220" s="5">
        <f>Y1220/(1+C1220)</f>
        <v>6.1099110762678537</v>
      </c>
      <c r="AA1220" s="5">
        <f>-Z1220*F1220</f>
        <v>-5926.6137439798176</v>
      </c>
      <c r="AB1220" t="s">
        <v>64</v>
      </c>
      <c r="AC1220" t="s">
        <v>62</v>
      </c>
      <c r="AD1220">
        <f>_xlfn.SWITCH(PROPER(TRIM(S1220)),
   "Annual",1,
   "Semi-Annual",2,
   "Quarterly",4,
   "Monthly",12,
   "")</f>
        <v>1</v>
      </c>
    </row>
    <row r="1221" spans="1:30" x14ac:dyDescent="0.35">
      <c r="A1221" t="s">
        <v>891</v>
      </c>
      <c r="B1221" t="s">
        <v>568</v>
      </c>
      <c r="C1221" s="36">
        <f>RATE(U1221,V1221,-F1221,H1221)</f>
        <v>9.9829286112243287E-2</v>
      </c>
      <c r="D1221" s="3">
        <f>C1221*AD1221</f>
        <v>9.9829286112243287E-2</v>
      </c>
      <c r="F1221">
        <v>966</v>
      </c>
      <c r="G1221" t="s">
        <v>76</v>
      </c>
      <c r="H1221">
        <v>1000</v>
      </c>
      <c r="I1221" s="22"/>
      <c r="J1221">
        <v>11</v>
      </c>
      <c r="K1221" s="22"/>
      <c r="L1221">
        <v>10.917191712468499</v>
      </c>
      <c r="M1221" s="22">
        <v>9.4299999999999995E-2</v>
      </c>
      <c r="N1221" s="21">
        <v>43318</v>
      </c>
      <c r="O1221" s="21">
        <v>46971</v>
      </c>
      <c r="P1221">
        <f>ROUND(YEARFRAC(N1221,O1221),0)</f>
        <v>10</v>
      </c>
      <c r="Q1221" s="6">
        <f>(M1221*H1221)/F1221</f>
        <v>9.7619047619047619E-2</v>
      </c>
      <c r="R1221" s="5">
        <f>IF(S1221="Quarterly",4,IF(S1221="Semi-annual",2,IF(S1221="Annual",1,IF(S1221="Pays at maturity",0,12))))</f>
        <v>1</v>
      </c>
      <c r="S1221" t="s">
        <v>93</v>
      </c>
      <c r="U1221">
        <f>R1221*P1221</f>
        <v>10</v>
      </c>
      <c r="V1221">
        <f>(H1221*M1221)/AD1221</f>
        <v>94.3</v>
      </c>
      <c r="W1221" s="28">
        <f>RATE(U1221,V1221,-F1221,H1221)</f>
        <v>9.9829286112243287E-2</v>
      </c>
      <c r="X1221" s="27">
        <f>W1221*AD1221</f>
        <v>9.9829286112243287E-2</v>
      </c>
      <c r="Y1221" s="5">
        <f>DURATION(N1221,O1221,M1221,D1221,AD1221)</f>
        <v>6.8346029953284075</v>
      </c>
      <c r="Z1221" s="5">
        <f>Y1221/(1+C1221)</f>
        <v>6.214239865795772</v>
      </c>
      <c r="AA1221" s="5">
        <f>-Z1221*F1221</f>
        <v>-6002.9557103587158</v>
      </c>
      <c r="AB1221" t="s">
        <v>64</v>
      </c>
      <c r="AC1221" t="s">
        <v>62</v>
      </c>
      <c r="AD1221">
        <f>_xlfn.SWITCH(PROPER(TRIM(S1221)),
   "Annual",1,
   "Semi-Annual",2,
   "Quarterly",4,
   "Monthly",12,
   "")</f>
        <v>1</v>
      </c>
    </row>
    <row r="1222" spans="1:30" x14ac:dyDescent="0.35">
      <c r="A1222" t="s">
        <v>890</v>
      </c>
      <c r="B1222" t="s">
        <v>241</v>
      </c>
      <c r="C1222" s="36">
        <f>RATE(U1222,V1222,-F1222,H1222)</f>
        <v>9.958199742417366E-2</v>
      </c>
      <c r="D1222" s="3">
        <f>C1222*AD1222</f>
        <v>9.958199742417366E-2</v>
      </c>
      <c r="F1222">
        <v>989.85</v>
      </c>
      <c r="G1222" t="s">
        <v>76</v>
      </c>
      <c r="H1222">
        <v>1000</v>
      </c>
      <c r="I1222" s="22"/>
      <c r="J1222">
        <v>19</v>
      </c>
      <c r="K1222" s="22"/>
      <c r="L1222">
        <v>10.184449011804</v>
      </c>
      <c r="M1222" s="22">
        <v>9.7500000000000003E-2</v>
      </c>
      <c r="N1222" s="21">
        <v>44323</v>
      </c>
      <c r="O1222" s="21">
        <v>46972</v>
      </c>
      <c r="P1222">
        <f>ROUND(YEARFRAC(N1222,O1222),0)</f>
        <v>7</v>
      </c>
      <c r="Q1222" s="6">
        <f>(M1222*H1222)/F1222</f>
        <v>9.8499772692832249E-2</v>
      </c>
      <c r="R1222" s="5">
        <f>IF(S1222="Quarterly",4,IF(S1222="Semi-annual",2,IF(S1222="Annual",1,IF(S1222="Pays at maturity",0,12))))</f>
        <v>1</v>
      </c>
      <c r="S1222" t="s">
        <v>93</v>
      </c>
      <c r="U1222">
        <f>R1222*P1222</f>
        <v>7</v>
      </c>
      <c r="V1222">
        <f>(H1222*M1222)/AD1222</f>
        <v>97.5</v>
      </c>
      <c r="W1222" s="28">
        <f>RATE(U1222,V1222,-F1222,H1222)</f>
        <v>9.958199742417366E-2</v>
      </c>
      <c r="X1222" s="27">
        <f>W1222*AD1222</f>
        <v>9.958199742417366E-2</v>
      </c>
      <c r="Y1222" s="5">
        <f>DURATION(N1222,O1222,M1222,D1222,AD1222)</f>
        <v>5.1461479040557832</v>
      </c>
      <c r="Z1222" s="5">
        <f>Y1222/(1+C1222)</f>
        <v>4.6800947233684207</v>
      </c>
      <c r="AA1222" s="5">
        <f>-Z1222*F1222</f>
        <v>-4632.5917619262309</v>
      </c>
      <c r="AB1222" t="s">
        <v>64</v>
      </c>
      <c r="AC1222" t="s">
        <v>62</v>
      </c>
      <c r="AD1222">
        <f>_xlfn.SWITCH(PROPER(TRIM(S1222)),
   "Annual",1,
   "Semi-Annual",2,
   "Quarterly",4,
   "Monthly",12,
   "")</f>
        <v>1</v>
      </c>
    </row>
    <row r="1223" spans="1:30" x14ac:dyDescent="0.35">
      <c r="C1223" s="28"/>
      <c r="D1223" s="27"/>
      <c r="I1223" s="22"/>
      <c r="K1223" s="22"/>
      <c r="M1223" s="22"/>
      <c r="N1223" s="21"/>
      <c r="O1223" s="21"/>
      <c r="P1223" s="5"/>
      <c r="Q1223" s="6"/>
      <c r="R1223" s="5"/>
      <c r="W1223" s="28"/>
      <c r="Y1223" s="33"/>
      <c r="Z1223" s="33"/>
      <c r="AA1223" s="33"/>
    </row>
    <row r="1224" spans="1:30" x14ac:dyDescent="0.35">
      <c r="A1224" t="s">
        <v>888</v>
      </c>
      <c r="B1224" t="s">
        <v>209</v>
      </c>
      <c r="C1224" s="36">
        <f>RATE(U1224,V1224,-F1224,H1224)</f>
        <v>9.0091854458362861E-2</v>
      </c>
      <c r="D1224" s="3">
        <f>C1224*AD1224</f>
        <v>9.0091854458362861E-2</v>
      </c>
      <c r="F1224">
        <v>100457.62</v>
      </c>
      <c r="G1224" t="s">
        <v>76</v>
      </c>
      <c r="H1224">
        <v>100000</v>
      </c>
      <c r="I1224" s="22"/>
      <c r="J1224">
        <v>5</v>
      </c>
      <c r="K1224" s="22"/>
      <c r="L1224">
        <v>9.0067498927733407</v>
      </c>
      <c r="M1224" s="22">
        <v>9.1899999999999996E-2</v>
      </c>
      <c r="N1224" s="21">
        <v>45785</v>
      </c>
      <c r="O1224" s="21">
        <v>46973</v>
      </c>
      <c r="P1224">
        <f>ROUND(YEARFRAC(N1224,O1224),0)</f>
        <v>3</v>
      </c>
      <c r="Q1224" s="6">
        <f>(M1224*H1224)/F1224</f>
        <v>9.148136298670026E-2</v>
      </c>
      <c r="R1224" s="5">
        <f>IF(S1224="Quarterly",4,IF(S1224="Semi-annual",2,IF(S1224="Annual",1,IF(S1224="Pays at maturity",0,12))))</f>
        <v>1</v>
      </c>
      <c r="S1224" t="s">
        <v>93</v>
      </c>
      <c r="U1224">
        <f>R1224*P1224</f>
        <v>3</v>
      </c>
      <c r="V1224">
        <f>(H1224*M1224)/AD1224</f>
        <v>9190</v>
      </c>
      <c r="W1224" s="28">
        <f>RATE(U1224,V1224,-F1224,H1224)</f>
        <v>9.0091854458362861E-2</v>
      </c>
      <c r="X1224" s="27">
        <f>W1224*AD1224</f>
        <v>9.0091854458362861E-2</v>
      </c>
      <c r="Y1224" s="5">
        <f>DURATION(N1224,O1224,M1224,D1224,AD1224)</f>
        <v>2.7742514148293886</v>
      </c>
      <c r="Z1224" s="5">
        <f>Y1224/(1+C1224)</f>
        <v>2.5449703192285931</v>
      </c>
      <c r="AA1224" s="5">
        <f>-Z1224*F1224</f>
        <v>-255661.66124034469</v>
      </c>
      <c r="AB1224" t="s">
        <v>64</v>
      </c>
      <c r="AC1224" t="s">
        <v>62</v>
      </c>
      <c r="AD1224">
        <f>_xlfn.SWITCH(PROPER(TRIM(S1224)),
   "Annual",1,
   "Semi-Annual",2,
   "Quarterly",4,
   "Monthly",12,
   "")</f>
        <v>1</v>
      </c>
    </row>
    <row r="1225" spans="1:30" x14ac:dyDescent="0.35">
      <c r="A1225" t="s">
        <v>887</v>
      </c>
      <c r="B1225" t="s">
        <v>749</v>
      </c>
      <c r="C1225" s="36">
        <f>RATE(U1225,V1225,-F1225,H1225)</f>
        <v>6.476162031320945E-2</v>
      </c>
      <c r="D1225" s="3">
        <f>C1225*AD1225</f>
        <v>6.476162031320945E-2</v>
      </c>
      <c r="F1225">
        <v>1080</v>
      </c>
      <c r="G1225" t="s">
        <v>76</v>
      </c>
      <c r="H1225">
        <v>1000</v>
      </c>
      <c r="I1225" s="22"/>
      <c r="J1225">
        <v>468</v>
      </c>
      <c r="K1225" s="22"/>
      <c r="L1225">
        <v>5.4328482862741296</v>
      </c>
      <c r="M1225" s="22">
        <v>8.4000000000000005E-2</v>
      </c>
      <c r="N1225" s="21">
        <v>45147</v>
      </c>
      <c r="O1225" s="21">
        <v>46974</v>
      </c>
      <c r="P1225">
        <f>ROUND(YEARFRAC(N1225,O1225),0)</f>
        <v>5</v>
      </c>
      <c r="Q1225" s="6">
        <f>(M1225*H1225)/F1225</f>
        <v>7.7777777777777779E-2</v>
      </c>
      <c r="R1225" s="5">
        <f>IF(S1225="Quarterly",4,IF(S1225="Semi-annual",2,IF(S1225="Annual",1,IF(S1225="Pays at maturity",0,12))))</f>
        <v>1</v>
      </c>
      <c r="S1225" t="s">
        <v>93</v>
      </c>
      <c r="U1225">
        <f>R1225*P1225</f>
        <v>5</v>
      </c>
      <c r="V1225">
        <f>(H1225*M1225)/AD1225</f>
        <v>84</v>
      </c>
      <c r="W1225" s="28">
        <f>RATE(U1225,V1225,-F1225,H1225)</f>
        <v>6.476162031320945E-2</v>
      </c>
      <c r="X1225" s="27">
        <f>W1225*AD1225</f>
        <v>6.476162031320945E-2</v>
      </c>
      <c r="Y1225" s="5">
        <f>DURATION(N1225,O1225,M1225,D1225,AD1225)</f>
        <v>4.3126232075543882</v>
      </c>
      <c r="Z1225" s="5">
        <f>Y1225/(1+C1225)</f>
        <v>4.0503180479831631</v>
      </c>
      <c r="AA1225" s="5">
        <f>-Z1225*F1225</f>
        <v>-4374.3434918218163</v>
      </c>
      <c r="AB1225" t="s">
        <v>64</v>
      </c>
      <c r="AC1225" t="s">
        <v>62</v>
      </c>
      <c r="AD1225">
        <f>_xlfn.SWITCH(PROPER(TRIM(S1225)),
   "Annual",1,
   "Semi-Annual",2,
   "Quarterly",4,
   "Monthly",12,
   "")</f>
        <v>1</v>
      </c>
    </row>
    <row r="1226" spans="1:30" x14ac:dyDescent="0.35">
      <c r="C1226" s="28"/>
      <c r="D1226" s="27"/>
      <c r="I1226" s="22"/>
      <c r="K1226" s="22"/>
      <c r="M1226" s="22"/>
      <c r="N1226" s="21"/>
      <c r="O1226" s="21"/>
      <c r="P1226" s="5"/>
      <c r="Q1226" s="6"/>
      <c r="R1226" s="5"/>
      <c r="W1226" s="28"/>
      <c r="Y1226" s="33"/>
      <c r="Z1226" s="33"/>
      <c r="AA1226" s="33"/>
    </row>
    <row r="1227" spans="1:30" x14ac:dyDescent="0.35">
      <c r="A1227" t="s">
        <v>885</v>
      </c>
      <c r="B1227" t="s">
        <v>94</v>
      </c>
      <c r="C1227" s="36">
        <f t="shared" ref="C1227:C1234" si="780">RATE(U1227,V1227,-F1227,H1227)</f>
        <v>2.5610693546644171E-2</v>
      </c>
      <c r="D1227" s="3">
        <f t="shared" ref="D1227:D1234" si="781">C1227*AD1227</f>
        <v>5.1221387093288342E-2</v>
      </c>
      <c r="F1227">
        <v>1009.909</v>
      </c>
      <c r="G1227" t="s">
        <v>66</v>
      </c>
      <c r="H1227">
        <v>1000</v>
      </c>
      <c r="I1227" s="22"/>
      <c r="J1227">
        <v>200000</v>
      </c>
      <c r="K1227" s="22"/>
      <c r="M1227" s="22">
        <v>5.2499999999999998E-2</v>
      </c>
      <c r="N1227" s="21">
        <v>43322</v>
      </c>
      <c r="O1227" s="21">
        <v>46975</v>
      </c>
      <c r="P1227">
        <f t="shared" ref="P1227:P1234" si="782">ROUND(YEARFRAC(N1227,O1227),0)</f>
        <v>10</v>
      </c>
      <c r="Q1227" s="6">
        <f t="shared" ref="Q1227:Q1234" si="783">(M1227*H1227)/F1227</f>
        <v>5.1984881806182541E-2</v>
      </c>
      <c r="R1227" s="5">
        <f t="shared" ref="R1227:R1234" si="784">IF(S1227="Quarterly",4,IF(S1227="Semi-annual",2,IF(S1227="Annual",1,IF(S1227="Pays at maturity",0,12))))</f>
        <v>2</v>
      </c>
      <c r="S1227" t="s">
        <v>65</v>
      </c>
      <c r="U1227">
        <f t="shared" ref="U1227:U1234" si="785">R1227*P1227</f>
        <v>20</v>
      </c>
      <c r="V1227">
        <f t="shared" ref="V1227:V1234" si="786">(H1227*M1227)/AD1227</f>
        <v>26.25</v>
      </c>
      <c r="W1227" s="28">
        <f t="shared" ref="W1227:W1234" si="787">RATE(U1227,V1227,-F1227,H1227)</f>
        <v>2.5610693546644171E-2</v>
      </c>
      <c r="X1227" s="27">
        <f t="shared" ref="X1227:X1234" si="788">W1227*AD1227</f>
        <v>5.1221387093288342E-2</v>
      </c>
      <c r="Y1227" s="5">
        <f t="shared" ref="Y1227:Y1234" si="789">DURATION(N1227,O1227,M1227,D1227,AD1227)</f>
        <v>7.9176998696503249</v>
      </c>
      <c r="Z1227" s="5">
        <f t="shared" ref="Z1227:Z1234" si="790">Y1227/(1+C1227)</f>
        <v>7.7199856821600426</v>
      </c>
      <c r="AA1227" s="5">
        <f t="shared" ref="AA1227:AA1234" si="791">-Z1227*F1227</f>
        <v>-7796.483020284566</v>
      </c>
      <c r="AB1227" t="s">
        <v>64</v>
      </c>
      <c r="AC1227" t="s">
        <v>62</v>
      </c>
      <c r="AD1227">
        <f t="shared" ref="AD1227:AD1234" si="792">_xlfn.SWITCH(PROPER(TRIM(S1227)),
   "Annual",1,
   "Semi-Annual",2,
   "Quarterly",4,
   "Monthly",12,
   "")</f>
        <v>2</v>
      </c>
    </row>
    <row r="1228" spans="1:30" x14ac:dyDescent="0.35">
      <c r="A1228" t="s">
        <v>884</v>
      </c>
      <c r="B1228" t="s">
        <v>561</v>
      </c>
      <c r="C1228" s="36">
        <f t="shared" si="780"/>
        <v>0.14423312925026718</v>
      </c>
      <c r="D1228" s="3">
        <f t="shared" si="781"/>
        <v>0.14423312925026718</v>
      </c>
      <c r="F1228">
        <v>93000</v>
      </c>
      <c r="G1228" t="s">
        <v>76</v>
      </c>
      <c r="H1228">
        <v>100000</v>
      </c>
      <c r="I1228" s="22"/>
      <c r="J1228">
        <v>5</v>
      </c>
      <c r="K1228" s="22"/>
      <c r="L1228">
        <v>15.3605709119587</v>
      </c>
      <c r="M1228" s="22">
        <v>0.12</v>
      </c>
      <c r="N1228" s="21">
        <v>45702</v>
      </c>
      <c r="O1228" s="21">
        <v>46979</v>
      </c>
      <c r="P1228">
        <f t="shared" si="782"/>
        <v>4</v>
      </c>
      <c r="Q1228" s="6">
        <f t="shared" si="783"/>
        <v>0.12903225806451613</v>
      </c>
      <c r="R1228" s="5">
        <f t="shared" si="784"/>
        <v>1</v>
      </c>
      <c r="S1228" t="s">
        <v>93</v>
      </c>
      <c r="U1228">
        <f t="shared" si="785"/>
        <v>4</v>
      </c>
      <c r="V1228">
        <f t="shared" si="786"/>
        <v>12000</v>
      </c>
      <c r="W1228" s="28">
        <f t="shared" si="787"/>
        <v>0.14423312925026718</v>
      </c>
      <c r="X1228" s="27">
        <f t="shared" si="788"/>
        <v>0.14423312925026718</v>
      </c>
      <c r="Y1228" s="5">
        <f t="shared" si="789"/>
        <v>2.8784618422218418</v>
      </c>
      <c r="Z1228" s="5">
        <f t="shared" si="790"/>
        <v>2.5156253289990724</v>
      </c>
      <c r="AA1228" s="5">
        <f t="shared" si="791"/>
        <v>-233953.15559691374</v>
      </c>
      <c r="AB1228" t="s">
        <v>64</v>
      </c>
      <c r="AC1228" t="s">
        <v>62</v>
      </c>
      <c r="AD1228">
        <f t="shared" si="792"/>
        <v>1</v>
      </c>
    </row>
    <row r="1229" spans="1:30" x14ac:dyDescent="0.35">
      <c r="A1229" t="s">
        <v>883</v>
      </c>
      <c r="B1229" t="s">
        <v>882</v>
      </c>
      <c r="C1229" s="36">
        <f t="shared" si="780"/>
        <v>0.1068894983613074</v>
      </c>
      <c r="D1229" s="3">
        <f t="shared" si="781"/>
        <v>0.1068894983613074</v>
      </c>
      <c r="F1229">
        <v>10015</v>
      </c>
      <c r="G1229" t="s">
        <v>76</v>
      </c>
      <c r="H1229">
        <v>10000</v>
      </c>
      <c r="I1229" s="22"/>
      <c r="J1229">
        <v>13</v>
      </c>
      <c r="K1229" s="22"/>
      <c r="L1229">
        <v>10.6852188324814</v>
      </c>
      <c r="M1229" s="22">
        <v>0.1075</v>
      </c>
      <c r="N1229" s="21">
        <v>45827</v>
      </c>
      <c r="O1229" s="21">
        <v>46984</v>
      </c>
      <c r="P1229">
        <f t="shared" si="782"/>
        <v>3</v>
      </c>
      <c r="Q1229" s="6">
        <f t="shared" si="783"/>
        <v>0.10733899151273091</v>
      </c>
      <c r="R1229" s="5">
        <f t="shared" si="784"/>
        <v>1</v>
      </c>
      <c r="S1229" t="s">
        <v>93</v>
      </c>
      <c r="U1229">
        <f t="shared" si="785"/>
        <v>3</v>
      </c>
      <c r="V1229">
        <f t="shared" si="786"/>
        <v>1075</v>
      </c>
      <c r="W1229" s="28">
        <f t="shared" si="787"/>
        <v>0.1068894983613074</v>
      </c>
      <c r="X1229" s="27">
        <f t="shared" si="788"/>
        <v>0.1068894983613074</v>
      </c>
      <c r="Y1229" s="5">
        <f t="shared" si="789"/>
        <v>2.621600424541688</v>
      </c>
      <c r="Z1229" s="5">
        <f t="shared" si="790"/>
        <v>2.3684391517155343</v>
      </c>
      <c r="AA1229" s="5">
        <f t="shared" si="791"/>
        <v>-23719.918104431075</v>
      </c>
      <c r="AB1229" t="s">
        <v>64</v>
      </c>
      <c r="AC1229" t="s">
        <v>62</v>
      </c>
      <c r="AD1229">
        <f t="shared" si="792"/>
        <v>1</v>
      </c>
    </row>
    <row r="1230" spans="1:30" x14ac:dyDescent="0.35">
      <c r="A1230" t="s">
        <v>881</v>
      </c>
      <c r="B1230" t="s">
        <v>535</v>
      </c>
      <c r="C1230" s="36">
        <f t="shared" si="780"/>
        <v>0.13678066109350048</v>
      </c>
      <c r="D1230" s="3">
        <f t="shared" si="781"/>
        <v>0.13678066109350048</v>
      </c>
      <c r="F1230">
        <v>98000</v>
      </c>
      <c r="G1230" t="s">
        <v>76</v>
      </c>
      <c r="H1230">
        <v>100000</v>
      </c>
      <c r="I1230" s="22"/>
      <c r="J1230">
        <v>4</v>
      </c>
      <c r="K1230" s="22"/>
      <c r="L1230">
        <v>13.865273382080099</v>
      </c>
      <c r="M1230" s="22">
        <v>0.13100000000000001</v>
      </c>
      <c r="N1230" s="21">
        <v>45014</v>
      </c>
      <c r="O1230" s="21">
        <v>46994</v>
      </c>
      <c r="P1230">
        <f t="shared" si="782"/>
        <v>5</v>
      </c>
      <c r="Q1230" s="6">
        <f t="shared" si="783"/>
        <v>0.1336734693877551</v>
      </c>
      <c r="R1230" s="5">
        <f t="shared" si="784"/>
        <v>1</v>
      </c>
      <c r="S1230" t="s">
        <v>93</v>
      </c>
      <c r="U1230">
        <f t="shared" si="785"/>
        <v>5</v>
      </c>
      <c r="V1230">
        <f t="shared" si="786"/>
        <v>13100</v>
      </c>
      <c r="W1230" s="28">
        <f t="shared" si="787"/>
        <v>0.13678066109350048</v>
      </c>
      <c r="X1230" s="27">
        <f t="shared" si="788"/>
        <v>0.13678066109350048</v>
      </c>
      <c r="Y1230" s="5">
        <f t="shared" si="789"/>
        <v>3.9073409195413586</v>
      </c>
      <c r="Z1230" s="5">
        <f t="shared" si="790"/>
        <v>3.4371986199895241</v>
      </c>
      <c r="AA1230" s="5">
        <f t="shared" si="791"/>
        <v>-336845.46475897339</v>
      </c>
      <c r="AB1230" t="s">
        <v>64</v>
      </c>
      <c r="AC1230" t="s">
        <v>62</v>
      </c>
      <c r="AD1230">
        <f t="shared" si="792"/>
        <v>1</v>
      </c>
    </row>
    <row r="1231" spans="1:30" x14ac:dyDescent="0.35">
      <c r="A1231" t="s">
        <v>880</v>
      </c>
      <c r="B1231" t="s">
        <v>94</v>
      </c>
      <c r="C1231" s="36">
        <f t="shared" si="780"/>
        <v>7.0537231678201626E-2</v>
      </c>
      <c r="D1231" s="3">
        <f t="shared" si="781"/>
        <v>7.0537231678201626E-2</v>
      </c>
      <c r="F1231">
        <v>1127649</v>
      </c>
      <c r="G1231" t="s">
        <v>76</v>
      </c>
      <c r="H1231">
        <v>1000000</v>
      </c>
      <c r="I1231" s="22"/>
      <c r="J1231">
        <v>1</v>
      </c>
      <c r="K1231" s="22"/>
      <c r="L1231">
        <v>4.3483101188862001</v>
      </c>
      <c r="M1231" s="22">
        <v>8.4600000000000009E-2</v>
      </c>
      <c r="N1231" s="21">
        <v>41516</v>
      </c>
      <c r="O1231" s="21">
        <v>46995</v>
      </c>
      <c r="P1231">
        <f t="shared" si="782"/>
        <v>15</v>
      </c>
      <c r="Q1231" s="6">
        <f t="shared" si="783"/>
        <v>7.5023345030235486E-2</v>
      </c>
      <c r="R1231" s="5">
        <f t="shared" si="784"/>
        <v>1</v>
      </c>
      <c r="S1231" t="s">
        <v>93</v>
      </c>
      <c r="U1231">
        <f t="shared" si="785"/>
        <v>15</v>
      </c>
      <c r="V1231">
        <f t="shared" si="786"/>
        <v>84600.000000000015</v>
      </c>
      <c r="W1231" s="28">
        <f t="shared" si="787"/>
        <v>7.0537231678201626E-2</v>
      </c>
      <c r="X1231" s="27">
        <f t="shared" si="788"/>
        <v>7.0537231678201626E-2</v>
      </c>
      <c r="Y1231" s="5">
        <f t="shared" si="789"/>
        <v>9.3813900524254166</v>
      </c>
      <c r="Z1231" s="5">
        <f t="shared" si="790"/>
        <v>8.7632543500788938</v>
      </c>
      <c r="AA1231" s="5">
        <f t="shared" si="791"/>
        <v>-9881875.0046121143</v>
      </c>
      <c r="AB1231" t="s">
        <v>64</v>
      </c>
      <c r="AC1231" t="s">
        <v>62</v>
      </c>
      <c r="AD1231">
        <f t="shared" si="792"/>
        <v>1</v>
      </c>
    </row>
    <row r="1232" spans="1:30" x14ac:dyDescent="0.35">
      <c r="A1232" t="s">
        <v>879</v>
      </c>
      <c r="B1232" t="s">
        <v>401</v>
      </c>
      <c r="C1232" s="36" t="e">
        <f t="shared" si="780"/>
        <v>#VALUE!</v>
      </c>
      <c r="D1232" s="3" t="e">
        <f t="shared" si="781"/>
        <v>#VALUE!</v>
      </c>
      <c r="F1232">
        <v>120000</v>
      </c>
      <c r="G1232" t="s">
        <v>76</v>
      </c>
      <c r="H1232">
        <v>100000</v>
      </c>
      <c r="I1232" s="22"/>
      <c r="J1232">
        <v>10</v>
      </c>
      <c r="K1232" s="22"/>
      <c r="L1232">
        <v>4.0373805508712701</v>
      </c>
      <c r="M1232" s="22">
        <v>0.11</v>
      </c>
      <c r="N1232" s="21">
        <v>44986</v>
      </c>
      <c r="O1232" s="21">
        <v>46997</v>
      </c>
      <c r="P1232">
        <f t="shared" si="782"/>
        <v>6</v>
      </c>
      <c r="Q1232" s="6">
        <f t="shared" si="783"/>
        <v>9.166666666666666E-2</v>
      </c>
      <c r="R1232" s="5">
        <f t="shared" si="784"/>
        <v>0</v>
      </c>
      <c r="S1232" t="s">
        <v>782</v>
      </c>
      <c r="U1232">
        <f t="shared" si="785"/>
        <v>0</v>
      </c>
      <c r="V1232" t="e">
        <f t="shared" si="786"/>
        <v>#VALUE!</v>
      </c>
      <c r="W1232" s="28" t="e">
        <f t="shared" si="787"/>
        <v>#VALUE!</v>
      </c>
      <c r="X1232" s="27" t="e">
        <f t="shared" si="788"/>
        <v>#VALUE!</v>
      </c>
      <c r="Y1232" s="5" t="e">
        <f t="shared" si="789"/>
        <v>#VALUE!</v>
      </c>
      <c r="Z1232" s="5" t="e">
        <f t="shared" si="790"/>
        <v>#VALUE!</v>
      </c>
      <c r="AA1232" s="5" t="e">
        <f t="shared" si="791"/>
        <v>#VALUE!</v>
      </c>
      <c r="AB1232" t="s">
        <v>64</v>
      </c>
      <c r="AC1232" t="s">
        <v>62</v>
      </c>
      <c r="AD1232" t="str">
        <f t="shared" si="792"/>
        <v/>
      </c>
    </row>
    <row r="1233" spans="1:30" x14ac:dyDescent="0.35">
      <c r="A1233" t="s">
        <v>878</v>
      </c>
      <c r="B1233" t="s">
        <v>171</v>
      </c>
      <c r="C1233" s="36">
        <f t="shared" si="780"/>
        <v>6.8321102416475724E-2</v>
      </c>
      <c r="D1233" s="3">
        <f t="shared" si="781"/>
        <v>6.8321102416475724E-2</v>
      </c>
      <c r="F1233">
        <v>1151693</v>
      </c>
      <c r="G1233" t="s">
        <v>76</v>
      </c>
      <c r="H1233">
        <v>1000000</v>
      </c>
      <c r="I1233" s="22"/>
      <c r="J1233">
        <v>500</v>
      </c>
      <c r="K1233" s="22"/>
      <c r="L1233">
        <v>3.37342485586968</v>
      </c>
      <c r="M1233" s="22">
        <v>8.48E-2</v>
      </c>
      <c r="N1233" s="21">
        <v>41522</v>
      </c>
      <c r="O1233" s="21">
        <v>47001</v>
      </c>
      <c r="P1233">
        <f t="shared" si="782"/>
        <v>15</v>
      </c>
      <c r="Q1233" s="6">
        <f t="shared" si="783"/>
        <v>7.3630733190181763E-2</v>
      </c>
      <c r="R1233" s="5">
        <f t="shared" si="784"/>
        <v>1</v>
      </c>
      <c r="S1233" t="s">
        <v>93</v>
      </c>
      <c r="U1233">
        <f t="shared" si="785"/>
        <v>15</v>
      </c>
      <c r="V1233">
        <f t="shared" si="786"/>
        <v>84800</v>
      </c>
      <c r="W1233" s="28">
        <f t="shared" si="787"/>
        <v>6.8321102416475724E-2</v>
      </c>
      <c r="X1233" s="27">
        <f t="shared" si="788"/>
        <v>6.8321102416475724E-2</v>
      </c>
      <c r="Y1233" s="5">
        <f t="shared" si="789"/>
        <v>9.4327394137424942</v>
      </c>
      <c r="Z1233" s="5">
        <f t="shared" si="790"/>
        <v>8.8294983525142623</v>
      </c>
      <c r="AA1233" s="5">
        <f t="shared" si="791"/>
        <v>-10168871.446102208</v>
      </c>
      <c r="AB1233" t="s">
        <v>64</v>
      </c>
      <c r="AC1233" t="s">
        <v>62</v>
      </c>
      <c r="AD1233">
        <f t="shared" si="792"/>
        <v>1</v>
      </c>
    </row>
    <row r="1234" spans="1:30" x14ac:dyDescent="0.35">
      <c r="A1234" t="s">
        <v>877</v>
      </c>
      <c r="B1234" t="s">
        <v>875</v>
      </c>
      <c r="C1234" s="36">
        <f t="shared" si="780"/>
        <v>9.1833663974580038E-2</v>
      </c>
      <c r="D1234" s="3">
        <f t="shared" si="781"/>
        <v>9.1833663974580038E-2</v>
      </c>
      <c r="F1234">
        <v>1020</v>
      </c>
      <c r="G1234" t="s">
        <v>76</v>
      </c>
      <c r="H1234">
        <v>1000</v>
      </c>
      <c r="I1234" s="22"/>
      <c r="J1234">
        <v>130</v>
      </c>
      <c r="K1234" s="22"/>
      <c r="L1234">
        <v>8.8831084097386697</v>
      </c>
      <c r="M1234" s="22">
        <v>9.6999999999999989E-2</v>
      </c>
      <c r="N1234" s="21">
        <v>45176</v>
      </c>
      <c r="O1234" s="21">
        <v>47003</v>
      </c>
      <c r="P1234">
        <f t="shared" si="782"/>
        <v>5</v>
      </c>
      <c r="Q1234" s="6">
        <f t="shared" si="783"/>
        <v>9.5098039215686256E-2</v>
      </c>
      <c r="R1234" s="5">
        <f t="shared" si="784"/>
        <v>1</v>
      </c>
      <c r="S1234" t="s">
        <v>93</v>
      </c>
      <c r="U1234">
        <f t="shared" si="785"/>
        <v>5</v>
      </c>
      <c r="V1234">
        <f t="shared" si="786"/>
        <v>96.999999999999986</v>
      </c>
      <c r="W1234" s="28">
        <f t="shared" si="787"/>
        <v>9.1833663974580038E-2</v>
      </c>
      <c r="X1234" s="27">
        <f t="shared" si="788"/>
        <v>9.1833663974580038E-2</v>
      </c>
      <c r="Y1234" s="5">
        <f t="shared" si="789"/>
        <v>4.1992360216103801</v>
      </c>
      <c r="Z1234" s="5">
        <f t="shared" si="790"/>
        <v>3.8460400701733137</v>
      </c>
      <c r="AA1234" s="5">
        <f t="shared" si="791"/>
        <v>-3922.9608715767799</v>
      </c>
      <c r="AB1234" t="s">
        <v>64</v>
      </c>
      <c r="AC1234" t="s">
        <v>62</v>
      </c>
      <c r="AD1234">
        <f t="shared" si="792"/>
        <v>1</v>
      </c>
    </row>
    <row r="1235" spans="1:30" x14ac:dyDescent="0.35">
      <c r="C1235" s="28"/>
      <c r="D1235" s="27"/>
      <c r="I1235" s="22"/>
      <c r="K1235" s="22"/>
      <c r="M1235" s="22"/>
      <c r="N1235" s="21"/>
      <c r="O1235" s="21"/>
      <c r="P1235" s="5"/>
      <c r="Q1235" s="6"/>
      <c r="R1235" s="5"/>
      <c r="W1235" s="28"/>
      <c r="Y1235" s="33"/>
      <c r="Z1235" s="33"/>
      <c r="AA1235" s="33"/>
    </row>
    <row r="1236" spans="1:30" x14ac:dyDescent="0.35">
      <c r="A1236" t="s">
        <v>874</v>
      </c>
      <c r="B1236" t="s">
        <v>326</v>
      </c>
      <c r="C1236" s="36">
        <f>RATE(U1236,V1236,-F1236,H1236)</f>
        <v>0.11598626586341096</v>
      </c>
      <c r="D1236" s="3">
        <f>C1236*AD1236</f>
        <v>0.11598626586341096</v>
      </c>
      <c r="F1236">
        <v>960</v>
      </c>
      <c r="G1236" t="s">
        <v>76</v>
      </c>
      <c r="H1236">
        <v>1000</v>
      </c>
      <c r="I1236" s="22"/>
      <c r="J1236">
        <v>20</v>
      </c>
      <c r="K1236" s="22"/>
      <c r="L1236">
        <v>12.2634226968904</v>
      </c>
      <c r="M1236" s="22">
        <v>0.105</v>
      </c>
      <c r="N1236" s="21">
        <v>45181</v>
      </c>
      <c r="O1236" s="21">
        <v>47008</v>
      </c>
      <c r="P1236">
        <f>ROUND(YEARFRAC(N1236,O1236),0)</f>
        <v>5</v>
      </c>
      <c r="Q1236" s="6">
        <f>(M1236*H1236)/F1236</f>
        <v>0.109375</v>
      </c>
      <c r="R1236" s="5">
        <f>IF(S1236="Quarterly",4,IF(S1236="Semi-annual",2,IF(S1236="Annual",1,IF(S1236="Pays at maturity",0,12))))</f>
        <v>1</v>
      </c>
      <c r="S1236" t="s">
        <v>93</v>
      </c>
      <c r="U1236">
        <f>R1236*P1236</f>
        <v>5</v>
      </c>
      <c r="V1236">
        <f>(H1236*M1236)/AD1236</f>
        <v>105</v>
      </c>
      <c r="W1236" s="28">
        <f>RATE(U1236,V1236,-F1236,H1236)</f>
        <v>0.11598626586341096</v>
      </c>
      <c r="X1236" s="27">
        <f>W1236*AD1236</f>
        <v>0.11598626586341096</v>
      </c>
      <c r="Y1236" s="5">
        <f>DURATION(N1236,O1236,M1236,D1236,AD1236)</f>
        <v>4.1166027298742023</v>
      </c>
      <c r="Z1236" s="5">
        <f>Y1236/(1+C1236)</f>
        <v>3.6887575195105904</v>
      </c>
      <c r="AA1236" s="5">
        <f>-Z1236*F1236</f>
        <v>-3541.2072187301669</v>
      </c>
      <c r="AB1236" t="s">
        <v>64</v>
      </c>
      <c r="AC1236" t="s">
        <v>62</v>
      </c>
      <c r="AD1236">
        <f>_xlfn.SWITCH(PROPER(TRIM(S1236)),
   "Annual",1,
   "Semi-Annual",2,
   "Quarterly",4,
   "Monthly",12,
   "")</f>
        <v>1</v>
      </c>
    </row>
    <row r="1237" spans="1:30" x14ac:dyDescent="0.35">
      <c r="C1237" s="28"/>
      <c r="D1237" s="27"/>
      <c r="I1237" s="22"/>
      <c r="K1237" s="22"/>
      <c r="M1237" s="22"/>
      <c r="N1237" s="21"/>
      <c r="O1237" s="21"/>
      <c r="P1237" s="5"/>
      <c r="Q1237" s="6"/>
      <c r="R1237" s="5"/>
      <c r="W1237" s="28"/>
      <c r="Y1237" s="33"/>
      <c r="Z1237" s="33"/>
      <c r="AA1237" s="33"/>
    </row>
    <row r="1238" spans="1:30" x14ac:dyDescent="0.35">
      <c r="A1238" t="s">
        <v>872</v>
      </c>
      <c r="B1238" t="s">
        <v>119</v>
      </c>
      <c r="C1238" s="36">
        <f>RATE(U1238,V1238,-F1238,H1238)</f>
        <v>9.5780796881780844E-2</v>
      </c>
      <c r="D1238" s="3">
        <f>C1238*AD1238</f>
        <v>9.5780796881780844E-2</v>
      </c>
      <c r="F1238">
        <v>1020</v>
      </c>
      <c r="G1238" t="s">
        <v>76</v>
      </c>
      <c r="H1238">
        <v>1000</v>
      </c>
      <c r="I1238" s="22"/>
      <c r="J1238">
        <v>220</v>
      </c>
      <c r="K1238" s="22"/>
      <c r="L1238">
        <v>9.30555555555555</v>
      </c>
      <c r="M1238" s="22">
        <v>0.10099999999999999</v>
      </c>
      <c r="N1238" s="21">
        <v>45184</v>
      </c>
      <c r="O1238" s="21">
        <v>47011</v>
      </c>
      <c r="P1238">
        <f>ROUND(YEARFRAC(N1238,O1238),0)</f>
        <v>5</v>
      </c>
      <c r="Q1238" s="6">
        <f>(M1238*H1238)/F1238</f>
        <v>9.9019607843137236E-2</v>
      </c>
      <c r="R1238" s="5">
        <f>IF(S1238="Quarterly",4,IF(S1238="Semi-annual",2,IF(S1238="Annual",1,IF(S1238="Pays at maturity",0,12))))</f>
        <v>1</v>
      </c>
      <c r="S1238" t="s">
        <v>93</v>
      </c>
      <c r="U1238">
        <f>R1238*P1238</f>
        <v>5</v>
      </c>
      <c r="V1238">
        <f>(H1238*M1238)/AD1238</f>
        <v>100.99999999999999</v>
      </c>
      <c r="W1238" s="28">
        <f>RATE(U1238,V1238,-F1238,H1238)</f>
        <v>9.5780796881780844E-2</v>
      </c>
      <c r="X1238" s="27">
        <f>W1238*AD1238</f>
        <v>9.5780796881780844E-2</v>
      </c>
      <c r="Y1238" s="5">
        <f>DURATION(N1238,O1238,M1238,D1238,AD1238)</f>
        <v>4.1719503836856093</v>
      </c>
      <c r="Z1238" s="5">
        <f>Y1238/(1+C1238)</f>
        <v>3.8072855406460491</v>
      </c>
      <c r="AA1238" s="5">
        <f>-Z1238*F1238</f>
        <v>-3883.4312514589701</v>
      </c>
      <c r="AB1238" t="s">
        <v>64</v>
      </c>
      <c r="AC1238" t="s">
        <v>62</v>
      </c>
      <c r="AD1238">
        <f>_xlfn.SWITCH(PROPER(TRIM(S1238)),
   "Annual",1,
   "Semi-Annual",2,
   "Quarterly",4,
   "Monthly",12,
   "")</f>
        <v>1</v>
      </c>
    </row>
    <row r="1239" spans="1:30" x14ac:dyDescent="0.35">
      <c r="A1239" t="s">
        <v>871</v>
      </c>
      <c r="B1239" t="s">
        <v>119</v>
      </c>
      <c r="C1239" s="36">
        <f>RATE(U1239,V1239,-F1239,H1239)</f>
        <v>0.10995649423631237</v>
      </c>
      <c r="D1239" s="3">
        <f>C1239*AD1239</f>
        <v>0.10995649423631237</v>
      </c>
      <c r="F1239">
        <v>951</v>
      </c>
      <c r="G1239" t="s">
        <v>76</v>
      </c>
      <c r="H1239">
        <v>1000</v>
      </c>
      <c r="I1239" s="22"/>
      <c r="J1239">
        <v>100</v>
      </c>
      <c r="K1239" s="22"/>
      <c r="L1239">
        <v>11.708499437205999</v>
      </c>
      <c r="M1239" s="22">
        <v>9.6699999999999994E-2</v>
      </c>
      <c r="N1239" s="21">
        <v>45184</v>
      </c>
      <c r="O1239" s="21">
        <v>47011</v>
      </c>
      <c r="P1239">
        <f>ROUND(YEARFRAC(N1239,O1239),0)</f>
        <v>5</v>
      </c>
      <c r="Q1239" s="6">
        <f>(M1239*H1239)/F1239</f>
        <v>0.10168243953732911</v>
      </c>
      <c r="R1239" s="5">
        <f>IF(S1239="Quarterly",4,IF(S1239="Semi-annual",2,IF(S1239="Annual",1,IF(S1239="Pays at maturity",0,12))))</f>
        <v>1</v>
      </c>
      <c r="S1239" t="s">
        <v>93</v>
      </c>
      <c r="U1239">
        <f>R1239*P1239</f>
        <v>5</v>
      </c>
      <c r="V1239">
        <f>(H1239*M1239)/AD1239</f>
        <v>96.699999999999989</v>
      </c>
      <c r="W1239" s="28">
        <f>RATE(U1239,V1239,-F1239,H1239)</f>
        <v>0.10995649423631237</v>
      </c>
      <c r="X1239" s="27">
        <f>W1239*AD1239</f>
        <v>0.10995649423631237</v>
      </c>
      <c r="Y1239" s="5">
        <f>DURATION(N1239,O1239,M1239,D1239,AD1239)</f>
        <v>4.1702517689772636</v>
      </c>
      <c r="Z1239" s="5">
        <f>Y1239/(1+C1239)</f>
        <v>3.7571308340752023</v>
      </c>
      <c r="AA1239" s="5">
        <f>-Z1239*F1239</f>
        <v>-3573.0314232055175</v>
      </c>
      <c r="AB1239" t="s">
        <v>64</v>
      </c>
      <c r="AC1239" t="s">
        <v>62</v>
      </c>
      <c r="AD1239">
        <f>_xlfn.SWITCH(PROPER(TRIM(S1239)),
   "Annual",1,
   "Semi-Annual",2,
   "Quarterly",4,
   "Monthly",12,
   "")</f>
        <v>1</v>
      </c>
    </row>
    <row r="1240" spans="1:30" x14ac:dyDescent="0.35">
      <c r="C1240" s="28"/>
      <c r="D1240" s="27"/>
      <c r="I1240" s="22"/>
      <c r="K1240" s="22"/>
      <c r="M1240" s="22"/>
      <c r="N1240" s="21"/>
      <c r="O1240" s="21"/>
      <c r="P1240" s="5"/>
      <c r="Q1240" s="6"/>
      <c r="R1240" s="5"/>
      <c r="W1240" s="28"/>
      <c r="Y1240" s="33"/>
      <c r="Z1240" s="33"/>
      <c r="AA1240" s="33"/>
    </row>
    <row r="1241" spans="1:30" x14ac:dyDescent="0.35">
      <c r="A1241" t="s">
        <v>869</v>
      </c>
      <c r="B1241" t="s">
        <v>241</v>
      </c>
      <c r="C1241" s="36">
        <f>RATE(U1241,V1241,-F1241,H1241)</f>
        <v>9.8381223676289931E-2</v>
      </c>
      <c r="D1241" s="3">
        <f>C1241*AD1241</f>
        <v>9.8381223676289931E-2</v>
      </c>
      <c r="F1241">
        <v>970</v>
      </c>
      <c r="G1241" t="s">
        <v>76</v>
      </c>
      <c r="H1241">
        <v>1000</v>
      </c>
      <c r="I1241" s="22"/>
      <c r="J1241">
        <v>400</v>
      </c>
      <c r="K1241" s="22"/>
      <c r="L1241">
        <v>10.3064245710412</v>
      </c>
      <c r="M1241" s="22">
        <v>9.0500000000000011E-2</v>
      </c>
      <c r="N1241" s="21">
        <v>45189</v>
      </c>
      <c r="O1241" s="21">
        <v>47016</v>
      </c>
      <c r="P1241">
        <f>ROUND(YEARFRAC(N1241,O1241),0)</f>
        <v>5</v>
      </c>
      <c r="Q1241" s="6">
        <f>(M1241*H1241)/F1241</f>
        <v>9.3298969072164964E-2</v>
      </c>
      <c r="R1241" s="5">
        <f>IF(S1241="Quarterly",4,IF(S1241="Semi-annual",2,IF(S1241="Annual",1,IF(S1241="Pays at maturity",0,12))))</f>
        <v>1</v>
      </c>
      <c r="S1241" t="s">
        <v>93</v>
      </c>
      <c r="U1241">
        <f>R1241*P1241</f>
        <v>5</v>
      </c>
      <c r="V1241">
        <f>(H1241*M1241)/AD1241</f>
        <v>90.500000000000014</v>
      </c>
      <c r="W1241" s="28">
        <f>RATE(U1241,V1241,-F1241,H1241)</f>
        <v>9.8381223676289931E-2</v>
      </c>
      <c r="X1241" s="27">
        <f>W1241*AD1241</f>
        <v>9.8381223676289931E-2</v>
      </c>
      <c r="Y1241" s="5">
        <f>DURATION(N1241,O1241,M1241,D1241,AD1241)</f>
        <v>4.2233134219879815</v>
      </c>
      <c r="Z1241" s="5">
        <f>Y1241/(1+C1241)</f>
        <v>3.8450342476289978</v>
      </c>
      <c r="AA1241" s="5">
        <f>-Z1241*F1241</f>
        <v>-3729.6832202001278</v>
      </c>
      <c r="AB1241" t="s">
        <v>64</v>
      </c>
      <c r="AC1241" t="s">
        <v>62</v>
      </c>
      <c r="AD1241">
        <f>_xlfn.SWITCH(PROPER(TRIM(S1241)),
   "Annual",1,
   "Semi-Annual",2,
   "Quarterly",4,
   "Monthly",12,
   "")</f>
        <v>1</v>
      </c>
    </row>
    <row r="1242" spans="1:30" x14ac:dyDescent="0.35">
      <c r="A1242" t="s">
        <v>868</v>
      </c>
      <c r="B1242" t="s">
        <v>241</v>
      </c>
      <c r="C1242" s="36">
        <f>RATE(U1242,V1242,-F1242,H1242)</f>
        <v>8.8822746125267596E-2</v>
      </c>
      <c r="D1242" s="3">
        <f>C1242*AD1242</f>
        <v>8.8822746125267596E-2</v>
      </c>
      <c r="F1242">
        <v>1021.76</v>
      </c>
      <c r="G1242" t="s">
        <v>76</v>
      </c>
      <c r="H1242">
        <v>1000</v>
      </c>
      <c r="I1242" s="22"/>
      <c r="J1242">
        <v>250</v>
      </c>
      <c r="K1242" s="22"/>
      <c r="L1242">
        <v>8.5938769065629792</v>
      </c>
      <c r="M1242" s="22">
        <v>9.4399999999999998E-2</v>
      </c>
      <c r="N1242" s="21">
        <v>45189</v>
      </c>
      <c r="O1242" s="21">
        <v>47016</v>
      </c>
      <c r="P1242">
        <f>ROUND(YEARFRAC(N1242,O1242),0)</f>
        <v>5</v>
      </c>
      <c r="Q1242" s="6">
        <f>(M1242*H1242)/F1242</f>
        <v>9.238960225493266E-2</v>
      </c>
      <c r="R1242" s="5">
        <f>IF(S1242="Quarterly",4,IF(S1242="Semi-annual",2,IF(S1242="Annual",1,IF(S1242="Pays at maturity",0,12))))</f>
        <v>1</v>
      </c>
      <c r="S1242" t="s">
        <v>93</v>
      </c>
      <c r="U1242">
        <f>R1242*P1242</f>
        <v>5</v>
      </c>
      <c r="V1242">
        <f>(H1242*M1242)/AD1242</f>
        <v>94.399999999999991</v>
      </c>
      <c r="W1242" s="28">
        <f>RATE(U1242,V1242,-F1242,H1242)</f>
        <v>8.8822746125267596E-2</v>
      </c>
      <c r="X1242" s="27">
        <f>W1242*AD1242</f>
        <v>8.8822746125267596E-2</v>
      </c>
      <c r="Y1242" s="5">
        <f>DURATION(N1242,O1242,M1242,D1242,AD1242)</f>
        <v>4.217915410917465</v>
      </c>
      <c r="Z1242" s="5">
        <f>Y1242/(1+C1242)</f>
        <v>3.8738310950313299</v>
      </c>
      <c r="AA1242" s="5">
        <f>-Z1242*F1242</f>
        <v>-3958.1256596592116</v>
      </c>
      <c r="AB1242" t="s">
        <v>64</v>
      </c>
      <c r="AC1242" t="s">
        <v>62</v>
      </c>
      <c r="AD1242">
        <f>_xlfn.SWITCH(PROPER(TRIM(S1242)),
   "Annual",1,
   "Semi-Annual",2,
   "Quarterly",4,
   "Monthly",12,
   "")</f>
        <v>1</v>
      </c>
    </row>
    <row r="1243" spans="1:30" x14ac:dyDescent="0.35">
      <c r="C1243" s="28"/>
      <c r="D1243" s="27"/>
      <c r="I1243" s="22"/>
      <c r="K1243" s="22"/>
      <c r="M1243" s="22"/>
      <c r="N1243" s="21"/>
      <c r="O1243" s="21"/>
      <c r="P1243" s="5"/>
      <c r="Q1243" s="6"/>
      <c r="R1243" s="5"/>
      <c r="W1243" s="28"/>
      <c r="Y1243" s="33"/>
      <c r="Z1243" s="33"/>
      <c r="AA1243" s="33"/>
    </row>
    <row r="1244" spans="1:30" x14ac:dyDescent="0.35">
      <c r="A1244" t="s">
        <v>866</v>
      </c>
      <c r="B1244" t="s">
        <v>94</v>
      </c>
      <c r="C1244" s="36">
        <f t="shared" ref="C1244:C1261" si="793">RATE(U1244,V1244,-F1244,H1244)</f>
        <v>2.552568453583624E-2</v>
      </c>
      <c r="D1244" s="3">
        <f t="shared" ref="D1244:D1261" si="794">C1244*AD1244</f>
        <v>2.552568453583624E-2</v>
      </c>
      <c r="F1244">
        <v>954.91</v>
      </c>
      <c r="G1244" t="s">
        <v>694</v>
      </c>
      <c r="H1244">
        <v>1000</v>
      </c>
      <c r="I1244" s="22"/>
      <c r="J1244">
        <v>0</v>
      </c>
      <c r="K1244" s="22"/>
      <c r="L1244">
        <v>3.4188451753220499</v>
      </c>
      <c r="M1244" s="22">
        <v>1.8409999999999999E-2</v>
      </c>
      <c r="N1244" s="21">
        <v>44460</v>
      </c>
      <c r="O1244" s="21">
        <v>47017</v>
      </c>
      <c r="P1244">
        <f t="shared" ref="P1244:P1261" si="795">ROUND(YEARFRAC(N1244,O1244),0)</f>
        <v>7</v>
      </c>
      <c r="Q1244" s="6">
        <f t="shared" ref="Q1244:Q1261" si="796">(M1244*H1244)/F1244</f>
        <v>1.9279303808735902E-2</v>
      </c>
      <c r="R1244" s="5">
        <f t="shared" ref="R1244:R1261" si="797">IF(S1244="Quarterly",4,IF(S1244="Semi-annual",2,IF(S1244="Annual",1,IF(S1244="Pays at maturity",0,12))))</f>
        <v>1</v>
      </c>
      <c r="S1244" t="s">
        <v>93</v>
      </c>
      <c r="U1244">
        <f t="shared" ref="U1244:U1261" si="798">R1244*P1244</f>
        <v>7</v>
      </c>
      <c r="V1244">
        <f t="shared" ref="V1244:V1261" si="799">(H1244*M1244)/AD1244</f>
        <v>18.41</v>
      </c>
      <c r="W1244" s="28">
        <f t="shared" ref="W1244:W1261" si="800">RATE(U1244,V1244,-F1244,H1244)</f>
        <v>2.552568453583624E-2</v>
      </c>
      <c r="X1244" s="27">
        <f t="shared" ref="X1244:X1261" si="801">W1244*AD1244</f>
        <v>2.552568453583624E-2</v>
      </c>
      <c r="Y1244" s="5">
        <f t="shared" ref="Y1244:Y1261" si="802">DURATION(N1244,O1244,M1244,D1244,AD1244)</f>
        <v>6.6211876099389269</v>
      </c>
      <c r="Z1244" s="5">
        <f t="shared" ref="Z1244:Z1261" si="803">Y1244/(1+C1244)</f>
        <v>6.4563839889936512</v>
      </c>
      <c r="AA1244" s="5">
        <f t="shared" ref="AA1244:AA1261" si="804">-Z1244*F1244</f>
        <v>-6165.2656349299268</v>
      </c>
      <c r="AB1244" t="s">
        <v>64</v>
      </c>
      <c r="AC1244" t="s">
        <v>62</v>
      </c>
      <c r="AD1244">
        <f t="shared" ref="AD1244:AD1261" si="805">_xlfn.SWITCH(PROPER(TRIM(S1244)),
   "Annual",1,
   "Semi-Annual",2,
   "Quarterly",4,
   "Monthly",12,
   "")</f>
        <v>1</v>
      </c>
    </row>
    <row r="1245" spans="1:30" x14ac:dyDescent="0.35">
      <c r="A1245" t="s">
        <v>866</v>
      </c>
      <c r="B1245" t="s">
        <v>94</v>
      </c>
      <c r="C1245" s="36">
        <f t="shared" si="793"/>
        <v>2.5332810178839833E-2</v>
      </c>
      <c r="D1245" s="3">
        <f t="shared" si="794"/>
        <v>2.5332810178839833E-2</v>
      </c>
      <c r="F1245">
        <v>956.1</v>
      </c>
      <c r="G1245" t="s">
        <v>694</v>
      </c>
      <c r="H1245">
        <v>1000</v>
      </c>
      <c r="I1245" s="22"/>
      <c r="J1245">
        <v>0</v>
      </c>
      <c r="K1245" s="22"/>
      <c r="L1245">
        <v>3.37529120066417</v>
      </c>
      <c r="M1245" s="22">
        <v>1.8409999999999999E-2</v>
      </c>
      <c r="N1245" s="21">
        <v>44460</v>
      </c>
      <c r="O1245" s="21">
        <v>47017</v>
      </c>
      <c r="P1245">
        <f t="shared" si="795"/>
        <v>7</v>
      </c>
      <c r="Q1245" s="6">
        <f t="shared" si="796"/>
        <v>1.9255308022173411E-2</v>
      </c>
      <c r="R1245" s="5">
        <f t="shared" si="797"/>
        <v>1</v>
      </c>
      <c r="S1245" t="s">
        <v>93</v>
      </c>
      <c r="U1245">
        <f t="shared" si="798"/>
        <v>7</v>
      </c>
      <c r="V1245">
        <f t="shared" si="799"/>
        <v>18.41</v>
      </c>
      <c r="W1245" s="28">
        <f t="shared" si="800"/>
        <v>2.5332810178839833E-2</v>
      </c>
      <c r="X1245" s="27">
        <f t="shared" si="801"/>
        <v>2.5332810178839833E-2</v>
      </c>
      <c r="Y1245" s="5">
        <f t="shared" si="802"/>
        <v>6.6214732094174789</v>
      </c>
      <c r="Z1245" s="5">
        <f t="shared" si="803"/>
        <v>6.457877036298636</v>
      </c>
      <c r="AA1245" s="5">
        <f t="shared" si="804"/>
        <v>-6174.3762344051256</v>
      </c>
      <c r="AB1245" t="s">
        <v>64</v>
      </c>
      <c r="AC1245" t="s">
        <v>62</v>
      </c>
      <c r="AD1245">
        <f t="shared" si="805"/>
        <v>1</v>
      </c>
    </row>
    <row r="1246" spans="1:30" x14ac:dyDescent="0.35">
      <c r="A1246" t="s">
        <v>866</v>
      </c>
      <c r="B1246" t="s">
        <v>94</v>
      </c>
      <c r="C1246" s="36">
        <f t="shared" si="793"/>
        <v>2.5381407122919808E-2</v>
      </c>
      <c r="D1246" s="3">
        <f t="shared" si="794"/>
        <v>2.5381407122919808E-2</v>
      </c>
      <c r="F1246">
        <v>955.8</v>
      </c>
      <c r="G1246" t="s">
        <v>694</v>
      </c>
      <c r="H1246">
        <v>1000</v>
      </c>
      <c r="I1246" s="22"/>
      <c r="J1246">
        <v>0</v>
      </c>
      <c r="K1246" s="22"/>
      <c r="L1246">
        <v>3.3862609701758899</v>
      </c>
      <c r="M1246" s="22">
        <v>1.8409999999999999E-2</v>
      </c>
      <c r="N1246" s="21">
        <v>44460</v>
      </c>
      <c r="O1246" s="21">
        <v>47017</v>
      </c>
      <c r="P1246">
        <f t="shared" si="795"/>
        <v>7</v>
      </c>
      <c r="Q1246" s="6">
        <f t="shared" si="796"/>
        <v>1.9261351747227453E-2</v>
      </c>
      <c r="R1246" s="5">
        <f t="shared" si="797"/>
        <v>1</v>
      </c>
      <c r="S1246" t="s">
        <v>93</v>
      </c>
      <c r="U1246">
        <f t="shared" si="798"/>
        <v>7</v>
      </c>
      <c r="V1246">
        <f t="shared" si="799"/>
        <v>18.41</v>
      </c>
      <c r="W1246" s="28">
        <f t="shared" si="800"/>
        <v>2.5381407122919808E-2</v>
      </c>
      <c r="X1246" s="27">
        <f t="shared" si="801"/>
        <v>2.5381407122919808E-2</v>
      </c>
      <c r="Y1246" s="5">
        <f t="shared" si="802"/>
        <v>6.6214012653601868</v>
      </c>
      <c r="Z1246" s="5">
        <f t="shared" si="803"/>
        <v>6.4575008083469498</v>
      </c>
      <c r="AA1246" s="5">
        <f t="shared" si="804"/>
        <v>-6172.0792726180143</v>
      </c>
      <c r="AB1246" t="s">
        <v>64</v>
      </c>
      <c r="AC1246" t="s">
        <v>62</v>
      </c>
      <c r="AD1246">
        <f t="shared" si="805"/>
        <v>1</v>
      </c>
    </row>
    <row r="1247" spans="1:30" x14ac:dyDescent="0.35">
      <c r="A1247" t="s">
        <v>866</v>
      </c>
      <c r="B1247" t="s">
        <v>94</v>
      </c>
      <c r="C1247" s="36">
        <f t="shared" si="793"/>
        <v>2.5457578707892236E-2</v>
      </c>
      <c r="D1247" s="3">
        <f t="shared" si="794"/>
        <v>2.5457578707892236E-2</v>
      </c>
      <c r="F1247">
        <v>955.33</v>
      </c>
      <c r="G1247" t="s">
        <v>694</v>
      </c>
      <c r="H1247">
        <v>1000</v>
      </c>
      <c r="I1247" s="22"/>
      <c r="J1247">
        <v>0</v>
      </c>
      <c r="K1247" s="22"/>
      <c r="L1247">
        <v>3.40346079437685</v>
      </c>
      <c r="M1247" s="22">
        <v>1.8409999999999999E-2</v>
      </c>
      <c r="N1247" s="21">
        <v>44460</v>
      </c>
      <c r="O1247" s="21">
        <v>47017</v>
      </c>
      <c r="P1247">
        <f t="shared" si="795"/>
        <v>7</v>
      </c>
      <c r="Q1247" s="6">
        <f t="shared" si="796"/>
        <v>1.9270827881465044E-2</v>
      </c>
      <c r="R1247" s="5">
        <f t="shared" si="797"/>
        <v>1</v>
      </c>
      <c r="S1247" t="s">
        <v>93</v>
      </c>
      <c r="U1247">
        <f t="shared" si="798"/>
        <v>7</v>
      </c>
      <c r="V1247">
        <f t="shared" si="799"/>
        <v>18.41</v>
      </c>
      <c r="W1247" s="28">
        <f t="shared" si="800"/>
        <v>2.5457578707892236E-2</v>
      </c>
      <c r="X1247" s="27">
        <f t="shared" si="801"/>
        <v>2.5457578707892236E-2</v>
      </c>
      <c r="Y1247" s="5">
        <f t="shared" si="802"/>
        <v>6.6212884773851055</v>
      </c>
      <c r="Z1247" s="5">
        <f t="shared" si="803"/>
        <v>6.4569111534853834</v>
      </c>
      <c r="AA1247" s="5">
        <f t="shared" si="804"/>
        <v>-6168.4809322591918</v>
      </c>
      <c r="AB1247" t="s">
        <v>64</v>
      </c>
      <c r="AC1247" t="s">
        <v>62</v>
      </c>
      <c r="AD1247">
        <f t="shared" si="805"/>
        <v>1</v>
      </c>
    </row>
    <row r="1248" spans="1:30" x14ac:dyDescent="0.35">
      <c r="A1248" t="s">
        <v>866</v>
      </c>
      <c r="B1248" t="s">
        <v>94</v>
      </c>
      <c r="C1248" s="36">
        <f t="shared" si="793"/>
        <v>2.552568453583624E-2</v>
      </c>
      <c r="D1248" s="3">
        <f t="shared" si="794"/>
        <v>2.552568453583624E-2</v>
      </c>
      <c r="F1248">
        <v>954.91</v>
      </c>
      <c r="G1248" t="s">
        <v>694</v>
      </c>
      <c r="H1248">
        <v>1000</v>
      </c>
      <c r="I1248" s="22"/>
      <c r="J1248">
        <v>0</v>
      </c>
      <c r="K1248" s="22"/>
      <c r="L1248">
        <v>3.4188451753220499</v>
      </c>
      <c r="M1248" s="22">
        <v>1.8409999999999999E-2</v>
      </c>
      <c r="N1248" s="21">
        <v>44460</v>
      </c>
      <c r="O1248" s="21">
        <v>47017</v>
      </c>
      <c r="P1248">
        <f t="shared" si="795"/>
        <v>7</v>
      </c>
      <c r="Q1248" s="6">
        <f t="shared" si="796"/>
        <v>1.9279303808735902E-2</v>
      </c>
      <c r="R1248" s="5">
        <f t="shared" si="797"/>
        <v>1</v>
      </c>
      <c r="S1248" t="s">
        <v>93</v>
      </c>
      <c r="U1248">
        <f t="shared" si="798"/>
        <v>7</v>
      </c>
      <c r="V1248">
        <f t="shared" si="799"/>
        <v>18.41</v>
      </c>
      <c r="W1248" s="28">
        <f t="shared" si="800"/>
        <v>2.552568453583624E-2</v>
      </c>
      <c r="X1248" s="27">
        <f t="shared" si="801"/>
        <v>2.552568453583624E-2</v>
      </c>
      <c r="Y1248" s="5">
        <f t="shared" si="802"/>
        <v>6.6211876099389269</v>
      </c>
      <c r="Z1248" s="5">
        <f t="shared" si="803"/>
        <v>6.4563839889936512</v>
      </c>
      <c r="AA1248" s="5">
        <f t="shared" si="804"/>
        <v>-6165.2656349299268</v>
      </c>
      <c r="AB1248" t="s">
        <v>64</v>
      </c>
      <c r="AC1248" t="s">
        <v>62</v>
      </c>
      <c r="AD1248">
        <f t="shared" si="805"/>
        <v>1</v>
      </c>
    </row>
    <row r="1249" spans="1:30" x14ac:dyDescent="0.35">
      <c r="A1249" t="s">
        <v>866</v>
      </c>
      <c r="B1249" t="s">
        <v>94</v>
      </c>
      <c r="C1249" s="36">
        <f t="shared" si="793"/>
        <v>2.5819595108861546E-2</v>
      </c>
      <c r="D1249" s="3">
        <f t="shared" si="794"/>
        <v>2.5819595108861546E-2</v>
      </c>
      <c r="F1249">
        <v>953.1</v>
      </c>
      <c r="G1249" t="s">
        <v>694</v>
      </c>
      <c r="H1249">
        <v>1000</v>
      </c>
      <c r="I1249" s="22"/>
      <c r="J1249">
        <v>0</v>
      </c>
      <c r="K1249" s="22"/>
      <c r="L1249">
        <v>3.4852996541244501</v>
      </c>
      <c r="M1249" s="22">
        <v>1.8409999999999999E-2</v>
      </c>
      <c r="N1249" s="21">
        <v>44460</v>
      </c>
      <c r="O1249" s="21">
        <v>47017</v>
      </c>
      <c r="P1249">
        <f t="shared" si="795"/>
        <v>7</v>
      </c>
      <c r="Q1249" s="6">
        <f t="shared" si="796"/>
        <v>1.9315916483055293E-2</v>
      </c>
      <c r="R1249" s="5">
        <f t="shared" si="797"/>
        <v>1</v>
      </c>
      <c r="S1249" t="s">
        <v>93</v>
      </c>
      <c r="U1249">
        <f t="shared" si="798"/>
        <v>7</v>
      </c>
      <c r="V1249">
        <f t="shared" si="799"/>
        <v>18.41</v>
      </c>
      <c r="W1249" s="28">
        <f t="shared" si="800"/>
        <v>2.5819595108861546E-2</v>
      </c>
      <c r="X1249" s="27">
        <f t="shared" si="801"/>
        <v>2.5819595108861546E-2</v>
      </c>
      <c r="Y1249" s="5">
        <f t="shared" si="802"/>
        <v>6.6207520728303706</v>
      </c>
      <c r="Z1249" s="5">
        <f t="shared" si="803"/>
        <v>6.4541095767699446</v>
      </c>
      <c r="AA1249" s="5">
        <f t="shared" si="804"/>
        <v>-6151.4118376194347</v>
      </c>
      <c r="AB1249" t="s">
        <v>64</v>
      </c>
      <c r="AC1249" t="s">
        <v>62</v>
      </c>
      <c r="AD1249">
        <f t="shared" si="805"/>
        <v>1</v>
      </c>
    </row>
    <row r="1250" spans="1:30" x14ac:dyDescent="0.35">
      <c r="A1250" t="s">
        <v>866</v>
      </c>
      <c r="B1250" t="s">
        <v>94</v>
      </c>
      <c r="C1250" s="36">
        <f t="shared" si="793"/>
        <v>2.4936610607605797E-2</v>
      </c>
      <c r="D1250" s="3">
        <f t="shared" si="794"/>
        <v>2.4936610607605797E-2</v>
      </c>
      <c r="F1250">
        <v>958.55</v>
      </c>
      <c r="G1250" t="s">
        <v>694</v>
      </c>
      <c r="H1250">
        <v>1000</v>
      </c>
      <c r="I1250" s="22"/>
      <c r="J1250">
        <v>0</v>
      </c>
      <c r="K1250" s="22"/>
      <c r="L1250">
        <v>3.2847816857489698</v>
      </c>
      <c r="M1250" s="22">
        <v>1.8409999999999999E-2</v>
      </c>
      <c r="N1250" s="21">
        <v>44460</v>
      </c>
      <c r="O1250" s="21">
        <v>47017</v>
      </c>
      <c r="P1250">
        <f t="shared" si="795"/>
        <v>7</v>
      </c>
      <c r="Q1250" s="6">
        <f t="shared" si="796"/>
        <v>1.9206092535600648E-2</v>
      </c>
      <c r="R1250" s="5">
        <f t="shared" si="797"/>
        <v>1</v>
      </c>
      <c r="S1250" t="s">
        <v>93</v>
      </c>
      <c r="U1250">
        <f t="shared" si="798"/>
        <v>7</v>
      </c>
      <c r="V1250">
        <f t="shared" si="799"/>
        <v>18.41</v>
      </c>
      <c r="W1250" s="28">
        <f t="shared" si="800"/>
        <v>2.4936610607605797E-2</v>
      </c>
      <c r="X1250" s="27">
        <f t="shared" si="801"/>
        <v>2.4936610607605797E-2</v>
      </c>
      <c r="Y1250" s="5">
        <f t="shared" si="802"/>
        <v>6.6220593489720789</v>
      </c>
      <c r="Z1250" s="5">
        <f t="shared" si="803"/>
        <v>6.4609452725533636</v>
      </c>
      <c r="AA1250" s="5">
        <f t="shared" si="804"/>
        <v>-6193.1390910060263</v>
      </c>
      <c r="AB1250" t="s">
        <v>64</v>
      </c>
      <c r="AC1250" t="s">
        <v>62</v>
      </c>
      <c r="AD1250">
        <f t="shared" si="805"/>
        <v>1</v>
      </c>
    </row>
    <row r="1251" spans="1:30" x14ac:dyDescent="0.35">
      <c r="A1251" t="s">
        <v>865</v>
      </c>
      <c r="B1251" t="s">
        <v>94</v>
      </c>
      <c r="C1251" s="36">
        <f t="shared" si="793"/>
        <v>2.5285850315171336E-2</v>
      </c>
      <c r="D1251" s="3">
        <f t="shared" si="794"/>
        <v>2.5285850315171336E-2</v>
      </c>
      <c r="F1251">
        <v>956.39</v>
      </c>
      <c r="G1251" t="s">
        <v>694</v>
      </c>
      <c r="H1251">
        <v>1000</v>
      </c>
      <c r="I1251" s="22"/>
      <c r="J1251">
        <v>0</v>
      </c>
      <c r="K1251" s="22"/>
      <c r="L1251">
        <v>3.36469363184532</v>
      </c>
      <c r="M1251" s="22">
        <v>1.8409999999999999E-2</v>
      </c>
      <c r="N1251" s="21">
        <v>44460</v>
      </c>
      <c r="O1251" s="21">
        <v>47017</v>
      </c>
      <c r="P1251">
        <f t="shared" si="795"/>
        <v>7</v>
      </c>
      <c r="Q1251" s="6">
        <f t="shared" si="796"/>
        <v>1.9249469358734408E-2</v>
      </c>
      <c r="R1251" s="5">
        <f t="shared" si="797"/>
        <v>1</v>
      </c>
      <c r="S1251" t="s">
        <v>93</v>
      </c>
      <c r="U1251">
        <f t="shared" si="798"/>
        <v>7</v>
      </c>
      <c r="V1251">
        <f t="shared" si="799"/>
        <v>18.41</v>
      </c>
      <c r="W1251" s="28">
        <f t="shared" si="800"/>
        <v>2.5285850315171336E-2</v>
      </c>
      <c r="X1251" s="27">
        <f t="shared" si="801"/>
        <v>2.5285850315171336E-2</v>
      </c>
      <c r="Y1251" s="5">
        <f t="shared" si="802"/>
        <v>6.6215427196236556</v>
      </c>
      <c r="Z1251" s="5">
        <f t="shared" si="803"/>
        <v>6.4582406141547777</v>
      </c>
      <c r="AA1251" s="5">
        <f t="shared" si="804"/>
        <v>-6176.5967409714876</v>
      </c>
      <c r="AB1251" t="s">
        <v>64</v>
      </c>
      <c r="AC1251" t="s">
        <v>62</v>
      </c>
      <c r="AD1251">
        <f t="shared" si="805"/>
        <v>1</v>
      </c>
    </row>
    <row r="1252" spans="1:30" x14ac:dyDescent="0.35">
      <c r="A1252" t="s">
        <v>864</v>
      </c>
      <c r="B1252" t="s">
        <v>101</v>
      </c>
      <c r="C1252" s="36">
        <f t="shared" si="793"/>
        <v>6.6486559943284437E-2</v>
      </c>
      <c r="D1252" s="3">
        <f t="shared" si="794"/>
        <v>6.6486559943284437E-2</v>
      </c>
      <c r="F1252">
        <v>1168.7</v>
      </c>
      <c r="G1252" t="s">
        <v>76</v>
      </c>
      <c r="H1252">
        <v>1000</v>
      </c>
      <c r="I1252" s="22"/>
      <c r="J1252">
        <v>5</v>
      </c>
      <c r="K1252" s="22"/>
      <c r="L1252">
        <v>2.7509781321986</v>
      </c>
      <c r="M1252" s="22">
        <v>8.4600000000000009E-2</v>
      </c>
      <c r="N1252" s="21">
        <v>41541</v>
      </c>
      <c r="O1252" s="21">
        <v>47020</v>
      </c>
      <c r="P1252">
        <f t="shared" si="795"/>
        <v>15</v>
      </c>
      <c r="Q1252" s="6">
        <f t="shared" si="796"/>
        <v>7.2388123556087966E-2</v>
      </c>
      <c r="R1252" s="5">
        <f t="shared" si="797"/>
        <v>1</v>
      </c>
      <c r="S1252" t="s">
        <v>93</v>
      </c>
      <c r="U1252">
        <f t="shared" si="798"/>
        <v>15</v>
      </c>
      <c r="V1252">
        <f t="shared" si="799"/>
        <v>84.600000000000009</v>
      </c>
      <c r="W1252" s="28">
        <f t="shared" si="800"/>
        <v>6.6486559943284437E-2</v>
      </c>
      <c r="X1252" s="27">
        <f t="shared" si="801"/>
        <v>6.6486559943284437E-2</v>
      </c>
      <c r="Y1252" s="5">
        <f t="shared" si="802"/>
        <v>9.4829650430669314</v>
      </c>
      <c r="Z1252" s="5">
        <f t="shared" si="803"/>
        <v>8.891781105587711</v>
      </c>
      <c r="AA1252" s="5">
        <f t="shared" si="804"/>
        <v>-10391.824578100359</v>
      </c>
      <c r="AB1252" t="s">
        <v>64</v>
      </c>
      <c r="AC1252" t="s">
        <v>62</v>
      </c>
      <c r="AD1252">
        <f t="shared" si="805"/>
        <v>1</v>
      </c>
    </row>
    <row r="1253" spans="1:30" x14ac:dyDescent="0.35">
      <c r="A1253" t="s">
        <v>863</v>
      </c>
      <c r="B1253" t="s">
        <v>101</v>
      </c>
      <c r="C1253" s="36">
        <f t="shared" si="793"/>
        <v>7.1575444780440825E-2</v>
      </c>
      <c r="D1253" s="3">
        <f t="shared" si="794"/>
        <v>7.1575444780440825E-2</v>
      </c>
      <c r="F1253">
        <v>1140</v>
      </c>
      <c r="G1253" t="s">
        <v>76</v>
      </c>
      <c r="H1253">
        <v>1000</v>
      </c>
      <c r="I1253" s="22"/>
      <c r="J1253">
        <v>450</v>
      </c>
      <c r="K1253" s="22"/>
      <c r="L1253">
        <v>3.7761645493042901</v>
      </c>
      <c r="M1253" s="22">
        <v>8.7100000000000011E-2</v>
      </c>
      <c r="N1253" s="21">
        <v>41541</v>
      </c>
      <c r="O1253" s="21">
        <v>47020</v>
      </c>
      <c r="P1253">
        <f t="shared" si="795"/>
        <v>15</v>
      </c>
      <c r="Q1253" s="6">
        <f t="shared" si="796"/>
        <v>7.6403508771929834E-2</v>
      </c>
      <c r="R1253" s="5">
        <f t="shared" si="797"/>
        <v>1</v>
      </c>
      <c r="S1253" t="s">
        <v>93</v>
      </c>
      <c r="U1253">
        <f t="shared" si="798"/>
        <v>15</v>
      </c>
      <c r="V1253">
        <f t="shared" si="799"/>
        <v>87.100000000000009</v>
      </c>
      <c r="W1253" s="28">
        <f t="shared" si="800"/>
        <v>7.1575444780440825E-2</v>
      </c>
      <c r="X1253" s="27">
        <f t="shared" si="801"/>
        <v>7.1575444780440825E-2</v>
      </c>
      <c r="Y1253" s="5">
        <f t="shared" si="802"/>
        <v>9.3034635055663344</v>
      </c>
      <c r="Z1253" s="5">
        <f t="shared" si="803"/>
        <v>8.6820424552305386</v>
      </c>
      <c r="AA1253" s="5">
        <f t="shared" si="804"/>
        <v>-9897.5283989628133</v>
      </c>
      <c r="AB1253" t="s">
        <v>64</v>
      </c>
      <c r="AC1253" t="s">
        <v>62</v>
      </c>
      <c r="AD1253">
        <f t="shared" si="805"/>
        <v>1</v>
      </c>
    </row>
    <row r="1254" spans="1:30" x14ac:dyDescent="0.35">
      <c r="A1254" t="s">
        <v>862</v>
      </c>
      <c r="B1254" t="s">
        <v>860</v>
      </c>
      <c r="C1254" s="36">
        <f t="shared" si="793"/>
        <v>9.806767347183909E-2</v>
      </c>
      <c r="D1254" s="3">
        <f t="shared" si="794"/>
        <v>9.806767347183909E-2</v>
      </c>
      <c r="F1254">
        <v>940.1</v>
      </c>
      <c r="G1254" t="s">
        <v>76</v>
      </c>
      <c r="H1254">
        <v>1000</v>
      </c>
      <c r="I1254" s="22"/>
      <c r="J1254">
        <v>77</v>
      </c>
      <c r="K1254" s="22"/>
      <c r="L1254">
        <v>11.408131563406601</v>
      </c>
      <c r="M1254" s="22">
        <v>8.8399999999999992E-2</v>
      </c>
      <c r="N1254" s="21">
        <v>43368</v>
      </c>
      <c r="O1254" s="21">
        <v>47021</v>
      </c>
      <c r="P1254">
        <f t="shared" si="795"/>
        <v>10</v>
      </c>
      <c r="Q1254" s="6">
        <f t="shared" si="796"/>
        <v>9.4032549728752246E-2</v>
      </c>
      <c r="R1254" s="5">
        <f t="shared" si="797"/>
        <v>1</v>
      </c>
      <c r="S1254" t="s">
        <v>93</v>
      </c>
      <c r="U1254">
        <f t="shared" si="798"/>
        <v>10</v>
      </c>
      <c r="V1254">
        <f t="shared" si="799"/>
        <v>88.399999999999991</v>
      </c>
      <c r="W1254" s="28">
        <f t="shared" si="800"/>
        <v>9.806767347183909E-2</v>
      </c>
      <c r="X1254" s="27">
        <f t="shared" si="801"/>
        <v>9.806767347183909E-2</v>
      </c>
      <c r="Y1254" s="5">
        <f t="shared" si="802"/>
        <v>6.9350477309883027</v>
      </c>
      <c r="Z1254" s="5">
        <f t="shared" si="803"/>
        <v>6.3156833577126141</v>
      </c>
      <c r="AA1254" s="5">
        <f t="shared" si="804"/>
        <v>-5937.3739245856286</v>
      </c>
      <c r="AB1254" t="s">
        <v>64</v>
      </c>
      <c r="AC1254" t="s">
        <v>62</v>
      </c>
      <c r="AD1254">
        <f t="shared" si="805"/>
        <v>1</v>
      </c>
    </row>
    <row r="1255" spans="1:30" x14ac:dyDescent="0.35">
      <c r="A1255" t="s">
        <v>861</v>
      </c>
      <c r="B1255" t="s">
        <v>860</v>
      </c>
      <c r="C1255" s="36">
        <f t="shared" si="793"/>
        <v>9.0593950748981439E-2</v>
      </c>
      <c r="D1255" s="3">
        <f t="shared" si="794"/>
        <v>9.0593950748981439E-2</v>
      </c>
      <c r="F1255">
        <v>1009</v>
      </c>
      <c r="G1255" t="s">
        <v>76</v>
      </c>
      <c r="H1255">
        <v>1000</v>
      </c>
      <c r="I1255" s="22"/>
      <c r="J1255">
        <v>100</v>
      </c>
      <c r="K1255" s="22"/>
      <c r="L1255">
        <v>8.8389583720805796</v>
      </c>
      <c r="M1255" s="22">
        <v>9.1999999999999998E-2</v>
      </c>
      <c r="N1255" s="21">
        <v>43368</v>
      </c>
      <c r="O1255" s="21">
        <v>47021</v>
      </c>
      <c r="P1255">
        <f t="shared" si="795"/>
        <v>10</v>
      </c>
      <c r="Q1255" s="6">
        <f t="shared" si="796"/>
        <v>9.1179385530227947E-2</v>
      </c>
      <c r="R1255" s="5">
        <f t="shared" si="797"/>
        <v>1</v>
      </c>
      <c r="S1255" t="s">
        <v>93</v>
      </c>
      <c r="U1255">
        <f t="shared" si="798"/>
        <v>10</v>
      </c>
      <c r="V1255">
        <f t="shared" si="799"/>
        <v>92</v>
      </c>
      <c r="W1255" s="28">
        <f t="shared" si="800"/>
        <v>9.0593950748981439E-2</v>
      </c>
      <c r="X1255" s="27">
        <f t="shared" si="801"/>
        <v>9.0593950748981439E-2</v>
      </c>
      <c r="Y1255" s="5">
        <f t="shared" si="802"/>
        <v>6.9612871627910096</v>
      </c>
      <c r="Z1255" s="5">
        <f t="shared" si="803"/>
        <v>6.3830238174439193</v>
      </c>
      <c r="AA1255" s="5">
        <f t="shared" si="804"/>
        <v>-6440.4710318009147</v>
      </c>
      <c r="AB1255" t="s">
        <v>64</v>
      </c>
      <c r="AC1255" t="s">
        <v>62</v>
      </c>
      <c r="AD1255">
        <f t="shared" si="805"/>
        <v>1</v>
      </c>
    </row>
    <row r="1256" spans="1:30" x14ac:dyDescent="0.35">
      <c r="A1256" t="s">
        <v>859</v>
      </c>
      <c r="B1256" t="s">
        <v>128</v>
      </c>
      <c r="C1256" s="36">
        <f t="shared" si="793"/>
        <v>0.13132839578149447</v>
      </c>
      <c r="D1256" s="3">
        <f t="shared" si="794"/>
        <v>0.13132839578149447</v>
      </c>
      <c r="F1256">
        <v>880</v>
      </c>
      <c r="G1256" t="s">
        <v>76</v>
      </c>
      <c r="H1256">
        <v>1000</v>
      </c>
      <c r="I1256" s="22"/>
      <c r="J1256">
        <v>1</v>
      </c>
      <c r="K1256" s="22"/>
      <c r="L1256">
        <v>15.313775111389001</v>
      </c>
      <c r="M1256" s="22">
        <v>9.7100000000000006E-2</v>
      </c>
      <c r="N1256" s="21">
        <v>45195</v>
      </c>
      <c r="O1256" s="21">
        <v>47022</v>
      </c>
      <c r="P1256">
        <f t="shared" si="795"/>
        <v>5</v>
      </c>
      <c r="Q1256" s="6">
        <f t="shared" si="796"/>
        <v>0.1103409090909091</v>
      </c>
      <c r="R1256" s="5">
        <f t="shared" si="797"/>
        <v>1</v>
      </c>
      <c r="S1256" t="s">
        <v>93</v>
      </c>
      <c r="U1256">
        <f t="shared" si="798"/>
        <v>5</v>
      </c>
      <c r="V1256">
        <f t="shared" si="799"/>
        <v>97.100000000000009</v>
      </c>
      <c r="W1256" s="28">
        <f t="shared" si="800"/>
        <v>0.13132839578149447</v>
      </c>
      <c r="X1256" s="27">
        <f t="shared" si="801"/>
        <v>0.13132839578149447</v>
      </c>
      <c r="Y1256" s="5">
        <f t="shared" si="802"/>
        <v>4.1314781168814454</v>
      </c>
      <c r="Z1256" s="5">
        <f t="shared" si="803"/>
        <v>3.6518822759924796</v>
      </c>
      <c r="AA1256" s="5">
        <f t="shared" si="804"/>
        <v>-3213.6564028733819</v>
      </c>
      <c r="AB1256" t="s">
        <v>64</v>
      </c>
      <c r="AC1256" t="s">
        <v>62</v>
      </c>
      <c r="AD1256">
        <f t="shared" si="805"/>
        <v>1</v>
      </c>
    </row>
    <row r="1257" spans="1:30" x14ac:dyDescent="0.35">
      <c r="A1257" t="s">
        <v>858</v>
      </c>
      <c r="B1257" t="s">
        <v>128</v>
      </c>
      <c r="C1257" s="36">
        <f t="shared" si="793"/>
        <v>0.15388519998955499</v>
      </c>
      <c r="D1257" s="3">
        <f t="shared" si="794"/>
        <v>0.15388519998955499</v>
      </c>
      <c r="F1257">
        <v>826</v>
      </c>
      <c r="G1257" t="s">
        <v>76</v>
      </c>
      <c r="H1257">
        <v>1000</v>
      </c>
      <c r="I1257" s="22"/>
      <c r="J1257">
        <v>10</v>
      </c>
      <c r="K1257" s="22"/>
      <c r="L1257">
        <v>18.905056406879599</v>
      </c>
      <c r="M1257" s="22">
        <v>0.10150000000000001</v>
      </c>
      <c r="N1257" s="21">
        <v>45195</v>
      </c>
      <c r="O1257" s="21">
        <v>47022</v>
      </c>
      <c r="P1257">
        <f t="shared" si="795"/>
        <v>5</v>
      </c>
      <c r="Q1257" s="6">
        <f t="shared" si="796"/>
        <v>0.1228813559322034</v>
      </c>
      <c r="R1257" s="5">
        <f t="shared" si="797"/>
        <v>1</v>
      </c>
      <c r="S1257" t="s">
        <v>93</v>
      </c>
      <c r="U1257">
        <f t="shared" si="798"/>
        <v>5</v>
      </c>
      <c r="V1257">
        <f t="shared" si="799"/>
        <v>101.5</v>
      </c>
      <c r="W1257" s="28">
        <f t="shared" si="800"/>
        <v>0.15388519998955499</v>
      </c>
      <c r="X1257" s="27">
        <f t="shared" si="801"/>
        <v>0.15388519998955499</v>
      </c>
      <c r="Y1257" s="5">
        <f t="shared" si="802"/>
        <v>4.0678692818396511</v>
      </c>
      <c r="Z1257" s="5">
        <f t="shared" si="803"/>
        <v>3.5253674125263705</v>
      </c>
      <c r="AA1257" s="5">
        <f t="shared" si="804"/>
        <v>-2911.9534827467819</v>
      </c>
      <c r="AB1257" t="s">
        <v>64</v>
      </c>
      <c r="AC1257" t="s">
        <v>62</v>
      </c>
      <c r="AD1257">
        <f t="shared" si="805"/>
        <v>1</v>
      </c>
    </row>
    <row r="1258" spans="1:30" x14ac:dyDescent="0.35">
      <c r="A1258" t="s">
        <v>857</v>
      </c>
      <c r="B1258" t="s">
        <v>616</v>
      </c>
      <c r="C1258" s="36">
        <f t="shared" si="793"/>
        <v>7.0932523476511036E-2</v>
      </c>
      <c r="D1258" s="3">
        <f t="shared" si="794"/>
        <v>7.0932523476511036E-2</v>
      </c>
      <c r="F1258">
        <v>1140.3399999999999</v>
      </c>
      <c r="G1258" t="s">
        <v>76</v>
      </c>
      <c r="H1258">
        <v>1000</v>
      </c>
      <c r="I1258" s="22"/>
      <c r="J1258">
        <v>316</v>
      </c>
      <c r="K1258" s="22"/>
      <c r="L1258">
        <v>4.1176493031576999</v>
      </c>
      <c r="M1258" s="22">
        <v>9.0999999999999998E-2</v>
      </c>
      <c r="N1258" s="21">
        <v>43370</v>
      </c>
      <c r="O1258" s="21">
        <v>47023</v>
      </c>
      <c r="P1258">
        <f t="shared" si="795"/>
        <v>10</v>
      </c>
      <c r="Q1258" s="6">
        <f t="shared" si="796"/>
        <v>7.9800761176491222E-2</v>
      </c>
      <c r="R1258" s="5">
        <f t="shared" si="797"/>
        <v>1</v>
      </c>
      <c r="S1258" t="s">
        <v>93</v>
      </c>
      <c r="U1258">
        <f t="shared" si="798"/>
        <v>10</v>
      </c>
      <c r="V1258">
        <f t="shared" si="799"/>
        <v>91</v>
      </c>
      <c r="W1258" s="28">
        <f t="shared" si="800"/>
        <v>7.0932523476511036E-2</v>
      </c>
      <c r="X1258" s="27">
        <f t="shared" si="801"/>
        <v>7.0932523476511036E-2</v>
      </c>
      <c r="Y1258" s="5">
        <f t="shared" si="802"/>
        <v>7.1755893459282074</v>
      </c>
      <c r="Z1258" s="5">
        <f t="shared" si="803"/>
        <v>6.7003188236682503</v>
      </c>
      <c r="AA1258" s="5">
        <f t="shared" si="804"/>
        <v>-7640.6415673818519</v>
      </c>
      <c r="AB1258" t="s">
        <v>64</v>
      </c>
      <c r="AC1258" t="s">
        <v>62</v>
      </c>
      <c r="AD1258">
        <f t="shared" si="805"/>
        <v>1</v>
      </c>
    </row>
    <row r="1259" spans="1:30" x14ac:dyDescent="0.35">
      <c r="A1259" t="s">
        <v>856</v>
      </c>
      <c r="B1259" t="s">
        <v>616</v>
      </c>
      <c r="C1259" s="36">
        <f t="shared" si="793"/>
        <v>6.2503225403191268E-2</v>
      </c>
      <c r="D1259" s="3">
        <f t="shared" si="794"/>
        <v>6.2503225403191268E-2</v>
      </c>
      <c r="F1259">
        <v>1200</v>
      </c>
      <c r="G1259" t="s">
        <v>76</v>
      </c>
      <c r="H1259">
        <v>1000</v>
      </c>
      <c r="I1259" s="22"/>
      <c r="J1259">
        <v>18</v>
      </c>
      <c r="K1259" s="22"/>
      <c r="L1259">
        <v>3.3868604913229601</v>
      </c>
      <c r="M1259" s="22">
        <v>0.09</v>
      </c>
      <c r="N1259" s="21">
        <v>43370</v>
      </c>
      <c r="O1259" s="21">
        <v>47023</v>
      </c>
      <c r="P1259">
        <f t="shared" si="795"/>
        <v>10</v>
      </c>
      <c r="Q1259" s="6">
        <f t="shared" si="796"/>
        <v>7.4999999999999997E-2</v>
      </c>
      <c r="R1259" s="5">
        <f t="shared" si="797"/>
        <v>1</v>
      </c>
      <c r="S1259" t="s">
        <v>93</v>
      </c>
      <c r="U1259">
        <f t="shared" si="798"/>
        <v>10</v>
      </c>
      <c r="V1259">
        <f t="shared" si="799"/>
        <v>90</v>
      </c>
      <c r="W1259" s="28">
        <f t="shared" si="800"/>
        <v>6.2503225403191268E-2</v>
      </c>
      <c r="X1259" s="27">
        <f t="shared" si="801"/>
        <v>6.2503225403191268E-2</v>
      </c>
      <c r="Y1259" s="5">
        <f t="shared" si="802"/>
        <v>7.2739838065660587</v>
      </c>
      <c r="Z1259" s="5">
        <f t="shared" si="803"/>
        <v>6.8460816237106279</v>
      </c>
      <c r="AA1259" s="5">
        <f t="shared" si="804"/>
        <v>-8215.2979484527532</v>
      </c>
      <c r="AB1259" t="s">
        <v>64</v>
      </c>
      <c r="AC1259" t="s">
        <v>62</v>
      </c>
      <c r="AD1259">
        <f t="shared" si="805"/>
        <v>1</v>
      </c>
    </row>
    <row r="1260" spans="1:30" x14ac:dyDescent="0.35">
      <c r="A1260" t="s">
        <v>855</v>
      </c>
      <c r="B1260" t="s">
        <v>853</v>
      </c>
      <c r="C1260" s="36">
        <f t="shared" si="793"/>
        <v>8.7805653866060721E-2</v>
      </c>
      <c r="D1260" s="3">
        <f t="shared" si="794"/>
        <v>8.7805653866060721E-2</v>
      </c>
      <c r="F1260">
        <v>1036.9000000000001</v>
      </c>
      <c r="G1260" t="s">
        <v>76</v>
      </c>
      <c r="H1260">
        <v>1000</v>
      </c>
      <c r="I1260" s="22"/>
      <c r="J1260">
        <v>1</v>
      </c>
      <c r="K1260" s="22"/>
      <c r="L1260">
        <v>7.9013524651692597</v>
      </c>
      <c r="M1260" s="22">
        <v>9.35E-2</v>
      </c>
      <c r="N1260" s="21">
        <v>43372</v>
      </c>
      <c r="O1260" s="21">
        <v>47025</v>
      </c>
      <c r="P1260">
        <f t="shared" si="795"/>
        <v>10</v>
      </c>
      <c r="Q1260" s="6">
        <f t="shared" si="796"/>
        <v>9.0172629954672567E-2</v>
      </c>
      <c r="R1260" s="5">
        <f t="shared" si="797"/>
        <v>1</v>
      </c>
      <c r="S1260" t="s">
        <v>93</v>
      </c>
      <c r="U1260">
        <f t="shared" si="798"/>
        <v>10</v>
      </c>
      <c r="V1260">
        <f t="shared" si="799"/>
        <v>93.5</v>
      </c>
      <c r="W1260" s="28">
        <f t="shared" si="800"/>
        <v>8.7805653866060721E-2</v>
      </c>
      <c r="X1260" s="27">
        <f t="shared" si="801"/>
        <v>8.7805653866060721E-2</v>
      </c>
      <c r="Y1260" s="5">
        <f t="shared" si="802"/>
        <v>6.9695550174013583</v>
      </c>
      <c r="Z1260" s="5">
        <f t="shared" si="803"/>
        <v>6.4069854689866368</v>
      </c>
      <c r="AA1260" s="5">
        <f t="shared" si="804"/>
        <v>-6643.4032327922441</v>
      </c>
      <c r="AB1260" t="s">
        <v>64</v>
      </c>
      <c r="AC1260" t="s">
        <v>62</v>
      </c>
      <c r="AD1260">
        <f t="shared" si="805"/>
        <v>1</v>
      </c>
    </row>
    <row r="1261" spans="1:30" x14ac:dyDescent="0.35">
      <c r="A1261" t="s">
        <v>854</v>
      </c>
      <c r="B1261" t="s">
        <v>853</v>
      </c>
      <c r="C1261" s="36">
        <f t="shared" si="793"/>
        <v>8.971864148111286E-2</v>
      </c>
      <c r="D1261" s="3">
        <f t="shared" si="794"/>
        <v>8.971864148111286E-2</v>
      </c>
      <c r="F1261">
        <v>1050</v>
      </c>
      <c r="G1261" t="s">
        <v>76</v>
      </c>
      <c r="H1261">
        <v>1000</v>
      </c>
      <c r="I1261" s="22"/>
      <c r="J1261">
        <v>25</v>
      </c>
      <c r="K1261" s="22"/>
      <c r="L1261">
        <v>7.8026978709572496</v>
      </c>
      <c r="M1261" s="22">
        <v>9.7500000000000003E-2</v>
      </c>
      <c r="N1261" s="21">
        <v>43372</v>
      </c>
      <c r="O1261" s="21">
        <v>47025</v>
      </c>
      <c r="P1261">
        <f t="shared" si="795"/>
        <v>10</v>
      </c>
      <c r="Q1261" s="6">
        <f t="shared" si="796"/>
        <v>9.285714285714286E-2</v>
      </c>
      <c r="R1261" s="5">
        <f t="shared" si="797"/>
        <v>1</v>
      </c>
      <c r="S1261" t="s">
        <v>93</v>
      </c>
      <c r="U1261">
        <f t="shared" si="798"/>
        <v>10</v>
      </c>
      <c r="V1261">
        <f t="shared" si="799"/>
        <v>97.5</v>
      </c>
      <c r="W1261" s="28">
        <f t="shared" si="800"/>
        <v>8.971864148111286E-2</v>
      </c>
      <c r="X1261" s="27">
        <f t="shared" si="801"/>
        <v>8.971864148111286E-2</v>
      </c>
      <c r="Y1261" s="5">
        <f t="shared" si="802"/>
        <v>6.8972395217772027</v>
      </c>
      <c r="Z1261" s="5">
        <f t="shared" si="803"/>
        <v>6.3293764640042145</v>
      </c>
      <c r="AA1261" s="5">
        <f t="shared" si="804"/>
        <v>-6645.8452872044254</v>
      </c>
      <c r="AB1261" t="s">
        <v>64</v>
      </c>
      <c r="AC1261" t="s">
        <v>62</v>
      </c>
      <c r="AD1261">
        <f t="shared" si="805"/>
        <v>1</v>
      </c>
    </row>
    <row r="1262" spans="1:30" x14ac:dyDescent="0.35">
      <c r="C1262" s="28"/>
      <c r="D1262" s="27"/>
      <c r="I1262" s="22"/>
      <c r="K1262" s="22"/>
      <c r="M1262" s="22"/>
      <c r="N1262" s="21"/>
      <c r="O1262" s="21"/>
      <c r="P1262" s="5"/>
      <c r="Q1262" s="6"/>
      <c r="R1262" s="5"/>
      <c r="W1262" s="28"/>
      <c r="Y1262" s="33"/>
      <c r="Z1262" s="33"/>
      <c r="AA1262" s="33"/>
    </row>
    <row r="1263" spans="1:30" x14ac:dyDescent="0.35">
      <c r="A1263" t="s">
        <v>851</v>
      </c>
      <c r="B1263" t="s">
        <v>272</v>
      </c>
      <c r="C1263" s="36">
        <f>RATE(U1263,V1263,-F1263,H1263)</f>
        <v>7.2631649203454524E-2</v>
      </c>
      <c r="D1263" s="3">
        <f>C1263*AD1263</f>
        <v>7.2631649203454524E-2</v>
      </c>
      <c r="F1263">
        <v>1030</v>
      </c>
      <c r="G1263" t="s">
        <v>76</v>
      </c>
      <c r="H1263">
        <v>1000</v>
      </c>
      <c r="I1263" s="22"/>
      <c r="J1263">
        <v>10</v>
      </c>
      <c r="K1263" s="22"/>
      <c r="L1263">
        <v>6.8683370401070096</v>
      </c>
      <c r="M1263" s="22">
        <v>0.08</v>
      </c>
      <c r="N1263" s="21">
        <v>45203</v>
      </c>
      <c r="O1263" s="21">
        <v>47030</v>
      </c>
      <c r="P1263">
        <f>ROUND(YEARFRAC(N1263,O1263),0)</f>
        <v>5</v>
      </c>
      <c r="Q1263" s="6">
        <f>(M1263*H1263)/F1263</f>
        <v>7.7669902912621352E-2</v>
      </c>
      <c r="R1263" s="5">
        <f>IF(S1263="Quarterly",4,IF(S1263="Semi-annual",2,IF(S1263="Annual",1,IF(S1263="Pays at maturity",0,12))))</f>
        <v>1</v>
      </c>
      <c r="S1263" t="s">
        <v>93</v>
      </c>
      <c r="U1263">
        <f>R1263*P1263</f>
        <v>5</v>
      </c>
      <c r="V1263">
        <f>(H1263*M1263)/AD1263</f>
        <v>80</v>
      </c>
      <c r="W1263" s="28">
        <f>RATE(U1263,V1263,-F1263,H1263)</f>
        <v>7.2631649203454524E-2</v>
      </c>
      <c r="X1263" s="27">
        <f>W1263*AD1263</f>
        <v>7.2631649203454524E-2</v>
      </c>
      <c r="Y1263" s="5">
        <f>DURATION(N1263,O1263,M1263,D1263,AD1263)</f>
        <v>4.3232881672393502</v>
      </c>
      <c r="Z1263" s="5">
        <f>Y1263/(1+C1263)</f>
        <v>4.0305431696424971</v>
      </c>
      <c r="AA1263" s="5">
        <f>-Z1263*F1263</f>
        <v>-4151.4594647317717</v>
      </c>
      <c r="AB1263" t="s">
        <v>64</v>
      </c>
      <c r="AC1263" t="s">
        <v>62</v>
      </c>
      <c r="AD1263">
        <f>_xlfn.SWITCH(PROPER(TRIM(S1263)),
   "Annual",1,
   "Semi-Annual",2,
   "Quarterly",4,
   "Monthly",12,
   "")</f>
        <v>1</v>
      </c>
    </row>
    <row r="1264" spans="1:30" x14ac:dyDescent="0.35">
      <c r="C1264" s="28"/>
      <c r="D1264" s="27"/>
      <c r="I1264" s="22"/>
      <c r="K1264" s="22"/>
      <c r="M1264" s="22"/>
      <c r="N1264" s="21"/>
      <c r="O1264" s="21"/>
      <c r="P1264" s="5"/>
      <c r="Q1264" s="6"/>
      <c r="R1264" s="5"/>
      <c r="W1264" s="28"/>
      <c r="Y1264" s="33"/>
      <c r="Z1264" s="33"/>
      <c r="AA1264" s="33"/>
    </row>
    <row r="1265" spans="1:30" x14ac:dyDescent="0.35">
      <c r="A1265" t="s">
        <v>849</v>
      </c>
      <c r="B1265" t="s">
        <v>272</v>
      </c>
      <c r="C1265" s="36">
        <f>RATE(U1265,V1265,-F1265,H1265)</f>
        <v>7.2588333471412678E-2</v>
      </c>
      <c r="D1265" s="3">
        <f>C1265*AD1265</f>
        <v>7.2588333471412678E-2</v>
      </c>
      <c r="F1265">
        <v>1020</v>
      </c>
      <c r="G1265" t="s">
        <v>76</v>
      </c>
      <c r="H1265">
        <v>1000</v>
      </c>
      <c r="I1265" s="22"/>
      <c r="J1265">
        <v>50</v>
      </c>
      <c r="K1265" s="22"/>
      <c r="L1265">
        <v>7.0060737280851102</v>
      </c>
      <c r="M1265" s="22">
        <v>7.7499999999999999E-2</v>
      </c>
      <c r="N1265" s="21">
        <v>45203</v>
      </c>
      <c r="O1265" s="21">
        <v>47030</v>
      </c>
      <c r="P1265">
        <f>ROUND(YEARFRAC(N1265,O1265),0)</f>
        <v>5</v>
      </c>
      <c r="Q1265" s="6">
        <f>(M1265*H1265)/F1265</f>
        <v>7.5980392156862739E-2</v>
      </c>
      <c r="R1265" s="5">
        <f>IF(S1265="Quarterly",4,IF(S1265="Semi-annual",2,IF(S1265="Annual",1,IF(S1265="Pays at maturity",0,12))))</f>
        <v>1</v>
      </c>
      <c r="S1265" t="s">
        <v>93</v>
      </c>
      <c r="U1265">
        <f>R1265*P1265</f>
        <v>5</v>
      </c>
      <c r="V1265">
        <f>(H1265*M1265)/AD1265</f>
        <v>77.5</v>
      </c>
      <c r="W1265" s="28">
        <f>RATE(U1265,V1265,-F1265,H1265)</f>
        <v>7.2588333471412678E-2</v>
      </c>
      <c r="X1265" s="27">
        <f>W1265*AD1265</f>
        <v>7.2588333471412678E-2</v>
      </c>
      <c r="Y1265" s="5">
        <f>DURATION(N1265,O1265,M1265,D1265,AD1265)</f>
        <v>4.337956672462445</v>
      </c>
      <c r="Z1265" s="5">
        <f>Y1265/(1+C1265)</f>
        <v>4.0443817418960055</v>
      </c>
      <c r="AA1265" s="5">
        <f>-Z1265*F1265</f>
        <v>-4125.269376733926</v>
      </c>
      <c r="AB1265" t="s">
        <v>64</v>
      </c>
      <c r="AC1265" t="s">
        <v>62</v>
      </c>
      <c r="AD1265">
        <f>_xlfn.SWITCH(PROPER(TRIM(S1265)),
   "Annual",1,
   "Semi-Annual",2,
   "Quarterly",4,
   "Monthly",12,
   "")</f>
        <v>1</v>
      </c>
    </row>
    <row r="1266" spans="1:30" x14ac:dyDescent="0.35">
      <c r="C1266" s="28"/>
      <c r="D1266" s="27"/>
      <c r="I1266" s="22"/>
      <c r="K1266" s="22"/>
      <c r="M1266" s="22"/>
      <c r="N1266" s="21"/>
      <c r="O1266" s="21"/>
      <c r="P1266" s="5"/>
      <c r="Q1266" s="6"/>
      <c r="R1266" s="5"/>
      <c r="W1266" s="28"/>
      <c r="Y1266" s="33"/>
      <c r="Z1266" s="33"/>
      <c r="AA1266" s="33"/>
    </row>
    <row r="1267" spans="1:30" x14ac:dyDescent="0.35">
      <c r="A1267" t="s">
        <v>847</v>
      </c>
      <c r="B1267" t="s">
        <v>216</v>
      </c>
      <c r="C1267" s="36">
        <f>RATE(U1267,V1267,-F1267,H1267)</f>
        <v>6.8829900078607384E-2</v>
      </c>
      <c r="D1267" s="3">
        <f>C1267*AD1267</f>
        <v>6.8829900078607384E-2</v>
      </c>
      <c r="F1267">
        <v>1048</v>
      </c>
      <c r="G1267" t="s">
        <v>76</v>
      </c>
      <c r="H1267">
        <v>1000</v>
      </c>
      <c r="I1267" s="22"/>
      <c r="J1267">
        <v>25</v>
      </c>
      <c r="K1267" s="22"/>
      <c r="L1267">
        <v>6.2823389440735804</v>
      </c>
      <c r="M1267" s="22">
        <v>8.0500000000000002E-2</v>
      </c>
      <c r="N1267" s="21">
        <v>45208</v>
      </c>
      <c r="O1267" s="21">
        <v>47035</v>
      </c>
      <c r="P1267">
        <f>ROUND(YEARFRAC(N1267,O1267),0)</f>
        <v>5</v>
      </c>
      <c r="Q1267" s="6">
        <f>(M1267*H1267)/F1267</f>
        <v>7.6812977099236637E-2</v>
      </c>
      <c r="R1267" s="5">
        <f>IF(S1267="Quarterly",4,IF(S1267="Semi-annual",2,IF(S1267="Annual",1,IF(S1267="Pays at maturity",0,12))))</f>
        <v>1</v>
      </c>
      <c r="S1267" t="s">
        <v>93</v>
      </c>
      <c r="U1267">
        <f>R1267*P1267</f>
        <v>5</v>
      </c>
      <c r="V1267">
        <f>(H1267*M1267)/AD1267</f>
        <v>80.5</v>
      </c>
      <c r="W1267" s="28">
        <f>RATE(U1267,V1267,-F1267,H1267)</f>
        <v>6.8829900078607384E-2</v>
      </c>
      <c r="X1267" s="27">
        <f>W1267*AD1267</f>
        <v>6.8829900078607384E-2</v>
      </c>
      <c r="Y1267" s="5">
        <f>DURATION(N1267,O1267,M1267,D1267,AD1267)</f>
        <v>4.3261449726211847</v>
      </c>
      <c r="Z1267" s="5">
        <f>Y1267/(1+C1267)</f>
        <v>4.0475523488845297</v>
      </c>
      <c r="AA1267" s="5">
        <f>-Z1267*F1267</f>
        <v>-4241.8348616309868</v>
      </c>
      <c r="AB1267" t="s">
        <v>64</v>
      </c>
      <c r="AC1267" t="s">
        <v>62</v>
      </c>
      <c r="AD1267">
        <f>_xlfn.SWITCH(PROPER(TRIM(S1267)),
   "Annual",1,
   "Semi-Annual",2,
   "Quarterly",4,
   "Monthly",12,
   "")</f>
        <v>1</v>
      </c>
    </row>
    <row r="1268" spans="1:30" x14ac:dyDescent="0.35">
      <c r="A1268" t="s">
        <v>846</v>
      </c>
      <c r="B1268" t="s">
        <v>644</v>
      </c>
      <c r="C1268" s="36">
        <f>RATE(U1268,V1268,-F1268,H1268)</f>
        <v>0.10633058352804438</v>
      </c>
      <c r="D1268" s="3">
        <f>C1268*AD1268</f>
        <v>0.10633058352804438</v>
      </c>
      <c r="F1268">
        <v>100500</v>
      </c>
      <c r="G1268" t="s">
        <v>76</v>
      </c>
      <c r="H1268">
        <v>100000</v>
      </c>
      <c r="I1268" s="22"/>
      <c r="J1268">
        <v>7</v>
      </c>
      <c r="K1268" s="22"/>
      <c r="L1268">
        <v>10.5461928766762</v>
      </c>
      <c r="M1268" s="22">
        <v>0.1075</v>
      </c>
      <c r="N1268" s="21">
        <v>44995</v>
      </c>
      <c r="O1268" s="21">
        <v>47036</v>
      </c>
      <c r="P1268">
        <f>ROUND(YEARFRAC(N1268,O1268),0)</f>
        <v>6</v>
      </c>
      <c r="Q1268" s="6">
        <f>(M1268*H1268)/F1268</f>
        <v>0.10696517412935323</v>
      </c>
      <c r="R1268" s="5">
        <f>IF(S1268="Quarterly",4,IF(S1268="Semi-annual",2,IF(S1268="Annual",1,IF(S1268="Pays at maturity",0,12))))</f>
        <v>1</v>
      </c>
      <c r="S1268" t="s">
        <v>93</v>
      </c>
      <c r="U1268">
        <f>R1268*P1268</f>
        <v>6</v>
      </c>
      <c r="V1268">
        <f>(H1268*M1268)/AD1268</f>
        <v>10750</v>
      </c>
      <c r="W1268" s="28">
        <f>RATE(U1268,V1268,-F1268,H1268)</f>
        <v>0.10633058352804438</v>
      </c>
      <c r="X1268" s="27">
        <f>W1268*AD1268</f>
        <v>0.10633058352804438</v>
      </c>
      <c r="Y1268" s="5">
        <f>DURATION(N1268,O1268,M1268,D1268,AD1268)</f>
        <v>4.3060231145127217</v>
      </c>
      <c r="Z1268" s="5">
        <f>Y1268/(1+C1268)</f>
        <v>3.8921667525279693</v>
      </c>
      <c r="AA1268" s="5">
        <f>-Z1268*F1268</f>
        <v>-391162.75862906093</v>
      </c>
      <c r="AB1268" t="s">
        <v>64</v>
      </c>
      <c r="AC1268" t="s">
        <v>62</v>
      </c>
      <c r="AD1268">
        <f>_xlfn.SWITCH(PROPER(TRIM(S1268)),
   "Annual",1,
   "Semi-Annual",2,
   "Quarterly",4,
   "Monthly",12,
   "")</f>
        <v>1</v>
      </c>
    </row>
    <row r="1269" spans="1:30" x14ac:dyDescent="0.35">
      <c r="A1269" t="s">
        <v>845</v>
      </c>
      <c r="B1269" t="s">
        <v>101</v>
      </c>
      <c r="C1269" s="36">
        <f>RATE(U1269,V1269,-F1269,H1269)</f>
        <v>6.9297562110533673E-2</v>
      </c>
      <c r="D1269" s="3">
        <f>C1269*AD1269</f>
        <v>6.9297562110533673E-2</v>
      </c>
      <c r="F1269">
        <v>1147312.53</v>
      </c>
      <c r="G1269" t="s">
        <v>76</v>
      </c>
      <c r="H1269">
        <v>1000000</v>
      </c>
      <c r="I1269" s="22"/>
      <c r="J1269">
        <v>5</v>
      </c>
      <c r="K1269" s="22"/>
      <c r="L1269">
        <v>3.6208687365791001</v>
      </c>
      <c r="M1269" s="22">
        <v>8.539999999999999E-2</v>
      </c>
      <c r="N1269" s="21">
        <v>41558</v>
      </c>
      <c r="O1269" s="21">
        <v>47037</v>
      </c>
      <c r="P1269">
        <f>ROUND(YEARFRAC(N1269,O1269),0)</f>
        <v>15</v>
      </c>
      <c r="Q1269" s="6">
        <f>(M1269*H1269)/F1269</f>
        <v>7.4434818558113347E-2</v>
      </c>
      <c r="R1269" s="5">
        <f>IF(S1269="Quarterly",4,IF(S1269="Semi-annual",2,IF(S1269="Annual",1,IF(S1269="Pays at maturity",0,12))))</f>
        <v>1</v>
      </c>
      <c r="S1269" t="s">
        <v>93</v>
      </c>
      <c r="U1269">
        <f>R1269*P1269</f>
        <v>15</v>
      </c>
      <c r="V1269">
        <f>(H1269*M1269)/AD1269</f>
        <v>85399.999999999985</v>
      </c>
      <c r="W1269" s="28">
        <f>RATE(U1269,V1269,-F1269,H1269)</f>
        <v>6.9297562110533673E-2</v>
      </c>
      <c r="X1269" s="27">
        <f>W1269*AD1269</f>
        <v>6.9297562110533673E-2</v>
      </c>
      <c r="Y1269" s="5">
        <f>DURATION(N1269,O1269,M1269,D1269,AD1269)</f>
        <v>9.3956315358680413</v>
      </c>
      <c r="Z1269" s="5">
        <f>Y1269/(1+C1269)</f>
        <v>8.786732401524743</v>
      </c>
      <c r="AA1269" s="5">
        <f>-Z1269*F1269</f>
        <v>-10081128.182026329</v>
      </c>
      <c r="AB1269" t="s">
        <v>64</v>
      </c>
      <c r="AC1269" t="s">
        <v>62</v>
      </c>
      <c r="AD1269">
        <f>_xlfn.SWITCH(PROPER(TRIM(S1269)),
   "Annual",1,
   "Semi-Annual",2,
   "Quarterly",4,
   "Monthly",12,
   "")</f>
        <v>1</v>
      </c>
    </row>
    <row r="1270" spans="1:30" x14ac:dyDescent="0.35">
      <c r="A1270" t="s">
        <v>844</v>
      </c>
      <c r="B1270" t="s">
        <v>598</v>
      </c>
      <c r="C1270" s="36">
        <f>RATE(U1270,V1270,-F1270,H1270)</f>
        <v>9.7470123247859558E-2</v>
      </c>
      <c r="D1270" s="3">
        <f>C1270*AD1270</f>
        <v>9.7470123247859558E-2</v>
      </c>
      <c r="F1270">
        <v>1024</v>
      </c>
      <c r="G1270" t="s">
        <v>76</v>
      </c>
      <c r="H1270">
        <v>1000</v>
      </c>
      <c r="I1270" s="22"/>
      <c r="J1270">
        <v>10</v>
      </c>
      <c r="K1270" s="22"/>
      <c r="L1270">
        <v>9.5350249474789894</v>
      </c>
      <c r="M1270" s="22">
        <v>0.105</v>
      </c>
      <c r="N1270" s="21">
        <v>45771</v>
      </c>
      <c r="O1270" s="21">
        <v>47050</v>
      </c>
      <c r="P1270">
        <f>ROUND(YEARFRAC(N1270,O1270),0)</f>
        <v>4</v>
      </c>
      <c r="Q1270" s="6">
        <f>(M1270*H1270)/F1270</f>
        <v>0.1025390625</v>
      </c>
      <c r="R1270" s="5">
        <f>IF(S1270="Quarterly",4,IF(S1270="Semi-annual",2,IF(S1270="Annual",1,IF(S1270="Pays at maturity",0,12))))</f>
        <v>1</v>
      </c>
      <c r="S1270" t="s">
        <v>93</v>
      </c>
      <c r="U1270">
        <f>R1270*P1270</f>
        <v>4</v>
      </c>
      <c r="V1270">
        <f>(H1270*M1270)/AD1270</f>
        <v>105</v>
      </c>
      <c r="W1270" s="28">
        <f>RATE(U1270,V1270,-F1270,H1270)</f>
        <v>9.7470123247859558E-2</v>
      </c>
      <c r="X1270" s="27">
        <f>W1270*AD1270</f>
        <v>9.7470123247859558E-2</v>
      </c>
      <c r="Y1270" s="5">
        <f>DURATION(N1270,O1270,M1270,D1270,AD1270)</f>
        <v>2.9718618974416686</v>
      </c>
      <c r="Z1270" s="5">
        <f>Y1270/(1+C1270)</f>
        <v>2.707920547893115</v>
      </c>
      <c r="AA1270" s="5">
        <f>-Z1270*F1270</f>
        <v>-2772.9106410425497</v>
      </c>
      <c r="AB1270" t="s">
        <v>64</v>
      </c>
      <c r="AC1270" t="s">
        <v>62</v>
      </c>
      <c r="AD1270">
        <f>_xlfn.SWITCH(PROPER(TRIM(S1270)),
   "Annual",1,
   "Semi-Annual",2,
   "Quarterly",4,
   "Monthly",12,
   "")</f>
        <v>1</v>
      </c>
    </row>
    <row r="1271" spans="1:30" x14ac:dyDescent="0.35">
      <c r="C1271" s="28"/>
      <c r="D1271" s="27"/>
      <c r="I1271" s="22"/>
      <c r="K1271" s="22"/>
      <c r="M1271" s="22"/>
      <c r="N1271" s="21"/>
      <c r="O1271" s="21"/>
      <c r="P1271" s="5"/>
      <c r="Q1271" s="6"/>
      <c r="R1271" s="5"/>
      <c r="W1271" s="28"/>
      <c r="Y1271" s="33"/>
      <c r="Z1271" s="33"/>
      <c r="AA1271" s="33"/>
    </row>
    <row r="1272" spans="1:30" x14ac:dyDescent="0.35">
      <c r="C1272" s="28"/>
      <c r="D1272" s="27"/>
      <c r="I1272" s="22"/>
      <c r="K1272" s="22"/>
      <c r="M1272" s="22"/>
      <c r="N1272" s="21"/>
      <c r="O1272" s="21"/>
      <c r="P1272" s="5"/>
      <c r="Q1272" s="6"/>
      <c r="R1272" s="5"/>
      <c r="W1272" s="28"/>
      <c r="Y1272" s="33"/>
      <c r="Z1272" s="33"/>
      <c r="AA1272" s="33"/>
    </row>
    <row r="1273" spans="1:30" x14ac:dyDescent="0.35">
      <c r="A1273" t="s">
        <v>841</v>
      </c>
      <c r="B1273" t="s">
        <v>122</v>
      </c>
      <c r="C1273" s="36">
        <f>RATE(U1273,V1273,-F1273,H1273)</f>
        <v>0.10470936031054699</v>
      </c>
      <c r="D1273" s="3">
        <f>C1273*AD1273</f>
        <v>0.10470936031054699</v>
      </c>
      <c r="F1273">
        <v>970</v>
      </c>
      <c r="G1273" t="s">
        <v>76</v>
      </c>
      <c r="H1273">
        <v>1000</v>
      </c>
      <c r="I1273" s="22"/>
      <c r="J1273">
        <v>136</v>
      </c>
      <c r="K1273" s="22"/>
      <c r="L1273">
        <v>10.9121515128026</v>
      </c>
      <c r="M1273" s="22">
        <v>9.6699999999999994E-2</v>
      </c>
      <c r="N1273" s="21">
        <v>45225</v>
      </c>
      <c r="O1273" s="21">
        <v>47052</v>
      </c>
      <c r="P1273">
        <f>ROUND(YEARFRAC(N1273,O1273),0)</f>
        <v>5</v>
      </c>
      <c r="Q1273" s="6">
        <f>(M1273*H1273)/F1273</f>
        <v>9.9690721649484518E-2</v>
      </c>
      <c r="R1273" s="5">
        <f>IF(S1273="Quarterly",4,IF(S1273="Semi-annual",2,IF(S1273="Annual",1,IF(S1273="Pays at maturity",0,12))))</f>
        <v>1</v>
      </c>
      <c r="S1273" t="s">
        <v>93</v>
      </c>
      <c r="U1273">
        <f>R1273*P1273</f>
        <v>5</v>
      </c>
      <c r="V1273">
        <f>(H1273*M1273)/AD1273</f>
        <v>96.699999999999989</v>
      </c>
      <c r="W1273" s="28">
        <f>RATE(U1273,V1273,-F1273,H1273)</f>
        <v>0.10470936031054699</v>
      </c>
      <c r="X1273" s="27">
        <f>W1273*AD1273</f>
        <v>0.10470936031054699</v>
      </c>
      <c r="Y1273" s="5">
        <f>DURATION(N1273,O1273,M1273,D1273,AD1273)</f>
        <v>4.1791423759496418</v>
      </c>
      <c r="Z1273" s="5">
        <f>Y1273/(1+C1273)</f>
        <v>3.7830243194235589</v>
      </c>
      <c r="AA1273" s="5">
        <f>-Z1273*F1273</f>
        <v>-3669.5335898408521</v>
      </c>
      <c r="AB1273" t="s">
        <v>64</v>
      </c>
      <c r="AC1273" t="s">
        <v>62</v>
      </c>
      <c r="AD1273">
        <f>_xlfn.SWITCH(PROPER(TRIM(S1273)),
   "Annual",1,
   "Semi-Annual",2,
   "Quarterly",4,
   "Monthly",12,
   "")</f>
        <v>1</v>
      </c>
    </row>
    <row r="1274" spans="1:30" x14ac:dyDescent="0.35">
      <c r="A1274" t="s">
        <v>840</v>
      </c>
      <c r="B1274" t="s">
        <v>122</v>
      </c>
      <c r="C1274" s="36">
        <f>RATE(U1274,V1274,-F1274,H1274)</f>
        <v>9.3230251714146062E-2</v>
      </c>
      <c r="D1274" s="3">
        <f>C1274*AD1274</f>
        <v>9.3230251714146062E-2</v>
      </c>
      <c r="F1274">
        <v>1029.97</v>
      </c>
      <c r="G1274" t="s">
        <v>76</v>
      </c>
      <c r="H1274">
        <v>1000</v>
      </c>
      <c r="I1274" s="22"/>
      <c r="J1274">
        <v>188</v>
      </c>
      <c r="K1274" s="22"/>
      <c r="L1274">
        <v>8.9158555151562808</v>
      </c>
      <c r="M1274" s="22">
        <v>0.10099999999999999</v>
      </c>
      <c r="N1274" s="21">
        <v>45225</v>
      </c>
      <c r="O1274" s="21">
        <v>47052</v>
      </c>
      <c r="P1274">
        <f>ROUND(YEARFRAC(N1274,O1274),0)</f>
        <v>5</v>
      </c>
      <c r="Q1274" s="6">
        <f>(M1274*H1274)/F1274</f>
        <v>9.8061108575977926E-2</v>
      </c>
      <c r="R1274" s="5">
        <f>IF(S1274="Quarterly",4,IF(S1274="Semi-annual",2,IF(S1274="Annual",1,IF(S1274="Pays at maturity",0,12))))</f>
        <v>1</v>
      </c>
      <c r="S1274" t="s">
        <v>93</v>
      </c>
      <c r="U1274">
        <f>R1274*P1274</f>
        <v>5</v>
      </c>
      <c r="V1274">
        <f>(H1274*M1274)/AD1274</f>
        <v>100.99999999999999</v>
      </c>
      <c r="W1274" s="28">
        <f>RATE(U1274,V1274,-F1274,H1274)</f>
        <v>9.3230251714146062E-2</v>
      </c>
      <c r="X1274" s="27">
        <f>W1274*AD1274</f>
        <v>9.3230251714146062E-2</v>
      </c>
      <c r="Y1274" s="5">
        <f>DURATION(N1274,O1274,M1274,D1274,AD1274)</f>
        <v>4.1763034955771818</v>
      </c>
      <c r="Z1274" s="5">
        <f>Y1274/(1+C1274)</f>
        <v>3.8201499537987416</v>
      </c>
      <c r="AA1274" s="5">
        <f>-Z1274*F1274</f>
        <v>-3934.6398479140898</v>
      </c>
      <c r="AB1274" t="s">
        <v>64</v>
      </c>
      <c r="AC1274" t="s">
        <v>62</v>
      </c>
      <c r="AD1274">
        <f>_xlfn.SWITCH(PROPER(TRIM(S1274)),
   "Annual",1,
   "Semi-Annual",2,
   "Quarterly",4,
   "Monthly",12,
   "")</f>
        <v>1</v>
      </c>
    </row>
    <row r="1275" spans="1:30" x14ac:dyDescent="0.35">
      <c r="A1275" t="s">
        <v>839</v>
      </c>
      <c r="B1275" t="s">
        <v>644</v>
      </c>
      <c r="C1275" s="36">
        <f>RATE(U1275,V1275,-F1275,H1275)</f>
        <v>0.10820075497107914</v>
      </c>
      <c r="D1275" s="3">
        <f>C1275*AD1275</f>
        <v>0.10820075497107914</v>
      </c>
      <c r="F1275">
        <v>99702</v>
      </c>
      <c r="G1275" t="s">
        <v>76</v>
      </c>
      <c r="H1275">
        <v>100000</v>
      </c>
      <c r="I1275" s="22"/>
      <c r="J1275">
        <v>15</v>
      </c>
      <c r="K1275" s="22"/>
      <c r="L1275">
        <v>10.873576770931599</v>
      </c>
      <c r="M1275" s="22">
        <v>0.1075</v>
      </c>
      <c r="N1275" s="21">
        <v>45012</v>
      </c>
      <c r="O1275" s="21">
        <v>47053</v>
      </c>
      <c r="P1275">
        <f>ROUND(YEARFRAC(N1275,O1275),0)</f>
        <v>6</v>
      </c>
      <c r="Q1275" s="6">
        <f>(M1275*H1275)/F1275</f>
        <v>0.10782130749633909</v>
      </c>
      <c r="R1275" s="5">
        <f>IF(S1275="Quarterly",4,IF(S1275="Semi-annual",2,IF(S1275="Annual",1,IF(S1275="Pays at maturity",0,12))))</f>
        <v>1</v>
      </c>
      <c r="S1275" t="s">
        <v>93</v>
      </c>
      <c r="U1275">
        <f>R1275*P1275</f>
        <v>6</v>
      </c>
      <c r="V1275">
        <f>(H1275*M1275)/AD1275</f>
        <v>10750</v>
      </c>
      <c r="W1275" s="28">
        <f>RATE(U1275,V1275,-F1275,H1275)</f>
        <v>0.10820075497107914</v>
      </c>
      <c r="X1275" s="27">
        <f>W1275*AD1275</f>
        <v>0.10820075497107914</v>
      </c>
      <c r="Y1275" s="5">
        <f>DURATION(N1275,O1275,M1275,D1275,AD1275)</f>
        <v>4.3005339479511369</v>
      </c>
      <c r="Z1275" s="5">
        <f>Y1275/(1+C1275)</f>
        <v>3.8806452068004309</v>
      </c>
      <c r="AA1275" s="5">
        <f>-Z1275*F1275</f>
        <v>-386908.08840841654</v>
      </c>
      <c r="AB1275" t="s">
        <v>64</v>
      </c>
      <c r="AC1275" t="s">
        <v>62</v>
      </c>
      <c r="AD1275">
        <f>_xlfn.SWITCH(PROPER(TRIM(S1275)),
   "Annual",1,
   "Semi-Annual",2,
   "Quarterly",4,
   "Monthly",12,
   "")</f>
        <v>1</v>
      </c>
    </row>
    <row r="1276" spans="1:30" x14ac:dyDescent="0.35">
      <c r="A1276" t="s">
        <v>838</v>
      </c>
      <c r="B1276" t="s">
        <v>241</v>
      </c>
      <c r="C1276" s="36">
        <f>RATE(U1276,V1276,-F1276,H1276)</f>
        <v>0.10365895602161852</v>
      </c>
      <c r="D1276" s="3">
        <f>C1276*AD1276</f>
        <v>0.10365895602161852</v>
      </c>
      <c r="F1276">
        <v>950.58</v>
      </c>
      <c r="G1276" t="s">
        <v>76</v>
      </c>
      <c r="H1276">
        <v>1000</v>
      </c>
      <c r="I1276" s="22"/>
      <c r="J1276">
        <v>40</v>
      </c>
      <c r="K1276" s="22"/>
      <c r="L1276">
        <v>11.063275532079899</v>
      </c>
      <c r="M1276" s="22">
        <v>9.0500000000000011E-2</v>
      </c>
      <c r="N1276" s="21">
        <v>45231</v>
      </c>
      <c r="O1276" s="21">
        <v>47058</v>
      </c>
      <c r="P1276">
        <f>ROUND(YEARFRAC(N1276,O1276),0)</f>
        <v>5</v>
      </c>
      <c r="Q1276" s="6">
        <f>(M1276*H1276)/F1276</f>
        <v>9.5205032716867602E-2</v>
      </c>
      <c r="R1276" s="5">
        <f>IF(S1276="Quarterly",4,IF(S1276="Semi-annual",2,IF(S1276="Annual",1,IF(S1276="Pays at maturity",0,12))))</f>
        <v>1</v>
      </c>
      <c r="S1276" t="s">
        <v>93</v>
      </c>
      <c r="U1276">
        <f>R1276*P1276</f>
        <v>5</v>
      </c>
      <c r="V1276">
        <f>(H1276*M1276)/AD1276</f>
        <v>90.500000000000014</v>
      </c>
      <c r="W1276" s="28">
        <f>RATE(U1276,V1276,-F1276,H1276)</f>
        <v>0.10365895602161852</v>
      </c>
      <c r="X1276" s="27">
        <f>W1276*AD1276</f>
        <v>0.10365895602161852</v>
      </c>
      <c r="Y1276" s="5">
        <f>DURATION(N1276,O1276,M1276,D1276,AD1276)</f>
        <v>4.2146565826384146</v>
      </c>
      <c r="Z1276" s="5">
        <f>Y1276/(1+C1276)</f>
        <v>3.8188034081026907</v>
      </c>
      <c r="AA1276" s="5">
        <f>-Z1276*F1276</f>
        <v>-3630.0781436742559</v>
      </c>
      <c r="AB1276" t="s">
        <v>64</v>
      </c>
      <c r="AC1276" t="s">
        <v>62</v>
      </c>
      <c r="AD1276">
        <f>_xlfn.SWITCH(PROPER(TRIM(S1276)),
   "Annual",1,
   "Semi-Annual",2,
   "Quarterly",4,
   "Monthly",12,
   "")</f>
        <v>1</v>
      </c>
    </row>
    <row r="1277" spans="1:30" x14ac:dyDescent="0.35">
      <c r="A1277" t="s">
        <v>837</v>
      </c>
      <c r="B1277" t="s">
        <v>241</v>
      </c>
      <c r="C1277" s="36">
        <f>RATE(U1277,V1277,-F1277,H1277)</f>
        <v>8.3948282841305455E-2</v>
      </c>
      <c r="D1277" s="3">
        <f>C1277*AD1277</f>
        <v>8.3948282841305455E-2</v>
      </c>
      <c r="F1277">
        <v>1041.3</v>
      </c>
      <c r="G1277" t="s">
        <v>76</v>
      </c>
      <c r="H1277">
        <v>1000</v>
      </c>
      <c r="I1277" s="22"/>
      <c r="J1277">
        <v>10</v>
      </c>
      <c r="K1277" s="22"/>
      <c r="L1277">
        <v>7.8721355424116704</v>
      </c>
      <c r="M1277" s="22">
        <v>9.4399999999999998E-2</v>
      </c>
      <c r="N1277" s="21">
        <v>45231</v>
      </c>
      <c r="O1277" s="21">
        <v>47058</v>
      </c>
      <c r="P1277">
        <f>ROUND(YEARFRAC(N1277,O1277),0)</f>
        <v>5</v>
      </c>
      <c r="Q1277" s="6">
        <f>(M1277*H1277)/F1277</f>
        <v>9.0655910880629978E-2</v>
      </c>
      <c r="R1277" s="5">
        <f>IF(S1277="Quarterly",4,IF(S1277="Semi-annual",2,IF(S1277="Annual",1,IF(S1277="Pays at maturity",0,12))))</f>
        <v>1</v>
      </c>
      <c r="S1277" t="s">
        <v>93</v>
      </c>
      <c r="U1277">
        <f>R1277*P1277</f>
        <v>5</v>
      </c>
      <c r="V1277">
        <f>(H1277*M1277)/AD1277</f>
        <v>94.399999999999991</v>
      </c>
      <c r="W1277" s="28">
        <f>RATE(U1277,V1277,-F1277,H1277)</f>
        <v>8.3948282841305455E-2</v>
      </c>
      <c r="X1277" s="27">
        <f>W1277*AD1277</f>
        <v>8.3948282841305455E-2</v>
      </c>
      <c r="Y1277" s="5">
        <f>DURATION(N1277,O1277,M1277,D1277,AD1277)</f>
        <v>4.2259541205384776</v>
      </c>
      <c r="Z1277" s="5">
        <f>Y1277/(1+C1277)</f>
        <v>3.898667664716597</v>
      </c>
      <c r="AA1277" s="5">
        <f>-Z1277*F1277</f>
        <v>-4059.6826392693924</v>
      </c>
      <c r="AB1277" t="s">
        <v>64</v>
      </c>
      <c r="AC1277" t="s">
        <v>62</v>
      </c>
      <c r="AD1277">
        <f>_xlfn.SWITCH(PROPER(TRIM(S1277)),
   "Annual",1,
   "Semi-Annual",2,
   "Quarterly",4,
   "Monthly",12,
   "")</f>
        <v>1</v>
      </c>
    </row>
    <row r="1278" spans="1:30" x14ac:dyDescent="0.35">
      <c r="C1278" s="28"/>
      <c r="D1278" s="27"/>
      <c r="I1278" s="22"/>
      <c r="K1278" s="22"/>
      <c r="M1278" s="22"/>
      <c r="N1278" s="21"/>
      <c r="O1278" s="21"/>
      <c r="P1278" s="5"/>
      <c r="Q1278" s="6"/>
      <c r="R1278" s="5"/>
      <c r="W1278" s="28"/>
      <c r="Y1278" s="33"/>
      <c r="Z1278" s="33"/>
      <c r="AA1278" s="33"/>
    </row>
    <row r="1279" spans="1:30" x14ac:dyDescent="0.35">
      <c r="A1279" t="s">
        <v>835</v>
      </c>
      <c r="B1279" t="s">
        <v>211</v>
      </c>
      <c r="C1279" s="36">
        <f t="shared" ref="C1279:C1286" si="806">RATE(U1279,V1279,-F1279,H1279)</f>
        <v>7.432198980774983E-2</v>
      </c>
      <c r="D1279" s="3">
        <f t="shared" ref="D1279:D1286" si="807">C1279*AD1279</f>
        <v>7.432198980774983E-2</v>
      </c>
      <c r="F1279">
        <v>1098.2</v>
      </c>
      <c r="G1279" t="s">
        <v>76</v>
      </c>
      <c r="H1279">
        <v>1000</v>
      </c>
      <c r="I1279" s="22"/>
      <c r="J1279">
        <v>1</v>
      </c>
      <c r="K1279" s="22"/>
      <c r="L1279">
        <v>5.1485068085354602</v>
      </c>
      <c r="M1279" s="22">
        <v>8.539999999999999E-2</v>
      </c>
      <c r="N1279" s="21">
        <v>41580</v>
      </c>
      <c r="O1279" s="21">
        <v>47059</v>
      </c>
      <c r="P1279">
        <f t="shared" ref="P1279:P1286" si="808">ROUND(YEARFRAC(N1279,O1279),0)</f>
        <v>15</v>
      </c>
      <c r="Q1279" s="6">
        <f t="shared" ref="Q1279:Q1286" si="809">(M1279*H1279)/F1279</f>
        <v>7.776361318521216E-2</v>
      </c>
      <c r="R1279" s="5">
        <f t="shared" ref="R1279:R1286" si="810">IF(S1279="Quarterly",4,IF(S1279="Semi-annual",2,IF(S1279="Annual",1,IF(S1279="Pays at maturity",0,12))))</f>
        <v>1</v>
      </c>
      <c r="S1279" t="s">
        <v>93</v>
      </c>
      <c r="U1279">
        <f t="shared" ref="U1279:U1286" si="811">R1279*P1279</f>
        <v>15</v>
      </c>
      <c r="V1279">
        <f t="shared" ref="V1279:V1286" si="812">(H1279*M1279)/AD1279</f>
        <v>85.399999999999991</v>
      </c>
      <c r="W1279" s="28">
        <f t="shared" ref="W1279:W1286" si="813">RATE(U1279,V1279,-F1279,H1279)</f>
        <v>7.432198980774983E-2</v>
      </c>
      <c r="X1279" s="27">
        <f t="shared" ref="X1279:X1286" si="814">W1279*AD1279</f>
        <v>7.432198980774983E-2</v>
      </c>
      <c r="Y1279" s="5">
        <f t="shared" ref="Y1279:Y1286" si="815">DURATION(N1279,O1279,M1279,D1279,AD1279)</f>
        <v>9.2696157288150456</v>
      </c>
      <c r="Z1279" s="5">
        <f t="shared" ref="Z1279:Z1286" si="816">Y1279/(1+C1279)</f>
        <v>8.6283403083593644</v>
      </c>
      <c r="AA1279" s="5">
        <f t="shared" ref="AA1279:AA1286" si="817">-Z1279*F1279</f>
        <v>-9475.6433266402546</v>
      </c>
      <c r="AB1279" t="s">
        <v>64</v>
      </c>
      <c r="AC1279" t="s">
        <v>62</v>
      </c>
      <c r="AD1279">
        <f t="shared" ref="AD1279:AD1286" si="818">_xlfn.SWITCH(PROPER(TRIM(S1279)),
   "Annual",1,
   "Semi-Annual",2,
   "Quarterly",4,
   "Monthly",12,
   "")</f>
        <v>1</v>
      </c>
    </row>
    <row r="1280" spans="1:30" x14ac:dyDescent="0.35">
      <c r="A1280" t="s">
        <v>834</v>
      </c>
      <c r="B1280" t="s">
        <v>211</v>
      </c>
      <c r="C1280" s="36">
        <f t="shared" si="806"/>
        <v>7.3325448307043323E-2</v>
      </c>
      <c r="D1280" s="3">
        <f t="shared" si="807"/>
        <v>7.3325448307043323E-2</v>
      </c>
      <c r="F1280">
        <v>1130</v>
      </c>
      <c r="G1280" t="s">
        <v>76</v>
      </c>
      <c r="H1280">
        <v>1000</v>
      </c>
      <c r="I1280" s="22"/>
      <c r="J1280">
        <v>10</v>
      </c>
      <c r="K1280" s="22"/>
      <c r="L1280">
        <v>4.2736566844445703</v>
      </c>
      <c r="M1280" s="22">
        <v>8.7899999999999992E-2</v>
      </c>
      <c r="N1280" s="21">
        <v>41580</v>
      </c>
      <c r="O1280" s="21">
        <v>47059</v>
      </c>
      <c r="P1280">
        <f t="shared" si="808"/>
        <v>15</v>
      </c>
      <c r="Q1280" s="6">
        <f t="shared" si="809"/>
        <v>7.7787610619469025E-2</v>
      </c>
      <c r="R1280" s="5">
        <f t="shared" si="810"/>
        <v>1</v>
      </c>
      <c r="S1280" t="s">
        <v>93</v>
      </c>
      <c r="U1280">
        <f t="shared" si="811"/>
        <v>15</v>
      </c>
      <c r="V1280">
        <f t="shared" si="812"/>
        <v>87.899999999999991</v>
      </c>
      <c r="W1280" s="28">
        <f t="shared" si="813"/>
        <v>7.3325448307043323E-2</v>
      </c>
      <c r="X1280" s="27">
        <f t="shared" si="814"/>
        <v>7.3325448307043323E-2</v>
      </c>
      <c r="Y1280" s="5">
        <f t="shared" si="815"/>
        <v>9.2434811703246993</v>
      </c>
      <c r="Z1280" s="5">
        <f t="shared" si="816"/>
        <v>8.6120022448964058</v>
      </c>
      <c r="AA1280" s="5">
        <f t="shared" si="817"/>
        <v>-9731.5625367329394</v>
      </c>
      <c r="AB1280" t="s">
        <v>64</v>
      </c>
      <c r="AC1280" t="s">
        <v>62</v>
      </c>
      <c r="AD1280">
        <f t="shared" si="818"/>
        <v>1</v>
      </c>
    </row>
    <row r="1281" spans="1:30" x14ac:dyDescent="0.35">
      <c r="A1281" t="s">
        <v>833</v>
      </c>
      <c r="B1281" t="s">
        <v>353</v>
      </c>
      <c r="C1281" s="36">
        <f t="shared" si="806"/>
        <v>0.11500000000049472</v>
      </c>
      <c r="D1281" s="3">
        <f t="shared" si="807"/>
        <v>0.11500000000049472</v>
      </c>
      <c r="F1281">
        <v>1000</v>
      </c>
      <c r="G1281" t="s">
        <v>76</v>
      </c>
      <c r="H1281">
        <v>1000</v>
      </c>
      <c r="I1281" s="22"/>
      <c r="J1281">
        <v>9</v>
      </c>
      <c r="K1281" s="22"/>
      <c r="L1281">
        <v>11.5</v>
      </c>
      <c r="M1281" s="22">
        <v>0.115</v>
      </c>
      <c r="N1281" s="21">
        <v>45233</v>
      </c>
      <c r="O1281" s="21">
        <v>47059</v>
      </c>
      <c r="P1281">
        <f t="shared" si="808"/>
        <v>5</v>
      </c>
      <c r="Q1281" s="6">
        <f t="shared" si="809"/>
        <v>0.115</v>
      </c>
      <c r="R1281" s="5">
        <f t="shared" si="810"/>
        <v>1</v>
      </c>
      <c r="S1281" t="s">
        <v>93</v>
      </c>
      <c r="U1281">
        <f t="shared" si="811"/>
        <v>5</v>
      </c>
      <c r="V1281">
        <f t="shared" si="812"/>
        <v>115</v>
      </c>
      <c r="W1281" s="28">
        <f t="shared" si="813"/>
        <v>0.11500000000049472</v>
      </c>
      <c r="X1281" s="27">
        <f t="shared" si="814"/>
        <v>0.11500000000049472</v>
      </c>
      <c r="Y1281" s="5">
        <f t="shared" si="815"/>
        <v>4.0668360216038142</v>
      </c>
      <c r="Z1281" s="5">
        <f t="shared" si="816"/>
        <v>3.6473865664592018</v>
      </c>
      <c r="AA1281" s="5">
        <f t="shared" si="817"/>
        <v>-3647.3865664592017</v>
      </c>
      <c r="AB1281" t="s">
        <v>64</v>
      </c>
      <c r="AC1281" t="s">
        <v>62</v>
      </c>
      <c r="AD1281">
        <f t="shared" si="818"/>
        <v>1</v>
      </c>
    </row>
    <row r="1282" spans="1:30" x14ac:dyDescent="0.35">
      <c r="A1282" t="s">
        <v>832</v>
      </c>
      <c r="B1282" t="s">
        <v>261</v>
      </c>
      <c r="C1282" s="36">
        <f t="shared" si="806"/>
        <v>8.2535175530159252E-2</v>
      </c>
      <c r="D1282" s="3">
        <f t="shared" si="807"/>
        <v>8.2535175530159252E-2</v>
      </c>
      <c r="F1282">
        <v>1095.96</v>
      </c>
      <c r="G1282" t="s">
        <v>76</v>
      </c>
      <c r="H1282">
        <v>1000</v>
      </c>
      <c r="I1282" s="22"/>
      <c r="J1282">
        <v>103</v>
      </c>
      <c r="K1282" s="22"/>
      <c r="L1282">
        <v>6.1852461025939096</v>
      </c>
      <c r="M1282" s="22">
        <v>9.6999999999999989E-2</v>
      </c>
      <c r="N1282" s="21">
        <v>43406</v>
      </c>
      <c r="O1282" s="21">
        <v>47059</v>
      </c>
      <c r="P1282">
        <f t="shared" si="808"/>
        <v>10</v>
      </c>
      <c r="Q1282" s="6">
        <f t="shared" si="809"/>
        <v>8.850687981313185E-2</v>
      </c>
      <c r="R1282" s="5">
        <f t="shared" si="810"/>
        <v>1</v>
      </c>
      <c r="S1282" t="s">
        <v>93</v>
      </c>
      <c r="U1282">
        <f t="shared" si="811"/>
        <v>10</v>
      </c>
      <c r="V1282">
        <f t="shared" si="812"/>
        <v>96.999999999999986</v>
      </c>
      <c r="W1282" s="28">
        <f t="shared" si="813"/>
        <v>8.2535175530159252E-2</v>
      </c>
      <c r="X1282" s="27">
        <f t="shared" si="814"/>
        <v>8.2535175530159252E-2</v>
      </c>
      <c r="Y1282" s="5">
        <f t="shared" si="815"/>
        <v>6.9776413922300726</v>
      </c>
      <c r="Z1282" s="5">
        <f t="shared" si="816"/>
        <v>6.4456486495349692</v>
      </c>
      <c r="AA1282" s="5">
        <f t="shared" si="817"/>
        <v>-7064.1730939443451</v>
      </c>
      <c r="AB1282" t="s">
        <v>64</v>
      </c>
      <c r="AC1282" t="s">
        <v>62</v>
      </c>
      <c r="AD1282">
        <f t="shared" si="818"/>
        <v>1</v>
      </c>
    </row>
    <row r="1283" spans="1:30" x14ac:dyDescent="0.35">
      <c r="A1283" t="s">
        <v>831</v>
      </c>
      <c r="B1283" t="s">
        <v>261</v>
      </c>
      <c r="C1283" s="36">
        <f t="shared" si="806"/>
        <v>9.1260786692636722E-2</v>
      </c>
      <c r="D1283" s="3">
        <f t="shared" si="807"/>
        <v>9.1260786692636722E-2</v>
      </c>
      <c r="F1283">
        <v>1011.1</v>
      </c>
      <c r="G1283" t="s">
        <v>76</v>
      </c>
      <c r="H1283">
        <v>1000</v>
      </c>
      <c r="I1283" s="22"/>
      <c r="J1283">
        <v>100</v>
      </c>
      <c r="K1283" s="22"/>
      <c r="L1283">
        <v>8.8689195252889892</v>
      </c>
      <c r="M1283" s="22">
        <v>9.3000000000000013E-2</v>
      </c>
      <c r="N1283" s="21">
        <v>43406</v>
      </c>
      <c r="O1283" s="21">
        <v>47059</v>
      </c>
      <c r="P1283">
        <f t="shared" si="808"/>
        <v>10</v>
      </c>
      <c r="Q1283" s="6">
        <f t="shared" si="809"/>
        <v>9.1979032736623487E-2</v>
      </c>
      <c r="R1283" s="5">
        <f t="shared" si="810"/>
        <v>1</v>
      </c>
      <c r="S1283" t="s">
        <v>93</v>
      </c>
      <c r="U1283">
        <f t="shared" si="811"/>
        <v>10</v>
      </c>
      <c r="V1283">
        <f t="shared" si="812"/>
        <v>93.000000000000014</v>
      </c>
      <c r="W1283" s="28">
        <f t="shared" si="813"/>
        <v>9.1260786692636722E-2</v>
      </c>
      <c r="X1283" s="27">
        <f t="shared" si="814"/>
        <v>9.1260786692636722E-2</v>
      </c>
      <c r="Y1283" s="5">
        <f t="shared" si="815"/>
        <v>6.9407510130940153</v>
      </c>
      <c r="Z1283" s="5">
        <f t="shared" si="816"/>
        <v>6.36030461071533</v>
      </c>
      <c r="AA1283" s="5">
        <f t="shared" si="817"/>
        <v>-6430.9039918942708</v>
      </c>
      <c r="AB1283" t="s">
        <v>64</v>
      </c>
      <c r="AC1283" t="s">
        <v>62</v>
      </c>
      <c r="AD1283">
        <f t="shared" si="818"/>
        <v>1</v>
      </c>
    </row>
    <row r="1284" spans="1:30" x14ac:dyDescent="0.35">
      <c r="A1284" t="s">
        <v>830</v>
      </c>
      <c r="B1284" t="s">
        <v>553</v>
      </c>
      <c r="C1284" s="36">
        <f t="shared" si="806"/>
        <v>9.9693569648838035E-2</v>
      </c>
      <c r="D1284" s="3">
        <f t="shared" si="807"/>
        <v>9.9693569648838035E-2</v>
      </c>
      <c r="F1284">
        <v>982</v>
      </c>
      <c r="G1284" t="s">
        <v>76</v>
      </c>
      <c r="H1284">
        <v>1000</v>
      </c>
      <c r="I1284" s="22"/>
      <c r="J1284">
        <v>170</v>
      </c>
      <c r="K1284" s="22"/>
      <c r="L1284">
        <v>10.333968055524799</v>
      </c>
      <c r="M1284" s="22">
        <v>9.6000000000000002E-2</v>
      </c>
      <c r="N1284" s="21">
        <v>44411</v>
      </c>
      <c r="O1284" s="21">
        <v>47060</v>
      </c>
      <c r="P1284">
        <f t="shared" si="808"/>
        <v>7</v>
      </c>
      <c r="Q1284" s="6">
        <f t="shared" si="809"/>
        <v>9.775967413441955E-2</v>
      </c>
      <c r="R1284" s="5">
        <f t="shared" si="810"/>
        <v>1</v>
      </c>
      <c r="S1284" t="s">
        <v>93</v>
      </c>
      <c r="U1284">
        <f t="shared" si="811"/>
        <v>7</v>
      </c>
      <c r="V1284">
        <f t="shared" si="812"/>
        <v>96</v>
      </c>
      <c r="W1284" s="28">
        <f t="shared" si="813"/>
        <v>9.9693569648838035E-2</v>
      </c>
      <c r="X1284" s="27">
        <f t="shared" si="814"/>
        <v>9.9693569648838035E-2</v>
      </c>
      <c r="Y1284" s="5">
        <f t="shared" si="815"/>
        <v>5.1609144804261406</v>
      </c>
      <c r="Z1284" s="5">
        <f t="shared" si="816"/>
        <v>4.6930477933722576</v>
      </c>
      <c r="AA1284" s="5">
        <f t="shared" si="817"/>
        <v>-4608.5729330915574</v>
      </c>
      <c r="AB1284" t="s">
        <v>64</v>
      </c>
      <c r="AC1284" t="s">
        <v>62</v>
      </c>
      <c r="AD1284">
        <f t="shared" si="818"/>
        <v>1</v>
      </c>
    </row>
    <row r="1285" spans="1:30" x14ac:dyDescent="0.35">
      <c r="A1285" t="s">
        <v>829</v>
      </c>
      <c r="B1285" t="s">
        <v>553</v>
      </c>
      <c r="C1285" s="36">
        <f t="shared" si="806"/>
        <v>0.10416460199830704</v>
      </c>
      <c r="D1285" s="3">
        <f t="shared" si="807"/>
        <v>0.10416460199830704</v>
      </c>
      <c r="F1285">
        <v>980</v>
      </c>
      <c r="G1285" t="s">
        <v>76</v>
      </c>
      <c r="H1285">
        <v>1000</v>
      </c>
      <c r="I1285" s="22"/>
      <c r="J1285">
        <v>50</v>
      </c>
      <c r="K1285" s="22"/>
      <c r="L1285">
        <v>10.8253476536569</v>
      </c>
      <c r="M1285" s="22">
        <v>0.1</v>
      </c>
      <c r="N1285" s="21">
        <v>44411</v>
      </c>
      <c r="O1285" s="21">
        <v>47060</v>
      </c>
      <c r="P1285">
        <f t="shared" si="808"/>
        <v>7</v>
      </c>
      <c r="Q1285" s="6">
        <f t="shared" si="809"/>
        <v>0.10204081632653061</v>
      </c>
      <c r="R1285" s="5">
        <f t="shared" si="810"/>
        <v>1</v>
      </c>
      <c r="S1285" t="s">
        <v>93</v>
      </c>
      <c r="U1285">
        <f t="shared" si="811"/>
        <v>7</v>
      </c>
      <c r="V1285">
        <f t="shared" si="812"/>
        <v>100</v>
      </c>
      <c r="W1285" s="28">
        <f t="shared" si="813"/>
        <v>0.10416460199830704</v>
      </c>
      <c r="X1285" s="27">
        <f t="shared" si="814"/>
        <v>0.10416460199830704</v>
      </c>
      <c r="Y1285" s="5">
        <f t="shared" si="815"/>
        <v>5.0930376302269664</v>
      </c>
      <c r="Z1285" s="5">
        <f t="shared" si="816"/>
        <v>4.6125710070850241</v>
      </c>
      <c r="AA1285" s="5">
        <f t="shared" si="817"/>
        <v>-4520.3195869433239</v>
      </c>
      <c r="AB1285" t="s">
        <v>64</v>
      </c>
      <c r="AC1285" t="s">
        <v>62</v>
      </c>
      <c r="AD1285">
        <f t="shared" si="818"/>
        <v>1</v>
      </c>
    </row>
    <row r="1286" spans="1:30" x14ac:dyDescent="0.35">
      <c r="A1286" t="s">
        <v>828</v>
      </c>
      <c r="B1286" t="s">
        <v>209</v>
      </c>
      <c r="C1286" s="36">
        <f t="shared" si="806"/>
        <v>7.9493877562803988E-2</v>
      </c>
      <c r="D1286" s="3">
        <f t="shared" si="807"/>
        <v>7.9493877562803988E-2</v>
      </c>
      <c r="F1286">
        <v>1050</v>
      </c>
      <c r="G1286" t="s">
        <v>76</v>
      </c>
      <c r="H1286">
        <v>1000</v>
      </c>
      <c r="I1286" s="22"/>
      <c r="J1286">
        <v>124</v>
      </c>
      <c r="K1286" s="22"/>
      <c r="L1286">
        <v>7.3511131725417398</v>
      </c>
      <c r="M1286" s="22">
        <v>9.1999999999999998E-2</v>
      </c>
      <c r="N1286" s="21">
        <v>45233</v>
      </c>
      <c r="O1286" s="21">
        <v>47060</v>
      </c>
      <c r="P1286">
        <f t="shared" si="808"/>
        <v>5</v>
      </c>
      <c r="Q1286" s="6">
        <f t="shared" si="809"/>
        <v>8.7619047619047624E-2</v>
      </c>
      <c r="R1286" s="5">
        <f t="shared" si="810"/>
        <v>1</v>
      </c>
      <c r="S1286" t="s">
        <v>93</v>
      </c>
      <c r="U1286">
        <f t="shared" si="811"/>
        <v>5</v>
      </c>
      <c r="V1286">
        <f t="shared" si="812"/>
        <v>92</v>
      </c>
      <c r="W1286" s="28">
        <f t="shared" si="813"/>
        <v>7.9493877562803988E-2</v>
      </c>
      <c r="X1286" s="27">
        <f t="shared" si="814"/>
        <v>7.9493877562803988E-2</v>
      </c>
      <c r="Y1286" s="5">
        <f t="shared" si="815"/>
        <v>4.2459349698746269</v>
      </c>
      <c r="Z1286" s="5">
        <f t="shared" si="816"/>
        <v>3.9332645215744653</v>
      </c>
      <c r="AA1286" s="5">
        <f t="shared" si="817"/>
        <v>-4129.9277476531888</v>
      </c>
      <c r="AB1286" t="s">
        <v>64</v>
      </c>
      <c r="AC1286" t="s">
        <v>62</v>
      </c>
      <c r="AD1286">
        <f t="shared" si="818"/>
        <v>1</v>
      </c>
    </row>
    <row r="1287" spans="1:30" x14ac:dyDescent="0.35">
      <c r="C1287" s="28"/>
      <c r="D1287" s="27"/>
      <c r="I1287" s="22"/>
      <c r="K1287" s="22"/>
      <c r="M1287" s="22"/>
      <c r="N1287" s="21"/>
      <c r="O1287" s="21"/>
      <c r="P1287" s="5"/>
      <c r="Q1287" s="6"/>
      <c r="R1287" s="5"/>
      <c r="W1287" s="28"/>
      <c r="Y1287" s="33"/>
      <c r="Z1287" s="33"/>
      <c r="AA1287" s="33"/>
    </row>
    <row r="1288" spans="1:30" x14ac:dyDescent="0.35">
      <c r="A1288" t="s">
        <v>826</v>
      </c>
      <c r="B1288" t="s">
        <v>128</v>
      </c>
      <c r="C1288" s="36">
        <f t="shared" ref="C1288:C1297" si="819">RATE(U1288,V1288,-F1288,H1288)</f>
        <v>9.6924642126189522E-2</v>
      </c>
      <c r="D1288" s="3">
        <f t="shared" ref="D1288:D1297" si="820">C1288*AD1288</f>
        <v>9.6924642126189522E-2</v>
      </c>
      <c r="F1288">
        <v>1000.67</v>
      </c>
      <c r="G1288" t="s">
        <v>76</v>
      </c>
      <c r="H1288">
        <v>1000</v>
      </c>
      <c r="I1288" s="22"/>
      <c r="J1288">
        <v>50</v>
      </c>
      <c r="K1288" s="22"/>
      <c r="L1288">
        <v>9.6845392873043501</v>
      </c>
      <c r="M1288" s="22">
        <v>9.7100000000000006E-2</v>
      </c>
      <c r="N1288" s="21">
        <v>45239</v>
      </c>
      <c r="O1288" s="21">
        <v>47066</v>
      </c>
      <c r="P1288">
        <f t="shared" ref="P1288:P1297" si="821">ROUND(YEARFRAC(N1288,O1288),0)</f>
        <v>5</v>
      </c>
      <c r="Q1288" s="6">
        <f t="shared" ref="Q1288:Q1297" si="822">(M1288*H1288)/F1288</f>
        <v>9.7034986559005484E-2</v>
      </c>
      <c r="R1288" s="5">
        <f t="shared" ref="R1288:R1297" si="823">IF(S1288="Quarterly",4,IF(S1288="Semi-annual",2,IF(S1288="Annual",1,IF(S1288="Pays at maturity",0,12))))</f>
        <v>1</v>
      </c>
      <c r="S1288" t="s">
        <v>93</v>
      </c>
      <c r="U1288">
        <f t="shared" ref="U1288:U1297" si="824">R1288*P1288</f>
        <v>5</v>
      </c>
      <c r="V1288">
        <f t="shared" ref="V1288:V1297" si="825">(H1288*M1288)/AD1288</f>
        <v>97.100000000000009</v>
      </c>
      <c r="W1288" s="28">
        <f t="shared" ref="W1288:W1297" si="826">RATE(U1288,V1288,-F1288,H1288)</f>
        <v>9.6924642126189522E-2</v>
      </c>
      <c r="X1288" s="27">
        <f t="shared" ref="X1288:X1297" si="827">W1288*AD1288</f>
        <v>9.6924642126189522E-2</v>
      </c>
      <c r="Y1288" s="5">
        <f t="shared" ref="Y1288:Y1297" si="828">DURATION(N1288,O1288,M1288,D1288,AD1288)</f>
        <v>4.1901626909935477</v>
      </c>
      <c r="Z1288" s="5">
        <f t="shared" ref="Z1288:Z1297" si="829">Y1288/(1+C1288)</f>
        <v>3.8199184611913513</v>
      </c>
      <c r="AA1288" s="5">
        <f t="shared" ref="AA1288:AA1297" si="830">-Z1288*F1288</f>
        <v>-3822.4778065603491</v>
      </c>
      <c r="AB1288" t="s">
        <v>64</v>
      </c>
      <c r="AC1288" t="s">
        <v>62</v>
      </c>
      <c r="AD1288">
        <f t="shared" ref="AD1288:AD1297" si="831">_xlfn.SWITCH(PROPER(TRIM(S1288)),
   "Annual",1,
   "Semi-Annual",2,
   "Quarterly",4,
   "Monthly",12,
   "")</f>
        <v>1</v>
      </c>
    </row>
    <row r="1289" spans="1:30" x14ac:dyDescent="0.35">
      <c r="A1289" t="s">
        <v>825</v>
      </c>
      <c r="B1289" t="s">
        <v>128</v>
      </c>
      <c r="C1289" s="36">
        <f t="shared" si="819"/>
        <v>0.22890367541195605</v>
      </c>
      <c r="D1289" s="3">
        <f t="shared" si="820"/>
        <v>0.22890367541195605</v>
      </c>
      <c r="F1289">
        <v>642</v>
      </c>
      <c r="G1289" t="s">
        <v>76</v>
      </c>
      <c r="H1289">
        <v>1000</v>
      </c>
      <c r="I1289" s="22"/>
      <c r="J1289">
        <v>50</v>
      </c>
      <c r="K1289" s="22"/>
      <c r="L1289">
        <v>31.033291625599599</v>
      </c>
      <c r="M1289" s="22">
        <v>0.10150000000000001</v>
      </c>
      <c r="N1289" s="21">
        <v>45239</v>
      </c>
      <c r="O1289" s="21">
        <v>47066</v>
      </c>
      <c r="P1289">
        <f t="shared" si="821"/>
        <v>5</v>
      </c>
      <c r="Q1289" s="6">
        <f t="shared" si="822"/>
        <v>0.15809968847352024</v>
      </c>
      <c r="R1289" s="5">
        <f t="shared" si="823"/>
        <v>1</v>
      </c>
      <c r="S1289" t="s">
        <v>93</v>
      </c>
      <c r="U1289">
        <f t="shared" si="824"/>
        <v>5</v>
      </c>
      <c r="V1289">
        <f t="shared" si="825"/>
        <v>101.5</v>
      </c>
      <c r="W1289" s="28">
        <f t="shared" si="826"/>
        <v>0.22890367541195605</v>
      </c>
      <c r="X1289" s="27">
        <f t="shared" si="827"/>
        <v>0.22890367541195605</v>
      </c>
      <c r="Y1289" s="5">
        <f t="shared" si="828"/>
        <v>3.9316373274910998</v>
      </c>
      <c r="Z1289" s="5">
        <f t="shared" si="829"/>
        <v>3.1993047186331567</v>
      </c>
      <c r="AA1289" s="5">
        <f t="shared" si="830"/>
        <v>-2053.9536293624865</v>
      </c>
      <c r="AB1289" t="s">
        <v>64</v>
      </c>
      <c r="AC1289" t="s">
        <v>62</v>
      </c>
      <c r="AD1289">
        <f t="shared" si="831"/>
        <v>1</v>
      </c>
    </row>
    <row r="1290" spans="1:30" x14ac:dyDescent="0.35">
      <c r="A1290" t="s">
        <v>824</v>
      </c>
      <c r="B1290" t="s">
        <v>171</v>
      </c>
      <c r="C1290" s="36">
        <f t="shared" si="819"/>
        <v>7.164303369688732E-2</v>
      </c>
      <c r="D1290" s="3">
        <f t="shared" si="820"/>
        <v>7.164303369688732E-2</v>
      </c>
      <c r="F1290">
        <v>1132.1199999999999</v>
      </c>
      <c r="G1290" t="s">
        <v>76</v>
      </c>
      <c r="H1290">
        <v>1000</v>
      </c>
      <c r="I1290" s="22"/>
      <c r="J1290">
        <v>200</v>
      </c>
      <c r="K1290" s="22"/>
      <c r="L1290">
        <v>4.1199051104867097</v>
      </c>
      <c r="M1290" s="22">
        <v>8.6300000000000002E-2</v>
      </c>
      <c r="N1290" s="21">
        <v>41590</v>
      </c>
      <c r="O1290" s="21">
        <v>47069</v>
      </c>
      <c r="P1290">
        <f t="shared" si="821"/>
        <v>15</v>
      </c>
      <c r="Q1290" s="6">
        <f t="shared" si="822"/>
        <v>7.6228668339045333E-2</v>
      </c>
      <c r="R1290" s="5">
        <f t="shared" si="823"/>
        <v>1</v>
      </c>
      <c r="S1290" t="s">
        <v>93</v>
      </c>
      <c r="U1290">
        <f t="shared" si="824"/>
        <v>15</v>
      </c>
      <c r="V1290">
        <f t="shared" si="825"/>
        <v>86.3</v>
      </c>
      <c r="W1290" s="28">
        <f t="shared" si="826"/>
        <v>7.164303369688732E-2</v>
      </c>
      <c r="X1290" s="27">
        <f t="shared" si="827"/>
        <v>7.164303369688732E-2</v>
      </c>
      <c r="Y1290" s="5">
        <f t="shared" si="828"/>
        <v>9.3181448861912308</v>
      </c>
      <c r="Z1290" s="5">
        <f t="shared" si="829"/>
        <v>8.6951947553338496</v>
      </c>
      <c r="AA1290" s="5">
        <f t="shared" si="830"/>
        <v>-9844.0038864085564</v>
      </c>
      <c r="AB1290" t="s">
        <v>64</v>
      </c>
      <c r="AC1290" t="s">
        <v>62</v>
      </c>
      <c r="AD1290">
        <f t="shared" si="831"/>
        <v>1</v>
      </c>
    </row>
    <row r="1291" spans="1:30" x14ac:dyDescent="0.35">
      <c r="A1291" t="s">
        <v>823</v>
      </c>
      <c r="B1291" t="s">
        <v>171</v>
      </c>
      <c r="C1291" s="36">
        <f t="shared" si="819"/>
        <v>7.0272046833957449E-2</v>
      </c>
      <c r="D1291" s="3">
        <f t="shared" si="820"/>
        <v>7.0272046833957449E-2</v>
      </c>
      <c r="F1291">
        <v>1123</v>
      </c>
      <c r="G1291" t="s">
        <v>76</v>
      </c>
      <c r="H1291">
        <v>1000</v>
      </c>
      <c r="I1291" s="22"/>
      <c r="J1291">
        <v>120</v>
      </c>
      <c r="K1291" s="22"/>
      <c r="L1291">
        <v>4.3845769435629904</v>
      </c>
      <c r="M1291" s="22">
        <v>8.3800000000000013E-2</v>
      </c>
      <c r="N1291" s="21">
        <v>41590</v>
      </c>
      <c r="O1291" s="21">
        <v>47069</v>
      </c>
      <c r="P1291">
        <f t="shared" si="821"/>
        <v>15</v>
      </c>
      <c r="Q1291" s="6">
        <f t="shared" si="822"/>
        <v>7.4621549421193242E-2</v>
      </c>
      <c r="R1291" s="5">
        <f t="shared" si="823"/>
        <v>1</v>
      </c>
      <c r="S1291" t="s">
        <v>93</v>
      </c>
      <c r="U1291">
        <f t="shared" si="824"/>
        <v>15</v>
      </c>
      <c r="V1291">
        <f t="shared" si="825"/>
        <v>83.800000000000011</v>
      </c>
      <c r="W1291" s="28">
        <f t="shared" si="826"/>
        <v>7.0272046833957449E-2</v>
      </c>
      <c r="X1291" s="27">
        <f t="shared" si="827"/>
        <v>7.0272046833957449E-2</v>
      </c>
      <c r="Y1291" s="5">
        <f t="shared" si="828"/>
        <v>9.4051057018328414</v>
      </c>
      <c r="Z1291" s="5">
        <f t="shared" si="829"/>
        <v>8.7875841751213688</v>
      </c>
      <c r="AA1291" s="5">
        <f t="shared" si="830"/>
        <v>-9868.457028661298</v>
      </c>
      <c r="AB1291" t="s">
        <v>64</v>
      </c>
      <c r="AC1291" t="s">
        <v>62</v>
      </c>
      <c r="AD1291">
        <f t="shared" si="831"/>
        <v>1</v>
      </c>
    </row>
    <row r="1292" spans="1:30" x14ac:dyDescent="0.35">
      <c r="A1292" t="s">
        <v>822</v>
      </c>
      <c r="B1292" t="s">
        <v>138</v>
      </c>
      <c r="C1292" s="36">
        <f t="shared" si="819"/>
        <v>9.0777891662285073E-2</v>
      </c>
      <c r="D1292" s="3">
        <f t="shared" si="820"/>
        <v>9.0777891662285073E-2</v>
      </c>
      <c r="F1292">
        <v>1039795</v>
      </c>
      <c r="G1292" t="s">
        <v>76</v>
      </c>
      <c r="H1292">
        <v>1000000</v>
      </c>
      <c r="I1292" s="22"/>
      <c r="J1292">
        <v>3</v>
      </c>
      <c r="K1292" s="22"/>
      <c r="L1292">
        <v>8.3142907516094198</v>
      </c>
      <c r="M1292" s="22">
        <v>9.6999999999999989E-2</v>
      </c>
      <c r="N1292" s="21">
        <v>43419</v>
      </c>
      <c r="O1292" s="21">
        <v>47072</v>
      </c>
      <c r="P1292">
        <f t="shared" si="821"/>
        <v>10</v>
      </c>
      <c r="Q1292" s="6">
        <f t="shared" si="822"/>
        <v>9.3287619194168073E-2</v>
      </c>
      <c r="R1292" s="5">
        <f t="shared" si="823"/>
        <v>1</v>
      </c>
      <c r="S1292" t="s">
        <v>93</v>
      </c>
      <c r="U1292">
        <f t="shared" si="824"/>
        <v>10</v>
      </c>
      <c r="V1292">
        <f t="shared" si="825"/>
        <v>96999.999999999985</v>
      </c>
      <c r="W1292" s="28">
        <f t="shared" si="826"/>
        <v>9.0777891662285073E-2</v>
      </c>
      <c r="X1292" s="27">
        <f t="shared" si="827"/>
        <v>9.0777891662285073E-2</v>
      </c>
      <c r="Y1292" s="5">
        <f t="shared" si="828"/>
        <v>6.892739041899703</v>
      </c>
      <c r="Z1292" s="5">
        <f t="shared" si="829"/>
        <v>6.3191040949643291</v>
      </c>
      <c r="AA1292" s="5">
        <f t="shared" si="830"/>
        <v>-6570572.8424234344</v>
      </c>
      <c r="AB1292" t="s">
        <v>64</v>
      </c>
      <c r="AC1292" t="s">
        <v>62</v>
      </c>
      <c r="AD1292">
        <f t="shared" si="831"/>
        <v>1</v>
      </c>
    </row>
    <row r="1293" spans="1:30" x14ac:dyDescent="0.35">
      <c r="A1293" t="s">
        <v>821</v>
      </c>
      <c r="B1293" t="s">
        <v>101</v>
      </c>
      <c r="C1293" s="36">
        <f t="shared" si="819"/>
        <v>4.2699999999999995E-2</v>
      </c>
      <c r="D1293" s="3">
        <f t="shared" si="820"/>
        <v>8.539999999999999E-2</v>
      </c>
      <c r="F1293">
        <v>1000000</v>
      </c>
      <c r="G1293" t="s">
        <v>76</v>
      </c>
      <c r="H1293">
        <v>1000000</v>
      </c>
      <c r="I1293" s="22"/>
      <c r="J1293">
        <v>1</v>
      </c>
      <c r="K1293" s="22"/>
      <c r="M1293" s="22">
        <v>8.539999999999999E-2</v>
      </c>
      <c r="N1293" s="21">
        <v>43419</v>
      </c>
      <c r="O1293" s="21">
        <v>47072</v>
      </c>
      <c r="P1293">
        <f t="shared" si="821"/>
        <v>10</v>
      </c>
      <c r="Q1293" s="6">
        <f t="shared" si="822"/>
        <v>8.539999999999999E-2</v>
      </c>
      <c r="R1293" s="5">
        <f t="shared" si="823"/>
        <v>2</v>
      </c>
      <c r="S1293" t="s">
        <v>65</v>
      </c>
      <c r="U1293">
        <f t="shared" si="824"/>
        <v>20</v>
      </c>
      <c r="V1293">
        <f t="shared" si="825"/>
        <v>42699.999999999993</v>
      </c>
      <c r="W1293" s="28">
        <f t="shared" si="826"/>
        <v>4.2699999999999995E-2</v>
      </c>
      <c r="X1293" s="27">
        <f t="shared" si="827"/>
        <v>8.539999999999999E-2</v>
      </c>
      <c r="Y1293" s="5">
        <f t="shared" si="828"/>
        <v>6.9188909615884082</v>
      </c>
      <c r="Z1293" s="5">
        <f t="shared" si="829"/>
        <v>6.6355528546930165</v>
      </c>
      <c r="AA1293" s="5">
        <f t="shared" si="830"/>
        <v>-6635552.854693016</v>
      </c>
      <c r="AB1293" t="s">
        <v>64</v>
      </c>
      <c r="AC1293" t="s">
        <v>62</v>
      </c>
      <c r="AD1293">
        <f t="shared" si="831"/>
        <v>2</v>
      </c>
    </row>
    <row r="1294" spans="1:30" x14ac:dyDescent="0.35">
      <c r="A1294" t="s">
        <v>820</v>
      </c>
      <c r="B1294" t="s">
        <v>94</v>
      </c>
      <c r="C1294" s="36">
        <f t="shared" si="819"/>
        <v>7.0597169412775537E-2</v>
      </c>
      <c r="D1294" s="3">
        <f t="shared" si="820"/>
        <v>7.0597169412775537E-2</v>
      </c>
      <c r="F1294">
        <v>1157</v>
      </c>
      <c r="G1294" t="s">
        <v>76</v>
      </c>
      <c r="H1294">
        <v>1000</v>
      </c>
      <c r="I1294" s="22"/>
      <c r="J1294">
        <v>50</v>
      </c>
      <c r="K1294" s="22"/>
      <c r="L1294">
        <v>3.5341534888041002</v>
      </c>
      <c r="M1294" s="22">
        <v>8.7899999999999992E-2</v>
      </c>
      <c r="N1294" s="21">
        <v>41594</v>
      </c>
      <c r="O1294" s="21">
        <v>47073</v>
      </c>
      <c r="P1294">
        <f t="shared" si="821"/>
        <v>15</v>
      </c>
      <c r="Q1294" s="6">
        <f t="shared" si="822"/>
        <v>7.5972342264477091E-2</v>
      </c>
      <c r="R1294" s="5">
        <f t="shared" si="823"/>
        <v>1</v>
      </c>
      <c r="S1294" t="s">
        <v>93</v>
      </c>
      <c r="U1294">
        <f t="shared" si="824"/>
        <v>15</v>
      </c>
      <c r="V1294">
        <f t="shared" si="825"/>
        <v>87.899999999999991</v>
      </c>
      <c r="W1294" s="28">
        <f t="shared" si="826"/>
        <v>7.0597169412775537E-2</v>
      </c>
      <c r="X1294" s="27">
        <f t="shared" si="827"/>
        <v>7.0597169412775537E-2</v>
      </c>
      <c r="Y1294" s="5">
        <f t="shared" si="828"/>
        <v>9.3117835841079408</v>
      </c>
      <c r="Z1294" s="5">
        <f t="shared" si="829"/>
        <v>8.6977472481227185</v>
      </c>
      <c r="AA1294" s="5">
        <f t="shared" si="830"/>
        <v>-10063.293566077986</v>
      </c>
      <c r="AB1294" t="s">
        <v>64</v>
      </c>
      <c r="AC1294" t="s">
        <v>62</v>
      </c>
      <c r="AD1294">
        <f t="shared" si="831"/>
        <v>1</v>
      </c>
    </row>
    <row r="1295" spans="1:30" x14ac:dyDescent="0.35">
      <c r="A1295" t="s">
        <v>819</v>
      </c>
      <c r="B1295" t="s">
        <v>94</v>
      </c>
      <c r="C1295" s="36">
        <f t="shared" si="819"/>
        <v>6.8809269110831198E-2</v>
      </c>
      <c r="D1295" s="3">
        <f t="shared" si="820"/>
        <v>6.8809269110831198E-2</v>
      </c>
      <c r="F1295">
        <v>1152.25</v>
      </c>
      <c r="G1295" t="s">
        <v>76</v>
      </c>
      <c r="H1295">
        <v>1000</v>
      </c>
      <c r="I1295" s="22"/>
      <c r="J1295">
        <v>1130</v>
      </c>
      <c r="K1295" s="22"/>
      <c r="L1295">
        <v>3.4486882422354999</v>
      </c>
      <c r="M1295" s="22">
        <v>8.539999999999999E-2</v>
      </c>
      <c r="N1295" s="21">
        <v>41594</v>
      </c>
      <c r="O1295" s="21">
        <v>47073</v>
      </c>
      <c r="P1295">
        <f t="shared" si="821"/>
        <v>15</v>
      </c>
      <c r="Q1295" s="6">
        <f t="shared" si="822"/>
        <v>7.4115860273378159E-2</v>
      </c>
      <c r="R1295" s="5">
        <f t="shared" si="823"/>
        <v>1</v>
      </c>
      <c r="S1295" t="s">
        <v>93</v>
      </c>
      <c r="U1295">
        <f t="shared" si="824"/>
        <v>15</v>
      </c>
      <c r="V1295">
        <f t="shared" si="825"/>
        <v>85.399999999999991</v>
      </c>
      <c r="W1295" s="28">
        <f t="shared" si="826"/>
        <v>6.8809269110831198E-2</v>
      </c>
      <c r="X1295" s="27">
        <f t="shared" si="827"/>
        <v>6.8809269110831198E-2</v>
      </c>
      <c r="Y1295" s="5">
        <f t="shared" si="828"/>
        <v>9.4078720662971005</v>
      </c>
      <c r="Z1295" s="5">
        <f t="shared" si="829"/>
        <v>8.802199174529747</v>
      </c>
      <c r="AA1295" s="5">
        <f t="shared" si="830"/>
        <v>-10142.3339988519</v>
      </c>
      <c r="AB1295" t="s">
        <v>64</v>
      </c>
      <c r="AC1295" t="s">
        <v>62</v>
      </c>
      <c r="AD1295">
        <f t="shared" si="831"/>
        <v>1</v>
      </c>
    </row>
    <row r="1296" spans="1:30" x14ac:dyDescent="0.35">
      <c r="A1296" t="s">
        <v>818</v>
      </c>
      <c r="B1296" t="s">
        <v>460</v>
      </c>
      <c r="C1296" s="36">
        <f t="shared" si="819"/>
        <v>0.1</v>
      </c>
      <c r="D1296" s="3">
        <f t="shared" si="820"/>
        <v>0.1</v>
      </c>
      <c r="F1296">
        <v>1000</v>
      </c>
      <c r="G1296" t="s">
        <v>76</v>
      </c>
      <c r="H1296">
        <v>1000</v>
      </c>
      <c r="I1296" s="22"/>
      <c r="J1296">
        <v>460</v>
      </c>
      <c r="K1296" s="22"/>
      <c r="L1296">
        <v>10</v>
      </c>
      <c r="M1296" s="22">
        <v>0.1</v>
      </c>
      <c r="N1296" s="21">
        <v>45615</v>
      </c>
      <c r="O1296" s="21">
        <v>47075</v>
      </c>
      <c r="P1296">
        <f t="shared" si="821"/>
        <v>4</v>
      </c>
      <c r="Q1296" s="6">
        <f t="shared" si="822"/>
        <v>0.1</v>
      </c>
      <c r="R1296" s="5">
        <f t="shared" si="823"/>
        <v>1</v>
      </c>
      <c r="S1296" t="s">
        <v>93</v>
      </c>
      <c r="U1296">
        <f t="shared" si="824"/>
        <v>4</v>
      </c>
      <c r="V1296">
        <f t="shared" si="825"/>
        <v>100</v>
      </c>
      <c r="W1296" s="28">
        <f t="shared" si="826"/>
        <v>0.1</v>
      </c>
      <c r="X1296" s="27">
        <f t="shared" si="827"/>
        <v>0.1</v>
      </c>
      <c r="Y1296" s="5">
        <f t="shared" si="828"/>
        <v>3.4840742132064442</v>
      </c>
      <c r="Z1296" s="5">
        <f t="shared" si="829"/>
        <v>3.1673401938240398</v>
      </c>
      <c r="AA1296" s="5">
        <f t="shared" si="830"/>
        <v>-3167.3401938240399</v>
      </c>
      <c r="AB1296" t="s">
        <v>64</v>
      </c>
      <c r="AC1296" t="s">
        <v>62</v>
      </c>
      <c r="AD1296">
        <f t="shared" si="831"/>
        <v>1</v>
      </c>
    </row>
    <row r="1297" spans="1:30" x14ac:dyDescent="0.35">
      <c r="A1297" t="s">
        <v>817</v>
      </c>
      <c r="B1297" t="s">
        <v>72</v>
      </c>
      <c r="C1297" s="36">
        <f t="shared" si="819"/>
        <v>6.2316303120312076E-2</v>
      </c>
      <c r="D1297" s="3">
        <f t="shared" si="820"/>
        <v>6.2316303120312076E-2</v>
      </c>
      <c r="F1297">
        <v>1215100</v>
      </c>
      <c r="G1297" t="s">
        <v>76</v>
      </c>
      <c r="H1297">
        <v>1000000</v>
      </c>
      <c r="I1297" s="22"/>
      <c r="J1297">
        <v>20</v>
      </c>
      <c r="K1297" s="22"/>
      <c r="L1297">
        <v>4.0865844568351903</v>
      </c>
      <c r="M1297" s="22">
        <v>8.48E-2</v>
      </c>
      <c r="N1297" s="21">
        <v>41599</v>
      </c>
      <c r="O1297" s="21">
        <v>47078</v>
      </c>
      <c r="P1297">
        <f t="shared" si="821"/>
        <v>15</v>
      </c>
      <c r="Q1297" s="6">
        <f t="shared" si="822"/>
        <v>6.9788494774092671E-2</v>
      </c>
      <c r="R1297" s="5">
        <f t="shared" si="823"/>
        <v>1</v>
      </c>
      <c r="S1297" t="s">
        <v>93</v>
      </c>
      <c r="U1297">
        <f t="shared" si="824"/>
        <v>15</v>
      </c>
      <c r="V1297">
        <f t="shared" si="825"/>
        <v>84800</v>
      </c>
      <c r="W1297" s="28">
        <f t="shared" si="826"/>
        <v>6.2316303120312076E-2</v>
      </c>
      <c r="X1297" s="27">
        <f t="shared" si="827"/>
        <v>6.2316303120312076E-2</v>
      </c>
      <c r="Y1297" s="5">
        <f t="shared" si="828"/>
        <v>9.5831282676377647</v>
      </c>
      <c r="Z1297" s="5">
        <f t="shared" si="829"/>
        <v>9.0209744870614426</v>
      </c>
      <c r="AA1297" s="5">
        <f t="shared" si="830"/>
        <v>-10961386.09922836</v>
      </c>
      <c r="AB1297" t="s">
        <v>64</v>
      </c>
      <c r="AC1297" t="s">
        <v>62</v>
      </c>
      <c r="AD1297">
        <f t="shared" si="831"/>
        <v>1</v>
      </c>
    </row>
    <row r="1298" spans="1:30" x14ac:dyDescent="0.35">
      <c r="C1298" s="28"/>
      <c r="D1298" s="27"/>
      <c r="I1298" s="22"/>
      <c r="K1298" s="22"/>
      <c r="M1298" s="22"/>
      <c r="N1298" s="21"/>
      <c r="O1298" s="21"/>
      <c r="P1298" s="5"/>
      <c r="Q1298" s="6"/>
      <c r="R1298" s="5"/>
      <c r="W1298" s="28"/>
      <c r="Y1298" s="33"/>
      <c r="Z1298" s="33"/>
      <c r="AA1298" s="33"/>
    </row>
    <row r="1299" spans="1:30" x14ac:dyDescent="0.35">
      <c r="A1299" t="s">
        <v>815</v>
      </c>
      <c r="B1299" t="s">
        <v>101</v>
      </c>
      <c r="C1299" s="36">
        <f>RATE(U1299,V1299,-F1299,H1299)</f>
        <v>3.8358387476171193E-2</v>
      </c>
      <c r="D1299" s="3">
        <f>C1299*AD1299</f>
        <v>7.6716774952342387E-2</v>
      </c>
      <c r="F1299">
        <v>1061250</v>
      </c>
      <c r="G1299" t="s">
        <v>76</v>
      </c>
      <c r="H1299">
        <v>1000000</v>
      </c>
      <c r="I1299" s="22"/>
      <c r="J1299">
        <v>1</v>
      </c>
      <c r="K1299" s="22"/>
      <c r="M1299" s="22">
        <v>8.5600000000000009E-2</v>
      </c>
      <c r="N1299" s="21">
        <v>43433</v>
      </c>
      <c r="O1299" s="21">
        <v>47086</v>
      </c>
      <c r="P1299">
        <f>ROUND(YEARFRAC(N1299,O1299),0)</f>
        <v>10</v>
      </c>
      <c r="Q1299" s="6">
        <f>(M1299*H1299)/F1299</f>
        <v>8.0659599528857498E-2</v>
      </c>
      <c r="R1299" s="5">
        <f>IF(S1299="Quarterly",4,IF(S1299="Semi-annual",2,IF(S1299="Annual",1,IF(S1299="Pays at maturity",0,12))))</f>
        <v>2</v>
      </c>
      <c r="S1299" t="s">
        <v>65</v>
      </c>
      <c r="U1299">
        <f>R1299*P1299</f>
        <v>20</v>
      </c>
      <c r="V1299">
        <f>(H1299*M1299)/AD1299</f>
        <v>42800.000000000007</v>
      </c>
      <c r="W1299" s="28">
        <f>RATE(U1299,V1299,-F1299,H1299)</f>
        <v>3.8358387476171193E-2</v>
      </c>
      <c r="X1299" s="27">
        <f>W1299*AD1299</f>
        <v>7.6716774952342387E-2</v>
      </c>
      <c r="Y1299" s="5">
        <f>DURATION(N1299,O1299,M1299,D1299,AD1299)</f>
        <v>7.0135139420833177</v>
      </c>
      <c r="Z1299" s="5">
        <f>Y1299/(1+C1299)</f>
        <v>6.7544250874019802</v>
      </c>
      <c r="AA1299" s="5">
        <f>-Z1299*F1299</f>
        <v>-7168133.6240053512</v>
      </c>
      <c r="AB1299" t="s">
        <v>64</v>
      </c>
      <c r="AC1299" t="s">
        <v>62</v>
      </c>
      <c r="AD1299">
        <f>_xlfn.SWITCH(PROPER(TRIM(S1299)),
   "Annual",1,
   "Semi-Annual",2,
   "Quarterly",4,
   "Monthly",12,
   "")</f>
        <v>2</v>
      </c>
    </row>
    <row r="1300" spans="1:30" x14ac:dyDescent="0.35">
      <c r="A1300" t="s">
        <v>814</v>
      </c>
      <c r="B1300" t="s">
        <v>249</v>
      </c>
      <c r="C1300" s="36">
        <f>RATE(U1300,V1300,-F1300,H1300)</f>
        <v>2.2420051890087497E-2</v>
      </c>
      <c r="D1300" s="3">
        <f>C1300*AD1300</f>
        <v>8.9680207560349987E-2</v>
      </c>
      <c r="F1300">
        <v>1030000</v>
      </c>
      <c r="G1300" t="s">
        <v>76</v>
      </c>
      <c r="H1300">
        <v>1000000</v>
      </c>
      <c r="I1300" s="22"/>
      <c r="J1300">
        <v>1</v>
      </c>
      <c r="K1300" s="22"/>
      <c r="M1300" s="22">
        <v>9.6199999999999994E-2</v>
      </c>
      <c r="N1300" s="21">
        <v>44916</v>
      </c>
      <c r="O1300" s="21">
        <v>47087</v>
      </c>
      <c r="P1300">
        <f>ROUND(YEARFRAC(N1300,O1300),0)</f>
        <v>6</v>
      </c>
      <c r="Q1300" s="6">
        <f>(M1300*H1300)/F1300</f>
        <v>9.3398058252427182E-2</v>
      </c>
      <c r="R1300" s="5">
        <f>IF(S1300="Quarterly",4,IF(S1300="Semi-annual",2,IF(S1300="Annual",1,IF(S1300="Pays at maturity",0,12))))</f>
        <v>4</v>
      </c>
      <c r="S1300" t="s">
        <v>105</v>
      </c>
      <c r="U1300">
        <f>R1300*P1300</f>
        <v>24</v>
      </c>
      <c r="V1300">
        <f>(H1300*M1300)/AD1300</f>
        <v>24050</v>
      </c>
      <c r="W1300" s="28">
        <f>RATE(U1300,V1300,-F1300,H1300)</f>
        <v>2.2420051890087497E-2</v>
      </c>
      <c r="X1300" s="27">
        <f>W1300*AD1300</f>
        <v>8.9680207560349987E-2</v>
      </c>
      <c r="Y1300" s="5">
        <f>DURATION(N1300,O1300,M1300,D1300,AD1300)</f>
        <v>4.5924974577156217</v>
      </c>
      <c r="Z1300" s="5">
        <f>Y1300/(1+C1300)</f>
        <v>4.4917912644863955</v>
      </c>
      <c r="AA1300" s="5">
        <f>-Z1300*F1300</f>
        <v>-4626545.002420987</v>
      </c>
      <c r="AB1300" t="s">
        <v>64</v>
      </c>
      <c r="AC1300" t="s">
        <v>62</v>
      </c>
      <c r="AD1300">
        <f>_xlfn.SWITCH(PROPER(TRIM(S1300)),
   "Annual",1,
   "Semi-Annual",2,
   "Quarterly",4,
   "Monthly",12,
   "")</f>
        <v>4</v>
      </c>
    </row>
    <row r="1301" spans="1:30" x14ac:dyDescent="0.35">
      <c r="A1301" t="s">
        <v>813</v>
      </c>
      <c r="B1301" t="s">
        <v>94</v>
      </c>
      <c r="C1301" s="36">
        <f>RATE(U1301,V1301,-F1301,H1301)</f>
        <v>2.9119919019128887E-2</v>
      </c>
      <c r="D1301" s="3">
        <f>C1301*AD1301</f>
        <v>5.8239838038257774E-2</v>
      </c>
      <c r="F1301">
        <v>1024.45</v>
      </c>
      <c r="G1301" t="s">
        <v>66</v>
      </c>
      <c r="H1301">
        <v>1000</v>
      </c>
      <c r="I1301" s="22"/>
      <c r="J1301">
        <v>316000</v>
      </c>
      <c r="K1301" s="22"/>
      <c r="M1301" s="22">
        <v>6.1500000000000006E-2</v>
      </c>
      <c r="N1301" s="21">
        <v>43440</v>
      </c>
      <c r="O1301" s="21">
        <v>47093</v>
      </c>
      <c r="P1301">
        <f>ROUND(YEARFRAC(N1301,O1301),0)</f>
        <v>10</v>
      </c>
      <c r="Q1301" s="6">
        <f>(M1301*H1301)/F1301</f>
        <v>6.0032212406657237E-2</v>
      </c>
      <c r="R1301" s="5">
        <f>IF(S1301="Quarterly",4,IF(S1301="Semi-annual",2,IF(S1301="Annual",1,IF(S1301="Pays at maturity",0,12))))</f>
        <v>2</v>
      </c>
      <c r="S1301" t="s">
        <v>65</v>
      </c>
      <c r="U1301">
        <f>R1301*P1301</f>
        <v>20</v>
      </c>
      <c r="V1301">
        <f>(H1301*M1301)/AD1301</f>
        <v>30.750000000000004</v>
      </c>
      <c r="W1301" s="28">
        <f>RATE(U1301,V1301,-F1301,H1301)</f>
        <v>2.9119919019128887E-2</v>
      </c>
      <c r="X1301" s="27">
        <f>W1301*AD1301</f>
        <v>5.8239838038257774E-2</v>
      </c>
      <c r="Y1301" s="5">
        <f>DURATION(N1301,O1301,M1301,D1301,AD1301)</f>
        <v>7.6477861920971986</v>
      </c>
      <c r="Z1301" s="5">
        <f>Y1301/(1+C1301)</f>
        <v>7.4313848665823405</v>
      </c>
      <c r="AA1301" s="5">
        <f>-Z1301*F1301</f>
        <v>-7613.0822265702791</v>
      </c>
      <c r="AB1301" t="s">
        <v>64</v>
      </c>
      <c r="AC1301" t="s">
        <v>62</v>
      </c>
      <c r="AD1301">
        <f>_xlfn.SWITCH(PROPER(TRIM(S1301)),
   "Annual",1,
   "Semi-Annual",2,
   "Quarterly",4,
   "Monthly",12,
   "")</f>
        <v>2</v>
      </c>
    </row>
    <row r="1302" spans="1:30" x14ac:dyDescent="0.35">
      <c r="C1302" s="28"/>
      <c r="D1302" s="27"/>
      <c r="I1302" s="22"/>
      <c r="K1302" s="22"/>
      <c r="M1302" s="22"/>
      <c r="N1302" s="21"/>
      <c r="O1302" s="21"/>
      <c r="P1302" s="5"/>
      <c r="Q1302" s="6"/>
      <c r="R1302" s="5"/>
      <c r="W1302" s="28"/>
      <c r="Y1302" s="33"/>
      <c r="Z1302" s="33"/>
      <c r="AA1302" s="33"/>
    </row>
    <row r="1303" spans="1:30" x14ac:dyDescent="0.35">
      <c r="A1303" t="s">
        <v>811</v>
      </c>
      <c r="B1303" t="s">
        <v>749</v>
      </c>
      <c r="C1303" s="36">
        <f>RATE(U1303,V1303,-F1303,H1303)</f>
        <v>7.2496234095817347E-2</v>
      </c>
      <c r="D1303" s="3">
        <f>C1303*AD1303</f>
        <v>7.2496234095817347E-2</v>
      </c>
      <c r="F1303">
        <v>1055</v>
      </c>
      <c r="G1303" t="s">
        <v>76</v>
      </c>
      <c r="H1303">
        <v>1000</v>
      </c>
      <c r="I1303" s="22"/>
      <c r="J1303">
        <v>150</v>
      </c>
      <c r="K1303" s="22"/>
      <c r="L1303">
        <v>6.6108947176545003</v>
      </c>
      <c r="M1303" s="22">
        <v>8.5999999999999993E-2</v>
      </c>
      <c r="N1303" s="21">
        <v>45267</v>
      </c>
      <c r="O1303" s="21">
        <v>47094</v>
      </c>
      <c r="P1303">
        <f>ROUND(YEARFRAC(N1303,O1303),0)</f>
        <v>5</v>
      </c>
      <c r="Q1303" s="6">
        <f>(M1303*H1303)/F1303</f>
        <v>8.1516587677725114E-2</v>
      </c>
      <c r="R1303" s="5">
        <f>IF(S1303="Quarterly",4,IF(S1303="Semi-annual",2,IF(S1303="Annual",1,IF(S1303="Pays at maturity",0,12))))</f>
        <v>1</v>
      </c>
      <c r="S1303" t="s">
        <v>93</v>
      </c>
      <c r="U1303">
        <f>R1303*P1303</f>
        <v>5</v>
      </c>
      <c r="V1303">
        <f>(H1303*M1303)/AD1303</f>
        <v>86</v>
      </c>
      <c r="W1303" s="28">
        <f>RATE(U1303,V1303,-F1303,H1303)</f>
        <v>7.2496234095817347E-2</v>
      </c>
      <c r="X1303" s="27">
        <f>W1303*AD1303</f>
        <v>7.2496234095817347E-2</v>
      </c>
      <c r="Y1303" s="5">
        <f>DURATION(N1303,O1303,M1303,D1303,AD1303)</f>
        <v>4.2896000791915467</v>
      </c>
      <c r="Z1303" s="5">
        <f>Y1303/(1+C1303)</f>
        <v>3.9996411575355815</v>
      </c>
      <c r="AA1303" s="5">
        <f>-Z1303*F1303</f>
        <v>-4219.6214212000386</v>
      </c>
      <c r="AB1303" t="s">
        <v>64</v>
      </c>
      <c r="AC1303" t="s">
        <v>62</v>
      </c>
      <c r="AD1303">
        <f>_xlfn.SWITCH(PROPER(TRIM(S1303)),
   "Annual",1,
   "Semi-Annual",2,
   "Quarterly",4,
   "Monthly",12,
   "")</f>
        <v>1</v>
      </c>
    </row>
    <row r="1304" spans="1:30" x14ac:dyDescent="0.35">
      <c r="A1304" t="s">
        <v>810</v>
      </c>
      <c r="B1304" t="s">
        <v>809</v>
      </c>
      <c r="C1304" s="36">
        <f>RATE(U1304,V1304,-F1304,H1304)</f>
        <v>9.0414261768224716E-2</v>
      </c>
      <c r="D1304" s="3">
        <f>C1304*AD1304</f>
        <v>9.0414261768224716E-2</v>
      </c>
      <c r="F1304">
        <v>1055000</v>
      </c>
      <c r="G1304" t="s">
        <v>76</v>
      </c>
      <c r="H1304">
        <v>1000000</v>
      </c>
      <c r="I1304" s="22"/>
      <c r="J1304">
        <v>1</v>
      </c>
      <c r="K1304" s="22"/>
      <c r="L1304">
        <v>7.8926295146265701</v>
      </c>
      <c r="M1304" s="22">
        <v>9.9000000000000005E-2</v>
      </c>
      <c r="N1304" s="21">
        <v>43447</v>
      </c>
      <c r="O1304" s="21">
        <v>47095</v>
      </c>
      <c r="P1304">
        <f>ROUND(YEARFRAC(N1304,O1304),0)</f>
        <v>10</v>
      </c>
      <c r="Q1304" s="6">
        <f>(M1304*H1304)/F1304</f>
        <v>9.3838862559241704E-2</v>
      </c>
      <c r="R1304" s="5">
        <f>IF(S1304="Quarterly",4,IF(S1304="Semi-annual",2,IF(S1304="Annual",1,IF(S1304="Pays at maturity",0,12))))</f>
        <v>1</v>
      </c>
      <c r="S1304" t="s">
        <v>93</v>
      </c>
      <c r="U1304">
        <f>R1304*P1304</f>
        <v>10</v>
      </c>
      <c r="V1304">
        <f>(H1304*M1304)/AD1304</f>
        <v>99000</v>
      </c>
      <c r="W1304" s="28">
        <f>RATE(U1304,V1304,-F1304,H1304)</f>
        <v>9.0414261768224716E-2</v>
      </c>
      <c r="X1304" s="27">
        <f>W1304*AD1304</f>
        <v>9.0414261768224716E-2</v>
      </c>
      <c r="Y1304" s="5">
        <f>DURATION(N1304,O1304,M1304,D1304,AD1304)</f>
        <v>6.8570822114286347</v>
      </c>
      <c r="Z1304" s="5">
        <f>Y1304/(1+C1304)</f>
        <v>6.288511120818554</v>
      </c>
      <c r="AA1304" s="5">
        <f>-Z1304*F1304</f>
        <v>-6634379.232463574</v>
      </c>
      <c r="AB1304" t="s">
        <v>64</v>
      </c>
      <c r="AC1304" t="s">
        <v>62</v>
      </c>
      <c r="AD1304">
        <f>_xlfn.SWITCH(PROPER(TRIM(S1304)),
   "Annual",1,
   "Semi-Annual",2,
   "Quarterly",4,
   "Monthly",12,
   "")</f>
        <v>1</v>
      </c>
    </row>
    <row r="1305" spans="1:30" x14ac:dyDescent="0.35">
      <c r="C1305" s="28"/>
      <c r="D1305" s="27"/>
      <c r="I1305" s="22"/>
      <c r="K1305" s="22"/>
      <c r="M1305" s="22"/>
      <c r="N1305" s="21"/>
      <c r="O1305" s="21"/>
      <c r="P1305" s="5"/>
      <c r="Q1305" s="6"/>
      <c r="R1305" s="5"/>
      <c r="W1305" s="28"/>
      <c r="Y1305" s="33"/>
      <c r="Z1305" s="33"/>
      <c r="AA1305" s="33"/>
    </row>
    <row r="1306" spans="1:30" x14ac:dyDescent="0.35">
      <c r="A1306" t="s">
        <v>807</v>
      </c>
      <c r="B1306" t="s">
        <v>324</v>
      </c>
      <c r="C1306" s="36">
        <f t="shared" ref="C1306:C1314" si="832">RATE(U1306,V1306,-F1306,H1306)</f>
        <v>9.1207435051166616E-2</v>
      </c>
      <c r="D1306" s="3">
        <f t="shared" ref="D1306:D1314" si="833">C1306*AD1306</f>
        <v>9.1207435051166616E-2</v>
      </c>
      <c r="F1306">
        <v>1044</v>
      </c>
      <c r="G1306" t="s">
        <v>76</v>
      </c>
      <c r="H1306">
        <v>1000</v>
      </c>
      <c r="I1306" s="22"/>
      <c r="J1306">
        <v>9</v>
      </c>
      <c r="K1306" s="22"/>
      <c r="L1306">
        <v>8.1559757755530793</v>
      </c>
      <c r="M1306" s="22">
        <v>9.8100000000000007E-2</v>
      </c>
      <c r="N1306" s="21">
        <v>43447</v>
      </c>
      <c r="O1306" s="21">
        <v>47100</v>
      </c>
      <c r="P1306">
        <f t="shared" ref="P1306:P1314" si="834">ROUND(YEARFRAC(N1306,O1306),0)</f>
        <v>10</v>
      </c>
      <c r="Q1306" s="6">
        <f t="shared" ref="Q1306:Q1314" si="835">(M1306*H1306)/F1306</f>
        <v>9.3965517241379318E-2</v>
      </c>
      <c r="R1306" s="5">
        <f t="shared" ref="R1306:R1314" si="836">IF(S1306="Quarterly",4,IF(S1306="Semi-annual",2,IF(S1306="Annual",1,IF(S1306="Pays at maturity",0,12))))</f>
        <v>1</v>
      </c>
      <c r="S1306" t="s">
        <v>93</v>
      </c>
      <c r="U1306">
        <f t="shared" ref="U1306:U1314" si="837">R1306*P1306</f>
        <v>10</v>
      </c>
      <c r="V1306">
        <f t="shared" ref="V1306:V1314" si="838">(H1306*M1306)/AD1306</f>
        <v>98.100000000000009</v>
      </c>
      <c r="W1306" s="28">
        <f t="shared" ref="W1306:W1314" si="839">RATE(U1306,V1306,-F1306,H1306)</f>
        <v>9.1207435051166616E-2</v>
      </c>
      <c r="X1306" s="27">
        <f t="shared" ref="X1306:X1314" si="840">W1306*AD1306</f>
        <v>9.1207435051166616E-2</v>
      </c>
      <c r="Y1306" s="5">
        <f t="shared" ref="Y1306:Y1314" si="841">DURATION(N1306,O1306,M1306,D1306,AD1306)</f>
        <v>6.8741810663737999</v>
      </c>
      <c r="Z1306" s="5">
        <f t="shared" ref="Z1306:Z1314" si="842">Y1306/(1+C1306)</f>
        <v>6.2996098134645404</v>
      </c>
      <c r="AA1306" s="5">
        <f t="shared" ref="AA1306:AA1314" si="843">-Z1306*F1306</f>
        <v>-6576.79264525698</v>
      </c>
      <c r="AB1306" t="s">
        <v>64</v>
      </c>
      <c r="AC1306" t="s">
        <v>62</v>
      </c>
      <c r="AD1306">
        <f t="shared" ref="AD1306:AD1314" si="844">_xlfn.SWITCH(PROPER(TRIM(S1306)),
   "Annual",1,
   "Semi-Annual",2,
   "Quarterly",4,
   "Monthly",12,
   "")</f>
        <v>1</v>
      </c>
    </row>
    <row r="1307" spans="1:30" x14ac:dyDescent="0.35">
      <c r="A1307" t="s">
        <v>806</v>
      </c>
      <c r="B1307" t="s">
        <v>324</v>
      </c>
      <c r="C1307" s="36">
        <f t="shared" si="832"/>
        <v>9.378652906318706E-2</v>
      </c>
      <c r="D1307" s="3">
        <f t="shared" si="833"/>
        <v>9.378652906318706E-2</v>
      </c>
      <c r="F1307">
        <v>1055</v>
      </c>
      <c r="G1307" t="s">
        <v>76</v>
      </c>
      <c r="H1307">
        <v>1000</v>
      </c>
      <c r="I1307" s="22"/>
      <c r="J1307">
        <v>25</v>
      </c>
      <c r="K1307" s="22"/>
      <c r="L1307">
        <v>8.1860227671019903</v>
      </c>
      <c r="M1307" s="22">
        <v>0.10249999999999999</v>
      </c>
      <c r="N1307" s="21">
        <v>43447</v>
      </c>
      <c r="O1307" s="21">
        <v>47100</v>
      </c>
      <c r="P1307">
        <f t="shared" si="834"/>
        <v>10</v>
      </c>
      <c r="Q1307" s="6">
        <f t="shared" si="835"/>
        <v>9.7156398104265407E-2</v>
      </c>
      <c r="R1307" s="5">
        <f t="shared" si="836"/>
        <v>1</v>
      </c>
      <c r="S1307" t="s">
        <v>93</v>
      </c>
      <c r="U1307">
        <f t="shared" si="837"/>
        <v>10</v>
      </c>
      <c r="V1307">
        <f t="shared" si="838"/>
        <v>102.5</v>
      </c>
      <c r="W1307" s="28">
        <f t="shared" si="839"/>
        <v>9.378652906318706E-2</v>
      </c>
      <c r="X1307" s="27">
        <f t="shared" si="840"/>
        <v>9.378652906318706E-2</v>
      </c>
      <c r="Y1307" s="5">
        <f t="shared" si="841"/>
        <v>6.792810973253248</v>
      </c>
      <c r="Z1307" s="5">
        <f t="shared" si="842"/>
        <v>6.2103626189940337</v>
      </c>
      <c r="AA1307" s="5">
        <f t="shared" si="843"/>
        <v>-6551.9325630387057</v>
      </c>
      <c r="AB1307" t="s">
        <v>64</v>
      </c>
      <c r="AC1307" t="s">
        <v>62</v>
      </c>
      <c r="AD1307">
        <f t="shared" si="844"/>
        <v>1</v>
      </c>
    </row>
    <row r="1308" spans="1:30" x14ac:dyDescent="0.35">
      <c r="A1308" t="s">
        <v>805</v>
      </c>
      <c r="B1308" t="s">
        <v>804</v>
      </c>
      <c r="C1308" s="36">
        <f t="shared" si="832"/>
        <v>2.628978924547784E-2</v>
      </c>
      <c r="D1308" s="3">
        <f t="shared" si="833"/>
        <v>5.2579578490955681E-2</v>
      </c>
      <c r="F1308">
        <v>944.5</v>
      </c>
      <c r="G1308" t="s">
        <v>66</v>
      </c>
      <c r="H1308">
        <v>1000</v>
      </c>
      <c r="I1308" s="22"/>
      <c r="J1308">
        <v>303050</v>
      </c>
      <c r="K1308" s="22"/>
      <c r="M1308" s="22">
        <v>4.2999999999999997E-2</v>
      </c>
      <c r="N1308" s="21">
        <v>44543</v>
      </c>
      <c r="O1308" s="21">
        <v>47100</v>
      </c>
      <c r="P1308">
        <f t="shared" si="834"/>
        <v>7</v>
      </c>
      <c r="Q1308" s="6">
        <f t="shared" si="835"/>
        <v>4.5526733721545788E-2</v>
      </c>
      <c r="R1308" s="5">
        <f t="shared" si="836"/>
        <v>2</v>
      </c>
      <c r="S1308" t="s">
        <v>65</v>
      </c>
      <c r="U1308">
        <f t="shared" si="837"/>
        <v>14</v>
      </c>
      <c r="V1308">
        <f t="shared" si="838"/>
        <v>21.5</v>
      </c>
      <c r="W1308" s="28">
        <f t="shared" si="839"/>
        <v>2.628978924547784E-2</v>
      </c>
      <c r="X1308" s="27">
        <f t="shared" si="840"/>
        <v>5.2579578490955681E-2</v>
      </c>
      <c r="Y1308" s="5">
        <f t="shared" si="841"/>
        <v>6.0872813962990424</v>
      </c>
      <c r="Z1308" s="5">
        <f t="shared" si="842"/>
        <v>5.9313475200551062</v>
      </c>
      <c r="AA1308" s="5">
        <f t="shared" si="843"/>
        <v>-5602.1577326920478</v>
      </c>
      <c r="AB1308" t="s">
        <v>69</v>
      </c>
      <c r="AC1308" t="s">
        <v>62</v>
      </c>
      <c r="AD1308">
        <f t="shared" si="844"/>
        <v>2</v>
      </c>
    </row>
    <row r="1309" spans="1:30" x14ac:dyDescent="0.35">
      <c r="A1309" t="s">
        <v>803</v>
      </c>
      <c r="B1309" t="s">
        <v>390</v>
      </c>
      <c r="C1309" s="36">
        <f t="shared" si="832"/>
        <v>0.11945923605501899</v>
      </c>
      <c r="D1309" s="3">
        <f t="shared" si="833"/>
        <v>0.11945923605501899</v>
      </c>
      <c r="F1309">
        <v>1020</v>
      </c>
      <c r="G1309" t="s">
        <v>76</v>
      </c>
      <c r="H1309">
        <v>1000</v>
      </c>
      <c r="I1309" s="22"/>
      <c r="J1309">
        <v>369</v>
      </c>
      <c r="K1309" s="22"/>
      <c r="L1309">
        <v>11.6777356103731</v>
      </c>
      <c r="M1309" s="22">
        <v>0.125</v>
      </c>
      <c r="N1309" s="21">
        <v>45274</v>
      </c>
      <c r="O1309" s="21">
        <v>47101</v>
      </c>
      <c r="P1309">
        <f t="shared" si="834"/>
        <v>5</v>
      </c>
      <c r="Q1309" s="6">
        <f t="shared" si="835"/>
        <v>0.12254901960784313</v>
      </c>
      <c r="R1309" s="5">
        <f t="shared" si="836"/>
        <v>1</v>
      </c>
      <c r="S1309" t="s">
        <v>93</v>
      </c>
      <c r="U1309">
        <f t="shared" si="837"/>
        <v>5</v>
      </c>
      <c r="V1309">
        <f t="shared" si="838"/>
        <v>125</v>
      </c>
      <c r="W1309" s="28">
        <f t="shared" si="839"/>
        <v>0.11945923605501899</v>
      </c>
      <c r="X1309" s="27">
        <f t="shared" si="840"/>
        <v>0.11945923605501899</v>
      </c>
      <c r="Y1309" s="5">
        <f t="shared" si="841"/>
        <v>4.0160027042301962</v>
      </c>
      <c r="Z1309" s="5">
        <f t="shared" si="842"/>
        <v>3.5874488100009905</v>
      </c>
      <c r="AA1309" s="5">
        <f t="shared" si="843"/>
        <v>-3659.1977862010103</v>
      </c>
      <c r="AB1309" t="s">
        <v>64</v>
      </c>
      <c r="AC1309" t="s">
        <v>62</v>
      </c>
      <c r="AD1309">
        <f t="shared" si="844"/>
        <v>1</v>
      </c>
    </row>
    <row r="1310" spans="1:30" x14ac:dyDescent="0.35">
      <c r="A1310" t="s">
        <v>802</v>
      </c>
      <c r="B1310" t="s">
        <v>736</v>
      </c>
      <c r="C1310" s="36">
        <f t="shared" si="832"/>
        <v>0.10286917396880241</v>
      </c>
      <c r="D1310" s="3">
        <f t="shared" si="833"/>
        <v>0.10286917396880241</v>
      </c>
      <c r="F1310">
        <v>102000</v>
      </c>
      <c r="G1310" t="s">
        <v>76</v>
      </c>
      <c r="H1310">
        <v>100000</v>
      </c>
      <c r="I1310" s="22"/>
      <c r="J1310">
        <v>2</v>
      </c>
      <c r="K1310" s="22"/>
      <c r="L1310">
        <v>9.9634423359045901</v>
      </c>
      <c r="M1310" s="22">
        <v>0.1075</v>
      </c>
      <c r="N1310" s="21">
        <v>45092</v>
      </c>
      <c r="O1310" s="21">
        <v>47102</v>
      </c>
      <c r="P1310">
        <f t="shared" si="834"/>
        <v>6</v>
      </c>
      <c r="Q1310" s="6">
        <f t="shared" si="835"/>
        <v>0.1053921568627451</v>
      </c>
      <c r="R1310" s="5">
        <f t="shared" si="836"/>
        <v>1</v>
      </c>
      <c r="S1310" t="s">
        <v>93</v>
      </c>
      <c r="U1310">
        <f t="shared" si="837"/>
        <v>6</v>
      </c>
      <c r="V1310">
        <f t="shared" si="838"/>
        <v>10750</v>
      </c>
      <c r="W1310" s="28">
        <f t="shared" si="839"/>
        <v>0.10286917396880241</v>
      </c>
      <c r="X1310" s="27">
        <f t="shared" si="840"/>
        <v>0.10286917396880241</v>
      </c>
      <c r="Y1310" s="5">
        <f t="shared" si="841"/>
        <v>4.2328291173081887</v>
      </c>
      <c r="Z1310" s="5">
        <f t="shared" si="842"/>
        <v>3.8380156207248617</v>
      </c>
      <c r="AA1310" s="5">
        <f t="shared" si="843"/>
        <v>-391477.59331393591</v>
      </c>
      <c r="AB1310" t="s">
        <v>64</v>
      </c>
      <c r="AC1310" t="s">
        <v>62</v>
      </c>
      <c r="AD1310">
        <f t="shared" si="844"/>
        <v>1</v>
      </c>
    </row>
    <row r="1311" spans="1:30" x14ac:dyDescent="0.35">
      <c r="A1311" t="s">
        <v>801</v>
      </c>
      <c r="B1311" t="s">
        <v>114</v>
      </c>
      <c r="C1311" s="36">
        <f t="shared" si="832"/>
        <v>6.6829737947642839E-2</v>
      </c>
      <c r="D1311" s="3">
        <f t="shared" si="833"/>
        <v>6.6829737947642839E-2</v>
      </c>
      <c r="F1311">
        <v>1167</v>
      </c>
      <c r="G1311" t="s">
        <v>76</v>
      </c>
      <c r="H1311">
        <v>1000</v>
      </c>
      <c r="I1311" s="22"/>
      <c r="J1311">
        <v>1005</v>
      </c>
      <c r="K1311" s="22"/>
      <c r="L1311">
        <v>4.0302983003263</v>
      </c>
      <c r="M1311" s="22">
        <v>8.48E-2</v>
      </c>
      <c r="N1311" s="21">
        <v>41624</v>
      </c>
      <c r="O1311" s="21">
        <v>47103</v>
      </c>
      <c r="P1311">
        <f t="shared" si="834"/>
        <v>15</v>
      </c>
      <c r="Q1311" s="6">
        <f t="shared" si="835"/>
        <v>7.2664952870608396E-2</v>
      </c>
      <c r="R1311" s="5">
        <f t="shared" si="836"/>
        <v>1</v>
      </c>
      <c r="S1311" t="s">
        <v>93</v>
      </c>
      <c r="U1311">
        <f t="shared" si="837"/>
        <v>15</v>
      </c>
      <c r="V1311">
        <f t="shared" si="838"/>
        <v>84.8</v>
      </c>
      <c r="W1311" s="28">
        <f t="shared" si="839"/>
        <v>6.6829737947642839E-2</v>
      </c>
      <c r="X1311" s="27">
        <f t="shared" si="840"/>
        <v>6.6829737947642839E-2</v>
      </c>
      <c r="Y1311" s="5">
        <f t="shared" si="841"/>
        <v>9.4701227201321689</v>
      </c>
      <c r="Z1311" s="5">
        <f t="shared" si="842"/>
        <v>8.8768829582410245</v>
      </c>
      <c r="AA1311" s="5">
        <f t="shared" si="843"/>
        <v>-10359.322412267276</v>
      </c>
      <c r="AB1311" t="s">
        <v>64</v>
      </c>
      <c r="AC1311" t="s">
        <v>62</v>
      </c>
      <c r="AD1311">
        <f t="shared" si="844"/>
        <v>1</v>
      </c>
    </row>
    <row r="1312" spans="1:30" x14ac:dyDescent="0.35">
      <c r="A1312" t="s">
        <v>800</v>
      </c>
      <c r="B1312" t="s">
        <v>114</v>
      </c>
      <c r="C1312" s="36">
        <f t="shared" si="832"/>
        <v>7.0254470112708495E-2</v>
      </c>
      <c r="D1312" s="3">
        <f t="shared" si="833"/>
        <v>7.0254470112708495E-2</v>
      </c>
      <c r="F1312">
        <v>1155</v>
      </c>
      <c r="G1312" t="s">
        <v>76</v>
      </c>
      <c r="H1312">
        <v>1000</v>
      </c>
      <c r="I1312" s="22"/>
      <c r="J1312">
        <v>33</v>
      </c>
      <c r="K1312" s="22"/>
      <c r="L1312">
        <v>3.61775901759811</v>
      </c>
      <c r="M1312" s="22">
        <v>8.7300000000000003E-2</v>
      </c>
      <c r="N1312" s="21">
        <v>41624</v>
      </c>
      <c r="O1312" s="21">
        <v>47103</v>
      </c>
      <c r="P1312">
        <f t="shared" si="834"/>
        <v>15</v>
      </c>
      <c r="Q1312" s="6">
        <f t="shared" si="835"/>
        <v>7.5584415584415587E-2</v>
      </c>
      <c r="R1312" s="5">
        <f t="shared" si="836"/>
        <v>1</v>
      </c>
      <c r="S1312" t="s">
        <v>93</v>
      </c>
      <c r="U1312">
        <f t="shared" si="837"/>
        <v>15</v>
      </c>
      <c r="V1312">
        <f t="shared" si="838"/>
        <v>87.3</v>
      </c>
      <c r="W1312" s="28">
        <f t="shared" si="839"/>
        <v>7.0254470112708495E-2</v>
      </c>
      <c r="X1312" s="27">
        <f t="shared" si="840"/>
        <v>7.0254470112708495E-2</v>
      </c>
      <c r="Y1312" s="5">
        <f t="shared" si="841"/>
        <v>9.3324844973936276</v>
      </c>
      <c r="Z1312" s="5">
        <f t="shared" si="842"/>
        <v>8.7198743457813563</v>
      </c>
      <c r="AA1312" s="5">
        <f t="shared" si="843"/>
        <v>-10071.454869377467</v>
      </c>
      <c r="AB1312" t="s">
        <v>64</v>
      </c>
      <c r="AC1312" t="s">
        <v>62</v>
      </c>
      <c r="AD1312">
        <f t="shared" si="844"/>
        <v>1</v>
      </c>
    </row>
    <row r="1313" spans="1:30" x14ac:dyDescent="0.35">
      <c r="A1313" t="s">
        <v>799</v>
      </c>
      <c r="B1313" t="s">
        <v>654</v>
      </c>
      <c r="C1313" s="36">
        <f t="shared" si="832"/>
        <v>0.10029999999999689</v>
      </c>
      <c r="D1313" s="3">
        <f t="shared" si="833"/>
        <v>0.10029999999999689</v>
      </c>
      <c r="F1313">
        <v>1000</v>
      </c>
      <c r="G1313" t="s">
        <v>76</v>
      </c>
      <c r="H1313">
        <v>1000</v>
      </c>
      <c r="I1313" s="22"/>
      <c r="J1313">
        <v>100</v>
      </c>
      <c r="K1313" s="22"/>
      <c r="L1313">
        <v>10.029999999999999</v>
      </c>
      <c r="M1313" s="22">
        <v>0.1003</v>
      </c>
      <c r="N1313" s="21">
        <v>45281</v>
      </c>
      <c r="O1313" s="21">
        <v>47108</v>
      </c>
      <c r="P1313">
        <f t="shared" si="834"/>
        <v>5</v>
      </c>
      <c r="Q1313" s="6">
        <f t="shared" si="835"/>
        <v>0.1003</v>
      </c>
      <c r="R1313" s="5">
        <f t="shared" si="836"/>
        <v>1</v>
      </c>
      <c r="S1313" t="s">
        <v>93</v>
      </c>
      <c r="U1313">
        <f t="shared" si="837"/>
        <v>5</v>
      </c>
      <c r="V1313">
        <f t="shared" si="838"/>
        <v>100.3</v>
      </c>
      <c r="W1313" s="28">
        <f t="shared" si="839"/>
        <v>0.10029999999999689</v>
      </c>
      <c r="X1313" s="27">
        <f t="shared" si="840"/>
        <v>0.10029999999999689</v>
      </c>
      <c r="Y1313" s="5">
        <f t="shared" si="841"/>
        <v>4.1678080007281846</v>
      </c>
      <c r="Z1313" s="5">
        <f t="shared" si="842"/>
        <v>3.7878833052151197</v>
      </c>
      <c r="AA1313" s="5">
        <f t="shared" si="843"/>
        <v>-3787.8833052151199</v>
      </c>
      <c r="AB1313" t="s">
        <v>64</v>
      </c>
      <c r="AC1313" t="s">
        <v>62</v>
      </c>
      <c r="AD1313">
        <f t="shared" si="844"/>
        <v>1</v>
      </c>
    </row>
    <row r="1314" spans="1:30" x14ac:dyDescent="0.35">
      <c r="A1314" t="s">
        <v>798</v>
      </c>
      <c r="B1314" t="s">
        <v>338</v>
      </c>
      <c r="C1314" s="36">
        <f t="shared" si="832"/>
        <v>0.11000000000002166</v>
      </c>
      <c r="D1314" s="3">
        <f t="shared" si="833"/>
        <v>0.11000000000002166</v>
      </c>
      <c r="F1314">
        <v>1000</v>
      </c>
      <c r="G1314" t="s">
        <v>76</v>
      </c>
      <c r="H1314">
        <v>1000</v>
      </c>
      <c r="I1314" s="22"/>
      <c r="J1314">
        <v>4</v>
      </c>
      <c r="K1314" s="22"/>
      <c r="L1314">
        <v>11</v>
      </c>
      <c r="M1314" s="22">
        <v>0.11</v>
      </c>
      <c r="N1314" s="21">
        <v>45281</v>
      </c>
      <c r="O1314" s="21">
        <v>47108</v>
      </c>
      <c r="P1314">
        <f t="shared" si="834"/>
        <v>5</v>
      </c>
      <c r="Q1314" s="6">
        <f t="shared" si="835"/>
        <v>0.11</v>
      </c>
      <c r="R1314" s="5">
        <f t="shared" si="836"/>
        <v>1</v>
      </c>
      <c r="S1314" t="s">
        <v>93</v>
      </c>
      <c r="U1314">
        <f t="shared" si="837"/>
        <v>5</v>
      </c>
      <c r="V1314">
        <f t="shared" si="838"/>
        <v>110</v>
      </c>
      <c r="W1314" s="28">
        <f t="shared" si="839"/>
        <v>0.11000000000002166</v>
      </c>
      <c r="X1314" s="27">
        <f t="shared" si="840"/>
        <v>0.11000000000002166</v>
      </c>
      <c r="Y1314" s="5">
        <f t="shared" si="841"/>
        <v>4.1024456895908683</v>
      </c>
      <c r="Z1314" s="5">
        <f t="shared" si="842"/>
        <v>3.6958970176493589</v>
      </c>
      <c r="AA1314" s="5">
        <f t="shared" si="843"/>
        <v>-3695.897017649359</v>
      </c>
      <c r="AB1314" t="s">
        <v>64</v>
      </c>
      <c r="AC1314" t="s">
        <v>62</v>
      </c>
      <c r="AD1314">
        <f t="shared" si="844"/>
        <v>1</v>
      </c>
    </row>
    <row r="1315" spans="1:30" x14ac:dyDescent="0.35">
      <c r="C1315" s="28"/>
      <c r="D1315" s="27"/>
      <c r="I1315" s="22"/>
      <c r="K1315" s="22"/>
      <c r="M1315" s="22"/>
      <c r="N1315" s="21"/>
      <c r="O1315" s="21"/>
      <c r="P1315" s="5"/>
      <c r="Q1315" s="6"/>
      <c r="R1315" s="5"/>
      <c r="W1315" s="28"/>
      <c r="Y1315" s="33"/>
      <c r="Z1315" s="33"/>
      <c r="AA1315" s="33"/>
    </row>
    <row r="1316" spans="1:30" x14ac:dyDescent="0.35">
      <c r="C1316" s="28"/>
      <c r="D1316" s="27"/>
      <c r="I1316" s="22"/>
      <c r="K1316" s="22"/>
      <c r="M1316" s="22"/>
      <c r="N1316" s="21"/>
      <c r="O1316" s="21"/>
      <c r="P1316" s="5"/>
      <c r="Q1316" s="6"/>
      <c r="R1316" s="5"/>
      <c r="W1316" s="28"/>
      <c r="Y1316" s="33"/>
      <c r="Z1316" s="33"/>
      <c r="AA1316" s="33"/>
    </row>
    <row r="1317" spans="1:30" x14ac:dyDescent="0.35">
      <c r="A1317" t="s">
        <v>795</v>
      </c>
      <c r="B1317" t="s">
        <v>654</v>
      </c>
      <c r="C1317" s="36">
        <f t="shared" ref="C1317:C1330" si="845">RATE(U1317,V1317,-F1317,H1317)</f>
        <v>0.10100641152940139</v>
      </c>
      <c r="D1317" s="3">
        <f t="shared" ref="D1317:D1330" si="846">C1317*AD1317</f>
        <v>0.10100641152940139</v>
      </c>
      <c r="F1317">
        <v>1015.1</v>
      </c>
      <c r="G1317" t="s">
        <v>76</v>
      </c>
      <c r="H1317">
        <v>1000</v>
      </c>
      <c r="I1317" s="22"/>
      <c r="J1317">
        <v>5</v>
      </c>
      <c r="K1317" s="22"/>
      <c r="L1317">
        <v>9.9090995779580897</v>
      </c>
      <c r="M1317" s="22">
        <v>0.105</v>
      </c>
      <c r="N1317" s="21">
        <v>45281</v>
      </c>
      <c r="O1317" s="21">
        <v>47108</v>
      </c>
      <c r="P1317">
        <f t="shared" ref="P1317:P1330" si="847">ROUND(YEARFRAC(N1317,O1317),0)</f>
        <v>5</v>
      </c>
      <c r="Q1317" s="6">
        <f t="shared" ref="Q1317:Q1330" si="848">(M1317*H1317)/F1317</f>
        <v>0.10343808491774209</v>
      </c>
      <c r="R1317" s="5">
        <f t="shared" ref="R1317:R1330" si="849">IF(S1317="Quarterly",4,IF(S1317="Semi-annual",2,IF(S1317="Annual",1,IF(S1317="Pays at maturity",0,12))))</f>
        <v>1</v>
      </c>
      <c r="S1317" t="s">
        <v>93</v>
      </c>
      <c r="U1317">
        <f t="shared" ref="U1317:U1330" si="850">R1317*P1317</f>
        <v>5</v>
      </c>
      <c r="V1317">
        <f t="shared" ref="V1317:V1330" si="851">(H1317*M1317)/AD1317</f>
        <v>105</v>
      </c>
      <c r="W1317" s="28">
        <f t="shared" ref="W1317:W1330" si="852">RATE(U1317,V1317,-F1317,H1317)</f>
        <v>0.10100641152940139</v>
      </c>
      <c r="X1317" s="27">
        <f t="shared" ref="X1317:X1330" si="853">W1317*AD1317</f>
        <v>0.10100641152940139</v>
      </c>
      <c r="Y1317" s="5">
        <f t="shared" ref="Y1317:Y1330" si="854">DURATION(N1317,O1317,M1317,D1317,AD1317)</f>
        <v>4.1428209716355218</v>
      </c>
      <c r="Z1317" s="5">
        <f t="shared" ref="Z1317:Z1330" si="855">Y1317/(1+C1317)</f>
        <v>3.7627582621256077</v>
      </c>
      <c r="AA1317" s="5">
        <f t="shared" ref="AA1317:AA1330" si="856">-Z1317*F1317</f>
        <v>-3819.5759118837045</v>
      </c>
      <c r="AB1317" t="s">
        <v>64</v>
      </c>
      <c r="AC1317" t="s">
        <v>62</v>
      </c>
      <c r="AD1317">
        <f t="shared" ref="AD1317:AD1330" si="857">_xlfn.SWITCH(PROPER(TRIM(S1317)),
   "Annual",1,
   "Semi-Annual",2,
   "Quarterly",4,
   "Monthly",12,
   "")</f>
        <v>1</v>
      </c>
    </row>
    <row r="1318" spans="1:30" x14ac:dyDescent="0.35">
      <c r="A1318" t="s">
        <v>794</v>
      </c>
      <c r="B1318" t="s">
        <v>338</v>
      </c>
      <c r="C1318" s="36">
        <f t="shared" si="845"/>
        <v>0.10768999826034245</v>
      </c>
      <c r="D1318" s="3">
        <f t="shared" si="846"/>
        <v>0.10768999826034245</v>
      </c>
      <c r="F1318">
        <v>990</v>
      </c>
      <c r="G1318" t="s">
        <v>76</v>
      </c>
      <c r="H1318">
        <v>1000</v>
      </c>
      <c r="I1318" s="22"/>
      <c r="J1318">
        <v>150</v>
      </c>
      <c r="K1318" s="22"/>
      <c r="L1318">
        <v>10.897052609759699</v>
      </c>
      <c r="M1318" s="22">
        <v>0.105</v>
      </c>
      <c r="N1318" s="21">
        <v>45281</v>
      </c>
      <c r="O1318" s="21">
        <v>47108</v>
      </c>
      <c r="P1318">
        <f t="shared" si="847"/>
        <v>5</v>
      </c>
      <c r="Q1318" s="6">
        <f t="shared" si="848"/>
        <v>0.10606060606060606</v>
      </c>
      <c r="R1318" s="5">
        <f t="shared" si="849"/>
        <v>1</v>
      </c>
      <c r="S1318" t="s">
        <v>93</v>
      </c>
      <c r="U1318">
        <f t="shared" si="850"/>
        <v>5</v>
      </c>
      <c r="V1318">
        <f t="shared" si="851"/>
        <v>105</v>
      </c>
      <c r="W1318" s="28">
        <f t="shared" si="852"/>
        <v>0.10768999826034245</v>
      </c>
      <c r="X1318" s="27">
        <f t="shared" si="853"/>
        <v>0.10768999826034245</v>
      </c>
      <c r="Y1318" s="5">
        <f t="shared" si="854"/>
        <v>4.1311572409628763</v>
      </c>
      <c r="Z1318" s="5">
        <f t="shared" si="855"/>
        <v>3.7295247293475358</v>
      </c>
      <c r="AA1318" s="5">
        <f t="shared" si="856"/>
        <v>-3692.2294820540606</v>
      </c>
      <c r="AB1318" t="s">
        <v>64</v>
      </c>
      <c r="AC1318" t="s">
        <v>62</v>
      </c>
      <c r="AD1318">
        <f t="shared" si="857"/>
        <v>1</v>
      </c>
    </row>
    <row r="1319" spans="1:30" x14ac:dyDescent="0.35">
      <c r="A1319" t="s">
        <v>793</v>
      </c>
      <c r="B1319" t="s">
        <v>128</v>
      </c>
      <c r="C1319" s="36">
        <f t="shared" si="845"/>
        <v>9.193978063559595E-2</v>
      </c>
      <c r="D1319" s="3">
        <f t="shared" si="846"/>
        <v>9.193978063559595E-2</v>
      </c>
      <c r="F1319">
        <v>984.8</v>
      </c>
      <c r="G1319" t="s">
        <v>76</v>
      </c>
      <c r="H1319">
        <v>1000</v>
      </c>
      <c r="I1319" s="22"/>
      <c r="J1319">
        <v>1</v>
      </c>
      <c r="K1319" s="22"/>
      <c r="L1319">
        <v>9.41493774889679</v>
      </c>
      <c r="M1319" s="22">
        <v>8.8900000000000007E-2</v>
      </c>
      <c r="N1319" s="21">
        <v>44463</v>
      </c>
      <c r="O1319" s="21">
        <v>47109</v>
      </c>
      <c r="P1319">
        <f t="shared" si="847"/>
        <v>7</v>
      </c>
      <c r="Q1319" s="6">
        <f t="shared" si="848"/>
        <v>9.0272136474411055E-2</v>
      </c>
      <c r="R1319" s="5">
        <f t="shared" si="849"/>
        <v>1</v>
      </c>
      <c r="S1319" t="s">
        <v>93</v>
      </c>
      <c r="U1319">
        <f t="shared" si="850"/>
        <v>7</v>
      </c>
      <c r="V1319">
        <f t="shared" si="851"/>
        <v>88.9</v>
      </c>
      <c r="W1319" s="28">
        <f t="shared" si="852"/>
        <v>9.193978063559595E-2</v>
      </c>
      <c r="X1319" s="27">
        <f t="shared" si="853"/>
        <v>9.193978063559595E-2</v>
      </c>
      <c r="Y1319" s="5">
        <f t="shared" si="854"/>
        <v>5.2780724978488474</v>
      </c>
      <c r="Z1319" s="5">
        <f t="shared" si="855"/>
        <v>4.8336662803662938</v>
      </c>
      <c r="AA1319" s="5">
        <f t="shared" si="856"/>
        <v>-4760.1945529047262</v>
      </c>
      <c r="AB1319" t="s">
        <v>64</v>
      </c>
      <c r="AC1319" t="s">
        <v>62</v>
      </c>
      <c r="AD1319">
        <f t="shared" si="857"/>
        <v>1</v>
      </c>
    </row>
    <row r="1320" spans="1:30" x14ac:dyDescent="0.35">
      <c r="A1320" t="s">
        <v>792</v>
      </c>
      <c r="B1320" t="s">
        <v>128</v>
      </c>
      <c r="C1320" s="36">
        <f t="shared" si="845"/>
        <v>0.10390259575149387</v>
      </c>
      <c r="D1320" s="3">
        <f t="shared" si="846"/>
        <v>0.10390259575149387</v>
      </c>
      <c r="F1320">
        <v>950</v>
      </c>
      <c r="G1320" t="s">
        <v>76</v>
      </c>
      <c r="H1320">
        <v>1000</v>
      </c>
      <c r="I1320" s="22"/>
      <c r="J1320">
        <v>35</v>
      </c>
      <c r="K1320" s="22"/>
      <c r="L1320">
        <v>11.364333972808399</v>
      </c>
      <c r="M1320" s="22">
        <v>9.35E-2</v>
      </c>
      <c r="N1320" s="21">
        <v>44463</v>
      </c>
      <c r="O1320" s="21">
        <v>47109</v>
      </c>
      <c r="P1320">
        <f t="shared" si="847"/>
        <v>7</v>
      </c>
      <c r="Q1320" s="6">
        <f t="shared" si="848"/>
        <v>9.8421052631578951E-2</v>
      </c>
      <c r="R1320" s="5">
        <f t="shared" si="849"/>
        <v>1</v>
      </c>
      <c r="S1320" t="s">
        <v>93</v>
      </c>
      <c r="U1320">
        <f t="shared" si="850"/>
        <v>7</v>
      </c>
      <c r="V1320">
        <f t="shared" si="851"/>
        <v>93.5</v>
      </c>
      <c r="W1320" s="28">
        <f t="shared" si="852"/>
        <v>0.10390259575149387</v>
      </c>
      <c r="X1320" s="27">
        <f t="shared" si="853"/>
        <v>0.10390259575149387</v>
      </c>
      <c r="Y1320" s="5">
        <f t="shared" si="854"/>
        <v>5.1562900382841788</v>
      </c>
      <c r="Z1320" s="5">
        <f t="shared" si="855"/>
        <v>4.670964683051567</v>
      </c>
      <c r="AA1320" s="5">
        <f t="shared" si="856"/>
        <v>-4437.4164488989891</v>
      </c>
      <c r="AB1320" t="s">
        <v>64</v>
      </c>
      <c r="AC1320" t="s">
        <v>62</v>
      </c>
      <c r="AD1320">
        <f t="shared" si="857"/>
        <v>1</v>
      </c>
    </row>
    <row r="1321" spans="1:30" x14ac:dyDescent="0.35">
      <c r="A1321" t="s">
        <v>791</v>
      </c>
      <c r="B1321" t="s">
        <v>128</v>
      </c>
      <c r="C1321" s="36">
        <f t="shared" si="845"/>
        <v>0.10870021767440241</v>
      </c>
      <c r="D1321" s="3">
        <f t="shared" si="846"/>
        <v>0.10870021767440241</v>
      </c>
      <c r="F1321">
        <v>947</v>
      </c>
      <c r="G1321" t="s">
        <v>76</v>
      </c>
      <c r="H1321">
        <v>1000</v>
      </c>
      <c r="I1321" s="22"/>
      <c r="J1321">
        <v>20</v>
      </c>
      <c r="K1321" s="22"/>
      <c r="L1321">
        <v>11.729190981678</v>
      </c>
      <c r="M1321" s="22">
        <v>9.7500000000000003E-2</v>
      </c>
      <c r="N1321" s="21">
        <v>44463</v>
      </c>
      <c r="O1321" s="21">
        <v>47109</v>
      </c>
      <c r="P1321">
        <f t="shared" si="847"/>
        <v>7</v>
      </c>
      <c r="Q1321" s="6">
        <f t="shared" si="848"/>
        <v>0.10295670538542767</v>
      </c>
      <c r="R1321" s="5">
        <f t="shared" si="849"/>
        <v>1</v>
      </c>
      <c r="S1321" t="s">
        <v>93</v>
      </c>
      <c r="U1321">
        <f t="shared" si="850"/>
        <v>7</v>
      </c>
      <c r="V1321">
        <f t="shared" si="851"/>
        <v>97.5</v>
      </c>
      <c r="W1321" s="28">
        <f t="shared" si="852"/>
        <v>0.10870021767440241</v>
      </c>
      <c r="X1321" s="27">
        <f t="shared" si="853"/>
        <v>0.10870021767440241</v>
      </c>
      <c r="Y1321" s="5">
        <f t="shared" si="854"/>
        <v>5.0851433944839695</v>
      </c>
      <c r="Z1321" s="5">
        <f t="shared" si="855"/>
        <v>4.5865810373434508</v>
      </c>
      <c r="AA1321" s="5">
        <f t="shared" si="856"/>
        <v>-4343.4922423642483</v>
      </c>
      <c r="AB1321" t="s">
        <v>64</v>
      </c>
      <c r="AC1321" t="s">
        <v>62</v>
      </c>
      <c r="AD1321">
        <f t="shared" si="857"/>
        <v>1</v>
      </c>
    </row>
    <row r="1322" spans="1:30" x14ac:dyDescent="0.35">
      <c r="A1322" t="s">
        <v>790</v>
      </c>
      <c r="B1322" t="s">
        <v>128</v>
      </c>
      <c r="C1322" s="36">
        <f t="shared" si="845"/>
        <v>9.6274173695484633E-2</v>
      </c>
      <c r="D1322" s="3">
        <f t="shared" si="846"/>
        <v>9.6274173695484633E-2</v>
      </c>
      <c r="F1322">
        <v>1020</v>
      </c>
      <c r="G1322" t="s">
        <v>76</v>
      </c>
      <c r="H1322">
        <v>1000</v>
      </c>
      <c r="I1322" s="22"/>
      <c r="J1322">
        <v>10</v>
      </c>
      <c r="K1322" s="22"/>
      <c r="L1322">
        <v>9.3918504901960702</v>
      </c>
      <c r="M1322" s="22">
        <v>0.10150000000000001</v>
      </c>
      <c r="N1322" s="21">
        <v>45287</v>
      </c>
      <c r="O1322" s="21">
        <v>47114</v>
      </c>
      <c r="P1322">
        <f t="shared" si="847"/>
        <v>5</v>
      </c>
      <c r="Q1322" s="6">
        <f t="shared" si="848"/>
        <v>9.9509803921568621E-2</v>
      </c>
      <c r="R1322" s="5">
        <f t="shared" si="849"/>
        <v>1</v>
      </c>
      <c r="S1322" t="s">
        <v>93</v>
      </c>
      <c r="U1322">
        <f t="shared" si="850"/>
        <v>5</v>
      </c>
      <c r="V1322">
        <f t="shared" si="851"/>
        <v>101.5</v>
      </c>
      <c r="W1322" s="28">
        <f t="shared" si="852"/>
        <v>9.6274173695484633E-2</v>
      </c>
      <c r="X1322" s="27">
        <f t="shared" si="853"/>
        <v>9.6274173695484633E-2</v>
      </c>
      <c r="Y1322" s="5">
        <f t="shared" si="854"/>
        <v>4.1685666369188965</v>
      </c>
      <c r="Z1322" s="5">
        <f t="shared" si="855"/>
        <v>3.8024854885223371</v>
      </c>
      <c r="AA1322" s="5">
        <f t="shared" si="856"/>
        <v>-3878.5351982927837</v>
      </c>
      <c r="AB1322" t="s">
        <v>64</v>
      </c>
      <c r="AC1322" t="s">
        <v>62</v>
      </c>
      <c r="AD1322">
        <f t="shared" si="857"/>
        <v>1</v>
      </c>
    </row>
    <row r="1323" spans="1:30" x14ac:dyDescent="0.35">
      <c r="A1323" t="s">
        <v>789</v>
      </c>
      <c r="B1323" t="s">
        <v>785</v>
      </c>
      <c r="C1323" s="36">
        <f t="shared" si="845"/>
        <v>8.2358911921241132E-2</v>
      </c>
      <c r="D1323" s="3">
        <f t="shared" si="846"/>
        <v>8.2358911921241132E-2</v>
      </c>
      <c r="F1323">
        <v>1070</v>
      </c>
      <c r="G1323" t="s">
        <v>76</v>
      </c>
      <c r="H1323">
        <v>1000</v>
      </c>
      <c r="I1323" s="22"/>
      <c r="J1323">
        <v>272</v>
      </c>
      <c r="K1323" s="22"/>
      <c r="L1323">
        <v>7.4400877147183202</v>
      </c>
      <c r="M1323" s="22">
        <v>0.1</v>
      </c>
      <c r="N1323" s="21">
        <v>45287</v>
      </c>
      <c r="O1323" s="21">
        <v>47114</v>
      </c>
      <c r="P1323">
        <f t="shared" si="847"/>
        <v>5</v>
      </c>
      <c r="Q1323" s="6">
        <f t="shared" si="848"/>
        <v>9.3457943925233641E-2</v>
      </c>
      <c r="R1323" s="5">
        <f t="shared" si="849"/>
        <v>1</v>
      </c>
      <c r="S1323" t="s">
        <v>93</v>
      </c>
      <c r="U1323">
        <f t="shared" si="850"/>
        <v>5</v>
      </c>
      <c r="V1323">
        <f t="shared" si="851"/>
        <v>100</v>
      </c>
      <c r="W1323" s="28">
        <f t="shared" si="852"/>
        <v>8.2358911921241132E-2</v>
      </c>
      <c r="X1323" s="27">
        <f t="shared" si="853"/>
        <v>8.2358911921241132E-2</v>
      </c>
      <c r="Y1323" s="5">
        <f t="shared" si="854"/>
        <v>4.199775791575191</v>
      </c>
      <c r="Z1323" s="5">
        <f t="shared" si="855"/>
        <v>3.8802062285608931</v>
      </c>
      <c r="AA1323" s="5">
        <f t="shared" si="856"/>
        <v>-4151.8206645601558</v>
      </c>
      <c r="AB1323" t="s">
        <v>64</v>
      </c>
      <c r="AC1323" t="s">
        <v>62</v>
      </c>
      <c r="AD1323">
        <f t="shared" si="857"/>
        <v>1</v>
      </c>
    </row>
    <row r="1324" spans="1:30" x14ac:dyDescent="0.35">
      <c r="A1324" t="s">
        <v>788</v>
      </c>
      <c r="B1324" t="s">
        <v>561</v>
      </c>
      <c r="C1324" s="36">
        <f t="shared" si="845"/>
        <v>0.13381034769863859</v>
      </c>
      <c r="D1324" s="3">
        <f t="shared" si="846"/>
        <v>0.13381034769863859</v>
      </c>
      <c r="F1324">
        <v>97400</v>
      </c>
      <c r="G1324" t="s">
        <v>76</v>
      </c>
      <c r="H1324">
        <v>100000</v>
      </c>
      <c r="I1324" s="22"/>
      <c r="J1324">
        <v>40</v>
      </c>
      <c r="K1324" s="22"/>
      <c r="L1324">
        <v>13.6075696463899</v>
      </c>
      <c r="M1324" s="22">
        <v>0.125</v>
      </c>
      <c r="N1324" s="21">
        <v>45835</v>
      </c>
      <c r="O1324" s="21">
        <v>47114</v>
      </c>
      <c r="P1324">
        <f t="shared" si="847"/>
        <v>4</v>
      </c>
      <c r="Q1324" s="6">
        <f t="shared" si="848"/>
        <v>0.12833675564681724</v>
      </c>
      <c r="R1324" s="5">
        <f t="shared" si="849"/>
        <v>1</v>
      </c>
      <c r="S1324" t="s">
        <v>93</v>
      </c>
      <c r="U1324">
        <f t="shared" si="850"/>
        <v>4</v>
      </c>
      <c r="V1324">
        <f t="shared" si="851"/>
        <v>12500</v>
      </c>
      <c r="W1324" s="28">
        <f t="shared" si="852"/>
        <v>0.13381034769863859</v>
      </c>
      <c r="X1324" s="27">
        <f t="shared" si="853"/>
        <v>0.13381034769863859</v>
      </c>
      <c r="Y1324" s="5">
        <f t="shared" si="854"/>
        <v>2.8727136843509156</v>
      </c>
      <c r="Z1324" s="5">
        <f t="shared" si="855"/>
        <v>2.5336809548279668</v>
      </c>
      <c r="AA1324" s="5">
        <f t="shared" si="856"/>
        <v>-246780.52500024397</v>
      </c>
      <c r="AB1324" t="s">
        <v>64</v>
      </c>
      <c r="AC1324" t="s">
        <v>62</v>
      </c>
      <c r="AD1324">
        <f t="shared" si="857"/>
        <v>1</v>
      </c>
    </row>
    <row r="1325" spans="1:30" x14ac:dyDescent="0.35">
      <c r="A1325" t="s">
        <v>787</v>
      </c>
      <c r="B1325" t="s">
        <v>128</v>
      </c>
      <c r="C1325" s="36">
        <f t="shared" si="845"/>
        <v>9.2500000000002192E-2</v>
      </c>
      <c r="D1325" s="3">
        <f t="shared" si="846"/>
        <v>9.2500000000002192E-2</v>
      </c>
      <c r="F1325">
        <v>1000</v>
      </c>
      <c r="G1325" t="s">
        <v>76</v>
      </c>
      <c r="H1325">
        <v>1000</v>
      </c>
      <c r="I1325" s="22"/>
      <c r="J1325">
        <v>1</v>
      </c>
      <c r="K1325" s="22"/>
      <c r="L1325">
        <v>9.25</v>
      </c>
      <c r="M1325" s="22">
        <v>9.2499999999999999E-2</v>
      </c>
      <c r="N1325" s="21">
        <v>45287</v>
      </c>
      <c r="O1325" s="21">
        <v>47114</v>
      </c>
      <c r="P1325">
        <f t="shared" si="847"/>
        <v>5</v>
      </c>
      <c r="Q1325" s="6">
        <f t="shared" si="848"/>
        <v>9.2499999999999999E-2</v>
      </c>
      <c r="R1325" s="5">
        <f t="shared" si="849"/>
        <v>1</v>
      </c>
      <c r="S1325" t="s">
        <v>93</v>
      </c>
      <c r="U1325">
        <f t="shared" si="850"/>
        <v>5</v>
      </c>
      <c r="V1325">
        <f t="shared" si="851"/>
        <v>92.5</v>
      </c>
      <c r="W1325" s="28">
        <f t="shared" si="852"/>
        <v>9.2500000000002192E-2</v>
      </c>
      <c r="X1325" s="27">
        <f t="shared" si="853"/>
        <v>9.2500000000002192E-2</v>
      </c>
      <c r="Y1325" s="5">
        <f t="shared" si="854"/>
        <v>4.2220216903180772</v>
      </c>
      <c r="Z1325" s="5">
        <f t="shared" si="855"/>
        <v>3.8645507462865614</v>
      </c>
      <c r="AA1325" s="5">
        <f t="shared" si="856"/>
        <v>-3864.5507462865612</v>
      </c>
      <c r="AB1325" t="s">
        <v>64</v>
      </c>
      <c r="AC1325" t="s">
        <v>62</v>
      </c>
      <c r="AD1325">
        <f t="shared" si="857"/>
        <v>1</v>
      </c>
    </row>
    <row r="1326" spans="1:30" x14ac:dyDescent="0.35">
      <c r="A1326" t="s">
        <v>786</v>
      </c>
      <c r="B1326" t="s">
        <v>785</v>
      </c>
      <c r="C1326" s="36">
        <f t="shared" si="845"/>
        <v>1.2746136033682192E-2</v>
      </c>
      <c r="D1326" s="3">
        <f t="shared" si="846"/>
        <v>5.098454413472877E-2</v>
      </c>
      <c r="F1326">
        <v>1199.77</v>
      </c>
      <c r="G1326" t="s">
        <v>76</v>
      </c>
      <c r="H1326">
        <v>1000</v>
      </c>
      <c r="I1326" s="22"/>
      <c r="J1326">
        <v>10</v>
      </c>
      <c r="K1326" s="22"/>
      <c r="M1326" s="22">
        <v>9.6500000000000002E-2</v>
      </c>
      <c r="N1326" s="21">
        <v>45287</v>
      </c>
      <c r="O1326" s="21">
        <v>47114</v>
      </c>
      <c r="P1326">
        <f t="shared" si="847"/>
        <v>5</v>
      </c>
      <c r="Q1326" s="6">
        <f t="shared" si="848"/>
        <v>8.0432082815873038E-2</v>
      </c>
      <c r="R1326" s="5">
        <f t="shared" si="849"/>
        <v>4</v>
      </c>
      <c r="S1326" t="s">
        <v>105</v>
      </c>
      <c r="U1326">
        <f t="shared" si="850"/>
        <v>20</v>
      </c>
      <c r="V1326">
        <f t="shared" si="851"/>
        <v>24.125</v>
      </c>
      <c r="W1326" s="28">
        <f t="shared" si="852"/>
        <v>1.2746136033682192E-2</v>
      </c>
      <c r="X1326" s="27">
        <f t="shared" si="853"/>
        <v>5.098454413472877E-2</v>
      </c>
      <c r="Y1326" s="5">
        <f t="shared" si="854"/>
        <v>4.1244476119177049</v>
      </c>
      <c r="Z1326" s="5">
        <f t="shared" si="855"/>
        <v>4.0725384824183939</v>
      </c>
      <c r="AA1326" s="5">
        <f t="shared" si="856"/>
        <v>-4886.109495051116</v>
      </c>
      <c r="AB1326" t="s">
        <v>64</v>
      </c>
      <c r="AC1326" t="s">
        <v>62</v>
      </c>
      <c r="AD1326">
        <f t="shared" si="857"/>
        <v>4</v>
      </c>
    </row>
    <row r="1327" spans="1:30" x14ac:dyDescent="0.35">
      <c r="A1327" t="s">
        <v>784</v>
      </c>
      <c r="B1327" t="s">
        <v>128</v>
      </c>
      <c r="C1327" s="36">
        <f t="shared" si="845"/>
        <v>0.10375837693598346</v>
      </c>
      <c r="D1327" s="3">
        <f t="shared" si="846"/>
        <v>0.10375837693598346</v>
      </c>
      <c r="F1327">
        <v>975</v>
      </c>
      <c r="G1327" t="s">
        <v>76</v>
      </c>
      <c r="H1327">
        <v>1000</v>
      </c>
      <c r="I1327" s="22"/>
      <c r="J1327">
        <v>2</v>
      </c>
      <c r="K1327" s="22"/>
      <c r="L1327">
        <v>10.6976463683646</v>
      </c>
      <c r="M1327" s="22">
        <v>9.7100000000000006E-2</v>
      </c>
      <c r="N1327" s="21">
        <v>45287</v>
      </c>
      <c r="O1327" s="21">
        <v>47114</v>
      </c>
      <c r="P1327">
        <f t="shared" si="847"/>
        <v>5</v>
      </c>
      <c r="Q1327" s="6">
        <f t="shared" si="848"/>
        <v>9.9589743589743596E-2</v>
      </c>
      <c r="R1327" s="5">
        <f t="shared" si="849"/>
        <v>1</v>
      </c>
      <c r="S1327" t="s">
        <v>93</v>
      </c>
      <c r="U1327">
        <f t="shared" si="850"/>
        <v>5</v>
      </c>
      <c r="V1327">
        <f t="shared" si="851"/>
        <v>97.100000000000009</v>
      </c>
      <c r="W1327" s="28">
        <f t="shared" si="852"/>
        <v>0.10375837693598346</v>
      </c>
      <c r="X1327" s="27">
        <f t="shared" si="853"/>
        <v>0.10375837693598346</v>
      </c>
      <c r="Y1327" s="5">
        <f t="shared" si="854"/>
        <v>4.1786281486594588</v>
      </c>
      <c r="Z1327" s="5">
        <f t="shared" si="855"/>
        <v>3.7858178347504521</v>
      </c>
      <c r="AA1327" s="5">
        <f t="shared" si="856"/>
        <v>-3691.1723888816909</v>
      </c>
      <c r="AB1327" t="s">
        <v>64</v>
      </c>
      <c r="AC1327" t="s">
        <v>62</v>
      </c>
      <c r="AD1327">
        <f t="shared" si="857"/>
        <v>1</v>
      </c>
    </row>
    <row r="1328" spans="1:30" x14ac:dyDescent="0.35">
      <c r="A1328" t="s">
        <v>783</v>
      </c>
      <c r="B1328" t="s">
        <v>401</v>
      </c>
      <c r="C1328" s="36" t="e">
        <f t="shared" si="845"/>
        <v>#VALUE!</v>
      </c>
      <c r="D1328" s="3" t="e">
        <f t="shared" si="846"/>
        <v>#VALUE!</v>
      </c>
      <c r="F1328">
        <v>122340.25</v>
      </c>
      <c r="G1328" t="s">
        <v>76</v>
      </c>
      <c r="H1328">
        <v>100000</v>
      </c>
      <c r="I1328" s="22"/>
      <c r="J1328">
        <v>5</v>
      </c>
      <c r="K1328" s="22"/>
      <c r="L1328">
        <v>3.88390377345713</v>
      </c>
      <c r="M1328" s="22">
        <v>0.11</v>
      </c>
      <c r="N1328" s="21">
        <v>45105</v>
      </c>
      <c r="O1328" s="21">
        <v>47115</v>
      </c>
      <c r="P1328">
        <f t="shared" si="847"/>
        <v>6</v>
      </c>
      <c r="Q1328" s="6">
        <f t="shared" si="848"/>
        <v>8.9913172484117038E-2</v>
      </c>
      <c r="R1328" s="5">
        <f t="shared" si="849"/>
        <v>0</v>
      </c>
      <c r="S1328" t="s">
        <v>782</v>
      </c>
      <c r="U1328">
        <f t="shared" si="850"/>
        <v>0</v>
      </c>
      <c r="V1328" t="e">
        <f t="shared" si="851"/>
        <v>#VALUE!</v>
      </c>
      <c r="W1328" s="28" t="e">
        <f t="shared" si="852"/>
        <v>#VALUE!</v>
      </c>
      <c r="X1328" s="27" t="e">
        <f t="shared" si="853"/>
        <v>#VALUE!</v>
      </c>
      <c r="Y1328" s="5" t="e">
        <f t="shared" si="854"/>
        <v>#VALUE!</v>
      </c>
      <c r="Z1328" s="5" t="e">
        <f t="shared" si="855"/>
        <v>#VALUE!</v>
      </c>
      <c r="AA1328" s="5" t="e">
        <f t="shared" si="856"/>
        <v>#VALUE!</v>
      </c>
      <c r="AB1328" t="s">
        <v>64</v>
      </c>
      <c r="AC1328" t="s">
        <v>62</v>
      </c>
      <c r="AD1328" t="str">
        <f t="shared" si="857"/>
        <v/>
      </c>
    </row>
    <row r="1329" spans="1:30" x14ac:dyDescent="0.35">
      <c r="A1329" t="s">
        <v>781</v>
      </c>
      <c r="B1329" t="s">
        <v>553</v>
      </c>
      <c r="C1329" s="36">
        <f t="shared" si="845"/>
        <v>8.8651431080640664E-2</v>
      </c>
      <c r="D1329" s="3">
        <f t="shared" si="846"/>
        <v>8.8651431080640664E-2</v>
      </c>
      <c r="F1329">
        <v>978</v>
      </c>
      <c r="G1329" t="s">
        <v>76</v>
      </c>
      <c r="H1329">
        <v>1000</v>
      </c>
      <c r="I1329" s="22"/>
      <c r="J1329">
        <v>10</v>
      </c>
      <c r="K1329" s="22"/>
      <c r="L1329">
        <v>9.2666479733007101</v>
      </c>
      <c r="M1329" s="22">
        <v>8.43E-2</v>
      </c>
      <c r="N1329" s="21">
        <v>44564</v>
      </c>
      <c r="O1329" s="21">
        <v>47121</v>
      </c>
      <c r="P1329">
        <f t="shared" si="847"/>
        <v>7</v>
      </c>
      <c r="Q1329" s="6">
        <f t="shared" si="848"/>
        <v>8.619631901840491E-2</v>
      </c>
      <c r="R1329" s="5">
        <f t="shared" si="849"/>
        <v>1</v>
      </c>
      <c r="S1329" t="s">
        <v>93</v>
      </c>
      <c r="U1329">
        <f t="shared" si="850"/>
        <v>7</v>
      </c>
      <c r="V1329">
        <f t="shared" si="851"/>
        <v>84.3</v>
      </c>
      <c r="W1329" s="28">
        <f t="shared" si="852"/>
        <v>8.8651431080640664E-2</v>
      </c>
      <c r="X1329" s="27">
        <f t="shared" si="853"/>
        <v>8.8651431080640664E-2</v>
      </c>
      <c r="Y1329" s="5">
        <f t="shared" si="854"/>
        <v>5.5454424621359726</v>
      </c>
      <c r="Z1329" s="5">
        <f t="shared" si="855"/>
        <v>5.0938641183168576</v>
      </c>
      <c r="AA1329" s="5">
        <f t="shared" si="856"/>
        <v>-4981.7991077138868</v>
      </c>
      <c r="AB1329" t="s">
        <v>64</v>
      </c>
      <c r="AC1329" t="s">
        <v>62</v>
      </c>
      <c r="AD1329">
        <f t="shared" si="857"/>
        <v>1</v>
      </c>
    </row>
    <row r="1330" spans="1:30" x14ac:dyDescent="0.35">
      <c r="A1330" t="s">
        <v>780</v>
      </c>
      <c r="B1330" t="s">
        <v>553</v>
      </c>
      <c r="C1330" s="36">
        <f t="shared" si="845"/>
        <v>9.5327302033571579E-2</v>
      </c>
      <c r="D1330" s="3">
        <f t="shared" si="846"/>
        <v>9.5327302033571579E-2</v>
      </c>
      <c r="F1330">
        <v>961.3</v>
      </c>
      <c r="G1330" t="s">
        <v>76</v>
      </c>
      <c r="H1330">
        <v>1000</v>
      </c>
      <c r="I1330" s="22"/>
      <c r="J1330">
        <v>100</v>
      </c>
      <c r="K1330" s="22"/>
      <c r="L1330">
        <v>10.2502389342556</v>
      </c>
      <c r="M1330" s="22">
        <v>8.7499999999999994E-2</v>
      </c>
      <c r="N1330" s="21">
        <v>44564</v>
      </c>
      <c r="O1330" s="21">
        <v>47121</v>
      </c>
      <c r="P1330">
        <f t="shared" si="847"/>
        <v>7</v>
      </c>
      <c r="Q1330" s="6">
        <f t="shared" si="848"/>
        <v>9.1022573598252374E-2</v>
      </c>
      <c r="R1330" s="5">
        <f t="shared" si="849"/>
        <v>1</v>
      </c>
      <c r="S1330" t="s">
        <v>93</v>
      </c>
      <c r="U1330">
        <f t="shared" si="850"/>
        <v>7</v>
      </c>
      <c r="V1330">
        <f t="shared" si="851"/>
        <v>87.5</v>
      </c>
      <c r="W1330" s="28">
        <f t="shared" si="852"/>
        <v>9.5327302033571579E-2</v>
      </c>
      <c r="X1330" s="27">
        <f t="shared" si="853"/>
        <v>9.5327302033571579E-2</v>
      </c>
      <c r="Y1330" s="5">
        <f t="shared" si="854"/>
        <v>5.4871021339305441</v>
      </c>
      <c r="Z1330" s="5">
        <f t="shared" si="855"/>
        <v>5.0095547912877327</v>
      </c>
      <c r="AA1330" s="5">
        <f t="shared" si="856"/>
        <v>-4815.6850208648975</v>
      </c>
      <c r="AB1330" t="s">
        <v>64</v>
      </c>
      <c r="AC1330" t="s">
        <v>62</v>
      </c>
      <c r="AD1330">
        <f t="shared" si="857"/>
        <v>1</v>
      </c>
    </row>
    <row r="1331" spans="1:30" x14ac:dyDescent="0.35">
      <c r="C1331" s="28"/>
      <c r="D1331" s="27"/>
      <c r="I1331" s="22"/>
      <c r="K1331" s="22"/>
      <c r="M1331" s="22"/>
      <c r="N1331" s="21"/>
      <c r="O1331" s="21"/>
      <c r="P1331" s="5"/>
      <c r="Q1331" s="6"/>
      <c r="R1331" s="5"/>
      <c r="W1331" s="28"/>
      <c r="Y1331" s="33"/>
      <c r="Z1331" s="33"/>
      <c r="AA1331" s="33"/>
    </row>
    <row r="1332" spans="1:30" x14ac:dyDescent="0.35">
      <c r="A1332" t="s">
        <v>778</v>
      </c>
      <c r="B1332" t="s">
        <v>568</v>
      </c>
      <c r="C1332" s="36">
        <f t="shared" ref="C1332:C1344" si="858">RATE(U1332,V1332,-F1332,H1332)</f>
        <v>0.10068388087647459</v>
      </c>
      <c r="D1332" s="3">
        <f t="shared" ref="D1332:D1344" si="859">C1332*AD1332</f>
        <v>0.10068388087647459</v>
      </c>
      <c r="F1332">
        <v>1005</v>
      </c>
      <c r="G1332" t="s">
        <v>76</v>
      </c>
      <c r="H1332">
        <v>1000</v>
      </c>
      <c r="I1332" s="22"/>
      <c r="J1332">
        <v>156</v>
      </c>
      <c r="K1332" s="22"/>
      <c r="L1332">
        <v>9.9556102214758209</v>
      </c>
      <c r="M1332" s="22">
        <v>0.10150000000000001</v>
      </c>
      <c r="N1332" s="21">
        <v>43469</v>
      </c>
      <c r="O1332" s="21">
        <v>47122</v>
      </c>
      <c r="P1332">
        <f t="shared" ref="P1332:P1344" si="860">ROUND(YEARFRAC(N1332,O1332),0)</f>
        <v>10</v>
      </c>
      <c r="Q1332" s="6">
        <f t="shared" ref="Q1332:Q1344" si="861">(M1332*H1332)/F1332</f>
        <v>0.1009950248756219</v>
      </c>
      <c r="R1332" s="5">
        <f t="shared" ref="R1332:R1344" si="862">IF(S1332="Quarterly",4,IF(S1332="Semi-annual",2,IF(S1332="Annual",1,IF(S1332="Pays at maturity",0,12))))</f>
        <v>1</v>
      </c>
      <c r="S1332" t="s">
        <v>93</v>
      </c>
      <c r="U1332">
        <f t="shared" ref="U1332:U1344" si="863">R1332*P1332</f>
        <v>10</v>
      </c>
      <c r="V1332">
        <f t="shared" ref="V1332:V1344" si="864">(H1332*M1332)/AD1332</f>
        <v>101.5</v>
      </c>
      <c r="W1332" s="28">
        <f t="shared" ref="W1332:W1344" si="865">RATE(U1332,V1332,-F1332,H1332)</f>
        <v>0.10068388087647459</v>
      </c>
      <c r="X1332" s="27">
        <f t="shared" ref="X1332:X1344" si="866">W1332*AD1332</f>
        <v>0.10068388087647459</v>
      </c>
      <c r="Y1332" s="5">
        <f t="shared" ref="Y1332:Y1344" si="867">DURATION(N1332,O1332,M1332,D1332,AD1332)</f>
        <v>6.7333382173916299</v>
      </c>
      <c r="Z1332" s="5">
        <f t="shared" ref="Z1332:Z1344" si="868">Y1332/(1+C1332)</f>
        <v>6.1174133049262727</v>
      </c>
      <c r="AA1332" s="5">
        <f t="shared" ref="AA1332:AA1344" si="869">-Z1332*F1332</f>
        <v>-6148.0003714509039</v>
      </c>
      <c r="AB1332" t="s">
        <v>64</v>
      </c>
      <c r="AC1332" t="s">
        <v>62</v>
      </c>
      <c r="AD1332">
        <f t="shared" ref="AD1332:AD1344" si="870">_xlfn.SWITCH(PROPER(TRIM(S1332)),
   "Annual",1,
   "Semi-Annual",2,
   "Quarterly",4,
   "Monthly",12,
   "")</f>
        <v>1</v>
      </c>
    </row>
    <row r="1333" spans="1:30" x14ac:dyDescent="0.35">
      <c r="A1333" t="s">
        <v>777</v>
      </c>
      <c r="B1333" t="s">
        <v>568</v>
      </c>
      <c r="C1333" s="36">
        <f t="shared" si="858"/>
        <v>4.8424902907798002E-2</v>
      </c>
      <c r="D1333" s="3">
        <f t="shared" si="859"/>
        <v>4.8424902907798002E-2</v>
      </c>
      <c r="F1333">
        <v>1448</v>
      </c>
      <c r="G1333" t="s">
        <v>76</v>
      </c>
      <c r="H1333">
        <v>1000</v>
      </c>
      <c r="I1333" s="22"/>
      <c r="J1333">
        <v>200</v>
      </c>
      <c r="K1333" s="22"/>
      <c r="L1333">
        <v>-1.3000295221627001</v>
      </c>
      <c r="M1333" s="22">
        <v>0.106</v>
      </c>
      <c r="N1333" s="21">
        <v>43469</v>
      </c>
      <c r="O1333" s="21">
        <v>47122</v>
      </c>
      <c r="P1333">
        <f t="shared" si="860"/>
        <v>10</v>
      </c>
      <c r="Q1333" s="6">
        <f t="shared" si="861"/>
        <v>7.3204419889502756E-2</v>
      </c>
      <c r="R1333" s="5">
        <f t="shared" si="862"/>
        <v>1</v>
      </c>
      <c r="S1333" t="s">
        <v>93</v>
      </c>
      <c r="U1333">
        <f t="shared" si="863"/>
        <v>10</v>
      </c>
      <c r="V1333">
        <f t="shared" si="864"/>
        <v>106</v>
      </c>
      <c r="W1333" s="28">
        <f t="shared" si="865"/>
        <v>4.8424902907798002E-2</v>
      </c>
      <c r="X1333" s="27">
        <f t="shared" si="866"/>
        <v>4.8424902907798002E-2</v>
      </c>
      <c r="Y1333" s="5">
        <f t="shared" si="867"/>
        <v>7.2153435357344353</v>
      </c>
      <c r="Z1333" s="5">
        <f t="shared" si="868"/>
        <v>6.8820795039518208</v>
      </c>
      <c r="AA1333" s="5">
        <f t="shared" si="869"/>
        <v>-9965.2511217222363</v>
      </c>
      <c r="AB1333" t="s">
        <v>64</v>
      </c>
      <c r="AC1333" t="s">
        <v>62</v>
      </c>
      <c r="AD1333">
        <f t="shared" si="870"/>
        <v>1</v>
      </c>
    </row>
    <row r="1334" spans="1:30" x14ac:dyDescent="0.35">
      <c r="A1334" t="s">
        <v>776</v>
      </c>
      <c r="B1334" t="s">
        <v>736</v>
      </c>
      <c r="C1334" s="36">
        <f t="shared" si="858"/>
        <v>9.3443165257296859E-2</v>
      </c>
      <c r="D1334" s="3">
        <f t="shared" si="859"/>
        <v>9.3443165257296859E-2</v>
      </c>
      <c r="F1334">
        <v>106241.57</v>
      </c>
      <c r="G1334" t="s">
        <v>76</v>
      </c>
      <c r="H1334">
        <v>100000</v>
      </c>
      <c r="I1334" s="22"/>
      <c r="J1334">
        <v>1</v>
      </c>
      <c r="K1334" s="22"/>
      <c r="L1334">
        <v>8.4392540936838003</v>
      </c>
      <c r="M1334" s="22">
        <v>0.1075</v>
      </c>
      <c r="N1334" s="21">
        <v>45112</v>
      </c>
      <c r="O1334" s="21">
        <v>47123</v>
      </c>
      <c r="P1334">
        <f t="shared" si="860"/>
        <v>6</v>
      </c>
      <c r="Q1334" s="6">
        <f t="shared" si="861"/>
        <v>0.10118449868540158</v>
      </c>
      <c r="R1334" s="5">
        <f t="shared" si="862"/>
        <v>1</v>
      </c>
      <c r="S1334" t="s">
        <v>93</v>
      </c>
      <c r="U1334">
        <f t="shared" si="863"/>
        <v>6</v>
      </c>
      <c r="V1334">
        <f t="shared" si="864"/>
        <v>10750</v>
      </c>
      <c r="W1334" s="28">
        <f t="shared" si="865"/>
        <v>9.3443165257296859E-2</v>
      </c>
      <c r="X1334" s="27">
        <f t="shared" si="866"/>
        <v>9.3443165257296859E-2</v>
      </c>
      <c r="Y1334" s="5">
        <f t="shared" si="867"/>
        <v>4.2603028909587684</v>
      </c>
      <c r="Z1334" s="5">
        <f t="shared" si="868"/>
        <v>3.8962270983295975</v>
      </c>
      <c r="AA1334" s="5">
        <f t="shared" si="869"/>
        <v>-413941.28400308086</v>
      </c>
      <c r="AB1334" t="s">
        <v>64</v>
      </c>
      <c r="AC1334" t="s">
        <v>62</v>
      </c>
      <c r="AD1334">
        <f t="shared" si="870"/>
        <v>1</v>
      </c>
    </row>
    <row r="1335" spans="1:30" x14ac:dyDescent="0.35">
      <c r="A1335" t="s">
        <v>775</v>
      </c>
      <c r="B1335" t="s">
        <v>734</v>
      </c>
      <c r="C1335" s="36">
        <f t="shared" si="858"/>
        <v>0.10755450030443753</v>
      </c>
      <c r="D1335" s="3">
        <f t="shared" si="859"/>
        <v>0.10755450030443753</v>
      </c>
      <c r="F1335">
        <v>857468</v>
      </c>
      <c r="G1335" t="s">
        <v>76</v>
      </c>
      <c r="H1335">
        <v>1000000</v>
      </c>
      <c r="I1335" s="22"/>
      <c r="J1335">
        <v>220</v>
      </c>
      <c r="K1335" s="22"/>
      <c r="L1335">
        <v>14.5044830758044</v>
      </c>
      <c r="M1335" s="22">
        <v>8.3599999999999994E-2</v>
      </c>
      <c r="N1335" s="21">
        <v>43472</v>
      </c>
      <c r="O1335" s="21">
        <v>47125</v>
      </c>
      <c r="P1335">
        <f t="shared" si="860"/>
        <v>10</v>
      </c>
      <c r="Q1335" s="6">
        <f t="shared" si="861"/>
        <v>9.7496349718006969E-2</v>
      </c>
      <c r="R1335" s="5">
        <f t="shared" si="862"/>
        <v>1</v>
      </c>
      <c r="S1335" t="s">
        <v>93</v>
      </c>
      <c r="U1335">
        <f t="shared" si="863"/>
        <v>10</v>
      </c>
      <c r="V1335">
        <f t="shared" si="864"/>
        <v>83600</v>
      </c>
      <c r="W1335" s="28">
        <f t="shared" si="865"/>
        <v>0.10755450030443753</v>
      </c>
      <c r="X1335" s="27">
        <f t="shared" si="866"/>
        <v>0.10755450030443753</v>
      </c>
      <c r="Y1335" s="5">
        <f t="shared" si="867"/>
        <v>6.9089603755742059</v>
      </c>
      <c r="Z1335" s="5">
        <f t="shared" si="868"/>
        <v>6.2380319647250895</v>
      </c>
      <c r="AA1335" s="5">
        <f t="shared" si="869"/>
        <v>-5348912.7927288935</v>
      </c>
      <c r="AB1335" t="s">
        <v>64</v>
      </c>
      <c r="AC1335" t="s">
        <v>62</v>
      </c>
      <c r="AD1335">
        <f t="shared" si="870"/>
        <v>1</v>
      </c>
    </row>
    <row r="1336" spans="1:30" x14ac:dyDescent="0.35">
      <c r="A1336" t="s">
        <v>774</v>
      </c>
      <c r="B1336" t="s">
        <v>72</v>
      </c>
      <c r="C1336" s="36">
        <f t="shared" si="858"/>
        <v>9.5592531351441246E-2</v>
      </c>
      <c r="D1336" s="3">
        <f t="shared" si="859"/>
        <v>9.5592531351441246E-2</v>
      </c>
      <c r="F1336">
        <v>927400</v>
      </c>
      <c r="G1336" t="s">
        <v>76</v>
      </c>
      <c r="H1336">
        <v>1000000</v>
      </c>
      <c r="I1336" s="22"/>
      <c r="J1336">
        <v>2</v>
      </c>
      <c r="K1336" s="22"/>
      <c r="L1336">
        <v>10.197781094189899</v>
      </c>
      <c r="M1336" s="22">
        <v>8.4000000000000005E-2</v>
      </c>
      <c r="N1336" s="21">
        <v>43473</v>
      </c>
      <c r="O1336" s="21">
        <v>47126</v>
      </c>
      <c r="P1336">
        <f t="shared" si="860"/>
        <v>10</v>
      </c>
      <c r="Q1336" s="6">
        <f t="shared" si="861"/>
        <v>9.0575803321112786E-2</v>
      </c>
      <c r="R1336" s="5">
        <f t="shared" si="862"/>
        <v>1</v>
      </c>
      <c r="S1336" t="s">
        <v>93</v>
      </c>
      <c r="U1336">
        <f t="shared" si="863"/>
        <v>10</v>
      </c>
      <c r="V1336">
        <f t="shared" si="864"/>
        <v>84000</v>
      </c>
      <c r="W1336" s="28">
        <f t="shared" si="865"/>
        <v>9.5592531351441246E-2</v>
      </c>
      <c r="X1336" s="27">
        <f t="shared" si="866"/>
        <v>9.5592531351441246E-2</v>
      </c>
      <c r="Y1336" s="5">
        <f t="shared" si="867"/>
        <v>7.0260349359121248</v>
      </c>
      <c r="Z1336" s="5">
        <f t="shared" si="868"/>
        <v>6.4130000295322684</v>
      </c>
      <c r="AA1336" s="5">
        <f t="shared" si="869"/>
        <v>-5947416.2273882255</v>
      </c>
      <c r="AB1336" t="s">
        <v>64</v>
      </c>
      <c r="AC1336" t="s">
        <v>62</v>
      </c>
      <c r="AD1336">
        <f t="shared" si="870"/>
        <v>1</v>
      </c>
    </row>
    <row r="1337" spans="1:30" x14ac:dyDescent="0.35">
      <c r="A1337" t="s">
        <v>773</v>
      </c>
      <c r="B1337" t="s">
        <v>772</v>
      </c>
      <c r="C1337" s="36">
        <f t="shared" si="858"/>
        <v>2.3994059044102494E-2</v>
      </c>
      <c r="D1337" s="3">
        <f t="shared" si="859"/>
        <v>4.7988118088204988E-2</v>
      </c>
      <c r="F1337">
        <v>1008.85</v>
      </c>
      <c r="G1337" t="s">
        <v>66</v>
      </c>
      <c r="H1337">
        <v>1000</v>
      </c>
      <c r="I1337" s="22"/>
      <c r="J1337">
        <v>800000</v>
      </c>
      <c r="K1337" s="22"/>
      <c r="M1337" s="22">
        <v>0.05</v>
      </c>
      <c r="N1337" s="21">
        <v>45308</v>
      </c>
      <c r="O1337" s="21">
        <v>47135</v>
      </c>
      <c r="P1337">
        <f t="shared" si="860"/>
        <v>5</v>
      </c>
      <c r="Q1337" s="6">
        <f t="shared" si="861"/>
        <v>4.9561381771323784E-2</v>
      </c>
      <c r="R1337" s="5">
        <f t="shared" si="862"/>
        <v>2</v>
      </c>
      <c r="S1337" t="s">
        <v>65</v>
      </c>
      <c r="U1337">
        <f t="shared" si="863"/>
        <v>10</v>
      </c>
      <c r="V1337">
        <f t="shared" si="864"/>
        <v>25</v>
      </c>
      <c r="W1337" s="28">
        <f t="shared" si="865"/>
        <v>2.3994059044102494E-2</v>
      </c>
      <c r="X1337" s="27">
        <f t="shared" si="866"/>
        <v>4.7988118088204988E-2</v>
      </c>
      <c r="Y1337" s="5">
        <f t="shared" si="867"/>
        <v>4.4881656421881821</v>
      </c>
      <c r="Z1337" s="5">
        <f t="shared" si="868"/>
        <v>4.3829996888633129</v>
      </c>
      <c r="AA1337" s="5">
        <f t="shared" si="869"/>
        <v>-4421.7892361097529</v>
      </c>
      <c r="AB1337" t="s">
        <v>64</v>
      </c>
      <c r="AC1337" t="s">
        <v>62</v>
      </c>
      <c r="AD1337">
        <f t="shared" si="870"/>
        <v>2</v>
      </c>
    </row>
    <row r="1338" spans="1:30" x14ac:dyDescent="0.35">
      <c r="A1338" t="s">
        <v>771</v>
      </c>
      <c r="B1338" t="s">
        <v>157</v>
      </c>
      <c r="C1338" s="36">
        <f t="shared" si="858"/>
        <v>9.2600000000001986E-2</v>
      </c>
      <c r="D1338" s="3">
        <f t="shared" si="859"/>
        <v>9.2600000000001986E-2</v>
      </c>
      <c r="F1338">
        <v>1000</v>
      </c>
      <c r="G1338" t="s">
        <v>76</v>
      </c>
      <c r="H1338">
        <v>1000</v>
      </c>
      <c r="I1338" s="22"/>
      <c r="J1338">
        <v>20</v>
      </c>
      <c r="K1338" s="22"/>
      <c r="L1338">
        <v>9.26</v>
      </c>
      <c r="M1338" s="22">
        <v>9.2600000000000002E-2</v>
      </c>
      <c r="N1338" s="21">
        <v>45309</v>
      </c>
      <c r="O1338" s="21">
        <v>47136</v>
      </c>
      <c r="P1338">
        <f t="shared" si="860"/>
        <v>5</v>
      </c>
      <c r="Q1338" s="6">
        <f t="shared" si="861"/>
        <v>9.2600000000000002E-2</v>
      </c>
      <c r="R1338" s="5">
        <f t="shared" si="862"/>
        <v>1</v>
      </c>
      <c r="S1338" t="s">
        <v>93</v>
      </c>
      <c r="U1338">
        <f t="shared" si="863"/>
        <v>5</v>
      </c>
      <c r="V1338">
        <f t="shared" si="864"/>
        <v>92.600000000000009</v>
      </c>
      <c r="W1338" s="28">
        <f t="shared" si="865"/>
        <v>9.2600000000001986E-2</v>
      </c>
      <c r="X1338" s="27">
        <f t="shared" si="866"/>
        <v>9.2600000000001986E-2</v>
      </c>
      <c r="Y1338" s="5">
        <f t="shared" si="867"/>
        <v>4.2213170537240412</v>
      </c>
      <c r="Z1338" s="5">
        <f t="shared" si="868"/>
        <v>3.8635521267838491</v>
      </c>
      <c r="AA1338" s="5">
        <f t="shared" si="869"/>
        <v>-3863.552126783849</v>
      </c>
      <c r="AB1338" t="s">
        <v>64</v>
      </c>
      <c r="AC1338" t="s">
        <v>62</v>
      </c>
      <c r="AD1338">
        <f t="shared" si="870"/>
        <v>1</v>
      </c>
    </row>
    <row r="1339" spans="1:30" x14ac:dyDescent="0.35">
      <c r="A1339" t="s">
        <v>770</v>
      </c>
      <c r="B1339" t="s">
        <v>145</v>
      </c>
      <c r="C1339" s="36">
        <f t="shared" si="858"/>
        <v>0.12189476572328214</v>
      </c>
      <c r="D1339" s="3">
        <f t="shared" si="859"/>
        <v>0.12189476572328214</v>
      </c>
      <c r="F1339">
        <v>840.79998999999998</v>
      </c>
      <c r="G1339" t="s">
        <v>76</v>
      </c>
      <c r="H1339">
        <v>1000</v>
      </c>
      <c r="I1339" s="22"/>
      <c r="J1339">
        <v>1600</v>
      </c>
      <c r="K1339" s="22"/>
      <c r="L1339">
        <v>14.051251270211001</v>
      </c>
      <c r="M1339" s="22">
        <v>9.35E-2</v>
      </c>
      <c r="N1339" s="21">
        <v>43483</v>
      </c>
      <c r="O1339" s="21">
        <v>47136</v>
      </c>
      <c r="P1339">
        <f t="shared" si="860"/>
        <v>10</v>
      </c>
      <c r="Q1339" s="6">
        <f t="shared" si="861"/>
        <v>0.11120361692677946</v>
      </c>
      <c r="R1339" s="5">
        <f t="shared" si="862"/>
        <v>1</v>
      </c>
      <c r="S1339" t="s">
        <v>93</v>
      </c>
      <c r="U1339">
        <f t="shared" si="863"/>
        <v>10</v>
      </c>
      <c r="V1339">
        <f t="shared" si="864"/>
        <v>93.5</v>
      </c>
      <c r="W1339" s="28">
        <f t="shared" si="865"/>
        <v>0.12189476572328214</v>
      </c>
      <c r="X1339" s="27">
        <f t="shared" si="866"/>
        <v>0.12189476572328214</v>
      </c>
      <c r="Y1339" s="5">
        <f t="shared" si="867"/>
        <v>6.6154797031175487</v>
      </c>
      <c r="Z1339" s="5">
        <f t="shared" si="868"/>
        <v>5.8967025297177225</v>
      </c>
      <c r="AA1339" s="5">
        <f t="shared" si="869"/>
        <v>-4957.9474280196355</v>
      </c>
      <c r="AB1339" t="s">
        <v>64</v>
      </c>
      <c r="AC1339" t="s">
        <v>62</v>
      </c>
      <c r="AD1339">
        <f t="shared" si="870"/>
        <v>1</v>
      </c>
    </row>
    <row r="1340" spans="1:30" x14ac:dyDescent="0.35">
      <c r="A1340" t="s">
        <v>769</v>
      </c>
      <c r="B1340" t="s">
        <v>157</v>
      </c>
      <c r="C1340" s="36">
        <f t="shared" si="858"/>
        <v>9.6600000000000019E-2</v>
      </c>
      <c r="D1340" s="3">
        <f t="shared" si="859"/>
        <v>9.6600000000000019E-2</v>
      </c>
      <c r="F1340">
        <v>1000</v>
      </c>
      <c r="G1340" t="s">
        <v>76</v>
      </c>
      <c r="H1340">
        <v>1000</v>
      </c>
      <c r="I1340" s="22"/>
      <c r="J1340">
        <v>37</v>
      </c>
      <c r="K1340" s="22"/>
      <c r="L1340">
        <v>9.66</v>
      </c>
      <c r="M1340" s="22">
        <v>9.6600000000000005E-2</v>
      </c>
      <c r="N1340" s="21">
        <v>45309</v>
      </c>
      <c r="O1340" s="21">
        <v>47136</v>
      </c>
      <c r="P1340">
        <f t="shared" si="860"/>
        <v>5</v>
      </c>
      <c r="Q1340" s="6">
        <f t="shared" si="861"/>
        <v>9.6600000000000005E-2</v>
      </c>
      <c r="R1340" s="5">
        <f t="shared" si="862"/>
        <v>1</v>
      </c>
      <c r="S1340" t="s">
        <v>93</v>
      </c>
      <c r="U1340">
        <f t="shared" si="863"/>
        <v>5</v>
      </c>
      <c r="V1340">
        <f t="shared" si="864"/>
        <v>96.600000000000009</v>
      </c>
      <c r="W1340" s="28">
        <f t="shared" si="865"/>
        <v>9.6600000000000019E-2</v>
      </c>
      <c r="X1340" s="27">
        <f t="shared" si="866"/>
        <v>9.6600000000000019E-2</v>
      </c>
      <c r="Y1340" s="5">
        <f t="shared" si="867"/>
        <v>4.1933370173799061</v>
      </c>
      <c r="Z1340" s="5">
        <f t="shared" si="868"/>
        <v>3.8239440246032337</v>
      </c>
      <c r="AA1340" s="5">
        <f t="shared" si="869"/>
        <v>-3823.9440246032336</v>
      </c>
      <c r="AB1340" t="s">
        <v>64</v>
      </c>
      <c r="AC1340" t="s">
        <v>62</v>
      </c>
      <c r="AD1340">
        <f t="shared" si="870"/>
        <v>1</v>
      </c>
    </row>
    <row r="1341" spans="1:30" x14ac:dyDescent="0.35">
      <c r="A1341" t="s">
        <v>768</v>
      </c>
      <c r="B1341" t="s">
        <v>145</v>
      </c>
      <c r="C1341" s="36">
        <f t="shared" si="858"/>
        <v>8.2933030606177835E-2</v>
      </c>
      <c r="D1341" s="3">
        <f t="shared" si="859"/>
        <v>8.2933030606177835E-2</v>
      </c>
      <c r="F1341">
        <v>1079.9100000000001</v>
      </c>
      <c r="G1341" t="s">
        <v>76</v>
      </c>
      <c r="H1341">
        <v>1000</v>
      </c>
      <c r="I1341" s="22"/>
      <c r="J1341">
        <v>130</v>
      </c>
      <c r="K1341" s="22"/>
      <c r="L1341">
        <v>6.6786865499503199</v>
      </c>
      <c r="M1341" s="22">
        <v>9.5000000000000001E-2</v>
      </c>
      <c r="N1341" s="21">
        <v>43483</v>
      </c>
      <c r="O1341" s="21">
        <v>47136</v>
      </c>
      <c r="P1341">
        <f t="shared" si="860"/>
        <v>10</v>
      </c>
      <c r="Q1341" s="6">
        <f t="shared" si="861"/>
        <v>8.7970293820781351E-2</v>
      </c>
      <c r="R1341" s="5">
        <f t="shared" si="862"/>
        <v>1</v>
      </c>
      <c r="S1341" t="s">
        <v>93</v>
      </c>
      <c r="U1341">
        <f t="shared" si="863"/>
        <v>10</v>
      </c>
      <c r="V1341">
        <f t="shared" si="864"/>
        <v>95</v>
      </c>
      <c r="W1341" s="28">
        <f t="shared" si="865"/>
        <v>8.2933030606177835E-2</v>
      </c>
      <c r="X1341" s="27">
        <f t="shared" si="866"/>
        <v>8.2933030606177835E-2</v>
      </c>
      <c r="Y1341" s="5">
        <f t="shared" si="867"/>
        <v>6.9996039093105757</v>
      </c>
      <c r="Z1341" s="5">
        <f t="shared" si="868"/>
        <v>6.4635611912146675</v>
      </c>
      <c r="AA1341" s="5">
        <f t="shared" si="869"/>
        <v>-6980.0643660046326</v>
      </c>
      <c r="AB1341" t="s">
        <v>64</v>
      </c>
      <c r="AC1341" t="s">
        <v>62</v>
      </c>
      <c r="AD1341">
        <f t="shared" si="870"/>
        <v>1</v>
      </c>
    </row>
    <row r="1342" spans="1:30" x14ac:dyDescent="0.35">
      <c r="A1342" t="s">
        <v>767</v>
      </c>
      <c r="B1342" t="s">
        <v>766</v>
      </c>
      <c r="C1342" s="36">
        <f t="shared" si="858"/>
        <v>2.6828971374619176E-2</v>
      </c>
      <c r="D1342" s="3">
        <f t="shared" si="859"/>
        <v>5.3657942749238352E-2</v>
      </c>
      <c r="F1342">
        <v>976</v>
      </c>
      <c r="G1342" t="s">
        <v>66</v>
      </c>
      <c r="H1342">
        <v>1000</v>
      </c>
      <c r="I1342" s="22"/>
      <c r="J1342">
        <v>200000</v>
      </c>
      <c r="K1342" s="22"/>
      <c r="M1342" s="22">
        <v>4.9500000000000002E-2</v>
      </c>
      <c r="N1342" s="21">
        <v>44582</v>
      </c>
      <c r="O1342" s="21">
        <v>47139</v>
      </c>
      <c r="P1342">
        <f t="shared" si="860"/>
        <v>7</v>
      </c>
      <c r="Q1342" s="6">
        <f t="shared" si="861"/>
        <v>5.0717213114754099E-2</v>
      </c>
      <c r="R1342" s="5">
        <f t="shared" si="862"/>
        <v>2</v>
      </c>
      <c r="S1342" t="s">
        <v>65</v>
      </c>
      <c r="U1342">
        <f t="shared" si="863"/>
        <v>14</v>
      </c>
      <c r="V1342">
        <f t="shared" si="864"/>
        <v>24.75</v>
      </c>
      <c r="W1342" s="28">
        <f t="shared" si="865"/>
        <v>2.6828971374619176E-2</v>
      </c>
      <c r="X1342" s="27">
        <f t="shared" si="866"/>
        <v>5.3657942749238352E-2</v>
      </c>
      <c r="Y1342" s="5">
        <f t="shared" si="867"/>
        <v>5.9857532928544863</v>
      </c>
      <c r="Z1342" s="5">
        <f t="shared" si="868"/>
        <v>5.8293576240270459</v>
      </c>
      <c r="AA1342" s="5">
        <f t="shared" si="869"/>
        <v>-5689.4530410503967</v>
      </c>
      <c r="AB1342" t="s">
        <v>69</v>
      </c>
      <c r="AC1342" t="s">
        <v>62</v>
      </c>
      <c r="AD1342">
        <f t="shared" si="870"/>
        <v>2</v>
      </c>
    </row>
    <row r="1343" spans="1:30" x14ac:dyDescent="0.35">
      <c r="A1343" t="s">
        <v>765</v>
      </c>
      <c r="B1343" t="s">
        <v>171</v>
      </c>
      <c r="C1343" s="36">
        <f t="shared" si="858"/>
        <v>7.3152919032966834E-2</v>
      </c>
      <c r="D1343" s="3">
        <f t="shared" si="859"/>
        <v>7.3152919032966834E-2</v>
      </c>
      <c r="F1343">
        <v>1104</v>
      </c>
      <c r="G1343" t="s">
        <v>76</v>
      </c>
      <c r="H1343">
        <v>1000</v>
      </c>
      <c r="I1343" s="22"/>
      <c r="J1343">
        <v>100</v>
      </c>
      <c r="K1343" s="22"/>
      <c r="L1343">
        <v>5.3131113506607504</v>
      </c>
      <c r="M1343" s="22">
        <v>8.48E-2</v>
      </c>
      <c r="N1343" s="21">
        <v>41661</v>
      </c>
      <c r="O1343" s="21">
        <v>47140</v>
      </c>
      <c r="P1343">
        <f t="shared" si="860"/>
        <v>15</v>
      </c>
      <c r="Q1343" s="6">
        <f t="shared" si="861"/>
        <v>7.6811594202898542E-2</v>
      </c>
      <c r="R1343" s="5">
        <f t="shared" si="862"/>
        <v>1</v>
      </c>
      <c r="S1343" t="s">
        <v>93</v>
      </c>
      <c r="U1343">
        <f t="shared" si="863"/>
        <v>15</v>
      </c>
      <c r="V1343">
        <f t="shared" si="864"/>
        <v>84.8</v>
      </c>
      <c r="W1343" s="28">
        <f t="shared" si="865"/>
        <v>7.3152919032966834E-2</v>
      </c>
      <c r="X1343" s="27">
        <f t="shared" si="866"/>
        <v>7.3152919032966834E-2</v>
      </c>
      <c r="Y1343" s="5">
        <f t="shared" si="867"/>
        <v>9.3115262600301207</v>
      </c>
      <c r="Z1343" s="5">
        <f t="shared" si="868"/>
        <v>8.676793488500099</v>
      </c>
      <c r="AA1343" s="5">
        <f t="shared" si="869"/>
        <v>-9579.1800113041099</v>
      </c>
      <c r="AB1343" t="s">
        <v>64</v>
      </c>
      <c r="AC1343" t="s">
        <v>62</v>
      </c>
      <c r="AD1343">
        <f t="shared" si="870"/>
        <v>1</v>
      </c>
    </row>
    <row r="1344" spans="1:30" x14ac:dyDescent="0.35">
      <c r="A1344" t="s">
        <v>764</v>
      </c>
      <c r="B1344" t="s">
        <v>171</v>
      </c>
      <c r="C1344" s="36">
        <f t="shared" si="858"/>
        <v>7.0838410166428986E-2</v>
      </c>
      <c r="D1344" s="3">
        <f t="shared" si="859"/>
        <v>7.0838410166428986E-2</v>
      </c>
      <c r="F1344">
        <v>1149.1400000000001</v>
      </c>
      <c r="G1344" t="s">
        <v>76</v>
      </c>
      <c r="H1344">
        <v>1000</v>
      </c>
      <c r="I1344" s="22"/>
      <c r="J1344">
        <v>50</v>
      </c>
      <c r="K1344" s="22"/>
      <c r="L1344">
        <v>3.9162424076359699</v>
      </c>
      <c r="M1344" s="22">
        <v>8.7300000000000003E-2</v>
      </c>
      <c r="N1344" s="21">
        <v>41661</v>
      </c>
      <c r="O1344" s="21">
        <v>47140</v>
      </c>
      <c r="P1344">
        <f t="shared" si="860"/>
        <v>15</v>
      </c>
      <c r="Q1344" s="6">
        <f t="shared" si="861"/>
        <v>7.5969855718189247E-2</v>
      </c>
      <c r="R1344" s="5">
        <f t="shared" si="862"/>
        <v>1</v>
      </c>
      <c r="S1344" t="s">
        <v>93</v>
      </c>
      <c r="U1344">
        <f t="shared" si="863"/>
        <v>15</v>
      </c>
      <c r="V1344">
        <f t="shared" si="864"/>
        <v>87.3</v>
      </c>
      <c r="W1344" s="28">
        <f t="shared" si="865"/>
        <v>7.0838410166428986E-2</v>
      </c>
      <c r="X1344" s="27">
        <f t="shared" si="866"/>
        <v>7.0838410166428986E-2</v>
      </c>
      <c r="Y1344" s="5">
        <f t="shared" si="867"/>
        <v>9.3178609483314396</v>
      </c>
      <c r="Z1344" s="5">
        <f t="shared" si="868"/>
        <v>8.7014631338105097</v>
      </c>
      <c r="AA1344" s="5">
        <f t="shared" si="869"/>
        <v>-9999.1993455870106</v>
      </c>
      <c r="AB1344" t="s">
        <v>64</v>
      </c>
      <c r="AC1344" t="s">
        <v>62</v>
      </c>
      <c r="AD1344">
        <f t="shared" si="870"/>
        <v>1</v>
      </c>
    </row>
    <row r="1345" spans="1:30" x14ac:dyDescent="0.35">
      <c r="C1345" s="28"/>
      <c r="D1345" s="27"/>
      <c r="I1345" s="22"/>
      <c r="K1345" s="22"/>
      <c r="M1345" s="22"/>
      <c r="N1345" s="21"/>
      <c r="O1345" s="21"/>
      <c r="P1345" s="5"/>
      <c r="Q1345" s="6"/>
      <c r="R1345" s="5"/>
      <c r="W1345" s="28"/>
      <c r="Y1345" s="33"/>
      <c r="Z1345" s="33"/>
      <c r="AA1345" s="33"/>
    </row>
    <row r="1346" spans="1:30" x14ac:dyDescent="0.35">
      <c r="A1346" t="s">
        <v>762</v>
      </c>
      <c r="B1346" t="s">
        <v>272</v>
      </c>
      <c r="C1346" s="36">
        <f>RATE(U1346,V1346,-F1346,H1346)</f>
        <v>7.5122554652414505E-2</v>
      </c>
      <c r="D1346" s="3">
        <f>C1346*AD1346</f>
        <v>7.5122554652414505E-2</v>
      </c>
      <c r="F1346">
        <v>1039.95</v>
      </c>
      <c r="G1346" t="s">
        <v>76</v>
      </c>
      <c r="H1346">
        <v>1000</v>
      </c>
      <c r="I1346" s="22"/>
      <c r="J1346">
        <v>50</v>
      </c>
      <c r="K1346" s="22"/>
      <c r="L1346">
        <v>7.0814459238170198</v>
      </c>
      <c r="M1346" s="22">
        <v>8.5000000000000006E-2</v>
      </c>
      <c r="N1346" s="21">
        <v>45316</v>
      </c>
      <c r="O1346" s="21">
        <v>47143</v>
      </c>
      <c r="P1346">
        <f>ROUND(YEARFRAC(N1346,O1346),0)</f>
        <v>5</v>
      </c>
      <c r="Q1346" s="6">
        <f>(M1346*H1346)/F1346</f>
        <v>8.1734698783595364E-2</v>
      </c>
      <c r="R1346" s="5">
        <f>IF(S1346="Quarterly",4,IF(S1346="Semi-annual",2,IF(S1346="Annual",1,IF(S1346="Pays at maturity",0,12))))</f>
        <v>1</v>
      </c>
      <c r="S1346" t="s">
        <v>93</v>
      </c>
      <c r="U1346">
        <f>R1346*P1346</f>
        <v>5</v>
      </c>
      <c r="V1346">
        <f>(H1346*M1346)/AD1346</f>
        <v>85</v>
      </c>
      <c r="W1346" s="28">
        <f>RATE(U1346,V1346,-F1346,H1346)</f>
        <v>7.5122554652414505E-2</v>
      </c>
      <c r="X1346" s="27">
        <f>W1346*AD1346</f>
        <v>7.5122554652414505E-2</v>
      </c>
      <c r="Y1346" s="5">
        <f>DURATION(N1346,O1346,M1346,D1346,AD1346)</f>
        <v>4.2910543169778572</v>
      </c>
      <c r="Z1346" s="5">
        <f>Y1346/(1+C1346)</f>
        <v>3.9912234176550676</v>
      </c>
      <c r="AA1346" s="5">
        <f>-Z1346*F1346</f>
        <v>-4150.6727931903879</v>
      </c>
      <c r="AB1346" t="s">
        <v>64</v>
      </c>
      <c r="AC1346" t="s">
        <v>62</v>
      </c>
      <c r="AD1346">
        <f>_xlfn.SWITCH(PROPER(TRIM(S1346)),
   "Annual",1,
   "Semi-Annual",2,
   "Quarterly",4,
   "Monthly",12,
   "")</f>
        <v>1</v>
      </c>
    </row>
    <row r="1347" spans="1:30" x14ac:dyDescent="0.35">
      <c r="A1347" t="s">
        <v>761</v>
      </c>
      <c r="B1347" t="s">
        <v>272</v>
      </c>
      <c r="C1347" s="36">
        <f>RATE(U1347,V1347,-F1347,H1347)</f>
        <v>8.5037909090778005E-2</v>
      </c>
      <c r="D1347" s="3">
        <f>C1347*AD1347</f>
        <v>8.5037909090778005E-2</v>
      </c>
      <c r="F1347">
        <v>990</v>
      </c>
      <c r="G1347" t="s">
        <v>76</v>
      </c>
      <c r="H1347">
        <v>1000</v>
      </c>
      <c r="I1347" s="22"/>
      <c r="J1347">
        <v>18</v>
      </c>
      <c r="K1347" s="22"/>
      <c r="L1347">
        <v>8.6209205943995304</v>
      </c>
      <c r="M1347" s="22">
        <v>8.2500000000000004E-2</v>
      </c>
      <c r="N1347" s="21">
        <v>45316</v>
      </c>
      <c r="O1347" s="21">
        <v>47143</v>
      </c>
      <c r="P1347">
        <f>ROUND(YEARFRAC(N1347,O1347),0)</f>
        <v>5</v>
      </c>
      <c r="Q1347" s="6">
        <f>(M1347*H1347)/F1347</f>
        <v>8.3333333333333329E-2</v>
      </c>
      <c r="R1347" s="5">
        <f>IF(S1347="Quarterly",4,IF(S1347="Semi-annual",2,IF(S1347="Annual",1,IF(S1347="Pays at maturity",0,12))))</f>
        <v>1</v>
      </c>
      <c r="S1347" t="s">
        <v>93</v>
      </c>
      <c r="U1347">
        <f>R1347*P1347</f>
        <v>5</v>
      </c>
      <c r="V1347">
        <f>(H1347*M1347)/AD1347</f>
        <v>82.5</v>
      </c>
      <c r="W1347" s="28">
        <f>RATE(U1347,V1347,-F1347,H1347)</f>
        <v>8.5037909090778005E-2</v>
      </c>
      <c r="X1347" s="27">
        <f>W1347*AD1347</f>
        <v>8.5037909090778005E-2</v>
      </c>
      <c r="Y1347" s="5">
        <f>DURATION(N1347,O1347,M1347,D1347,AD1347)</f>
        <v>4.2898482945326268</v>
      </c>
      <c r="Z1347" s="5">
        <f>Y1347/(1+C1347)</f>
        <v>3.9536390927828156</v>
      </c>
      <c r="AA1347" s="5">
        <f>-Z1347*F1347</f>
        <v>-3914.1027018549876</v>
      </c>
      <c r="AB1347" t="s">
        <v>64</v>
      </c>
      <c r="AC1347" t="s">
        <v>62</v>
      </c>
      <c r="AD1347">
        <f>_xlfn.SWITCH(PROPER(TRIM(S1347)),
   "Annual",1,
   "Semi-Annual",2,
   "Quarterly",4,
   "Monthly",12,
   "")</f>
        <v>1</v>
      </c>
    </row>
    <row r="1348" spans="1:30" x14ac:dyDescent="0.35">
      <c r="C1348" s="28"/>
      <c r="D1348" s="27"/>
      <c r="I1348" s="22"/>
      <c r="K1348" s="22"/>
      <c r="M1348" s="22"/>
      <c r="N1348" s="21"/>
      <c r="O1348" s="21"/>
      <c r="P1348" s="5"/>
      <c r="Q1348" s="6"/>
      <c r="R1348" s="5"/>
      <c r="W1348" s="28"/>
      <c r="Y1348" s="33"/>
      <c r="Z1348" s="33"/>
      <c r="AA1348" s="33"/>
    </row>
    <row r="1349" spans="1:30" x14ac:dyDescent="0.35">
      <c r="A1349" t="s">
        <v>759</v>
      </c>
      <c r="B1349" t="s">
        <v>241</v>
      </c>
      <c r="C1349" s="36">
        <f>RATE(U1349,V1349,-F1349,H1349)</f>
        <v>9.7907985610978174E-2</v>
      </c>
      <c r="D1349" s="3">
        <f>C1349*AD1349</f>
        <v>9.7907985610978174E-2</v>
      </c>
      <c r="F1349">
        <v>998</v>
      </c>
      <c r="G1349" t="s">
        <v>76</v>
      </c>
      <c r="H1349">
        <v>1000</v>
      </c>
      <c r="I1349" s="22"/>
      <c r="J1349">
        <v>395</v>
      </c>
      <c r="K1349" s="22"/>
      <c r="L1349">
        <v>9.8263738043297106</v>
      </c>
      <c r="M1349" s="22">
        <v>9.7500000000000003E-2</v>
      </c>
      <c r="N1349" s="21">
        <v>44498</v>
      </c>
      <c r="O1349" s="21">
        <v>47147</v>
      </c>
      <c r="P1349">
        <f>ROUND(YEARFRAC(N1349,O1349),0)</f>
        <v>7</v>
      </c>
      <c r="Q1349" s="6">
        <f>(M1349*H1349)/F1349</f>
        <v>9.7695390781563127E-2</v>
      </c>
      <c r="R1349" s="5">
        <f>IF(S1349="Quarterly",4,IF(S1349="Semi-annual",2,IF(S1349="Annual",1,IF(S1349="Pays at maturity",0,12))))</f>
        <v>1</v>
      </c>
      <c r="S1349" t="s">
        <v>93</v>
      </c>
      <c r="U1349">
        <f>R1349*P1349</f>
        <v>7</v>
      </c>
      <c r="V1349">
        <f>(H1349*M1349)/AD1349</f>
        <v>97.5</v>
      </c>
      <c r="W1349" s="28">
        <f>RATE(U1349,V1349,-F1349,H1349)</f>
        <v>9.7907985610978174E-2</v>
      </c>
      <c r="X1349" s="27">
        <f>W1349*AD1349</f>
        <v>9.7907985610978174E-2</v>
      </c>
      <c r="Y1349" s="5">
        <f>DURATION(N1349,O1349,M1349,D1349,AD1349)</f>
        <v>5.1562835012699608</v>
      </c>
      <c r="Z1349" s="5">
        <f>Y1349/(1+C1349)</f>
        <v>4.6964623345922067</v>
      </c>
      <c r="AA1349" s="5">
        <f>-Z1349*F1349</f>
        <v>-4687.0694099230222</v>
      </c>
      <c r="AB1349" t="s">
        <v>64</v>
      </c>
      <c r="AC1349" t="s">
        <v>62</v>
      </c>
      <c r="AD1349">
        <f>_xlfn.SWITCH(PROPER(TRIM(S1349)),
   "Annual",1,
   "Semi-Annual",2,
   "Quarterly",4,
   "Monthly",12,
   "")</f>
        <v>1</v>
      </c>
    </row>
    <row r="1350" spans="1:30" x14ac:dyDescent="0.35">
      <c r="A1350" t="s">
        <v>758</v>
      </c>
      <c r="B1350" t="s">
        <v>122</v>
      </c>
      <c r="C1350" s="36">
        <f>RATE(U1350,V1350,-F1350,H1350)</f>
        <v>9.9682083664211052E-2</v>
      </c>
      <c r="D1350" s="3">
        <f>C1350*AD1350</f>
        <v>9.9682083664211052E-2</v>
      </c>
      <c r="F1350">
        <v>1005</v>
      </c>
      <c r="G1350" t="s">
        <v>76</v>
      </c>
      <c r="H1350">
        <v>1000</v>
      </c>
      <c r="I1350" s="22"/>
      <c r="J1350">
        <v>55</v>
      </c>
      <c r="K1350" s="22"/>
      <c r="L1350">
        <v>9.9092001293840397</v>
      </c>
      <c r="M1350" s="22">
        <v>0.10099999999999999</v>
      </c>
      <c r="N1350" s="21">
        <v>45320</v>
      </c>
      <c r="O1350" s="21">
        <v>47147</v>
      </c>
      <c r="P1350">
        <f>ROUND(YEARFRAC(N1350,O1350),0)</f>
        <v>5</v>
      </c>
      <c r="Q1350" s="6">
        <f>(M1350*H1350)/F1350</f>
        <v>0.10049751243781094</v>
      </c>
      <c r="R1350" s="5">
        <f>IF(S1350="Quarterly",4,IF(S1350="Semi-annual",2,IF(S1350="Annual",1,IF(S1350="Pays at maturity",0,12))))</f>
        <v>1</v>
      </c>
      <c r="S1350" t="s">
        <v>93</v>
      </c>
      <c r="U1350">
        <f>R1350*P1350</f>
        <v>5</v>
      </c>
      <c r="V1350">
        <f>(H1350*M1350)/AD1350</f>
        <v>100.99999999999999</v>
      </c>
      <c r="W1350" s="28">
        <f>RATE(U1350,V1350,-F1350,H1350)</f>
        <v>9.9682083664211052E-2</v>
      </c>
      <c r="X1350" s="27">
        <f>W1350*AD1350</f>
        <v>9.9682083664211052E-2</v>
      </c>
      <c r="Y1350" s="5">
        <f>DURATION(N1350,O1350,M1350,D1350,AD1350)</f>
        <v>4.1652752661684316</v>
      </c>
      <c r="Z1350" s="5">
        <f>Y1350/(1+C1350)</f>
        <v>3.78770858236543</v>
      </c>
      <c r="AA1350" s="5">
        <f>-Z1350*F1350</f>
        <v>-3806.6471252772571</v>
      </c>
      <c r="AB1350" t="s">
        <v>64</v>
      </c>
      <c r="AC1350" t="s">
        <v>62</v>
      </c>
      <c r="AD1350">
        <f>_xlfn.SWITCH(PROPER(TRIM(S1350)),
   "Annual",1,
   "Semi-Annual",2,
   "Quarterly",4,
   "Monthly",12,
   "")</f>
        <v>1</v>
      </c>
    </row>
    <row r="1351" spans="1:30" x14ac:dyDescent="0.35">
      <c r="C1351" s="28"/>
      <c r="D1351" s="27"/>
      <c r="I1351" s="22"/>
      <c r="K1351" s="22"/>
      <c r="M1351" s="22"/>
      <c r="N1351" s="21"/>
      <c r="O1351" s="21"/>
      <c r="P1351" s="5"/>
      <c r="Q1351" s="6"/>
      <c r="R1351" s="5"/>
      <c r="W1351" s="28"/>
      <c r="Y1351" s="33"/>
      <c r="Z1351" s="33"/>
      <c r="AA1351" s="33"/>
    </row>
    <row r="1352" spans="1:30" x14ac:dyDescent="0.35">
      <c r="A1352" t="s">
        <v>756</v>
      </c>
      <c r="B1352" t="s">
        <v>122</v>
      </c>
      <c r="C1352" s="36">
        <f>RATE(U1352,V1352,-F1352,H1352)</f>
        <v>0.10498206377250183</v>
      </c>
      <c r="D1352" s="3">
        <f>C1352*AD1352</f>
        <v>0.10498206377250183</v>
      </c>
      <c r="F1352">
        <v>969</v>
      </c>
      <c r="G1352" t="s">
        <v>76</v>
      </c>
      <c r="H1352">
        <v>1000</v>
      </c>
      <c r="I1352" s="22"/>
      <c r="J1352">
        <v>672</v>
      </c>
      <c r="K1352" s="22"/>
      <c r="L1352">
        <v>10.8873684531519</v>
      </c>
      <c r="M1352" s="22">
        <v>9.6699999999999994E-2</v>
      </c>
      <c r="N1352" s="21">
        <v>45320</v>
      </c>
      <c r="O1352" s="21">
        <v>47147</v>
      </c>
      <c r="P1352">
        <f>ROUND(YEARFRAC(N1352,O1352),0)</f>
        <v>5</v>
      </c>
      <c r="Q1352" s="6">
        <f>(M1352*H1352)/F1352</f>
        <v>9.9793601651186781E-2</v>
      </c>
      <c r="R1352" s="5">
        <f>IF(S1352="Quarterly",4,IF(S1352="Semi-annual",2,IF(S1352="Annual",1,IF(S1352="Pays at maturity",0,12))))</f>
        <v>1</v>
      </c>
      <c r="S1352" t="s">
        <v>93</v>
      </c>
      <c r="U1352">
        <f>R1352*P1352</f>
        <v>5</v>
      </c>
      <c r="V1352">
        <f>(H1352*M1352)/AD1352</f>
        <v>96.699999999999989</v>
      </c>
      <c r="W1352" s="28">
        <f>RATE(U1352,V1352,-F1352,H1352)</f>
        <v>0.10498206377250183</v>
      </c>
      <c r="X1352" s="27">
        <f>W1352*AD1352</f>
        <v>0.10498206377250183</v>
      </c>
      <c r="Y1352" s="5">
        <f>DURATION(N1352,O1352,M1352,D1352,AD1352)</f>
        <v>4.1786812085636598</v>
      </c>
      <c r="Z1352" s="5">
        <f>Y1352/(1+C1352)</f>
        <v>3.7816733371194191</v>
      </c>
      <c r="AA1352" s="5">
        <f>-Z1352*F1352</f>
        <v>-3664.441463668717</v>
      </c>
      <c r="AB1352" t="s">
        <v>64</v>
      </c>
      <c r="AC1352" t="s">
        <v>62</v>
      </c>
      <c r="AD1352">
        <f>_xlfn.SWITCH(PROPER(TRIM(S1352)),
   "Annual",1,
   "Semi-Annual",2,
   "Quarterly",4,
   "Monthly",12,
   "")</f>
        <v>1</v>
      </c>
    </row>
    <row r="1353" spans="1:30" x14ac:dyDescent="0.35">
      <c r="A1353" t="s">
        <v>755</v>
      </c>
      <c r="B1353" t="s">
        <v>754</v>
      </c>
      <c r="C1353" s="36">
        <f>RATE(U1353,V1353,-F1353,H1353)</f>
        <v>8.0621721859887002E-2</v>
      </c>
      <c r="D1353" s="3">
        <f>C1353*AD1353</f>
        <v>8.0621721859887002E-2</v>
      </c>
      <c r="F1353">
        <v>1099555.1000000001</v>
      </c>
      <c r="G1353" t="s">
        <v>76</v>
      </c>
      <c r="H1353">
        <v>1000000</v>
      </c>
      <c r="I1353" s="22"/>
      <c r="J1353">
        <v>1</v>
      </c>
      <c r="K1353" s="22"/>
      <c r="L1353">
        <v>6.5910624034224297</v>
      </c>
      <c r="M1353" s="22">
        <v>9.5500000000000002E-2</v>
      </c>
      <c r="N1353" s="21">
        <v>43494</v>
      </c>
      <c r="O1353" s="21">
        <v>47147</v>
      </c>
      <c r="P1353">
        <f>ROUND(YEARFRAC(N1353,O1353),0)</f>
        <v>10</v>
      </c>
      <c r="Q1353" s="6">
        <f>(M1353*H1353)/F1353</f>
        <v>8.6853310034212927E-2</v>
      </c>
      <c r="R1353" s="5">
        <f>IF(S1353="Quarterly",4,IF(S1353="Semi-annual",2,IF(S1353="Annual",1,IF(S1353="Pays at maturity",0,12))))</f>
        <v>1</v>
      </c>
      <c r="S1353" t="s">
        <v>93</v>
      </c>
      <c r="U1353">
        <f>R1353*P1353</f>
        <v>10</v>
      </c>
      <c r="V1353">
        <f>(H1353*M1353)/AD1353</f>
        <v>95500</v>
      </c>
      <c r="W1353" s="28">
        <f>RATE(U1353,V1353,-F1353,H1353)</f>
        <v>8.0621721859887002E-2</v>
      </c>
      <c r="X1353" s="27">
        <f>W1353*AD1353</f>
        <v>8.0621721859887002E-2</v>
      </c>
      <c r="Y1353" s="5">
        <f>DURATION(N1353,O1353,M1353,D1353,AD1353)</f>
        <v>7.0167244326097595</v>
      </c>
      <c r="Z1353" s="5">
        <f>Y1353/(1+C1353)</f>
        <v>6.493229120485462</v>
      </c>
      <c r="AA1353" s="5">
        <f>-Z1353*F1353</f>
        <v>-7139663.1948983045</v>
      </c>
      <c r="AB1353" t="s">
        <v>64</v>
      </c>
      <c r="AC1353" t="s">
        <v>62</v>
      </c>
      <c r="AD1353">
        <f>_xlfn.SWITCH(PROPER(TRIM(S1353)),
   "Annual",1,
   "Semi-Annual",2,
   "Quarterly",4,
   "Monthly",12,
   "")</f>
        <v>1</v>
      </c>
    </row>
    <row r="1354" spans="1:30" x14ac:dyDescent="0.35">
      <c r="A1354" t="s">
        <v>753</v>
      </c>
      <c r="B1354" t="s">
        <v>598</v>
      </c>
      <c r="C1354" s="36">
        <f>RATE(U1354,V1354,-F1354,H1354)</f>
        <v>2.4418352072041447E-2</v>
      </c>
      <c r="D1354" s="3">
        <f>C1354*AD1354</f>
        <v>9.7673408288165786E-2</v>
      </c>
      <c r="F1354">
        <v>100762.79</v>
      </c>
      <c r="G1354" t="s">
        <v>76</v>
      </c>
      <c r="H1354">
        <v>100000</v>
      </c>
      <c r="I1354" s="22"/>
      <c r="J1354">
        <v>1</v>
      </c>
      <c r="K1354" s="22"/>
      <c r="M1354" s="22">
        <v>0.1</v>
      </c>
      <c r="N1354" s="21">
        <v>45687</v>
      </c>
      <c r="O1354" s="21">
        <v>47148</v>
      </c>
      <c r="P1354">
        <f>ROUND(YEARFRAC(N1354,O1354),0)</f>
        <v>4</v>
      </c>
      <c r="Q1354" s="6">
        <f>(M1354*H1354)/F1354</f>
        <v>9.9242984438997775E-2</v>
      </c>
      <c r="R1354" s="5">
        <f>IF(S1354="Quarterly",4,IF(S1354="Semi-annual",2,IF(S1354="Annual",1,IF(S1354="Pays at maturity",0,12))))</f>
        <v>4</v>
      </c>
      <c r="S1354" t="s">
        <v>105</v>
      </c>
      <c r="U1354">
        <f>R1354*P1354</f>
        <v>16</v>
      </c>
      <c r="V1354">
        <f>(H1354*M1354)/AD1354</f>
        <v>2500</v>
      </c>
      <c r="W1354" s="28">
        <f>RATE(U1354,V1354,-F1354,H1354)</f>
        <v>2.4418352072041447E-2</v>
      </c>
      <c r="X1354" s="27">
        <f>W1354*AD1354</f>
        <v>9.7673408288165786E-2</v>
      </c>
      <c r="Y1354" s="5">
        <f>DURATION(N1354,O1354,M1354,D1354,AD1354)</f>
        <v>3.3483234289832322</v>
      </c>
      <c r="Z1354" s="5">
        <f>Y1354/(1+C1354)</f>
        <v>3.2685117581218073</v>
      </c>
      <c r="AA1354" s="5">
        <f>-Z1354*F1354</f>
        <v>-329344.36389615847</v>
      </c>
      <c r="AB1354" t="s">
        <v>64</v>
      </c>
      <c r="AC1354" t="s">
        <v>62</v>
      </c>
      <c r="AD1354">
        <f>_xlfn.SWITCH(PROPER(TRIM(S1354)),
   "Annual",1,
   "Semi-Annual",2,
   "Quarterly",4,
   "Monthly",12,
   "")</f>
        <v>4</v>
      </c>
    </row>
    <row r="1355" spans="1:30" x14ac:dyDescent="0.35">
      <c r="C1355" s="28"/>
      <c r="D1355" s="27"/>
      <c r="I1355" s="22"/>
      <c r="K1355" s="22"/>
      <c r="M1355" s="22"/>
      <c r="N1355" s="21"/>
      <c r="O1355" s="21"/>
      <c r="P1355" s="5"/>
      <c r="Q1355" s="6"/>
      <c r="R1355" s="5"/>
      <c r="W1355" s="28"/>
      <c r="Y1355" s="33"/>
      <c r="Z1355" s="33"/>
      <c r="AA1355" s="33"/>
    </row>
    <row r="1356" spans="1:30" x14ac:dyDescent="0.35">
      <c r="A1356" t="s">
        <v>751</v>
      </c>
      <c r="B1356" t="s">
        <v>241</v>
      </c>
      <c r="C1356" s="36">
        <f>RATE(U1356,V1356,-F1356,H1356)</f>
        <v>0.10147185171537866</v>
      </c>
      <c r="D1356" s="3">
        <f>C1356*AD1356</f>
        <v>0.10147185171537866</v>
      </c>
      <c r="F1356">
        <v>985</v>
      </c>
      <c r="G1356" t="s">
        <v>76</v>
      </c>
      <c r="H1356">
        <v>1000</v>
      </c>
      <c r="I1356" s="22"/>
      <c r="J1356">
        <v>2</v>
      </c>
      <c r="K1356" s="22"/>
      <c r="L1356">
        <v>10.3160861456787</v>
      </c>
      <c r="M1356" s="22">
        <v>9.7500000000000003E-2</v>
      </c>
      <c r="N1356" s="21">
        <v>45322</v>
      </c>
      <c r="O1356" s="21">
        <v>47149</v>
      </c>
      <c r="P1356">
        <f>ROUND(YEARFRAC(N1356,O1356),0)</f>
        <v>5</v>
      </c>
      <c r="Q1356" s="6">
        <f>(M1356*H1356)/F1356</f>
        <v>9.8984771573604066E-2</v>
      </c>
      <c r="R1356" s="5">
        <f>IF(S1356="Quarterly",4,IF(S1356="Semi-annual",2,IF(S1356="Annual",1,IF(S1356="Pays at maturity",0,12))))</f>
        <v>1</v>
      </c>
      <c r="S1356" t="s">
        <v>93</v>
      </c>
      <c r="U1356">
        <f>R1356*P1356</f>
        <v>5</v>
      </c>
      <c r="V1356">
        <f>(H1356*M1356)/AD1356</f>
        <v>97.5</v>
      </c>
      <c r="W1356" s="28">
        <f>RATE(U1356,V1356,-F1356,H1356)</f>
        <v>0.10147185171537866</v>
      </c>
      <c r="X1356" s="27">
        <f>W1356*AD1356</f>
        <v>0.10147185171537866</v>
      </c>
      <c r="Y1356" s="5">
        <f>DURATION(N1356,O1356,M1356,D1356,AD1356)</f>
        <v>4.1803857322036171</v>
      </c>
      <c r="Z1356" s="5">
        <f>Y1356/(1+C1356)</f>
        <v>3.7952724127205677</v>
      </c>
      <c r="AA1356" s="5">
        <f>-Z1356*F1356</f>
        <v>-3738.343326529759</v>
      </c>
      <c r="AB1356" t="s">
        <v>64</v>
      </c>
      <c r="AC1356" t="s">
        <v>62</v>
      </c>
      <c r="AD1356">
        <f>_xlfn.SWITCH(PROPER(TRIM(S1356)),
   "Annual",1,
   "Semi-Annual",2,
   "Quarterly",4,
   "Monthly",12,
   "")</f>
        <v>1</v>
      </c>
    </row>
    <row r="1357" spans="1:30" x14ac:dyDescent="0.35">
      <c r="A1357" t="s">
        <v>750</v>
      </c>
      <c r="B1357" t="s">
        <v>749</v>
      </c>
      <c r="C1357" s="36">
        <f>RATE(U1357,V1357,-F1357,H1357)</f>
        <v>0.12226592071704523</v>
      </c>
      <c r="D1357" s="3">
        <f>C1357*AD1357</f>
        <v>0.12226592071704523</v>
      </c>
      <c r="F1357">
        <v>870</v>
      </c>
      <c r="G1357" t="s">
        <v>76</v>
      </c>
      <c r="H1357">
        <v>1000</v>
      </c>
      <c r="I1357" s="22"/>
      <c r="J1357">
        <v>50</v>
      </c>
      <c r="K1357" s="22"/>
      <c r="L1357">
        <v>13.7586533437826</v>
      </c>
      <c r="M1357" s="22">
        <v>8.5999999999999993E-2</v>
      </c>
      <c r="N1357" s="21">
        <v>45322</v>
      </c>
      <c r="O1357" s="21">
        <v>47149</v>
      </c>
      <c r="P1357">
        <f>ROUND(YEARFRAC(N1357,O1357),0)</f>
        <v>5</v>
      </c>
      <c r="Q1357" s="6">
        <f>(M1357*H1357)/F1357</f>
        <v>9.8850574712643677E-2</v>
      </c>
      <c r="R1357" s="5">
        <f>IF(S1357="Quarterly",4,IF(S1357="Semi-annual",2,IF(S1357="Annual",1,IF(S1357="Pays at maturity",0,12))))</f>
        <v>1</v>
      </c>
      <c r="S1357" t="s">
        <v>93</v>
      </c>
      <c r="U1357">
        <f>R1357*P1357</f>
        <v>5</v>
      </c>
      <c r="V1357">
        <f>(H1357*M1357)/AD1357</f>
        <v>86</v>
      </c>
      <c r="W1357" s="28">
        <f>RATE(U1357,V1357,-F1357,H1357)</f>
        <v>0.12226592071704523</v>
      </c>
      <c r="X1357" s="27">
        <f>W1357*AD1357</f>
        <v>0.12226592071704523</v>
      </c>
      <c r="Y1357" s="5">
        <f>DURATION(N1357,O1357,M1357,D1357,AD1357)</f>
        <v>4.2100348721016205</v>
      </c>
      <c r="Z1357" s="5">
        <f>Y1357/(1+C1357)</f>
        <v>3.7513701471142578</v>
      </c>
      <c r="AA1357" s="5">
        <f>-Z1357*F1357</f>
        <v>-3263.6920279894043</v>
      </c>
      <c r="AB1357" t="s">
        <v>64</v>
      </c>
      <c r="AC1357" t="s">
        <v>62</v>
      </c>
      <c r="AD1357">
        <f>_xlfn.SWITCH(PROPER(TRIM(S1357)),
   "Annual",1,
   "Semi-Annual",2,
   "Quarterly",4,
   "Monthly",12,
   "")</f>
        <v>1</v>
      </c>
    </row>
    <row r="1358" spans="1:30" x14ac:dyDescent="0.35">
      <c r="A1358" t="s">
        <v>748</v>
      </c>
      <c r="B1358" t="s">
        <v>241</v>
      </c>
      <c r="C1358" s="36">
        <f>RATE(U1358,V1358,-F1358,H1358)</f>
        <v>9.3759605250093761E-2</v>
      </c>
      <c r="D1358" s="3">
        <f>C1358*AD1358</f>
        <v>9.3759605250093761E-2</v>
      </c>
      <c r="F1358">
        <v>999</v>
      </c>
      <c r="G1358" t="s">
        <v>76</v>
      </c>
      <c r="H1358">
        <v>1000</v>
      </c>
      <c r="I1358" s="22"/>
      <c r="J1358">
        <v>295</v>
      </c>
      <c r="K1358" s="22"/>
      <c r="L1358">
        <v>9.3877262355523197</v>
      </c>
      <c r="M1358" s="22">
        <v>9.35E-2</v>
      </c>
      <c r="N1358" s="21">
        <v>45322</v>
      </c>
      <c r="O1358" s="21">
        <v>47149</v>
      </c>
      <c r="P1358">
        <f>ROUND(YEARFRAC(N1358,O1358),0)</f>
        <v>5</v>
      </c>
      <c r="Q1358" s="6">
        <f>(M1358*H1358)/F1358</f>
        <v>9.3593593593593594E-2</v>
      </c>
      <c r="R1358" s="5">
        <f>IF(S1358="Quarterly",4,IF(S1358="Semi-annual",2,IF(S1358="Annual",1,IF(S1358="Pays at maturity",0,12))))</f>
        <v>1</v>
      </c>
      <c r="S1358" t="s">
        <v>93</v>
      </c>
      <c r="U1358">
        <f>R1358*P1358</f>
        <v>5</v>
      </c>
      <c r="V1358">
        <f>(H1358*M1358)/AD1358</f>
        <v>93.5</v>
      </c>
      <c r="W1358" s="28">
        <f>RATE(U1358,V1358,-F1358,H1358)</f>
        <v>9.3759605250093761E-2</v>
      </c>
      <c r="X1358" s="27">
        <f>W1358*AD1358</f>
        <v>9.3759605250093761E-2</v>
      </c>
      <c r="Y1358" s="5">
        <f>DURATION(N1358,O1358,M1358,D1358,AD1358)</f>
        <v>4.214557607517416</v>
      </c>
      <c r="Z1358" s="5">
        <f>Y1358/(1+C1358)</f>
        <v>3.853275973337611</v>
      </c>
      <c r="AA1358" s="5">
        <f>-Z1358*F1358</f>
        <v>-3849.4226973642735</v>
      </c>
      <c r="AB1358" t="s">
        <v>64</v>
      </c>
      <c r="AC1358" t="s">
        <v>62</v>
      </c>
      <c r="AD1358">
        <f>_xlfn.SWITCH(PROPER(TRIM(S1358)),
   "Annual",1,
   "Semi-Annual",2,
   "Quarterly",4,
   "Monthly",12,
   "")</f>
        <v>1</v>
      </c>
    </row>
    <row r="1359" spans="1:30" x14ac:dyDescent="0.35">
      <c r="C1359" s="28"/>
      <c r="D1359" s="27"/>
      <c r="I1359" s="22"/>
      <c r="K1359" s="22"/>
      <c r="M1359" s="22"/>
      <c r="N1359" s="21"/>
      <c r="O1359" s="21"/>
      <c r="P1359" s="5"/>
      <c r="Q1359" s="6"/>
      <c r="R1359" s="5"/>
      <c r="W1359" s="28"/>
      <c r="Y1359" s="33"/>
      <c r="Z1359" s="33"/>
      <c r="AA1359" s="33"/>
    </row>
    <row r="1360" spans="1:30" x14ac:dyDescent="0.35">
      <c r="A1360" t="s">
        <v>746</v>
      </c>
      <c r="B1360" t="s">
        <v>743</v>
      </c>
      <c r="C1360" s="36">
        <f t="shared" ref="C1360:C1374" si="871">RATE(U1360,V1360,-F1360,H1360)</f>
        <v>2.4570858207442405E-2</v>
      </c>
      <c r="D1360" s="3">
        <f t="shared" ref="D1360:D1374" si="872">C1360*AD1360</f>
        <v>4.9141716414884809E-2</v>
      </c>
      <c r="F1360">
        <v>1016.5</v>
      </c>
      <c r="G1360" t="s">
        <v>66</v>
      </c>
      <c r="H1360">
        <v>1000</v>
      </c>
      <c r="I1360" s="22"/>
      <c r="J1360">
        <v>200000</v>
      </c>
      <c r="K1360" s="22"/>
      <c r="M1360" s="22">
        <v>5.1249999999999997E-2</v>
      </c>
      <c r="N1360" s="21">
        <v>43500</v>
      </c>
      <c r="O1360" s="21">
        <v>47153</v>
      </c>
      <c r="P1360">
        <f t="shared" ref="P1360:P1374" si="873">ROUND(YEARFRAC(N1360,O1360),0)</f>
        <v>10</v>
      </c>
      <c r="Q1360" s="6">
        <f t="shared" ref="Q1360:Q1374" si="874">(M1360*H1360)/F1360</f>
        <v>5.0418101328086572E-2</v>
      </c>
      <c r="R1360" s="5">
        <f t="shared" ref="R1360:R1374" si="875">IF(S1360="Quarterly",4,IF(S1360="Semi-annual",2,IF(S1360="Annual",1,IF(S1360="Pays at maturity",0,12))))</f>
        <v>2</v>
      </c>
      <c r="S1360" t="s">
        <v>65</v>
      </c>
      <c r="U1360">
        <f t="shared" ref="U1360:U1374" si="876">R1360*P1360</f>
        <v>20</v>
      </c>
      <c r="V1360">
        <f t="shared" ref="V1360:V1374" si="877">(H1360*M1360)/AD1360</f>
        <v>25.625</v>
      </c>
      <c r="W1360" s="28">
        <f t="shared" ref="W1360:W1374" si="878">RATE(U1360,V1360,-F1360,H1360)</f>
        <v>2.4570858207442405E-2</v>
      </c>
      <c r="X1360" s="27">
        <f t="shared" ref="X1360:X1374" si="879">W1360*AD1360</f>
        <v>4.9141716414884809E-2</v>
      </c>
      <c r="Y1360" s="5">
        <f t="shared" ref="Y1360:Y1374" si="880">DURATION(N1360,O1360,M1360,D1360,AD1360)</f>
        <v>7.9671050566919952</v>
      </c>
      <c r="Z1360" s="5">
        <f t="shared" ref="Z1360:Z1374" si="881">Y1360/(1+C1360)</f>
        <v>7.7760410545259857</v>
      </c>
      <c r="AA1360" s="5">
        <f t="shared" ref="AA1360:AA1374" si="882">-Z1360*F1360</f>
        <v>-7904.345731925664</v>
      </c>
      <c r="AB1360" t="s">
        <v>64</v>
      </c>
      <c r="AC1360" t="s">
        <v>62</v>
      </c>
      <c r="AD1360">
        <f t="shared" ref="AD1360:AD1374" si="883">_xlfn.SWITCH(PROPER(TRIM(S1360)),
   "Annual",1,
   "Semi-Annual",2,
   "Quarterly",4,
   "Monthly",12,
   "")</f>
        <v>2</v>
      </c>
    </row>
    <row r="1361" spans="1:30" x14ac:dyDescent="0.35">
      <c r="A1361" t="s">
        <v>745</v>
      </c>
      <c r="B1361" t="s">
        <v>743</v>
      </c>
      <c r="C1361" s="36">
        <f t="shared" si="871"/>
        <v>2.513685137571375E-2</v>
      </c>
      <c r="D1361" s="3">
        <f t="shared" si="872"/>
        <v>5.02737027514275E-2</v>
      </c>
      <c r="F1361">
        <v>1007.6</v>
      </c>
      <c r="G1361" t="s">
        <v>66</v>
      </c>
      <c r="H1361">
        <v>1000</v>
      </c>
      <c r="I1361" s="22"/>
      <c r="J1361">
        <v>0</v>
      </c>
      <c r="K1361" s="22"/>
      <c r="M1361" s="22">
        <v>5.1249999999999997E-2</v>
      </c>
      <c r="N1361" s="21">
        <v>43500</v>
      </c>
      <c r="O1361" s="21">
        <v>47153</v>
      </c>
      <c r="P1361">
        <f t="shared" si="873"/>
        <v>10</v>
      </c>
      <c r="Q1361" s="6">
        <f t="shared" si="874"/>
        <v>5.0863437872171492E-2</v>
      </c>
      <c r="R1361" s="5">
        <f t="shared" si="875"/>
        <v>2</v>
      </c>
      <c r="S1361" t="s">
        <v>65</v>
      </c>
      <c r="U1361">
        <f t="shared" si="876"/>
        <v>20</v>
      </c>
      <c r="V1361">
        <f t="shared" si="877"/>
        <v>25.625</v>
      </c>
      <c r="W1361" s="28">
        <f t="shared" si="878"/>
        <v>2.513685137571375E-2</v>
      </c>
      <c r="X1361" s="27">
        <f t="shared" si="879"/>
        <v>5.02737027514275E-2</v>
      </c>
      <c r="Y1361" s="5">
        <f t="shared" si="880"/>
        <v>7.9564992630626508</v>
      </c>
      <c r="Z1361" s="5">
        <f t="shared" si="881"/>
        <v>7.7614020531845904</v>
      </c>
      <c r="AA1361" s="5">
        <f t="shared" si="882"/>
        <v>-7820.3887087887933</v>
      </c>
      <c r="AB1361" t="s">
        <v>64</v>
      </c>
      <c r="AC1361" t="s">
        <v>62</v>
      </c>
      <c r="AD1361">
        <f t="shared" si="883"/>
        <v>2</v>
      </c>
    </row>
    <row r="1362" spans="1:30" x14ac:dyDescent="0.35">
      <c r="A1362" t="s">
        <v>744</v>
      </c>
      <c r="B1362" t="s">
        <v>743</v>
      </c>
      <c r="C1362" s="36">
        <f t="shared" si="871"/>
        <v>2.5025082232073777E-2</v>
      </c>
      <c r="D1362" s="3">
        <f t="shared" si="872"/>
        <v>5.0050164464147555E-2</v>
      </c>
      <c r="F1362">
        <v>1009.35</v>
      </c>
      <c r="G1362" t="s">
        <v>66</v>
      </c>
      <c r="H1362">
        <v>1000</v>
      </c>
      <c r="I1362" s="22"/>
      <c r="J1362">
        <v>500000</v>
      </c>
      <c r="K1362" s="22"/>
      <c r="M1362" s="22">
        <v>5.1249999999999997E-2</v>
      </c>
      <c r="N1362" s="21">
        <v>43500</v>
      </c>
      <c r="O1362" s="21">
        <v>47153</v>
      </c>
      <c r="P1362">
        <f t="shared" si="873"/>
        <v>10</v>
      </c>
      <c r="Q1362" s="6">
        <f t="shared" si="874"/>
        <v>5.0775251399415466E-2</v>
      </c>
      <c r="R1362" s="5">
        <f t="shared" si="875"/>
        <v>2</v>
      </c>
      <c r="S1362" t="s">
        <v>65</v>
      </c>
      <c r="U1362">
        <f t="shared" si="876"/>
        <v>20</v>
      </c>
      <c r="V1362">
        <f t="shared" si="877"/>
        <v>25.625</v>
      </c>
      <c r="W1362" s="28">
        <f t="shared" si="878"/>
        <v>2.5025082232073777E-2</v>
      </c>
      <c r="X1362" s="27">
        <f t="shared" si="879"/>
        <v>5.0050164464147555E-2</v>
      </c>
      <c r="Y1362" s="5">
        <f t="shared" si="880"/>
        <v>7.9585966167888094</v>
      </c>
      <c r="Z1362" s="5">
        <f t="shared" si="881"/>
        <v>7.7642945082459169</v>
      </c>
      <c r="AA1362" s="5">
        <f t="shared" si="882"/>
        <v>-7836.8906618980163</v>
      </c>
      <c r="AB1362" t="s">
        <v>64</v>
      </c>
      <c r="AC1362" t="s">
        <v>62</v>
      </c>
      <c r="AD1362">
        <f t="shared" si="883"/>
        <v>2</v>
      </c>
    </row>
    <row r="1363" spans="1:30" x14ac:dyDescent="0.35">
      <c r="A1363" t="s">
        <v>742</v>
      </c>
      <c r="B1363" t="s">
        <v>261</v>
      </c>
      <c r="C1363" s="36">
        <f t="shared" si="871"/>
        <v>8.8192481521809238E-2</v>
      </c>
      <c r="D1363" s="3">
        <f t="shared" si="872"/>
        <v>8.8192481521809238E-2</v>
      </c>
      <c r="F1363">
        <v>1031.0999999999999</v>
      </c>
      <c r="G1363" t="s">
        <v>76</v>
      </c>
      <c r="H1363">
        <v>1000</v>
      </c>
      <c r="I1363" s="22"/>
      <c r="J1363">
        <v>382</v>
      </c>
      <c r="K1363" s="22"/>
      <c r="L1363">
        <v>8.1726386308871</v>
      </c>
      <c r="M1363" s="22">
        <v>9.3000000000000013E-2</v>
      </c>
      <c r="N1363" s="21">
        <v>43502</v>
      </c>
      <c r="O1363" s="21">
        <v>47155</v>
      </c>
      <c r="P1363">
        <f t="shared" si="873"/>
        <v>10</v>
      </c>
      <c r="Q1363" s="6">
        <f t="shared" si="874"/>
        <v>9.0194937445446627E-2</v>
      </c>
      <c r="R1363" s="5">
        <f t="shared" si="875"/>
        <v>1</v>
      </c>
      <c r="S1363" t="s">
        <v>93</v>
      </c>
      <c r="U1363">
        <f t="shared" si="876"/>
        <v>10</v>
      </c>
      <c r="V1363">
        <f t="shared" si="877"/>
        <v>93.000000000000014</v>
      </c>
      <c r="W1363" s="28">
        <f t="shared" si="878"/>
        <v>8.8192481521809238E-2</v>
      </c>
      <c r="X1363" s="27">
        <f t="shared" si="879"/>
        <v>8.8192481521809238E-2</v>
      </c>
      <c r="Y1363" s="5">
        <f t="shared" si="880"/>
        <v>6.9723355933421516</v>
      </c>
      <c r="Z1363" s="5">
        <f t="shared" si="881"/>
        <v>6.4072631558633084</v>
      </c>
      <c r="AA1363" s="5">
        <f t="shared" si="882"/>
        <v>-6606.5290400106569</v>
      </c>
      <c r="AB1363" t="s">
        <v>64</v>
      </c>
      <c r="AC1363" t="s">
        <v>62</v>
      </c>
      <c r="AD1363">
        <f t="shared" si="883"/>
        <v>1</v>
      </c>
    </row>
    <row r="1364" spans="1:30" x14ac:dyDescent="0.35">
      <c r="A1364" t="s">
        <v>741</v>
      </c>
      <c r="B1364" t="s">
        <v>261</v>
      </c>
      <c r="C1364" s="36">
        <f t="shared" si="871"/>
        <v>9.6359165352243883E-2</v>
      </c>
      <c r="D1364" s="3">
        <f t="shared" si="872"/>
        <v>9.6359165352243883E-2</v>
      </c>
      <c r="F1364">
        <v>1004</v>
      </c>
      <c r="G1364" t="s">
        <v>76</v>
      </c>
      <c r="H1364">
        <v>1000</v>
      </c>
      <c r="I1364" s="22"/>
      <c r="J1364">
        <v>50</v>
      </c>
      <c r="K1364" s="22"/>
      <c r="L1364">
        <v>9.5497518750783392</v>
      </c>
      <c r="M1364" s="22">
        <v>9.6999999999999989E-2</v>
      </c>
      <c r="N1364" s="21">
        <v>43502</v>
      </c>
      <c r="O1364" s="21">
        <v>47155</v>
      </c>
      <c r="P1364">
        <f t="shared" si="873"/>
        <v>10</v>
      </c>
      <c r="Q1364" s="6">
        <f t="shared" si="874"/>
        <v>9.6613545816733051E-2</v>
      </c>
      <c r="R1364" s="5">
        <f t="shared" si="875"/>
        <v>1</v>
      </c>
      <c r="S1364" t="s">
        <v>93</v>
      </c>
      <c r="U1364">
        <f t="shared" si="876"/>
        <v>10</v>
      </c>
      <c r="V1364">
        <f t="shared" si="877"/>
        <v>96.999999999999986</v>
      </c>
      <c r="W1364" s="28">
        <f t="shared" si="878"/>
        <v>9.6359165352243883E-2</v>
      </c>
      <c r="X1364" s="27">
        <f t="shared" si="879"/>
        <v>9.6359165352243883E-2</v>
      </c>
      <c r="Y1364" s="5">
        <f t="shared" si="880"/>
        <v>6.8349867740687031</v>
      </c>
      <c r="Z1364" s="5">
        <f t="shared" si="881"/>
        <v>6.2342587995538148</v>
      </c>
      <c r="AA1364" s="5">
        <f t="shared" si="882"/>
        <v>-6259.1958347520304</v>
      </c>
      <c r="AB1364" t="s">
        <v>64</v>
      </c>
      <c r="AC1364" t="s">
        <v>62</v>
      </c>
      <c r="AD1364">
        <f t="shared" si="883"/>
        <v>1</v>
      </c>
    </row>
    <row r="1365" spans="1:30" x14ac:dyDescent="0.35">
      <c r="A1365" t="s">
        <v>740</v>
      </c>
      <c r="B1365" t="s">
        <v>738</v>
      </c>
      <c r="C1365" s="36">
        <f t="shared" si="871"/>
        <v>9.5217495727645721E-2</v>
      </c>
      <c r="D1365" s="3">
        <f t="shared" si="872"/>
        <v>9.5217495727645721E-2</v>
      </c>
      <c r="F1365">
        <v>1030</v>
      </c>
      <c r="G1365" t="s">
        <v>76</v>
      </c>
      <c r="H1365">
        <v>1000</v>
      </c>
      <c r="I1365" s="22"/>
      <c r="J1365">
        <v>1</v>
      </c>
      <c r="K1365" s="22"/>
      <c r="L1365">
        <v>8.8959650841720794</v>
      </c>
      <c r="M1365" s="22">
        <v>0.1</v>
      </c>
      <c r="N1365" s="21">
        <v>43503</v>
      </c>
      <c r="O1365" s="21">
        <v>47156</v>
      </c>
      <c r="P1365">
        <f t="shared" si="873"/>
        <v>10</v>
      </c>
      <c r="Q1365" s="6">
        <f t="shared" si="874"/>
        <v>9.7087378640776698E-2</v>
      </c>
      <c r="R1365" s="5">
        <f t="shared" si="875"/>
        <v>1</v>
      </c>
      <c r="S1365" t="s">
        <v>93</v>
      </c>
      <c r="U1365">
        <f t="shared" si="876"/>
        <v>10</v>
      </c>
      <c r="V1365">
        <f t="shared" si="877"/>
        <v>100</v>
      </c>
      <c r="W1365" s="28">
        <f t="shared" si="878"/>
        <v>9.5217495727645721E-2</v>
      </c>
      <c r="X1365" s="27">
        <f t="shared" si="879"/>
        <v>9.5217495727645721E-2</v>
      </c>
      <c r="Y1365" s="5">
        <f t="shared" si="880"/>
        <v>6.8086866192533897</v>
      </c>
      <c r="Z1365" s="5">
        <f t="shared" si="881"/>
        <v>6.2167438392954111</v>
      </c>
      <c r="AA1365" s="5">
        <f t="shared" si="882"/>
        <v>-6403.2461544742737</v>
      </c>
      <c r="AB1365" t="s">
        <v>69</v>
      </c>
      <c r="AC1365" t="s">
        <v>62</v>
      </c>
      <c r="AD1365">
        <f t="shared" si="883"/>
        <v>1</v>
      </c>
    </row>
    <row r="1366" spans="1:30" x14ac:dyDescent="0.35">
      <c r="A1366" t="s">
        <v>739</v>
      </c>
      <c r="B1366" t="s">
        <v>738</v>
      </c>
      <c r="C1366" s="36">
        <f t="shared" si="871"/>
        <v>0.10475087763775077</v>
      </c>
      <c r="D1366" s="3">
        <f t="shared" si="872"/>
        <v>0.10475087763775077</v>
      </c>
      <c r="F1366">
        <v>1001.5</v>
      </c>
      <c r="G1366" t="s">
        <v>76</v>
      </c>
      <c r="H1366">
        <v>1000</v>
      </c>
      <c r="I1366" s="22"/>
      <c r="J1366">
        <v>180</v>
      </c>
      <c r="K1366" s="22"/>
      <c r="L1366">
        <v>10.4422536065233</v>
      </c>
      <c r="M1366" s="22">
        <v>0.105</v>
      </c>
      <c r="N1366" s="21">
        <v>43503</v>
      </c>
      <c r="O1366" s="21">
        <v>47156</v>
      </c>
      <c r="P1366">
        <f t="shared" si="873"/>
        <v>10</v>
      </c>
      <c r="Q1366" s="6">
        <f t="shared" si="874"/>
        <v>0.10484273589615577</v>
      </c>
      <c r="R1366" s="5">
        <f t="shared" si="875"/>
        <v>1</v>
      </c>
      <c r="S1366" t="s">
        <v>93</v>
      </c>
      <c r="U1366">
        <f t="shared" si="876"/>
        <v>10</v>
      </c>
      <c r="V1366">
        <f t="shared" si="877"/>
        <v>105</v>
      </c>
      <c r="W1366" s="28">
        <f t="shared" si="878"/>
        <v>0.10475087763775077</v>
      </c>
      <c r="X1366" s="27">
        <f t="shared" si="879"/>
        <v>0.10475087763775077</v>
      </c>
      <c r="Y1366" s="5">
        <f t="shared" si="880"/>
        <v>6.6489208903353356</v>
      </c>
      <c r="Z1366" s="5">
        <f t="shared" si="881"/>
        <v>6.0184798445713703</v>
      </c>
      <c r="AA1366" s="5">
        <f t="shared" si="882"/>
        <v>-6027.507564338227</v>
      </c>
      <c r="AB1366" t="s">
        <v>69</v>
      </c>
      <c r="AC1366" t="s">
        <v>62</v>
      </c>
      <c r="AD1366">
        <f t="shared" si="883"/>
        <v>1</v>
      </c>
    </row>
    <row r="1367" spans="1:30" x14ac:dyDescent="0.35">
      <c r="A1367" t="s">
        <v>737</v>
      </c>
      <c r="B1367" t="s">
        <v>736</v>
      </c>
      <c r="C1367" s="36">
        <f t="shared" si="871"/>
        <v>9.5023744648760913E-2</v>
      </c>
      <c r="D1367" s="3">
        <f t="shared" si="872"/>
        <v>9.5023744648760913E-2</v>
      </c>
      <c r="F1367">
        <v>105513.9</v>
      </c>
      <c r="G1367" t="s">
        <v>76</v>
      </c>
      <c r="H1367">
        <v>100000</v>
      </c>
      <c r="I1367" s="22"/>
      <c r="J1367">
        <v>4</v>
      </c>
      <c r="K1367" s="22"/>
      <c r="L1367">
        <v>8.7388380391467209</v>
      </c>
      <c r="M1367" s="22">
        <v>0.1075</v>
      </c>
      <c r="N1367" s="21">
        <v>45147</v>
      </c>
      <c r="O1367" s="21">
        <v>47158</v>
      </c>
      <c r="P1367">
        <f t="shared" si="873"/>
        <v>6</v>
      </c>
      <c r="Q1367" s="6">
        <f t="shared" si="874"/>
        <v>0.10188231124050955</v>
      </c>
      <c r="R1367" s="5">
        <f t="shared" si="875"/>
        <v>1</v>
      </c>
      <c r="S1367" t="s">
        <v>93</v>
      </c>
      <c r="U1367">
        <f t="shared" si="876"/>
        <v>6</v>
      </c>
      <c r="V1367">
        <f t="shared" si="877"/>
        <v>10750</v>
      </c>
      <c r="W1367" s="28">
        <f t="shared" si="878"/>
        <v>9.5023744648760913E-2</v>
      </c>
      <c r="X1367" s="27">
        <f t="shared" si="879"/>
        <v>9.5023744648760913E-2</v>
      </c>
      <c r="Y1367" s="5">
        <f t="shared" si="880"/>
        <v>4.2557103280258675</v>
      </c>
      <c r="Z1367" s="5">
        <f t="shared" si="881"/>
        <v>3.8864091749817957</v>
      </c>
      <c r="AA1367" s="5">
        <f t="shared" si="882"/>
        <v>-410070.18904811167</v>
      </c>
      <c r="AB1367" t="s">
        <v>64</v>
      </c>
      <c r="AC1367" t="s">
        <v>62</v>
      </c>
      <c r="AD1367">
        <f t="shared" si="883"/>
        <v>1</v>
      </c>
    </row>
    <row r="1368" spans="1:30" x14ac:dyDescent="0.35">
      <c r="A1368" t="s">
        <v>735</v>
      </c>
      <c r="B1368" t="s">
        <v>734</v>
      </c>
      <c r="C1368" s="36">
        <f t="shared" si="871"/>
        <v>3.5476169504277809E-2</v>
      </c>
      <c r="D1368" s="3">
        <f t="shared" si="872"/>
        <v>7.0952339008555618E-2</v>
      </c>
      <c r="F1368">
        <v>1081000</v>
      </c>
      <c r="G1368" t="s">
        <v>76</v>
      </c>
      <c r="H1368">
        <v>1000000</v>
      </c>
      <c r="I1368" s="22"/>
      <c r="J1368">
        <v>20</v>
      </c>
      <c r="K1368" s="22"/>
      <c r="M1368" s="22">
        <v>8.2400000000000001E-2</v>
      </c>
      <c r="N1368" s="21">
        <v>43510</v>
      </c>
      <c r="O1368" s="21">
        <v>47163</v>
      </c>
      <c r="P1368">
        <f t="shared" si="873"/>
        <v>10</v>
      </c>
      <c r="Q1368" s="6">
        <f t="shared" si="874"/>
        <v>7.6225716928769657E-2</v>
      </c>
      <c r="R1368" s="5">
        <f t="shared" si="875"/>
        <v>2</v>
      </c>
      <c r="S1368" t="s">
        <v>65</v>
      </c>
      <c r="U1368">
        <f t="shared" si="876"/>
        <v>20</v>
      </c>
      <c r="V1368">
        <f t="shared" si="877"/>
        <v>41200</v>
      </c>
      <c r="W1368" s="28">
        <f t="shared" si="878"/>
        <v>3.5476169504277809E-2</v>
      </c>
      <c r="X1368" s="27">
        <f t="shared" si="879"/>
        <v>7.0952339008555618E-2</v>
      </c>
      <c r="Y1368" s="5">
        <f t="shared" si="880"/>
        <v>7.1280120492695316</v>
      </c>
      <c r="Z1368" s="5">
        <f t="shared" si="881"/>
        <v>6.8838011527411442</v>
      </c>
      <c r="AA1368" s="5">
        <f t="shared" si="882"/>
        <v>-7441389.0461131772</v>
      </c>
      <c r="AB1368" t="s">
        <v>64</v>
      </c>
      <c r="AC1368" t="s">
        <v>62</v>
      </c>
      <c r="AD1368">
        <f t="shared" si="883"/>
        <v>2</v>
      </c>
    </row>
    <row r="1369" spans="1:30" x14ac:dyDescent="0.35">
      <c r="A1369" t="s">
        <v>733</v>
      </c>
      <c r="B1369" t="s">
        <v>465</v>
      </c>
      <c r="C1369" s="36">
        <f t="shared" si="871"/>
        <v>0.11095877448874145</v>
      </c>
      <c r="D1369" s="3">
        <f t="shared" si="872"/>
        <v>0.11095877448874145</v>
      </c>
      <c r="F1369">
        <v>1014.9</v>
      </c>
      <c r="G1369" t="s">
        <v>76</v>
      </c>
      <c r="H1369">
        <v>1000</v>
      </c>
      <c r="I1369" s="22"/>
      <c r="J1369">
        <v>100</v>
      </c>
      <c r="K1369" s="22"/>
      <c r="L1369">
        <v>10.9202257528469</v>
      </c>
      <c r="M1369" s="22">
        <v>0.115</v>
      </c>
      <c r="N1369" s="21">
        <v>45338</v>
      </c>
      <c r="O1369" s="21">
        <v>47164</v>
      </c>
      <c r="P1369">
        <f t="shared" si="873"/>
        <v>5</v>
      </c>
      <c r="Q1369" s="6">
        <f t="shared" si="874"/>
        <v>0.11331165632081978</v>
      </c>
      <c r="R1369" s="5">
        <f t="shared" si="875"/>
        <v>1</v>
      </c>
      <c r="S1369" t="s">
        <v>93</v>
      </c>
      <c r="U1369">
        <f t="shared" si="876"/>
        <v>5</v>
      </c>
      <c r="V1369">
        <f t="shared" si="877"/>
        <v>115</v>
      </c>
      <c r="W1369" s="28">
        <f t="shared" si="878"/>
        <v>0.11095877448874145</v>
      </c>
      <c r="X1369" s="27">
        <f t="shared" si="879"/>
        <v>0.11095877448874145</v>
      </c>
      <c r="Y1369" s="5">
        <f t="shared" si="880"/>
        <v>4.0741605543021757</v>
      </c>
      <c r="Z1369" s="5">
        <f t="shared" si="881"/>
        <v>3.6672472893308639</v>
      </c>
      <c r="AA1369" s="5">
        <f t="shared" si="882"/>
        <v>-3721.8892739418939</v>
      </c>
      <c r="AB1369" t="s">
        <v>64</v>
      </c>
      <c r="AC1369" t="s">
        <v>62</v>
      </c>
      <c r="AD1369">
        <f t="shared" si="883"/>
        <v>1</v>
      </c>
    </row>
    <row r="1370" spans="1:30" x14ac:dyDescent="0.35">
      <c r="A1370" t="s">
        <v>732</v>
      </c>
      <c r="B1370" t="s">
        <v>72</v>
      </c>
      <c r="C1370" s="36">
        <f t="shared" si="871"/>
        <v>5.2751474631598204E-2</v>
      </c>
      <c r="D1370" s="3">
        <f t="shared" si="872"/>
        <v>5.2751474631598204E-2</v>
      </c>
      <c r="F1370">
        <v>1318.4</v>
      </c>
      <c r="G1370" t="s">
        <v>76</v>
      </c>
      <c r="H1370">
        <v>1000</v>
      </c>
      <c r="I1370" s="22"/>
      <c r="J1370">
        <v>161</v>
      </c>
      <c r="K1370" s="22"/>
      <c r="L1370">
        <v>-0.30156067409949999</v>
      </c>
      <c r="M1370" s="22">
        <v>8.4000000000000005E-2</v>
      </c>
      <c r="N1370" s="21">
        <v>41688</v>
      </c>
      <c r="O1370" s="21">
        <v>47167</v>
      </c>
      <c r="P1370">
        <f t="shared" si="873"/>
        <v>15</v>
      </c>
      <c r="Q1370" s="6">
        <f t="shared" si="874"/>
        <v>6.3713592233009708E-2</v>
      </c>
      <c r="R1370" s="5">
        <f t="shared" si="875"/>
        <v>1</v>
      </c>
      <c r="S1370" t="s">
        <v>93</v>
      </c>
      <c r="U1370">
        <f t="shared" si="876"/>
        <v>15</v>
      </c>
      <c r="V1370">
        <f t="shared" si="877"/>
        <v>84</v>
      </c>
      <c r="W1370" s="28">
        <f t="shared" si="878"/>
        <v>5.2751474631598204E-2</v>
      </c>
      <c r="X1370" s="27">
        <f t="shared" si="879"/>
        <v>5.2751474631598204E-2</v>
      </c>
      <c r="Y1370" s="5">
        <f t="shared" si="880"/>
        <v>9.8387761124963085</v>
      </c>
      <c r="Z1370" s="5">
        <f t="shared" si="881"/>
        <v>9.3457728149365042</v>
      </c>
      <c r="AA1370" s="5">
        <f t="shared" si="882"/>
        <v>-12321.466879212288</v>
      </c>
      <c r="AB1370" t="s">
        <v>64</v>
      </c>
      <c r="AC1370" t="s">
        <v>62</v>
      </c>
      <c r="AD1370">
        <f t="shared" si="883"/>
        <v>1</v>
      </c>
    </row>
    <row r="1371" spans="1:30" x14ac:dyDescent="0.35">
      <c r="A1371" t="s">
        <v>731</v>
      </c>
      <c r="B1371" t="s">
        <v>72</v>
      </c>
      <c r="C1371" s="36">
        <f t="shared" si="871"/>
        <v>6.7386942277295511E-2</v>
      </c>
      <c r="D1371" s="3">
        <f t="shared" si="872"/>
        <v>6.7386942277295511E-2</v>
      </c>
      <c r="F1371">
        <v>1176.99</v>
      </c>
      <c r="G1371" t="s">
        <v>76</v>
      </c>
      <c r="H1371">
        <v>1000</v>
      </c>
      <c r="I1371" s="22"/>
      <c r="J1371">
        <v>168</v>
      </c>
      <c r="K1371" s="22"/>
      <c r="L1371">
        <v>3.1465818790468001</v>
      </c>
      <c r="M1371" s="22">
        <v>8.6500000000000007E-2</v>
      </c>
      <c r="N1371" s="21">
        <v>41688</v>
      </c>
      <c r="O1371" s="21">
        <v>47167</v>
      </c>
      <c r="P1371">
        <f t="shared" si="873"/>
        <v>15</v>
      </c>
      <c r="Q1371" s="6">
        <f t="shared" si="874"/>
        <v>7.3492553037833808E-2</v>
      </c>
      <c r="R1371" s="5">
        <f t="shared" si="875"/>
        <v>1</v>
      </c>
      <c r="S1371" t="s">
        <v>93</v>
      </c>
      <c r="U1371">
        <f t="shared" si="876"/>
        <v>15</v>
      </c>
      <c r="V1371">
        <f t="shared" si="877"/>
        <v>86.500000000000014</v>
      </c>
      <c r="W1371" s="28">
        <f t="shared" si="878"/>
        <v>6.7386942277295511E-2</v>
      </c>
      <c r="X1371" s="27">
        <f t="shared" si="879"/>
        <v>6.7386942277295511E-2</v>
      </c>
      <c r="Y1371" s="5">
        <f t="shared" si="880"/>
        <v>9.4206548297591119</v>
      </c>
      <c r="Z1371" s="5">
        <f t="shared" si="881"/>
        <v>8.825904137125681</v>
      </c>
      <c r="AA1371" s="5">
        <f t="shared" si="882"/>
        <v>-10388.000910355555</v>
      </c>
      <c r="AB1371" t="s">
        <v>64</v>
      </c>
      <c r="AC1371" t="s">
        <v>62</v>
      </c>
      <c r="AD1371">
        <f t="shared" si="883"/>
        <v>1</v>
      </c>
    </row>
    <row r="1372" spans="1:30" x14ac:dyDescent="0.35">
      <c r="A1372" t="s">
        <v>730</v>
      </c>
      <c r="B1372" t="s">
        <v>72</v>
      </c>
      <c r="C1372" s="36">
        <f t="shared" si="871"/>
        <v>6.9730563550973068E-2</v>
      </c>
      <c r="D1372" s="3">
        <f t="shared" si="872"/>
        <v>6.9730563550973068E-2</v>
      </c>
      <c r="F1372">
        <v>1110896</v>
      </c>
      <c r="G1372" t="s">
        <v>76</v>
      </c>
      <c r="H1372">
        <v>1000000</v>
      </c>
      <c r="I1372" s="22"/>
      <c r="J1372">
        <v>30</v>
      </c>
      <c r="K1372" s="22"/>
      <c r="L1372">
        <v>5.0232405844835304</v>
      </c>
      <c r="M1372" s="22">
        <v>8.5500000000000007E-2</v>
      </c>
      <c r="N1372" s="21">
        <v>43517</v>
      </c>
      <c r="O1372" s="21">
        <v>47170</v>
      </c>
      <c r="P1372">
        <f t="shared" si="873"/>
        <v>10</v>
      </c>
      <c r="Q1372" s="6">
        <f t="shared" si="874"/>
        <v>7.6964900404718359E-2</v>
      </c>
      <c r="R1372" s="5">
        <f t="shared" si="875"/>
        <v>1</v>
      </c>
      <c r="S1372" t="s">
        <v>93</v>
      </c>
      <c r="U1372">
        <f t="shared" si="876"/>
        <v>10</v>
      </c>
      <c r="V1372">
        <f t="shared" si="877"/>
        <v>85500</v>
      </c>
      <c r="W1372" s="28">
        <f t="shared" si="878"/>
        <v>6.9730563550973068E-2</v>
      </c>
      <c r="X1372" s="27">
        <f t="shared" si="879"/>
        <v>6.9730563550973068E-2</v>
      </c>
      <c r="Y1372" s="5">
        <f t="shared" si="880"/>
        <v>7.2656946234681525</v>
      </c>
      <c r="Z1372" s="5">
        <f t="shared" si="881"/>
        <v>6.792079118829383</v>
      </c>
      <c r="AA1372" s="5">
        <f t="shared" si="882"/>
        <v>-7545293.5247910861</v>
      </c>
      <c r="AB1372" t="s">
        <v>64</v>
      </c>
      <c r="AC1372" t="s">
        <v>62</v>
      </c>
      <c r="AD1372">
        <f t="shared" si="883"/>
        <v>1</v>
      </c>
    </row>
    <row r="1373" spans="1:30" x14ac:dyDescent="0.35">
      <c r="A1373" t="s">
        <v>729</v>
      </c>
      <c r="B1373" t="s">
        <v>401</v>
      </c>
      <c r="C1373" s="36">
        <f t="shared" si="871"/>
        <v>0.10077920039701836</v>
      </c>
      <c r="D1373" s="3">
        <f t="shared" si="872"/>
        <v>0.10077920039701836</v>
      </c>
      <c r="F1373">
        <v>99753.42</v>
      </c>
      <c r="G1373" t="s">
        <v>76</v>
      </c>
      <c r="H1373">
        <v>100000</v>
      </c>
      <c r="I1373" s="22"/>
      <c r="J1373">
        <v>3</v>
      </c>
      <c r="K1373" s="22"/>
      <c r="L1373">
        <v>10.093382707524601</v>
      </c>
      <c r="M1373" s="22">
        <v>0.1</v>
      </c>
      <c r="N1373" s="21">
        <v>45834</v>
      </c>
      <c r="O1373" s="21">
        <v>47175</v>
      </c>
      <c r="P1373">
        <f t="shared" si="873"/>
        <v>4</v>
      </c>
      <c r="Q1373" s="6">
        <f t="shared" si="874"/>
        <v>0.10024718951991822</v>
      </c>
      <c r="R1373" s="5">
        <f t="shared" si="875"/>
        <v>1</v>
      </c>
      <c r="S1373" t="s">
        <v>93</v>
      </c>
      <c r="U1373">
        <f t="shared" si="876"/>
        <v>4</v>
      </c>
      <c r="V1373">
        <f t="shared" si="877"/>
        <v>10000</v>
      </c>
      <c r="W1373" s="28">
        <f t="shared" si="878"/>
        <v>0.10077920039701836</v>
      </c>
      <c r="X1373" s="27">
        <f t="shared" si="879"/>
        <v>0.10077920039701836</v>
      </c>
      <c r="Y1373" s="5">
        <f t="shared" si="880"/>
        <v>3.1528380692360987</v>
      </c>
      <c r="Z1373" s="5">
        <f t="shared" si="881"/>
        <v>2.8641875392439862</v>
      </c>
      <c r="AA1373" s="5">
        <f t="shared" si="882"/>
        <v>-285712.50256097183</v>
      </c>
      <c r="AB1373" t="s">
        <v>64</v>
      </c>
      <c r="AC1373" t="s">
        <v>62</v>
      </c>
      <c r="AD1373">
        <f t="shared" si="883"/>
        <v>1</v>
      </c>
    </row>
    <row r="1374" spans="1:30" x14ac:dyDescent="0.35">
      <c r="A1374" t="s">
        <v>728</v>
      </c>
      <c r="B1374" t="s">
        <v>357</v>
      </c>
      <c r="C1374" s="36">
        <f t="shared" si="871"/>
        <v>0.10250000000000002</v>
      </c>
      <c r="D1374" s="3">
        <f t="shared" si="872"/>
        <v>0.10250000000000002</v>
      </c>
      <c r="F1374">
        <v>1000</v>
      </c>
      <c r="G1374" t="s">
        <v>76</v>
      </c>
      <c r="H1374">
        <v>1000</v>
      </c>
      <c r="I1374" s="22"/>
      <c r="J1374">
        <v>20</v>
      </c>
      <c r="K1374" s="22"/>
      <c r="L1374">
        <v>10.25</v>
      </c>
      <c r="M1374" s="22">
        <v>0.10249999999999999</v>
      </c>
      <c r="N1374" s="21">
        <v>45349</v>
      </c>
      <c r="O1374" s="21">
        <v>47176</v>
      </c>
      <c r="P1374">
        <f t="shared" si="873"/>
        <v>5</v>
      </c>
      <c r="Q1374" s="6">
        <f t="shared" si="874"/>
        <v>0.10249999999999999</v>
      </c>
      <c r="R1374" s="5">
        <f t="shared" si="875"/>
        <v>1</v>
      </c>
      <c r="S1374" t="s">
        <v>93</v>
      </c>
      <c r="U1374">
        <f t="shared" si="876"/>
        <v>5</v>
      </c>
      <c r="V1374">
        <f t="shared" si="877"/>
        <v>102.5</v>
      </c>
      <c r="W1374" s="28">
        <f t="shared" si="878"/>
        <v>0.10250000000000002</v>
      </c>
      <c r="X1374" s="27">
        <f t="shared" si="879"/>
        <v>0.10250000000000002</v>
      </c>
      <c r="Y1374" s="5">
        <f t="shared" si="880"/>
        <v>4.1527867119152466</v>
      </c>
      <c r="Z1374" s="5">
        <f t="shared" si="881"/>
        <v>3.7666999654560058</v>
      </c>
      <c r="AA1374" s="5">
        <f t="shared" si="882"/>
        <v>-3766.6999654560059</v>
      </c>
      <c r="AB1374" t="s">
        <v>64</v>
      </c>
      <c r="AC1374" t="s">
        <v>62</v>
      </c>
      <c r="AD1374">
        <f t="shared" si="883"/>
        <v>1</v>
      </c>
    </row>
    <row r="1375" spans="1:30" x14ac:dyDescent="0.35">
      <c r="C1375" s="28"/>
      <c r="D1375" s="27"/>
      <c r="I1375" s="22"/>
      <c r="K1375" s="22"/>
      <c r="M1375" s="22"/>
      <c r="N1375" s="21"/>
      <c r="O1375" s="21"/>
      <c r="P1375" s="5"/>
      <c r="Q1375" s="6"/>
      <c r="R1375" s="5"/>
      <c r="W1375" s="28"/>
      <c r="Y1375" s="33"/>
      <c r="Z1375" s="33"/>
      <c r="AA1375" s="33"/>
    </row>
    <row r="1376" spans="1:30" x14ac:dyDescent="0.35">
      <c r="A1376" t="s">
        <v>726</v>
      </c>
      <c r="B1376" t="s">
        <v>119</v>
      </c>
      <c r="C1376" s="36">
        <f>RATE(U1376,V1376,-F1376,H1376)</f>
        <v>9.7400607676749712E-2</v>
      </c>
      <c r="D1376" s="3">
        <f>C1376*AD1376</f>
        <v>9.7400607676749712E-2</v>
      </c>
      <c r="F1376">
        <v>1029</v>
      </c>
      <c r="G1376" t="s">
        <v>76</v>
      </c>
      <c r="H1376">
        <v>1000</v>
      </c>
      <c r="I1376" s="22"/>
      <c r="J1376">
        <v>24</v>
      </c>
      <c r="K1376" s="22"/>
      <c r="L1376">
        <v>9.5169282523582908</v>
      </c>
      <c r="M1376" s="22">
        <v>0.105</v>
      </c>
      <c r="N1376" s="21">
        <v>45352</v>
      </c>
      <c r="O1376" s="21">
        <v>47178</v>
      </c>
      <c r="P1376">
        <f>ROUND(YEARFRAC(N1376,O1376),0)</f>
        <v>5</v>
      </c>
      <c r="Q1376" s="6">
        <f>(M1376*H1376)/F1376</f>
        <v>0.10204081632653061</v>
      </c>
      <c r="R1376" s="5">
        <f>IF(S1376="Quarterly",4,IF(S1376="Semi-annual",2,IF(S1376="Annual",1,IF(S1376="Pays at maturity",0,12))))</f>
        <v>1</v>
      </c>
      <c r="S1376" t="s">
        <v>93</v>
      </c>
      <c r="U1376">
        <f>R1376*P1376</f>
        <v>5</v>
      </c>
      <c r="V1376">
        <f>(H1376*M1376)/AD1376</f>
        <v>105</v>
      </c>
      <c r="W1376" s="28">
        <f>RATE(U1376,V1376,-F1376,H1376)</f>
        <v>9.7400607676749712E-2</v>
      </c>
      <c r="X1376" s="27">
        <f>W1376*AD1376</f>
        <v>9.7400607676749712E-2</v>
      </c>
      <c r="Y1376" s="5">
        <f>DURATION(N1376,O1376,M1376,D1376,AD1376)</f>
        <v>4.1490902225167208</v>
      </c>
      <c r="Z1376" s="5">
        <f>Y1376/(1+C1376)</f>
        <v>3.7808346318492987</v>
      </c>
      <c r="AA1376" s="5">
        <f>-Z1376*F1376</f>
        <v>-3890.4788361729284</v>
      </c>
      <c r="AB1376" t="s">
        <v>64</v>
      </c>
      <c r="AC1376" t="s">
        <v>62</v>
      </c>
      <c r="AD1376">
        <f>_xlfn.SWITCH(PROPER(TRIM(S1376)),
   "Annual",1,
   "Semi-Annual",2,
   "Quarterly",4,
   "Monthly",12,
   "")</f>
        <v>1</v>
      </c>
    </row>
    <row r="1377" spans="1:30" x14ac:dyDescent="0.35">
      <c r="A1377" t="s">
        <v>725</v>
      </c>
      <c r="B1377" t="s">
        <v>119</v>
      </c>
      <c r="C1377" s="36">
        <f>RATE(U1377,V1377,-F1377,H1377)</f>
        <v>0.10029999999999689</v>
      </c>
      <c r="D1377" s="3">
        <f>C1377*AD1377</f>
        <v>0.10029999999999689</v>
      </c>
      <c r="F1377">
        <v>1000</v>
      </c>
      <c r="G1377" t="s">
        <v>76</v>
      </c>
      <c r="H1377">
        <v>1000</v>
      </c>
      <c r="I1377" s="22"/>
      <c r="J1377">
        <v>275</v>
      </c>
      <c r="K1377" s="22"/>
      <c r="L1377">
        <v>10.029999999999999</v>
      </c>
      <c r="M1377" s="22">
        <v>0.1003</v>
      </c>
      <c r="N1377" s="21">
        <v>45352</v>
      </c>
      <c r="O1377" s="21">
        <v>47178</v>
      </c>
      <c r="P1377">
        <f>ROUND(YEARFRAC(N1377,O1377),0)</f>
        <v>5</v>
      </c>
      <c r="Q1377" s="6">
        <f>(M1377*H1377)/F1377</f>
        <v>0.1003</v>
      </c>
      <c r="R1377" s="5">
        <f>IF(S1377="Quarterly",4,IF(S1377="Semi-annual",2,IF(S1377="Annual",1,IF(S1377="Pays at maturity",0,12))))</f>
        <v>1</v>
      </c>
      <c r="S1377" t="s">
        <v>93</v>
      </c>
      <c r="U1377">
        <f>R1377*P1377</f>
        <v>5</v>
      </c>
      <c r="V1377">
        <f>(H1377*M1377)/AD1377</f>
        <v>100.3</v>
      </c>
      <c r="W1377" s="28">
        <f>RATE(U1377,V1377,-F1377,H1377)</f>
        <v>0.10029999999999689</v>
      </c>
      <c r="X1377" s="27">
        <f>W1377*AD1377</f>
        <v>0.10029999999999689</v>
      </c>
      <c r="Y1377" s="5">
        <f>DURATION(N1377,O1377,M1377,D1377,AD1377)</f>
        <v>4.1678080007281846</v>
      </c>
      <c r="Z1377" s="5">
        <f>Y1377/(1+C1377)</f>
        <v>3.7878833052151197</v>
      </c>
      <c r="AA1377" s="5">
        <f>-Z1377*F1377</f>
        <v>-3787.8833052151199</v>
      </c>
      <c r="AB1377" t="s">
        <v>64</v>
      </c>
      <c r="AC1377" t="s">
        <v>62</v>
      </c>
      <c r="AD1377">
        <f>_xlfn.SWITCH(PROPER(TRIM(S1377)),
   "Annual",1,
   "Semi-Annual",2,
   "Quarterly",4,
   "Monthly",12,
   "")</f>
        <v>1</v>
      </c>
    </row>
    <row r="1378" spans="1:30" x14ac:dyDescent="0.35">
      <c r="C1378" s="28"/>
      <c r="D1378" s="27"/>
      <c r="I1378" s="22"/>
      <c r="K1378" s="22"/>
      <c r="M1378" s="22"/>
      <c r="N1378" s="21"/>
      <c r="O1378" s="21"/>
      <c r="P1378" s="5"/>
      <c r="Q1378" s="6"/>
      <c r="R1378" s="5"/>
      <c r="W1378" s="28"/>
      <c r="Y1378" s="33"/>
      <c r="Z1378" s="33"/>
      <c r="AA1378" s="33"/>
    </row>
    <row r="1379" spans="1:30" x14ac:dyDescent="0.35">
      <c r="C1379" s="28"/>
      <c r="D1379" s="27"/>
      <c r="I1379" s="22"/>
      <c r="K1379" s="22"/>
      <c r="M1379" s="22"/>
      <c r="N1379" s="21"/>
      <c r="O1379" s="21"/>
      <c r="P1379" s="5"/>
      <c r="Q1379" s="6"/>
      <c r="R1379" s="5"/>
      <c r="W1379" s="28"/>
      <c r="Y1379" s="33"/>
      <c r="Z1379" s="33"/>
      <c r="AA1379" s="33"/>
    </row>
    <row r="1380" spans="1:30" x14ac:dyDescent="0.35">
      <c r="A1380" t="s">
        <v>722</v>
      </c>
      <c r="B1380" t="s">
        <v>353</v>
      </c>
      <c r="C1380" s="36">
        <f t="shared" ref="C1380:C1409" si="884">RATE(U1380,V1380,-F1380,H1380)</f>
        <v>0.10433109579836426</v>
      </c>
      <c r="D1380" s="3">
        <f t="shared" ref="D1380:D1409" si="885">C1380*AD1380</f>
        <v>0.10433109579836426</v>
      </c>
      <c r="F1380">
        <v>1040</v>
      </c>
      <c r="G1380" t="s">
        <v>76</v>
      </c>
      <c r="H1380">
        <v>1000</v>
      </c>
      <c r="I1380" s="22"/>
      <c r="J1380">
        <v>8</v>
      </c>
      <c r="K1380" s="22"/>
      <c r="L1380">
        <v>10.0084799356099</v>
      </c>
      <c r="M1380" s="22">
        <v>0.115</v>
      </c>
      <c r="N1380" s="21">
        <v>45362</v>
      </c>
      <c r="O1380" s="21">
        <v>47187</v>
      </c>
      <c r="P1380">
        <f t="shared" ref="P1380:P1409" si="886">ROUND(YEARFRAC(N1380,O1380),0)</f>
        <v>5</v>
      </c>
      <c r="Q1380" s="6">
        <f t="shared" ref="Q1380:Q1409" si="887">(M1380*H1380)/F1380</f>
        <v>0.11057692307692307</v>
      </c>
      <c r="R1380" s="5">
        <f t="shared" ref="R1380:R1409" si="888">IF(S1380="Quarterly",4,IF(S1380="Semi-annual",2,IF(S1380="Annual",1,IF(S1380="Pays at maturity",0,12))))</f>
        <v>1</v>
      </c>
      <c r="S1380" t="s">
        <v>93</v>
      </c>
      <c r="U1380">
        <f t="shared" ref="U1380:U1409" si="889">R1380*P1380</f>
        <v>5</v>
      </c>
      <c r="V1380">
        <f t="shared" ref="V1380:V1409" si="890">(H1380*M1380)/AD1380</f>
        <v>115</v>
      </c>
      <c r="W1380" s="28">
        <f t="shared" ref="W1380:W1409" si="891">RATE(U1380,V1380,-F1380,H1380)</f>
        <v>0.10433109579836426</v>
      </c>
      <c r="X1380" s="27">
        <f t="shared" ref="X1380:X1409" si="892">W1380*AD1380</f>
        <v>0.10433109579836426</v>
      </c>
      <c r="Y1380" s="5">
        <f t="shared" ref="Y1380:Y1409" si="893">DURATION(N1380,O1380,M1380,D1380,AD1380)</f>
        <v>4.0861333639440511</v>
      </c>
      <c r="Z1380" s="5">
        <f t="shared" ref="Z1380:Z1409" si="894">Y1380/(1+C1380)</f>
        <v>3.7000980770083496</v>
      </c>
      <c r="AA1380" s="5">
        <f t="shared" ref="AA1380:AA1409" si="895">-Z1380*F1380</f>
        <v>-3848.1020000886838</v>
      </c>
      <c r="AB1380" t="s">
        <v>64</v>
      </c>
      <c r="AC1380" t="s">
        <v>62</v>
      </c>
      <c r="AD1380">
        <f t="shared" ref="AD1380:AD1409" si="896">_xlfn.SWITCH(PROPER(TRIM(S1380)),
   "Annual",1,
   "Semi-Annual",2,
   "Quarterly",4,
   "Monthly",12,
   "")</f>
        <v>1</v>
      </c>
    </row>
    <row r="1381" spans="1:30" x14ac:dyDescent="0.35">
      <c r="A1381" t="s">
        <v>721</v>
      </c>
      <c r="B1381" t="s">
        <v>720</v>
      </c>
      <c r="C1381" s="36">
        <f t="shared" si="884"/>
        <v>8.9046728402404129E-2</v>
      </c>
      <c r="D1381" s="3">
        <f t="shared" si="885"/>
        <v>8.9046728402404129E-2</v>
      </c>
      <c r="F1381">
        <v>97447.24</v>
      </c>
      <c r="G1381" t="s">
        <v>76</v>
      </c>
      <c r="H1381">
        <v>100000</v>
      </c>
      <c r="I1381" s="22"/>
      <c r="J1381">
        <v>1</v>
      </c>
      <c r="K1381" s="22"/>
      <c r="L1381">
        <v>9.1273686968128001</v>
      </c>
      <c r="M1381" s="22">
        <v>8.2500000000000004E-2</v>
      </c>
      <c r="N1381" s="21">
        <v>45362</v>
      </c>
      <c r="O1381" s="21">
        <v>47188</v>
      </c>
      <c r="P1381">
        <f t="shared" si="886"/>
        <v>5</v>
      </c>
      <c r="Q1381" s="6">
        <f t="shared" si="887"/>
        <v>8.4661197177057043E-2</v>
      </c>
      <c r="R1381" s="5">
        <f t="shared" si="888"/>
        <v>1</v>
      </c>
      <c r="S1381" t="s">
        <v>93</v>
      </c>
      <c r="U1381">
        <f t="shared" si="889"/>
        <v>5</v>
      </c>
      <c r="V1381">
        <f t="shared" si="890"/>
        <v>8250</v>
      </c>
      <c r="W1381" s="28">
        <f t="shared" si="891"/>
        <v>8.9046728402404129E-2</v>
      </c>
      <c r="X1381" s="27">
        <f t="shared" si="892"/>
        <v>8.9046728402404129E-2</v>
      </c>
      <c r="Y1381" s="5">
        <f t="shared" si="893"/>
        <v>4.283619449600093</v>
      </c>
      <c r="Z1381" s="5">
        <f t="shared" si="894"/>
        <v>3.9333660695019232</v>
      </c>
      <c r="AA1381" s="5">
        <f t="shared" si="895"/>
        <v>-383295.66738261061</v>
      </c>
      <c r="AB1381" t="s">
        <v>64</v>
      </c>
      <c r="AC1381" t="s">
        <v>62</v>
      </c>
      <c r="AD1381">
        <f t="shared" si="896"/>
        <v>1</v>
      </c>
    </row>
    <row r="1382" spans="1:30" x14ac:dyDescent="0.35">
      <c r="A1382" t="s">
        <v>719</v>
      </c>
      <c r="B1382" t="s">
        <v>72</v>
      </c>
      <c r="C1382" s="36">
        <f t="shared" si="884"/>
        <v>7.6146760931197571E-2</v>
      </c>
      <c r="D1382" s="3">
        <f t="shared" si="885"/>
        <v>7.6146760931197571E-2</v>
      </c>
      <c r="F1382">
        <v>1050210</v>
      </c>
      <c r="G1382" t="s">
        <v>76</v>
      </c>
      <c r="H1382">
        <v>1000000</v>
      </c>
      <c r="I1382" s="22"/>
      <c r="J1382">
        <v>5</v>
      </c>
      <c r="K1382" s="22"/>
      <c r="L1382">
        <v>7.1950323581677598</v>
      </c>
      <c r="M1382" s="22">
        <v>8.3499999999999991E-2</v>
      </c>
      <c r="N1382" s="21">
        <v>43537</v>
      </c>
      <c r="O1382" s="21">
        <v>47190</v>
      </c>
      <c r="P1382">
        <f t="shared" si="886"/>
        <v>10</v>
      </c>
      <c r="Q1382" s="6">
        <f t="shared" si="887"/>
        <v>7.9507907942221068E-2</v>
      </c>
      <c r="R1382" s="5">
        <f t="shared" si="888"/>
        <v>1</v>
      </c>
      <c r="S1382" t="s">
        <v>93</v>
      </c>
      <c r="U1382">
        <f t="shared" si="889"/>
        <v>10</v>
      </c>
      <c r="V1382">
        <f t="shared" si="890"/>
        <v>83499.999999999985</v>
      </c>
      <c r="W1382" s="28">
        <f t="shared" si="891"/>
        <v>7.6146760931197571E-2</v>
      </c>
      <c r="X1382" s="27">
        <f t="shared" si="892"/>
        <v>7.6146760931197571E-2</v>
      </c>
      <c r="Y1382" s="5">
        <f t="shared" si="893"/>
        <v>7.2311851087871339</v>
      </c>
      <c r="Z1382" s="5">
        <f t="shared" si="894"/>
        <v>6.7195157494410305</v>
      </c>
      <c r="AA1382" s="5">
        <f t="shared" si="895"/>
        <v>-7056902.6352204643</v>
      </c>
      <c r="AB1382" t="s">
        <v>64</v>
      </c>
      <c r="AC1382" t="s">
        <v>62</v>
      </c>
      <c r="AD1382">
        <f t="shared" si="896"/>
        <v>1</v>
      </c>
    </row>
    <row r="1383" spans="1:30" x14ac:dyDescent="0.35">
      <c r="A1383" t="s">
        <v>718</v>
      </c>
      <c r="B1383" t="s">
        <v>716</v>
      </c>
      <c r="C1383" s="36">
        <f t="shared" si="884"/>
        <v>7.8688802299853186E-2</v>
      </c>
      <c r="D1383" s="3">
        <f t="shared" si="885"/>
        <v>7.8688802299853186E-2</v>
      </c>
      <c r="F1383">
        <v>1075</v>
      </c>
      <c r="G1383" t="s">
        <v>76</v>
      </c>
      <c r="H1383">
        <v>1000</v>
      </c>
      <c r="I1383" s="22"/>
      <c r="J1383">
        <v>23</v>
      </c>
      <c r="K1383" s="22"/>
      <c r="L1383">
        <v>6.4388179751704797</v>
      </c>
      <c r="M1383" s="22">
        <v>8.9800000000000005E-2</v>
      </c>
      <c r="N1383" s="21">
        <v>43537</v>
      </c>
      <c r="O1383" s="21">
        <v>47190</v>
      </c>
      <c r="P1383">
        <f t="shared" si="886"/>
        <v>10</v>
      </c>
      <c r="Q1383" s="6">
        <f t="shared" si="887"/>
        <v>8.3534883720930236E-2</v>
      </c>
      <c r="R1383" s="5">
        <f t="shared" si="888"/>
        <v>1</v>
      </c>
      <c r="S1383" t="s">
        <v>93</v>
      </c>
      <c r="U1383">
        <f t="shared" si="889"/>
        <v>10</v>
      </c>
      <c r="V1383">
        <f t="shared" si="890"/>
        <v>89.800000000000011</v>
      </c>
      <c r="W1383" s="28">
        <f t="shared" si="891"/>
        <v>7.8688802299853186E-2</v>
      </c>
      <c r="X1383" s="27">
        <f t="shared" si="892"/>
        <v>7.8688802299853186E-2</v>
      </c>
      <c r="Y1383" s="5">
        <f t="shared" si="893"/>
        <v>7.1136476766818157</v>
      </c>
      <c r="Z1383" s="5">
        <f t="shared" si="894"/>
        <v>6.59471727296597</v>
      </c>
      <c r="AA1383" s="5">
        <f t="shared" si="895"/>
        <v>-7089.3210684384176</v>
      </c>
      <c r="AB1383" t="s">
        <v>64</v>
      </c>
      <c r="AC1383" t="s">
        <v>62</v>
      </c>
      <c r="AD1383">
        <f t="shared" si="896"/>
        <v>1</v>
      </c>
    </row>
    <row r="1384" spans="1:30" x14ac:dyDescent="0.35">
      <c r="A1384" t="s">
        <v>717</v>
      </c>
      <c r="B1384" t="s">
        <v>716</v>
      </c>
      <c r="C1384" s="36">
        <f t="shared" si="884"/>
        <v>8.1070747312630365E-2</v>
      </c>
      <c r="D1384" s="3">
        <f t="shared" si="885"/>
        <v>8.1070747312630365E-2</v>
      </c>
      <c r="F1384">
        <v>1083</v>
      </c>
      <c r="G1384" t="s">
        <v>76</v>
      </c>
      <c r="H1384">
        <v>1000</v>
      </c>
      <c r="I1384" s="22"/>
      <c r="J1384">
        <v>494</v>
      </c>
      <c r="K1384" s="22"/>
      <c r="L1384">
        <v>6.5285932744021897</v>
      </c>
      <c r="M1384" s="22">
        <v>9.35E-2</v>
      </c>
      <c r="N1384" s="21">
        <v>43537</v>
      </c>
      <c r="O1384" s="21">
        <v>47190</v>
      </c>
      <c r="P1384">
        <f t="shared" si="886"/>
        <v>10</v>
      </c>
      <c r="Q1384" s="6">
        <f t="shared" si="887"/>
        <v>8.6334256694367492E-2</v>
      </c>
      <c r="R1384" s="5">
        <f t="shared" si="888"/>
        <v>1</v>
      </c>
      <c r="S1384" t="s">
        <v>93</v>
      </c>
      <c r="U1384">
        <f t="shared" si="889"/>
        <v>10</v>
      </c>
      <c r="V1384">
        <f t="shared" si="890"/>
        <v>93.5</v>
      </c>
      <c r="W1384" s="28">
        <f t="shared" si="891"/>
        <v>8.1070747312630365E-2</v>
      </c>
      <c r="X1384" s="27">
        <f t="shared" si="892"/>
        <v>8.1070747312630365E-2</v>
      </c>
      <c r="Y1384" s="5">
        <f t="shared" si="893"/>
        <v>7.0386235380012909</v>
      </c>
      <c r="Z1384" s="5">
        <f t="shared" si="894"/>
        <v>6.5107890075632771</v>
      </c>
      <c r="AA1384" s="5">
        <f t="shared" si="895"/>
        <v>-7051.1844951910289</v>
      </c>
      <c r="AB1384" t="s">
        <v>64</v>
      </c>
      <c r="AC1384" t="s">
        <v>62</v>
      </c>
      <c r="AD1384">
        <f t="shared" si="896"/>
        <v>1</v>
      </c>
    </row>
    <row r="1385" spans="1:30" x14ac:dyDescent="0.35">
      <c r="A1385" t="s">
        <v>715</v>
      </c>
      <c r="B1385" t="s">
        <v>714</v>
      </c>
      <c r="C1385" s="36">
        <f t="shared" si="884"/>
        <v>0.10016811908927424</v>
      </c>
      <c r="D1385" s="3">
        <f t="shared" si="885"/>
        <v>0.10016811908927424</v>
      </c>
      <c r="F1385">
        <v>99936.297000000006</v>
      </c>
      <c r="G1385" t="s">
        <v>76</v>
      </c>
      <c r="H1385">
        <v>100000</v>
      </c>
      <c r="I1385" s="22"/>
      <c r="J1385">
        <v>5</v>
      </c>
      <c r="K1385" s="22"/>
      <c r="L1385">
        <v>10.019901346940999</v>
      </c>
      <c r="M1385" s="22">
        <v>0.1</v>
      </c>
      <c r="N1385" s="21">
        <v>45365</v>
      </c>
      <c r="O1385" s="21">
        <v>47191</v>
      </c>
      <c r="P1385">
        <f t="shared" si="886"/>
        <v>5</v>
      </c>
      <c r="Q1385" s="6">
        <f t="shared" si="887"/>
        <v>0.10006374360658971</v>
      </c>
      <c r="R1385" s="5">
        <f t="shared" si="888"/>
        <v>1</v>
      </c>
      <c r="S1385" t="s">
        <v>93</v>
      </c>
      <c r="U1385">
        <f t="shared" si="889"/>
        <v>5</v>
      </c>
      <c r="V1385">
        <f t="shared" si="890"/>
        <v>10000</v>
      </c>
      <c r="W1385" s="28">
        <f t="shared" si="891"/>
        <v>0.10016811908927424</v>
      </c>
      <c r="X1385" s="27">
        <f t="shared" si="892"/>
        <v>0.10016811908927424</v>
      </c>
      <c r="Y1385" s="5">
        <f t="shared" si="893"/>
        <v>4.1695783948323992</v>
      </c>
      <c r="Z1385" s="5">
        <f t="shared" si="894"/>
        <v>3.789946574968925</v>
      </c>
      <c r="AA1385" s="5">
        <f t="shared" si="895"/>
        <v>-378753.22653022729</v>
      </c>
      <c r="AB1385" t="s">
        <v>64</v>
      </c>
      <c r="AC1385" t="s">
        <v>62</v>
      </c>
      <c r="AD1385">
        <f t="shared" si="896"/>
        <v>1</v>
      </c>
    </row>
    <row r="1386" spans="1:30" x14ac:dyDescent="0.35">
      <c r="A1386" t="s">
        <v>713</v>
      </c>
      <c r="B1386" t="s">
        <v>101</v>
      </c>
      <c r="C1386" s="36">
        <f t="shared" si="884"/>
        <v>7.0235170256889051E-2</v>
      </c>
      <c r="D1386" s="3">
        <f t="shared" si="885"/>
        <v>7.0235170256889051E-2</v>
      </c>
      <c r="F1386">
        <v>1146.0999999999999</v>
      </c>
      <c r="G1386" t="s">
        <v>76</v>
      </c>
      <c r="H1386">
        <v>1000</v>
      </c>
      <c r="I1386" s="22"/>
      <c r="J1386">
        <v>20</v>
      </c>
      <c r="K1386" s="22"/>
      <c r="L1386">
        <v>4.0756402705097097</v>
      </c>
      <c r="M1386" s="22">
        <v>8.6300000000000002E-2</v>
      </c>
      <c r="N1386" s="21">
        <v>41722</v>
      </c>
      <c r="O1386" s="21">
        <v>47201</v>
      </c>
      <c r="P1386">
        <f t="shared" si="886"/>
        <v>15</v>
      </c>
      <c r="Q1386" s="6">
        <f t="shared" si="887"/>
        <v>7.5298839542797313E-2</v>
      </c>
      <c r="R1386" s="5">
        <f t="shared" si="888"/>
        <v>1</v>
      </c>
      <c r="S1386" t="s">
        <v>93</v>
      </c>
      <c r="U1386">
        <f t="shared" si="889"/>
        <v>15</v>
      </c>
      <c r="V1386">
        <f t="shared" si="890"/>
        <v>86.3</v>
      </c>
      <c r="W1386" s="28">
        <f t="shared" si="891"/>
        <v>7.0235170256889051E-2</v>
      </c>
      <c r="X1386" s="27">
        <f t="shared" si="892"/>
        <v>7.0235170256889051E-2</v>
      </c>
      <c r="Y1386" s="5">
        <f t="shared" si="893"/>
        <v>9.3534289798269654</v>
      </c>
      <c r="Z1386" s="5">
        <f t="shared" si="894"/>
        <v>8.7396015752144063</v>
      </c>
      <c r="AA1386" s="5">
        <f t="shared" si="895"/>
        <v>-10016.45736535323</v>
      </c>
      <c r="AB1386" t="s">
        <v>64</v>
      </c>
      <c r="AC1386" t="s">
        <v>62</v>
      </c>
      <c r="AD1386">
        <f t="shared" si="896"/>
        <v>1</v>
      </c>
    </row>
    <row r="1387" spans="1:30" x14ac:dyDescent="0.35">
      <c r="A1387" t="s">
        <v>712</v>
      </c>
      <c r="B1387" t="s">
        <v>101</v>
      </c>
      <c r="C1387" s="36">
        <f t="shared" si="884"/>
        <v>7.063932603509597E-2</v>
      </c>
      <c r="D1387" s="3">
        <f t="shared" si="885"/>
        <v>7.063932603509597E-2</v>
      </c>
      <c r="F1387">
        <v>1164.74</v>
      </c>
      <c r="G1387" t="s">
        <v>76</v>
      </c>
      <c r="H1387">
        <v>1000</v>
      </c>
      <c r="I1387" s="22"/>
      <c r="J1387">
        <v>440</v>
      </c>
      <c r="K1387" s="22"/>
      <c r="L1387">
        <v>3.79708497445823</v>
      </c>
      <c r="M1387" s="22">
        <v>8.8800000000000004E-2</v>
      </c>
      <c r="N1387" s="21">
        <v>41722</v>
      </c>
      <c r="O1387" s="21">
        <v>47201</v>
      </c>
      <c r="P1387">
        <f t="shared" si="886"/>
        <v>15</v>
      </c>
      <c r="Q1387" s="6">
        <f t="shared" si="887"/>
        <v>7.6240190943901637E-2</v>
      </c>
      <c r="R1387" s="5">
        <f t="shared" si="888"/>
        <v>1</v>
      </c>
      <c r="S1387" t="s">
        <v>93</v>
      </c>
      <c r="U1387">
        <f t="shared" si="889"/>
        <v>15</v>
      </c>
      <c r="V1387">
        <f t="shared" si="890"/>
        <v>88.8</v>
      </c>
      <c r="W1387" s="28">
        <f t="shared" si="891"/>
        <v>7.063932603509597E-2</v>
      </c>
      <c r="X1387" s="27">
        <f t="shared" si="892"/>
        <v>7.063932603509597E-2</v>
      </c>
      <c r="Y1387" s="5">
        <f t="shared" si="893"/>
        <v>9.2927630529199323</v>
      </c>
      <c r="Z1387" s="5">
        <f t="shared" si="894"/>
        <v>8.6796391902900378</v>
      </c>
      <c r="AA1387" s="5">
        <f t="shared" si="895"/>
        <v>-10109.522950498418</v>
      </c>
      <c r="AB1387" t="s">
        <v>64</v>
      </c>
      <c r="AC1387" t="s">
        <v>62</v>
      </c>
      <c r="AD1387">
        <f t="shared" si="896"/>
        <v>1</v>
      </c>
    </row>
    <row r="1388" spans="1:30" x14ac:dyDescent="0.35">
      <c r="A1388" t="s">
        <v>711</v>
      </c>
      <c r="B1388" t="s">
        <v>176</v>
      </c>
      <c r="C1388" s="36">
        <f t="shared" si="884"/>
        <v>7.5548681803717585E-2</v>
      </c>
      <c r="D1388" s="3">
        <f t="shared" si="885"/>
        <v>7.5548681803717585E-2</v>
      </c>
      <c r="F1388">
        <v>1127.1300000000001</v>
      </c>
      <c r="G1388" t="s">
        <v>76</v>
      </c>
      <c r="H1388">
        <v>1000</v>
      </c>
      <c r="I1388" s="22"/>
      <c r="J1388">
        <v>450</v>
      </c>
      <c r="K1388" s="22"/>
      <c r="L1388">
        <v>4.9330898000239101</v>
      </c>
      <c r="M1388" s="22">
        <v>0.09</v>
      </c>
      <c r="N1388" s="21">
        <v>41723</v>
      </c>
      <c r="O1388" s="21">
        <v>47202</v>
      </c>
      <c r="P1388">
        <f t="shared" si="886"/>
        <v>15</v>
      </c>
      <c r="Q1388" s="6">
        <f t="shared" si="887"/>
        <v>7.9848819568284046E-2</v>
      </c>
      <c r="R1388" s="5">
        <f t="shared" si="888"/>
        <v>1</v>
      </c>
      <c r="S1388" t="s">
        <v>93</v>
      </c>
      <c r="U1388">
        <f t="shared" si="889"/>
        <v>15</v>
      </c>
      <c r="V1388">
        <f t="shared" si="890"/>
        <v>90</v>
      </c>
      <c r="W1388" s="28">
        <f t="shared" si="891"/>
        <v>7.5548681803717585E-2</v>
      </c>
      <c r="X1388" s="27">
        <f t="shared" si="892"/>
        <v>7.5548681803717585E-2</v>
      </c>
      <c r="Y1388" s="5">
        <f t="shared" si="893"/>
        <v>9.146500917645076</v>
      </c>
      <c r="Z1388" s="5">
        <f t="shared" si="894"/>
        <v>8.5040324742030293</v>
      </c>
      <c r="AA1388" s="5">
        <f t="shared" si="895"/>
        <v>-9585.1501226484615</v>
      </c>
      <c r="AB1388" t="s">
        <v>64</v>
      </c>
      <c r="AC1388" t="s">
        <v>62</v>
      </c>
      <c r="AD1388">
        <f t="shared" si="896"/>
        <v>1</v>
      </c>
    </row>
    <row r="1389" spans="1:30" x14ac:dyDescent="0.35">
      <c r="A1389" t="s">
        <v>710</v>
      </c>
      <c r="B1389" t="s">
        <v>176</v>
      </c>
      <c r="C1389" s="36">
        <f t="shared" si="884"/>
        <v>6.7794802533168025E-2</v>
      </c>
      <c r="D1389" s="3">
        <f t="shared" si="885"/>
        <v>6.7794802533168025E-2</v>
      </c>
      <c r="F1389">
        <v>1182</v>
      </c>
      <c r="G1389" t="s">
        <v>76</v>
      </c>
      <c r="H1389">
        <v>1000</v>
      </c>
      <c r="I1389" s="22"/>
      <c r="J1389">
        <v>2000</v>
      </c>
      <c r="K1389" s="22"/>
      <c r="L1389">
        <v>4.55850921720545</v>
      </c>
      <c r="M1389" s="22">
        <v>8.7499999999999994E-2</v>
      </c>
      <c r="N1389" s="21">
        <v>41723</v>
      </c>
      <c r="O1389" s="21">
        <v>47202</v>
      </c>
      <c r="P1389">
        <f t="shared" si="886"/>
        <v>15</v>
      </c>
      <c r="Q1389" s="6">
        <f t="shared" si="887"/>
        <v>7.402707275803723E-2</v>
      </c>
      <c r="R1389" s="5">
        <f t="shared" si="888"/>
        <v>1</v>
      </c>
      <c r="S1389" t="s">
        <v>93</v>
      </c>
      <c r="U1389">
        <f t="shared" si="889"/>
        <v>15</v>
      </c>
      <c r="V1389">
        <f t="shared" si="890"/>
        <v>87.5</v>
      </c>
      <c r="W1389" s="28">
        <f t="shared" si="891"/>
        <v>6.7794802533168025E-2</v>
      </c>
      <c r="X1389" s="27">
        <f t="shared" si="892"/>
        <v>6.7794802533168025E-2</v>
      </c>
      <c r="Y1389" s="5">
        <f t="shared" si="893"/>
        <v>9.3900039846561256</v>
      </c>
      <c r="Z1389" s="5">
        <f t="shared" si="894"/>
        <v>8.7938281422421998</v>
      </c>
      <c r="AA1389" s="5">
        <f t="shared" si="895"/>
        <v>-10394.304864130279</v>
      </c>
      <c r="AB1389" t="s">
        <v>64</v>
      </c>
      <c r="AC1389" t="s">
        <v>62</v>
      </c>
      <c r="AD1389">
        <f t="shared" si="896"/>
        <v>1</v>
      </c>
    </row>
    <row r="1390" spans="1:30" x14ac:dyDescent="0.35">
      <c r="A1390" t="s">
        <v>709</v>
      </c>
      <c r="B1390" t="s">
        <v>101</v>
      </c>
      <c r="C1390" s="36">
        <f t="shared" si="884"/>
        <v>3.7318742029351697E-2</v>
      </c>
      <c r="D1390" s="3">
        <f t="shared" si="885"/>
        <v>7.4637484058703393E-2</v>
      </c>
      <c r="F1390">
        <v>1058198</v>
      </c>
      <c r="G1390" t="s">
        <v>76</v>
      </c>
      <c r="H1390">
        <v>1000000</v>
      </c>
      <c r="I1390" s="22"/>
      <c r="J1390">
        <v>50</v>
      </c>
      <c r="K1390" s="22"/>
      <c r="M1390" s="22">
        <v>8.3000000000000004E-2</v>
      </c>
      <c r="N1390" s="21">
        <v>43549</v>
      </c>
      <c r="O1390" s="21">
        <v>47202</v>
      </c>
      <c r="P1390">
        <f t="shared" si="886"/>
        <v>10</v>
      </c>
      <c r="Q1390" s="6">
        <f t="shared" si="887"/>
        <v>7.84352266778051E-2</v>
      </c>
      <c r="R1390" s="5">
        <f t="shared" si="888"/>
        <v>2</v>
      </c>
      <c r="S1390" t="s">
        <v>65</v>
      </c>
      <c r="U1390">
        <f t="shared" si="889"/>
        <v>20</v>
      </c>
      <c r="V1390">
        <f t="shared" si="890"/>
        <v>41500</v>
      </c>
      <c r="W1390" s="28">
        <f t="shared" si="891"/>
        <v>3.7318742029351697E-2</v>
      </c>
      <c r="X1390" s="27">
        <f t="shared" si="892"/>
        <v>7.4637484058703393E-2</v>
      </c>
      <c r="Y1390" s="5">
        <f t="shared" si="893"/>
        <v>7.0776055140315108</v>
      </c>
      <c r="Z1390" s="5">
        <f t="shared" si="894"/>
        <v>6.8229804661441706</v>
      </c>
      <c r="AA1390" s="5">
        <f t="shared" si="895"/>
        <v>-7220064.2833128292</v>
      </c>
      <c r="AB1390" t="s">
        <v>64</v>
      </c>
      <c r="AC1390" t="s">
        <v>62</v>
      </c>
      <c r="AD1390">
        <f t="shared" si="896"/>
        <v>2</v>
      </c>
    </row>
    <row r="1391" spans="1:30" x14ac:dyDescent="0.35">
      <c r="A1391" t="s">
        <v>708</v>
      </c>
      <c r="B1391" t="s">
        <v>128</v>
      </c>
      <c r="C1391" s="36">
        <f t="shared" si="884"/>
        <v>0.12956013530636451</v>
      </c>
      <c r="D1391" s="3">
        <f t="shared" si="885"/>
        <v>0.12956013530636451</v>
      </c>
      <c r="F1391">
        <v>901.2</v>
      </c>
      <c r="G1391" t="s">
        <v>76</v>
      </c>
      <c r="H1391">
        <v>1000</v>
      </c>
      <c r="I1391" s="22"/>
      <c r="J1391">
        <v>1</v>
      </c>
      <c r="K1391" s="22"/>
      <c r="L1391">
        <v>13.9127961834551</v>
      </c>
      <c r="M1391" s="22">
        <v>0.10150000000000001</v>
      </c>
      <c r="N1391" s="21">
        <v>45377</v>
      </c>
      <c r="O1391" s="21">
        <v>47203</v>
      </c>
      <c r="P1391">
        <f t="shared" si="886"/>
        <v>5</v>
      </c>
      <c r="Q1391" s="6">
        <f t="shared" si="887"/>
        <v>0.11262760763426542</v>
      </c>
      <c r="R1391" s="5">
        <f t="shared" si="888"/>
        <v>1</v>
      </c>
      <c r="S1391" t="s">
        <v>93</v>
      </c>
      <c r="U1391">
        <f t="shared" si="889"/>
        <v>5</v>
      </c>
      <c r="V1391">
        <f t="shared" si="890"/>
        <v>101.5</v>
      </c>
      <c r="W1391" s="28">
        <f t="shared" si="891"/>
        <v>0.12956013530636451</v>
      </c>
      <c r="X1391" s="27">
        <f t="shared" si="892"/>
        <v>0.12956013530636451</v>
      </c>
      <c r="Y1391" s="5">
        <f t="shared" si="893"/>
        <v>4.1108651201971282</v>
      </c>
      <c r="Z1391" s="5">
        <f t="shared" si="894"/>
        <v>3.6393503910990632</v>
      </c>
      <c r="AA1391" s="5">
        <f t="shared" si="895"/>
        <v>-3279.7825724584759</v>
      </c>
      <c r="AB1391" t="s">
        <v>64</v>
      </c>
      <c r="AC1391" t="s">
        <v>62</v>
      </c>
      <c r="AD1391">
        <f t="shared" si="896"/>
        <v>1</v>
      </c>
    </row>
    <row r="1392" spans="1:30" x14ac:dyDescent="0.35">
      <c r="A1392" t="s">
        <v>707</v>
      </c>
      <c r="B1392" t="s">
        <v>72</v>
      </c>
      <c r="C1392" s="36">
        <f t="shared" si="884"/>
        <v>7.2369556372984326E-2</v>
      </c>
      <c r="D1392" s="3">
        <f t="shared" si="885"/>
        <v>7.2369556372984326E-2</v>
      </c>
      <c r="F1392">
        <v>1125</v>
      </c>
      <c r="G1392" t="s">
        <v>76</v>
      </c>
      <c r="H1392">
        <v>1000</v>
      </c>
      <c r="I1392" s="22"/>
      <c r="J1392">
        <v>3000</v>
      </c>
      <c r="K1392" s="22"/>
      <c r="L1392">
        <v>4.6513378009431596</v>
      </c>
      <c r="M1392" s="22">
        <v>8.6300000000000002E-2</v>
      </c>
      <c r="N1392" s="21">
        <v>41724</v>
      </c>
      <c r="O1392" s="21">
        <v>47203</v>
      </c>
      <c r="P1392">
        <f t="shared" si="886"/>
        <v>15</v>
      </c>
      <c r="Q1392" s="6">
        <f t="shared" si="887"/>
        <v>7.6711111111111105E-2</v>
      </c>
      <c r="R1392" s="5">
        <f t="shared" si="888"/>
        <v>1</v>
      </c>
      <c r="S1392" t="s">
        <v>93</v>
      </c>
      <c r="U1392">
        <f t="shared" si="889"/>
        <v>15</v>
      </c>
      <c r="V1392">
        <f t="shared" si="890"/>
        <v>86.3</v>
      </c>
      <c r="W1392" s="28">
        <f t="shared" si="891"/>
        <v>7.2369556372984326E-2</v>
      </c>
      <c r="X1392" s="27">
        <f t="shared" si="892"/>
        <v>7.2369556372984326E-2</v>
      </c>
      <c r="Y1392" s="5">
        <f t="shared" si="893"/>
        <v>9.2999340716459642</v>
      </c>
      <c r="Z1392" s="5">
        <f t="shared" si="894"/>
        <v>8.6723219774166402</v>
      </c>
      <c r="AA1392" s="5">
        <f t="shared" si="895"/>
        <v>-9756.3622245937204</v>
      </c>
      <c r="AB1392" t="s">
        <v>64</v>
      </c>
      <c r="AC1392" t="s">
        <v>62</v>
      </c>
      <c r="AD1392">
        <f t="shared" si="896"/>
        <v>1</v>
      </c>
    </row>
    <row r="1393" spans="1:30" x14ac:dyDescent="0.35">
      <c r="A1393" t="s">
        <v>706</v>
      </c>
      <c r="B1393" t="s">
        <v>128</v>
      </c>
      <c r="C1393" s="36">
        <f t="shared" si="884"/>
        <v>0.10511765560253314</v>
      </c>
      <c r="D1393" s="3">
        <f t="shared" si="885"/>
        <v>0.10511765560253314</v>
      </c>
      <c r="F1393">
        <v>970</v>
      </c>
      <c r="G1393" t="s">
        <v>76</v>
      </c>
      <c r="H1393">
        <v>1000</v>
      </c>
      <c r="I1393" s="22"/>
      <c r="J1393">
        <v>6</v>
      </c>
      <c r="K1393" s="22"/>
      <c r="L1393">
        <v>10.8477469485147</v>
      </c>
      <c r="M1393" s="22">
        <v>9.7100000000000006E-2</v>
      </c>
      <c r="N1393" s="21">
        <v>45377</v>
      </c>
      <c r="O1393" s="21">
        <v>47203</v>
      </c>
      <c r="P1393">
        <f t="shared" si="886"/>
        <v>5</v>
      </c>
      <c r="Q1393" s="6">
        <f t="shared" si="887"/>
        <v>0.10010309278350517</v>
      </c>
      <c r="R1393" s="5">
        <f t="shared" si="888"/>
        <v>1</v>
      </c>
      <c r="S1393" t="s">
        <v>93</v>
      </c>
      <c r="U1393">
        <f t="shared" si="889"/>
        <v>5</v>
      </c>
      <c r="V1393">
        <f t="shared" si="890"/>
        <v>97.100000000000009</v>
      </c>
      <c r="W1393" s="28">
        <f t="shared" si="891"/>
        <v>0.10511765560253314</v>
      </c>
      <c r="X1393" s="27">
        <f t="shared" si="892"/>
        <v>0.10511765560253314</v>
      </c>
      <c r="Y1393" s="5">
        <f t="shared" si="893"/>
        <v>4.1763264168254439</v>
      </c>
      <c r="Z1393" s="5">
        <f t="shared" si="894"/>
        <v>3.7790785403282912</v>
      </c>
      <c r="AA1393" s="5">
        <f t="shared" si="895"/>
        <v>-3665.7061841184423</v>
      </c>
      <c r="AB1393" t="s">
        <v>64</v>
      </c>
      <c r="AC1393" t="s">
        <v>62</v>
      </c>
      <c r="AD1393">
        <f t="shared" si="896"/>
        <v>1</v>
      </c>
    </row>
    <row r="1394" spans="1:30" x14ac:dyDescent="0.35">
      <c r="A1394" t="s">
        <v>705</v>
      </c>
      <c r="B1394" t="s">
        <v>128</v>
      </c>
      <c r="C1394" s="36">
        <f t="shared" si="884"/>
        <v>0.10042246742559019</v>
      </c>
      <c r="D1394" s="3">
        <f t="shared" si="885"/>
        <v>0.10042246742559019</v>
      </c>
      <c r="F1394">
        <v>970</v>
      </c>
      <c r="G1394" t="s">
        <v>76</v>
      </c>
      <c r="H1394">
        <v>1000</v>
      </c>
      <c r="I1394" s="22"/>
      <c r="J1394">
        <v>1</v>
      </c>
      <c r="K1394" s="22"/>
      <c r="L1394">
        <v>10.237241467631399</v>
      </c>
      <c r="M1394" s="22">
        <v>9.2499999999999999E-2</v>
      </c>
      <c r="N1394" s="21">
        <v>45377</v>
      </c>
      <c r="O1394" s="21">
        <v>47203</v>
      </c>
      <c r="P1394">
        <f t="shared" si="886"/>
        <v>5</v>
      </c>
      <c r="Q1394" s="6">
        <f t="shared" si="887"/>
        <v>9.5360824742268036E-2</v>
      </c>
      <c r="R1394" s="5">
        <f t="shared" si="888"/>
        <v>1</v>
      </c>
      <c r="S1394" t="s">
        <v>93</v>
      </c>
      <c r="U1394">
        <f t="shared" si="889"/>
        <v>5</v>
      </c>
      <c r="V1394">
        <f t="shared" si="890"/>
        <v>92.5</v>
      </c>
      <c r="W1394" s="28">
        <f t="shared" si="891"/>
        <v>0.10042246742559019</v>
      </c>
      <c r="X1394" s="27">
        <f t="shared" si="892"/>
        <v>0.10042246742559019</v>
      </c>
      <c r="Y1394" s="5">
        <f t="shared" si="893"/>
        <v>4.2089564115518083</v>
      </c>
      <c r="Z1394" s="5">
        <f t="shared" si="894"/>
        <v>3.8248550317211829</v>
      </c>
      <c r="AA1394" s="5">
        <f t="shared" si="895"/>
        <v>-3710.1093807695474</v>
      </c>
      <c r="AB1394" t="s">
        <v>64</v>
      </c>
      <c r="AC1394" t="s">
        <v>62</v>
      </c>
      <c r="AD1394">
        <f t="shared" si="896"/>
        <v>1</v>
      </c>
    </row>
    <row r="1395" spans="1:30" x14ac:dyDescent="0.35">
      <c r="A1395" t="s">
        <v>704</v>
      </c>
      <c r="B1395" t="s">
        <v>72</v>
      </c>
      <c r="C1395" s="36">
        <f t="shared" si="884"/>
        <v>7.343057855378686E-2</v>
      </c>
      <c r="D1395" s="3">
        <f t="shared" si="885"/>
        <v>7.343057855378686E-2</v>
      </c>
      <c r="F1395">
        <v>1137</v>
      </c>
      <c r="G1395" t="s">
        <v>76</v>
      </c>
      <c r="H1395">
        <v>1000</v>
      </c>
      <c r="I1395" s="22"/>
      <c r="J1395">
        <v>50</v>
      </c>
      <c r="K1395" s="22"/>
      <c r="L1395">
        <v>4.5328452132379597</v>
      </c>
      <c r="M1395" s="22">
        <v>8.8800000000000004E-2</v>
      </c>
      <c r="N1395" s="21">
        <v>41724</v>
      </c>
      <c r="O1395" s="21">
        <v>47203</v>
      </c>
      <c r="P1395">
        <f t="shared" si="886"/>
        <v>15</v>
      </c>
      <c r="Q1395" s="6">
        <f t="shared" si="887"/>
        <v>7.8100263852242738E-2</v>
      </c>
      <c r="R1395" s="5">
        <f t="shared" si="888"/>
        <v>1</v>
      </c>
      <c r="S1395" t="s">
        <v>93</v>
      </c>
      <c r="U1395">
        <f t="shared" si="889"/>
        <v>15</v>
      </c>
      <c r="V1395">
        <f t="shared" si="890"/>
        <v>88.8</v>
      </c>
      <c r="W1395" s="28">
        <f t="shared" si="891"/>
        <v>7.343057855378686E-2</v>
      </c>
      <c r="X1395" s="27">
        <f t="shared" si="892"/>
        <v>7.343057855378686E-2</v>
      </c>
      <c r="Y1395" s="5">
        <f t="shared" si="893"/>
        <v>9.2229330089760726</v>
      </c>
      <c r="Z1395" s="5">
        <f t="shared" si="894"/>
        <v>8.5920162824147983</v>
      </c>
      <c r="AA1395" s="5">
        <f t="shared" si="895"/>
        <v>-9769.1225131056253</v>
      </c>
      <c r="AB1395" t="s">
        <v>64</v>
      </c>
      <c r="AC1395" t="s">
        <v>62</v>
      </c>
      <c r="AD1395">
        <f t="shared" si="896"/>
        <v>1</v>
      </c>
    </row>
    <row r="1396" spans="1:30" x14ac:dyDescent="0.35">
      <c r="A1396" t="s">
        <v>703</v>
      </c>
      <c r="B1396" t="s">
        <v>171</v>
      </c>
      <c r="C1396" s="36">
        <f t="shared" si="884"/>
        <v>7.3417104290458904E-2</v>
      </c>
      <c r="D1396" s="3">
        <f t="shared" si="885"/>
        <v>7.3417104290458904E-2</v>
      </c>
      <c r="F1396">
        <v>1130</v>
      </c>
      <c r="G1396" t="s">
        <v>76</v>
      </c>
      <c r="H1396">
        <v>1000</v>
      </c>
      <c r="I1396" s="22"/>
      <c r="J1396">
        <v>25</v>
      </c>
      <c r="K1396" s="22"/>
      <c r="L1396">
        <v>4.66094267885265</v>
      </c>
      <c r="M1396" s="22">
        <v>8.8000000000000009E-2</v>
      </c>
      <c r="N1396" s="21">
        <v>41725</v>
      </c>
      <c r="O1396" s="21">
        <v>47204</v>
      </c>
      <c r="P1396">
        <f t="shared" si="886"/>
        <v>15</v>
      </c>
      <c r="Q1396" s="6">
        <f t="shared" si="887"/>
        <v>7.7876106194690278E-2</v>
      </c>
      <c r="R1396" s="5">
        <f t="shared" si="888"/>
        <v>1</v>
      </c>
      <c r="S1396" t="s">
        <v>93</v>
      </c>
      <c r="U1396">
        <f t="shared" si="889"/>
        <v>15</v>
      </c>
      <c r="V1396">
        <f t="shared" si="890"/>
        <v>88.000000000000014</v>
      </c>
      <c r="W1396" s="28">
        <f t="shared" si="891"/>
        <v>7.3417104290458904E-2</v>
      </c>
      <c r="X1396" s="27">
        <f t="shared" si="892"/>
        <v>7.3417104290458904E-2</v>
      </c>
      <c r="Y1396" s="5">
        <f t="shared" si="893"/>
        <v>9.239183143848134</v>
      </c>
      <c r="Z1396" s="5">
        <f t="shared" si="894"/>
        <v>8.6072628309340562</v>
      </c>
      <c r="AA1396" s="5">
        <f t="shared" si="895"/>
        <v>-9726.2069989554839</v>
      </c>
      <c r="AB1396" t="s">
        <v>64</v>
      </c>
      <c r="AC1396" t="s">
        <v>62</v>
      </c>
      <c r="AD1396">
        <f t="shared" si="896"/>
        <v>1</v>
      </c>
    </row>
    <row r="1397" spans="1:30" x14ac:dyDescent="0.35">
      <c r="A1397" t="s">
        <v>702</v>
      </c>
      <c r="B1397" t="s">
        <v>171</v>
      </c>
      <c r="C1397" s="36">
        <f t="shared" si="884"/>
        <v>7.1125101259408768E-2</v>
      </c>
      <c r="D1397" s="3">
        <f t="shared" si="885"/>
        <v>7.1125101259408768E-2</v>
      </c>
      <c r="F1397">
        <v>1130</v>
      </c>
      <c r="G1397" t="s">
        <v>76</v>
      </c>
      <c r="H1397">
        <v>1000</v>
      </c>
      <c r="I1397" s="22"/>
      <c r="J1397">
        <v>300</v>
      </c>
      <c r="K1397" s="22"/>
      <c r="L1397">
        <v>4.4420301306363204</v>
      </c>
      <c r="M1397" s="22">
        <v>8.5500000000000007E-2</v>
      </c>
      <c r="N1397" s="21">
        <v>41725</v>
      </c>
      <c r="O1397" s="21">
        <v>47204</v>
      </c>
      <c r="P1397">
        <f t="shared" si="886"/>
        <v>15</v>
      </c>
      <c r="Q1397" s="6">
        <f t="shared" si="887"/>
        <v>7.5663716814159288E-2</v>
      </c>
      <c r="R1397" s="5">
        <f t="shared" si="888"/>
        <v>1</v>
      </c>
      <c r="S1397" t="s">
        <v>93</v>
      </c>
      <c r="U1397">
        <f t="shared" si="889"/>
        <v>15</v>
      </c>
      <c r="V1397">
        <f t="shared" si="890"/>
        <v>85.5</v>
      </c>
      <c r="W1397" s="28">
        <f t="shared" si="891"/>
        <v>7.1125101259408768E-2</v>
      </c>
      <c r="X1397" s="27">
        <f t="shared" si="892"/>
        <v>7.1125101259408768E-2</v>
      </c>
      <c r="Y1397" s="5">
        <f t="shared" si="893"/>
        <v>9.3477180881033917</v>
      </c>
      <c r="Z1397" s="5">
        <f t="shared" si="894"/>
        <v>8.7270087099186835</v>
      </c>
      <c r="AA1397" s="5">
        <f t="shared" si="895"/>
        <v>-9861.5198422081121</v>
      </c>
      <c r="AB1397" t="s">
        <v>64</v>
      </c>
      <c r="AC1397" t="s">
        <v>62</v>
      </c>
      <c r="AD1397">
        <f t="shared" si="896"/>
        <v>1</v>
      </c>
    </row>
    <row r="1398" spans="1:30" x14ac:dyDescent="0.35">
      <c r="A1398" t="s">
        <v>701</v>
      </c>
      <c r="B1398" t="s">
        <v>101</v>
      </c>
      <c r="C1398" s="36">
        <f t="shared" si="884"/>
        <v>8.2905522073600552E-2</v>
      </c>
      <c r="D1398" s="3">
        <f t="shared" si="885"/>
        <v>8.2905522073600552E-2</v>
      </c>
      <c r="F1398">
        <v>1045000</v>
      </c>
      <c r="G1398" t="s">
        <v>76</v>
      </c>
      <c r="H1398">
        <v>1000000</v>
      </c>
      <c r="I1398" s="22"/>
      <c r="J1398">
        <v>1</v>
      </c>
      <c r="K1398" s="22"/>
      <c r="L1398">
        <v>7.5735968807271696</v>
      </c>
      <c r="M1398" s="22">
        <v>8.9700000000000002E-2</v>
      </c>
      <c r="N1398" s="21">
        <v>43552</v>
      </c>
      <c r="O1398" s="21">
        <v>47205</v>
      </c>
      <c r="P1398">
        <f t="shared" si="886"/>
        <v>10</v>
      </c>
      <c r="Q1398" s="6">
        <f t="shared" si="887"/>
        <v>8.5837320574162684E-2</v>
      </c>
      <c r="R1398" s="5">
        <f t="shared" si="888"/>
        <v>1</v>
      </c>
      <c r="S1398" t="s">
        <v>93</v>
      </c>
      <c r="U1398">
        <f t="shared" si="889"/>
        <v>10</v>
      </c>
      <c r="V1398">
        <f t="shared" si="890"/>
        <v>89700</v>
      </c>
      <c r="W1398" s="28">
        <f t="shared" si="891"/>
        <v>8.2905522073600552E-2</v>
      </c>
      <c r="X1398" s="27">
        <f t="shared" si="892"/>
        <v>8.2905522073600552E-2</v>
      </c>
      <c r="Y1398" s="5">
        <f t="shared" si="893"/>
        <v>7.072107791763738</v>
      </c>
      <c r="Z1398" s="5">
        <f t="shared" si="894"/>
        <v>6.5306784826636761</v>
      </c>
      <c r="AA1398" s="5">
        <f t="shared" si="895"/>
        <v>-6824559.0143835414</v>
      </c>
      <c r="AB1398" t="s">
        <v>64</v>
      </c>
      <c r="AC1398" t="s">
        <v>62</v>
      </c>
      <c r="AD1398">
        <f t="shared" si="896"/>
        <v>1</v>
      </c>
    </row>
    <row r="1399" spans="1:30" x14ac:dyDescent="0.35">
      <c r="A1399" t="s">
        <v>700</v>
      </c>
      <c r="B1399" t="s">
        <v>281</v>
      </c>
      <c r="C1399" s="36">
        <f t="shared" si="884"/>
        <v>2.2717211474851038E-2</v>
      </c>
      <c r="D1399" s="3">
        <f t="shared" si="885"/>
        <v>9.0868845899404152E-2</v>
      </c>
      <c r="F1399">
        <v>1031500</v>
      </c>
      <c r="G1399" t="s">
        <v>76</v>
      </c>
      <c r="H1399">
        <v>1000000</v>
      </c>
      <c r="I1399" s="22"/>
      <c r="J1399">
        <v>1</v>
      </c>
      <c r="K1399" s="22"/>
      <c r="M1399" s="22">
        <v>9.6999999999999989E-2</v>
      </c>
      <c r="N1399" s="21">
        <v>44650</v>
      </c>
      <c r="O1399" s="21">
        <v>47207</v>
      </c>
      <c r="P1399">
        <f t="shared" si="886"/>
        <v>7</v>
      </c>
      <c r="Q1399" s="6">
        <f t="shared" si="887"/>
        <v>9.4037809015996107E-2</v>
      </c>
      <c r="R1399" s="5">
        <f t="shared" si="888"/>
        <v>4</v>
      </c>
      <c r="S1399" t="s">
        <v>105</v>
      </c>
      <c r="U1399">
        <f t="shared" si="889"/>
        <v>28</v>
      </c>
      <c r="V1399">
        <f t="shared" si="890"/>
        <v>24249.999999999996</v>
      </c>
      <c r="W1399" s="28">
        <f t="shared" si="891"/>
        <v>2.2717211474851038E-2</v>
      </c>
      <c r="X1399" s="27">
        <f t="shared" si="892"/>
        <v>9.0868845899404152E-2</v>
      </c>
      <c r="Y1399" s="5">
        <f t="shared" si="893"/>
        <v>5.1935333498038725</v>
      </c>
      <c r="Z1399" s="5">
        <f t="shared" si="894"/>
        <v>5.0781714549560828</v>
      </c>
      <c r="AA1399" s="5">
        <f t="shared" si="895"/>
        <v>-5238133.855787199</v>
      </c>
      <c r="AB1399" t="s">
        <v>64</v>
      </c>
      <c r="AC1399" t="s">
        <v>62</v>
      </c>
      <c r="AD1399">
        <f t="shared" si="896"/>
        <v>4</v>
      </c>
    </row>
    <row r="1400" spans="1:30" x14ac:dyDescent="0.35">
      <c r="A1400" t="s">
        <v>699</v>
      </c>
      <c r="B1400" t="s">
        <v>283</v>
      </c>
      <c r="C1400" s="36">
        <f t="shared" si="884"/>
        <v>2.2961844121300336E-2</v>
      </c>
      <c r="D1400" s="3">
        <f t="shared" si="885"/>
        <v>9.1847376485201346E-2</v>
      </c>
      <c r="F1400">
        <v>1035000</v>
      </c>
      <c r="G1400" t="s">
        <v>76</v>
      </c>
      <c r="H1400">
        <v>1000000</v>
      </c>
      <c r="I1400" s="22"/>
      <c r="J1400">
        <v>3</v>
      </c>
      <c r="K1400" s="22"/>
      <c r="M1400" s="22">
        <v>9.9499999999999991E-2</v>
      </c>
      <c r="N1400" s="21">
        <v>44841</v>
      </c>
      <c r="O1400" s="21">
        <v>47207</v>
      </c>
      <c r="P1400">
        <f t="shared" si="886"/>
        <v>6</v>
      </c>
      <c r="Q1400" s="6">
        <f t="shared" si="887"/>
        <v>9.6135265700483072E-2</v>
      </c>
      <c r="R1400" s="5">
        <f t="shared" si="888"/>
        <v>4</v>
      </c>
      <c r="S1400" t="s">
        <v>105</v>
      </c>
      <c r="U1400">
        <f t="shared" si="889"/>
        <v>24</v>
      </c>
      <c r="V1400">
        <f t="shared" si="890"/>
        <v>24874.999999999996</v>
      </c>
      <c r="W1400" s="28">
        <f t="shared" si="891"/>
        <v>2.2961844121300336E-2</v>
      </c>
      <c r="X1400" s="27">
        <f t="shared" si="892"/>
        <v>9.1847376485201346E-2</v>
      </c>
      <c r="Y1400" s="5">
        <f t="shared" si="893"/>
        <v>4.8775535421717704</v>
      </c>
      <c r="Z1400" s="5">
        <f t="shared" si="894"/>
        <v>4.7680698651683056</v>
      </c>
      <c r="AA1400" s="5">
        <f t="shared" si="895"/>
        <v>-4934952.310449196</v>
      </c>
      <c r="AB1400" t="s">
        <v>64</v>
      </c>
      <c r="AC1400" t="s">
        <v>62</v>
      </c>
      <c r="AD1400">
        <f t="shared" si="896"/>
        <v>4</v>
      </c>
    </row>
    <row r="1401" spans="1:30" x14ac:dyDescent="0.35">
      <c r="A1401" t="s">
        <v>698</v>
      </c>
      <c r="B1401" t="s">
        <v>239</v>
      </c>
      <c r="C1401" s="36">
        <f t="shared" si="884"/>
        <v>2.2250000000000009E-2</v>
      </c>
      <c r="D1401" s="3">
        <f t="shared" si="885"/>
        <v>8.9000000000000037E-2</v>
      </c>
      <c r="F1401">
        <v>100000</v>
      </c>
      <c r="G1401" t="s">
        <v>76</v>
      </c>
      <c r="H1401">
        <v>100000</v>
      </c>
      <c r="I1401" s="22"/>
      <c r="J1401">
        <v>2</v>
      </c>
      <c r="K1401" s="22"/>
      <c r="M1401" s="22">
        <v>8.900000000000001E-2</v>
      </c>
      <c r="N1401" s="21">
        <v>45009</v>
      </c>
      <c r="O1401" s="21">
        <v>47207</v>
      </c>
      <c r="P1401">
        <f t="shared" si="886"/>
        <v>6</v>
      </c>
      <c r="Q1401" s="6">
        <f t="shared" si="887"/>
        <v>8.9000000000000024E-2</v>
      </c>
      <c r="R1401" s="5">
        <f t="shared" si="888"/>
        <v>4</v>
      </c>
      <c r="S1401" t="s">
        <v>105</v>
      </c>
      <c r="U1401">
        <f t="shared" si="889"/>
        <v>24</v>
      </c>
      <c r="V1401">
        <f t="shared" si="890"/>
        <v>2225.0000000000005</v>
      </c>
      <c r="W1401" s="28">
        <f t="shared" si="891"/>
        <v>2.2250000000000009E-2</v>
      </c>
      <c r="X1401" s="27">
        <f t="shared" si="892"/>
        <v>8.9000000000000037E-2</v>
      </c>
      <c r="Y1401" s="5">
        <f t="shared" si="893"/>
        <v>4.626809374674405</v>
      </c>
      <c r="Z1401" s="5">
        <f t="shared" si="894"/>
        <v>4.5261035702366392</v>
      </c>
      <c r="AA1401" s="5">
        <f t="shared" si="895"/>
        <v>-452610.35702366394</v>
      </c>
      <c r="AB1401" t="s">
        <v>64</v>
      </c>
      <c r="AC1401" t="s">
        <v>62</v>
      </c>
      <c r="AD1401">
        <f t="shared" si="896"/>
        <v>4</v>
      </c>
    </row>
    <row r="1402" spans="1:30" x14ac:dyDescent="0.35">
      <c r="A1402" t="s">
        <v>697</v>
      </c>
      <c r="B1402" t="s">
        <v>209</v>
      </c>
      <c r="C1402" s="36">
        <f t="shared" si="884"/>
        <v>8.7528353426750236E-2</v>
      </c>
      <c r="D1402" s="3">
        <f t="shared" si="885"/>
        <v>8.7528353426750236E-2</v>
      </c>
      <c r="F1402">
        <v>101782.32</v>
      </c>
      <c r="G1402" t="s">
        <v>76</v>
      </c>
      <c r="H1402">
        <v>100000</v>
      </c>
      <c r="I1402" s="22"/>
      <c r="J1402">
        <v>10</v>
      </c>
      <c r="K1402" s="22"/>
      <c r="L1402">
        <v>8.6914320126070095</v>
      </c>
      <c r="M1402" s="22">
        <v>9.3000000000000013E-2</v>
      </c>
      <c r="N1402" s="21">
        <v>45756</v>
      </c>
      <c r="O1402" s="21">
        <v>47217</v>
      </c>
      <c r="P1402">
        <f t="shared" si="886"/>
        <v>4</v>
      </c>
      <c r="Q1402" s="6">
        <f t="shared" si="887"/>
        <v>9.1371468050639851E-2</v>
      </c>
      <c r="R1402" s="5">
        <f t="shared" si="888"/>
        <v>1</v>
      </c>
      <c r="S1402" t="s">
        <v>93</v>
      </c>
      <c r="U1402">
        <f t="shared" si="889"/>
        <v>4</v>
      </c>
      <c r="V1402">
        <f t="shared" si="890"/>
        <v>9300.0000000000018</v>
      </c>
      <c r="W1402" s="28">
        <f t="shared" si="891"/>
        <v>8.7528353426750236E-2</v>
      </c>
      <c r="X1402" s="27">
        <f t="shared" si="892"/>
        <v>8.7528353426750236E-2</v>
      </c>
      <c r="Y1402" s="5">
        <f t="shared" si="893"/>
        <v>3.5223986517804149</v>
      </c>
      <c r="Z1402" s="5">
        <f t="shared" si="894"/>
        <v>3.2389028209531312</v>
      </c>
      <c r="AA1402" s="5">
        <f t="shared" si="895"/>
        <v>-329663.04337115434</v>
      </c>
      <c r="AB1402" t="s">
        <v>64</v>
      </c>
      <c r="AC1402" t="s">
        <v>62</v>
      </c>
      <c r="AD1402">
        <f t="shared" si="896"/>
        <v>1</v>
      </c>
    </row>
    <row r="1403" spans="1:30" x14ac:dyDescent="0.35">
      <c r="A1403" t="s">
        <v>696</v>
      </c>
      <c r="B1403" t="s">
        <v>695</v>
      </c>
      <c r="C1403" s="36">
        <f t="shared" si="884"/>
        <v>1.8649248274120386E-2</v>
      </c>
      <c r="D1403" s="3">
        <f t="shared" si="885"/>
        <v>3.7298496548240773E-2</v>
      </c>
      <c r="F1403">
        <v>975.65</v>
      </c>
      <c r="G1403" t="s">
        <v>694</v>
      </c>
      <c r="H1403">
        <v>1000</v>
      </c>
      <c r="I1403" s="22"/>
      <c r="J1403">
        <v>0</v>
      </c>
      <c r="K1403" s="22"/>
      <c r="M1403" s="22">
        <v>3.3750000000000002E-2</v>
      </c>
      <c r="N1403" s="21">
        <v>44286</v>
      </c>
      <c r="O1403" s="21">
        <v>47223</v>
      </c>
      <c r="P1403">
        <f t="shared" si="886"/>
        <v>8</v>
      </c>
      <c r="Q1403" s="6">
        <f t="shared" si="887"/>
        <v>3.4592323066673501E-2</v>
      </c>
      <c r="R1403" s="5">
        <f t="shared" si="888"/>
        <v>2</v>
      </c>
      <c r="S1403" t="s">
        <v>65</v>
      </c>
      <c r="U1403">
        <f t="shared" si="889"/>
        <v>16</v>
      </c>
      <c r="V1403">
        <f t="shared" si="890"/>
        <v>16.875</v>
      </c>
      <c r="W1403" s="28">
        <f t="shared" si="891"/>
        <v>1.8649248274120386E-2</v>
      </c>
      <c r="X1403" s="27">
        <f t="shared" si="892"/>
        <v>3.7298496548240773E-2</v>
      </c>
      <c r="Y1403" s="5">
        <f t="shared" si="893"/>
        <v>6.9821088074822226</v>
      </c>
      <c r="Z1403" s="5">
        <f t="shared" si="894"/>
        <v>6.8542816080332738</v>
      </c>
      <c r="AA1403" s="5">
        <f t="shared" si="895"/>
        <v>-6687.3798508776636</v>
      </c>
      <c r="AB1403" t="s">
        <v>69</v>
      </c>
      <c r="AC1403" t="s">
        <v>62</v>
      </c>
      <c r="AD1403">
        <f t="shared" si="896"/>
        <v>2</v>
      </c>
    </row>
    <row r="1404" spans="1:30" x14ac:dyDescent="0.35">
      <c r="A1404" t="s">
        <v>696</v>
      </c>
      <c r="B1404" t="s">
        <v>695</v>
      </c>
      <c r="C1404" s="36">
        <f t="shared" si="884"/>
        <v>1.9140442775636243E-2</v>
      </c>
      <c r="D1404" s="3">
        <f t="shared" si="885"/>
        <v>3.8280885551272487E-2</v>
      </c>
      <c r="F1404">
        <v>969.03</v>
      </c>
      <c r="G1404" t="s">
        <v>694</v>
      </c>
      <c r="H1404">
        <v>1000</v>
      </c>
      <c r="I1404" s="22"/>
      <c r="J1404">
        <v>0</v>
      </c>
      <c r="K1404" s="22"/>
      <c r="M1404" s="22">
        <v>3.3750000000000002E-2</v>
      </c>
      <c r="N1404" s="21">
        <v>44286</v>
      </c>
      <c r="O1404" s="21">
        <v>47223</v>
      </c>
      <c r="P1404">
        <f t="shared" si="886"/>
        <v>8</v>
      </c>
      <c r="Q1404" s="6">
        <f t="shared" si="887"/>
        <v>3.4828643076065757E-2</v>
      </c>
      <c r="R1404" s="5">
        <f t="shared" si="888"/>
        <v>2</v>
      </c>
      <c r="S1404" t="s">
        <v>65</v>
      </c>
      <c r="U1404">
        <f t="shared" si="889"/>
        <v>16</v>
      </c>
      <c r="V1404">
        <f t="shared" si="890"/>
        <v>16.875</v>
      </c>
      <c r="W1404" s="28">
        <f t="shared" si="891"/>
        <v>1.9140442775636243E-2</v>
      </c>
      <c r="X1404" s="27">
        <f t="shared" si="892"/>
        <v>3.8280885551272487E-2</v>
      </c>
      <c r="Y1404" s="5">
        <f t="shared" si="893"/>
        <v>6.9774335767646791</v>
      </c>
      <c r="Z1404" s="5">
        <f t="shared" si="894"/>
        <v>6.8463906287160858</v>
      </c>
      <c r="AA1404" s="5">
        <f t="shared" si="895"/>
        <v>-6634.3579109447483</v>
      </c>
      <c r="AB1404" t="s">
        <v>69</v>
      </c>
      <c r="AC1404" t="s">
        <v>62</v>
      </c>
      <c r="AD1404">
        <f t="shared" si="896"/>
        <v>2</v>
      </c>
    </row>
    <row r="1405" spans="1:30" x14ac:dyDescent="0.35">
      <c r="A1405" t="s">
        <v>693</v>
      </c>
      <c r="B1405" t="s">
        <v>390</v>
      </c>
      <c r="C1405" s="36">
        <f t="shared" si="884"/>
        <v>0.12640913836110393</v>
      </c>
      <c r="D1405" s="3">
        <f t="shared" si="885"/>
        <v>0.12640913836110393</v>
      </c>
      <c r="F1405">
        <v>995</v>
      </c>
      <c r="G1405" t="s">
        <v>76</v>
      </c>
      <c r="H1405">
        <v>1000</v>
      </c>
      <c r="I1405" s="22"/>
      <c r="J1405">
        <v>176</v>
      </c>
      <c r="K1405" s="22"/>
      <c r="L1405">
        <v>12.6971855615071</v>
      </c>
      <c r="M1405" s="22">
        <v>0.125</v>
      </c>
      <c r="N1405" s="21">
        <v>45401</v>
      </c>
      <c r="O1405" s="21">
        <v>47226</v>
      </c>
      <c r="P1405">
        <f t="shared" si="886"/>
        <v>5</v>
      </c>
      <c r="Q1405" s="6">
        <f t="shared" si="887"/>
        <v>0.12562814070351758</v>
      </c>
      <c r="R1405" s="5">
        <f t="shared" si="888"/>
        <v>1</v>
      </c>
      <c r="S1405" t="s">
        <v>93</v>
      </c>
      <c r="U1405">
        <f t="shared" si="889"/>
        <v>5</v>
      </c>
      <c r="V1405">
        <f t="shared" si="890"/>
        <v>125</v>
      </c>
      <c r="W1405" s="28">
        <f t="shared" si="891"/>
        <v>0.12640913836110393</v>
      </c>
      <c r="X1405" s="27">
        <f t="shared" si="892"/>
        <v>0.12640913836110393</v>
      </c>
      <c r="Y1405" s="5">
        <f t="shared" si="893"/>
        <v>4.0002213760994803</v>
      </c>
      <c r="Z1405" s="5">
        <f t="shared" si="894"/>
        <v>3.5513040864704797</v>
      </c>
      <c r="AA1405" s="5">
        <f t="shared" si="895"/>
        <v>-3533.5475660381271</v>
      </c>
      <c r="AB1405" t="s">
        <v>64</v>
      </c>
      <c r="AC1405" t="s">
        <v>62</v>
      </c>
      <c r="AD1405">
        <f t="shared" si="896"/>
        <v>1</v>
      </c>
    </row>
    <row r="1406" spans="1:30" x14ac:dyDescent="0.35">
      <c r="A1406" t="s">
        <v>692</v>
      </c>
      <c r="B1406" t="s">
        <v>535</v>
      </c>
      <c r="C1406" s="36">
        <f t="shared" si="884"/>
        <v>0.1144241221901699</v>
      </c>
      <c r="D1406" s="3">
        <f t="shared" si="885"/>
        <v>0.1144241221901699</v>
      </c>
      <c r="F1406">
        <v>104000</v>
      </c>
      <c r="G1406" t="s">
        <v>76</v>
      </c>
      <c r="H1406">
        <v>100000</v>
      </c>
      <c r="I1406" s="22"/>
      <c r="J1406">
        <v>2</v>
      </c>
      <c r="K1406" s="22"/>
      <c r="L1406">
        <v>10.905797101449201</v>
      </c>
      <c r="M1406" s="22">
        <v>0.124</v>
      </c>
      <c r="N1406" s="21">
        <v>45138</v>
      </c>
      <c r="O1406" s="21">
        <v>47232</v>
      </c>
      <c r="P1406">
        <f t="shared" si="886"/>
        <v>6</v>
      </c>
      <c r="Q1406" s="6">
        <f t="shared" si="887"/>
        <v>0.11923076923076924</v>
      </c>
      <c r="R1406" s="5">
        <f t="shared" si="888"/>
        <v>1</v>
      </c>
      <c r="S1406" t="s">
        <v>93</v>
      </c>
      <c r="U1406">
        <f t="shared" si="889"/>
        <v>6</v>
      </c>
      <c r="V1406">
        <f t="shared" si="890"/>
        <v>12400</v>
      </c>
      <c r="W1406" s="28">
        <f t="shared" si="891"/>
        <v>0.1144241221901699</v>
      </c>
      <c r="X1406" s="27">
        <f t="shared" si="892"/>
        <v>0.1144241221901699</v>
      </c>
      <c r="Y1406" s="5">
        <f t="shared" si="893"/>
        <v>4.329192173930001</v>
      </c>
      <c r="Z1406" s="5">
        <f t="shared" si="894"/>
        <v>3.8846899378145818</v>
      </c>
      <c r="AA1406" s="5">
        <f t="shared" si="895"/>
        <v>-404007.75353271654</v>
      </c>
      <c r="AB1406" t="s">
        <v>64</v>
      </c>
      <c r="AC1406" t="s">
        <v>62</v>
      </c>
      <c r="AD1406">
        <f t="shared" si="896"/>
        <v>1</v>
      </c>
    </row>
    <row r="1407" spans="1:30" x14ac:dyDescent="0.35">
      <c r="A1407" t="s">
        <v>691</v>
      </c>
      <c r="B1407" t="s">
        <v>122</v>
      </c>
      <c r="C1407" s="36">
        <f t="shared" si="884"/>
        <v>0.10232683699575428</v>
      </c>
      <c r="D1407" s="3">
        <f t="shared" si="885"/>
        <v>0.10232683699575428</v>
      </c>
      <c r="F1407">
        <v>995</v>
      </c>
      <c r="G1407" t="s">
        <v>76</v>
      </c>
      <c r="H1407">
        <v>1000</v>
      </c>
      <c r="I1407" s="22"/>
      <c r="J1407">
        <v>8</v>
      </c>
      <c r="K1407" s="22"/>
      <c r="L1407">
        <v>10.283376390266501</v>
      </c>
      <c r="M1407" s="22">
        <v>0.10099999999999999</v>
      </c>
      <c r="N1407" s="21">
        <v>45411</v>
      </c>
      <c r="O1407" s="21">
        <v>47237</v>
      </c>
      <c r="P1407">
        <f t="shared" si="886"/>
        <v>5</v>
      </c>
      <c r="Q1407" s="6">
        <f t="shared" si="887"/>
        <v>0.1015075376884422</v>
      </c>
      <c r="R1407" s="5">
        <f t="shared" si="888"/>
        <v>1</v>
      </c>
      <c r="S1407" t="s">
        <v>93</v>
      </c>
      <c r="U1407">
        <f t="shared" si="889"/>
        <v>5</v>
      </c>
      <c r="V1407">
        <f t="shared" si="890"/>
        <v>100.99999999999999</v>
      </c>
      <c r="W1407" s="28">
        <f t="shared" si="891"/>
        <v>0.10232683699575428</v>
      </c>
      <c r="X1407" s="27">
        <f t="shared" si="892"/>
        <v>0.10232683699575428</v>
      </c>
      <c r="Y1407" s="5">
        <f t="shared" si="893"/>
        <v>4.1607387488823777</v>
      </c>
      <c r="Z1407" s="5">
        <f t="shared" si="894"/>
        <v>3.7745055361456319</v>
      </c>
      <c r="AA1407" s="5">
        <f t="shared" si="895"/>
        <v>-3755.6330084649039</v>
      </c>
      <c r="AB1407" t="s">
        <v>64</v>
      </c>
      <c r="AC1407" t="s">
        <v>62</v>
      </c>
      <c r="AD1407">
        <f t="shared" si="896"/>
        <v>1</v>
      </c>
    </row>
    <row r="1408" spans="1:30" x14ac:dyDescent="0.35">
      <c r="A1408" t="s">
        <v>690</v>
      </c>
      <c r="B1408" t="s">
        <v>122</v>
      </c>
      <c r="C1408" s="36">
        <f t="shared" si="884"/>
        <v>0.10335149746269165</v>
      </c>
      <c r="D1408" s="3">
        <f t="shared" si="885"/>
        <v>0.10335149746269165</v>
      </c>
      <c r="F1408">
        <v>975</v>
      </c>
      <c r="G1408" t="s">
        <v>76</v>
      </c>
      <c r="H1408">
        <v>1000</v>
      </c>
      <c r="I1408" s="22"/>
      <c r="J1408">
        <v>7</v>
      </c>
      <c r="K1408" s="22"/>
      <c r="L1408">
        <v>10.597119571285001</v>
      </c>
      <c r="M1408" s="22">
        <v>9.6699999999999994E-2</v>
      </c>
      <c r="N1408" s="21">
        <v>45411</v>
      </c>
      <c r="O1408" s="21">
        <v>47237</v>
      </c>
      <c r="P1408">
        <f t="shared" si="886"/>
        <v>5</v>
      </c>
      <c r="Q1408" s="6">
        <f t="shared" si="887"/>
        <v>9.9179487179487172E-2</v>
      </c>
      <c r="R1408" s="5">
        <f t="shared" si="888"/>
        <v>1</v>
      </c>
      <c r="S1408" t="s">
        <v>93</v>
      </c>
      <c r="U1408">
        <f t="shared" si="889"/>
        <v>5</v>
      </c>
      <c r="V1408">
        <f t="shared" si="890"/>
        <v>96.699999999999989</v>
      </c>
      <c r="W1408" s="28">
        <f t="shared" si="891"/>
        <v>0.10335149746269165</v>
      </c>
      <c r="X1408" s="27">
        <f t="shared" si="892"/>
        <v>0.10335149746269165</v>
      </c>
      <c r="Y1408" s="5">
        <f t="shared" si="893"/>
        <v>4.1814371808130524</v>
      </c>
      <c r="Z1408" s="5">
        <f t="shared" si="894"/>
        <v>3.789759827606018</v>
      </c>
      <c r="AA1408" s="5">
        <f t="shared" si="895"/>
        <v>-3695.0158319158677</v>
      </c>
      <c r="AB1408" t="s">
        <v>64</v>
      </c>
      <c r="AC1408" t="s">
        <v>62</v>
      </c>
      <c r="AD1408">
        <f t="shared" si="896"/>
        <v>1</v>
      </c>
    </row>
    <row r="1409" spans="1:30" x14ac:dyDescent="0.35">
      <c r="A1409" t="s">
        <v>689</v>
      </c>
      <c r="B1409" t="s">
        <v>122</v>
      </c>
      <c r="C1409" s="36">
        <f t="shared" si="884"/>
        <v>0.11468843551701191</v>
      </c>
      <c r="D1409" s="3">
        <f t="shared" si="885"/>
        <v>0.11468843551701191</v>
      </c>
      <c r="F1409">
        <v>950</v>
      </c>
      <c r="G1409" t="s">
        <v>76</v>
      </c>
      <c r="H1409">
        <v>1000</v>
      </c>
      <c r="I1409" s="22"/>
      <c r="J1409">
        <v>13</v>
      </c>
      <c r="K1409" s="22"/>
      <c r="L1409">
        <v>11.9665703522182</v>
      </c>
      <c r="M1409" s="22">
        <v>0.10099999999999999</v>
      </c>
      <c r="N1409" s="21">
        <v>45411</v>
      </c>
      <c r="O1409" s="21">
        <v>47237</v>
      </c>
      <c r="P1409">
        <f t="shared" si="886"/>
        <v>5</v>
      </c>
      <c r="Q1409" s="6">
        <f t="shared" si="887"/>
        <v>0.1063157894736842</v>
      </c>
      <c r="R1409" s="5">
        <f t="shared" si="888"/>
        <v>1</v>
      </c>
      <c r="S1409" t="s">
        <v>93</v>
      </c>
      <c r="U1409">
        <f t="shared" si="889"/>
        <v>5</v>
      </c>
      <c r="V1409">
        <f t="shared" si="890"/>
        <v>100.99999999999999</v>
      </c>
      <c r="W1409" s="28">
        <f t="shared" si="891"/>
        <v>0.11468843551701191</v>
      </c>
      <c r="X1409" s="27">
        <f t="shared" si="892"/>
        <v>0.11468843551701191</v>
      </c>
      <c r="Y1409" s="5">
        <f t="shared" si="893"/>
        <v>4.1394161605709581</v>
      </c>
      <c r="Z1409" s="5">
        <f t="shared" si="894"/>
        <v>3.7135185300913478</v>
      </c>
      <c r="AA1409" s="5">
        <f t="shared" si="895"/>
        <v>-3527.8426035867806</v>
      </c>
      <c r="AB1409" t="s">
        <v>64</v>
      </c>
      <c r="AC1409" t="s">
        <v>62</v>
      </c>
      <c r="AD1409">
        <f t="shared" si="896"/>
        <v>1</v>
      </c>
    </row>
    <row r="1410" spans="1:30" x14ac:dyDescent="0.35">
      <c r="C1410" s="28"/>
      <c r="D1410" s="27"/>
      <c r="I1410" s="22"/>
      <c r="K1410" s="22"/>
      <c r="M1410" s="22"/>
      <c r="N1410" s="21"/>
      <c r="O1410" s="21"/>
      <c r="P1410" s="5"/>
      <c r="Q1410" s="6"/>
      <c r="R1410" s="5"/>
      <c r="W1410" s="28"/>
      <c r="Y1410" s="33"/>
      <c r="Z1410" s="33"/>
      <c r="AA1410" s="33"/>
    </row>
    <row r="1411" spans="1:30" x14ac:dyDescent="0.35">
      <c r="C1411" s="28"/>
      <c r="D1411" s="27"/>
      <c r="I1411" s="22"/>
      <c r="K1411" s="22"/>
      <c r="M1411" s="22"/>
      <c r="N1411" s="21"/>
      <c r="O1411" s="21"/>
      <c r="P1411" s="5"/>
      <c r="Q1411" s="6"/>
      <c r="R1411" s="5"/>
      <c r="W1411" s="28"/>
      <c r="Y1411" s="33"/>
      <c r="Z1411" s="33"/>
      <c r="AA1411" s="33"/>
    </row>
    <row r="1412" spans="1:30" x14ac:dyDescent="0.35">
      <c r="A1412" t="s">
        <v>686</v>
      </c>
      <c r="B1412" t="s">
        <v>638</v>
      </c>
      <c r="C1412" s="36">
        <f t="shared" ref="C1412:C1424" si="897">RATE(U1412,V1412,-F1412,H1412)</f>
        <v>0.14199704390298123</v>
      </c>
      <c r="D1412" s="3">
        <f t="shared" ref="D1412:D1424" si="898">C1412*AD1412</f>
        <v>0.14199704390298123</v>
      </c>
      <c r="F1412">
        <v>100001.01</v>
      </c>
      <c r="G1412" t="s">
        <v>76</v>
      </c>
      <c r="H1412">
        <v>100000</v>
      </c>
      <c r="I1412" s="22"/>
      <c r="J1412">
        <v>7</v>
      </c>
      <c r="K1412" s="22"/>
      <c r="L1412">
        <v>14.199588864472</v>
      </c>
      <c r="M1412" s="22">
        <v>0.14199999999999999</v>
      </c>
      <c r="N1412" s="21">
        <v>45260</v>
      </c>
      <c r="O1412" s="21">
        <v>47238</v>
      </c>
      <c r="P1412">
        <f t="shared" ref="P1412:P1424" si="899">ROUND(YEARFRAC(N1412,O1412),0)</f>
        <v>5</v>
      </c>
      <c r="Q1412" s="6">
        <f t="shared" ref="Q1412:Q1424" si="900">(M1412*H1412)/F1412</f>
        <v>0.14199856581448525</v>
      </c>
      <c r="R1412" s="5">
        <f t="shared" ref="R1412:R1424" si="901">IF(S1412="Quarterly",4,IF(S1412="Semi-annual",2,IF(S1412="Annual",1,IF(S1412="Pays at maturity",0,12))))</f>
        <v>1</v>
      </c>
      <c r="S1412" t="s">
        <v>93</v>
      </c>
      <c r="U1412">
        <f t="shared" ref="U1412:U1424" si="902">R1412*P1412</f>
        <v>5</v>
      </c>
      <c r="V1412">
        <f t="shared" ref="V1412:V1424" si="903">(H1412*M1412)/AD1412</f>
        <v>14199.999999999998</v>
      </c>
      <c r="W1412" s="28">
        <f t="shared" ref="W1412:W1424" si="904">RATE(U1412,V1412,-F1412,H1412)</f>
        <v>0.14199704390298123</v>
      </c>
      <c r="X1412" s="27">
        <f t="shared" ref="X1412:X1424" si="905">W1412*AD1412</f>
        <v>0.14199704390298123</v>
      </c>
      <c r="Y1412" s="5">
        <f t="shared" ref="Y1412:Y1424" si="906">DURATION(N1412,O1412,M1412,D1412,AD1412)</f>
        <v>3.833319111652266</v>
      </c>
      <c r="Z1412" s="5">
        <f t="shared" ref="Z1412:Z1424" si="907">Y1412/(1+C1412)</f>
        <v>3.3566804153460903</v>
      </c>
      <c r="AA1412" s="5">
        <f t="shared" ref="AA1412:AA1424" si="908">-Z1412*F1412</f>
        <v>-335671.43178182852</v>
      </c>
      <c r="AB1412" t="s">
        <v>64</v>
      </c>
      <c r="AC1412" t="s">
        <v>62</v>
      </c>
      <c r="AD1412">
        <f t="shared" ref="AD1412:AD1424" si="909">_xlfn.SWITCH(PROPER(TRIM(S1412)),
   "Annual",1,
   "Semi-Annual",2,
   "Quarterly",4,
   "Monthly",12,
   "")</f>
        <v>1</v>
      </c>
    </row>
    <row r="1413" spans="1:30" x14ac:dyDescent="0.35">
      <c r="A1413" t="s">
        <v>685</v>
      </c>
      <c r="B1413" t="s">
        <v>241</v>
      </c>
      <c r="C1413" s="36">
        <f t="shared" si="897"/>
        <v>9.545556460835504E-2</v>
      </c>
      <c r="D1413" s="3">
        <f t="shared" si="898"/>
        <v>9.545556460835504E-2</v>
      </c>
      <c r="F1413">
        <v>992.5</v>
      </c>
      <c r="G1413" t="s">
        <v>76</v>
      </c>
      <c r="H1413">
        <v>1000</v>
      </c>
      <c r="I1413" s="22"/>
      <c r="J1413">
        <v>30</v>
      </c>
      <c r="K1413" s="22"/>
      <c r="L1413">
        <v>9.6202342459910994</v>
      </c>
      <c r="M1413" s="22">
        <v>9.35E-2</v>
      </c>
      <c r="N1413" s="21">
        <v>45412</v>
      </c>
      <c r="O1413" s="21">
        <v>47238</v>
      </c>
      <c r="P1413">
        <f t="shared" si="899"/>
        <v>5</v>
      </c>
      <c r="Q1413" s="6">
        <f t="shared" si="900"/>
        <v>9.4206549118387911E-2</v>
      </c>
      <c r="R1413" s="5">
        <f t="shared" si="901"/>
        <v>1</v>
      </c>
      <c r="S1413" t="s">
        <v>93</v>
      </c>
      <c r="U1413">
        <f t="shared" si="902"/>
        <v>5</v>
      </c>
      <c r="V1413">
        <f t="shared" si="903"/>
        <v>93.5</v>
      </c>
      <c r="W1413" s="28">
        <f t="shared" si="904"/>
        <v>9.545556460835504E-2</v>
      </c>
      <c r="X1413" s="27">
        <f t="shared" si="905"/>
        <v>9.545556460835504E-2</v>
      </c>
      <c r="Y1413" s="5">
        <f t="shared" si="906"/>
        <v>4.2117524047917492</v>
      </c>
      <c r="Z1413" s="5">
        <f t="shared" si="907"/>
        <v>3.8447496556353027</v>
      </c>
      <c r="AA1413" s="5">
        <f t="shared" si="908"/>
        <v>-3815.9140332180377</v>
      </c>
      <c r="AB1413" t="s">
        <v>64</v>
      </c>
      <c r="AC1413" t="s">
        <v>62</v>
      </c>
      <c r="AD1413">
        <f t="shared" si="909"/>
        <v>1</v>
      </c>
    </row>
    <row r="1414" spans="1:30" x14ac:dyDescent="0.35">
      <c r="A1414" t="s">
        <v>684</v>
      </c>
      <c r="B1414" t="s">
        <v>241</v>
      </c>
      <c r="C1414" s="36">
        <f t="shared" si="897"/>
        <v>0.10421950644876669</v>
      </c>
      <c r="D1414" s="3">
        <f t="shared" si="898"/>
        <v>0.10421950644876669</v>
      </c>
      <c r="F1414">
        <v>974.8</v>
      </c>
      <c r="G1414" t="s">
        <v>76</v>
      </c>
      <c r="H1414">
        <v>1000</v>
      </c>
      <c r="I1414" s="22"/>
      <c r="J1414">
        <v>20</v>
      </c>
      <c r="K1414" s="22"/>
      <c r="L1414">
        <v>10.5830727434805</v>
      </c>
      <c r="M1414" s="22">
        <v>9.7500000000000003E-2</v>
      </c>
      <c r="N1414" s="21">
        <v>45412</v>
      </c>
      <c r="O1414" s="21">
        <v>47238</v>
      </c>
      <c r="P1414">
        <f t="shared" si="899"/>
        <v>5</v>
      </c>
      <c r="Q1414" s="6">
        <f t="shared" si="900"/>
        <v>0.10002051702913418</v>
      </c>
      <c r="R1414" s="5">
        <f t="shared" si="901"/>
        <v>1</v>
      </c>
      <c r="S1414" t="s">
        <v>93</v>
      </c>
      <c r="U1414">
        <f t="shared" si="902"/>
        <v>5</v>
      </c>
      <c r="V1414">
        <f t="shared" si="903"/>
        <v>97.5</v>
      </c>
      <c r="W1414" s="28">
        <f t="shared" si="904"/>
        <v>0.10421950644876669</v>
      </c>
      <c r="X1414" s="27">
        <f t="shared" si="905"/>
        <v>0.10421950644876669</v>
      </c>
      <c r="Y1414" s="5">
        <f t="shared" si="906"/>
        <v>4.1757311566286592</v>
      </c>
      <c r="Z1414" s="5">
        <f t="shared" si="907"/>
        <v>3.7816132863456198</v>
      </c>
      <c r="AA1414" s="5">
        <f t="shared" si="908"/>
        <v>-3686.3166315297099</v>
      </c>
      <c r="AB1414" t="s">
        <v>64</v>
      </c>
      <c r="AC1414" t="s">
        <v>62</v>
      </c>
      <c r="AD1414">
        <f t="shared" si="909"/>
        <v>1</v>
      </c>
    </row>
    <row r="1415" spans="1:30" x14ac:dyDescent="0.35">
      <c r="A1415" t="s">
        <v>683</v>
      </c>
      <c r="B1415" t="s">
        <v>182</v>
      </c>
      <c r="C1415" s="36">
        <f t="shared" si="897"/>
        <v>0.10664754415829593</v>
      </c>
      <c r="D1415" s="3">
        <f t="shared" si="898"/>
        <v>0.10664754415829593</v>
      </c>
      <c r="F1415">
        <v>102500</v>
      </c>
      <c r="G1415" t="s">
        <v>76</v>
      </c>
      <c r="H1415">
        <v>100000</v>
      </c>
      <c r="I1415" s="22"/>
      <c r="J1415">
        <v>1</v>
      </c>
      <c r="K1415" s="22"/>
      <c r="L1415">
        <v>10.331904837486499</v>
      </c>
      <c r="M1415" s="22">
        <v>0.1125</v>
      </c>
      <c r="N1415" s="21">
        <v>45173</v>
      </c>
      <c r="O1415" s="21">
        <v>47242</v>
      </c>
      <c r="P1415">
        <f t="shared" si="899"/>
        <v>6</v>
      </c>
      <c r="Q1415" s="6">
        <f t="shared" si="900"/>
        <v>0.10975609756097561</v>
      </c>
      <c r="R1415" s="5">
        <f t="shared" si="901"/>
        <v>1</v>
      </c>
      <c r="S1415" t="s">
        <v>93</v>
      </c>
      <c r="U1415">
        <f t="shared" si="902"/>
        <v>6</v>
      </c>
      <c r="V1415">
        <f t="shared" si="903"/>
        <v>11250</v>
      </c>
      <c r="W1415" s="28">
        <f t="shared" si="904"/>
        <v>0.10664754415829593</v>
      </c>
      <c r="X1415" s="27">
        <f t="shared" si="905"/>
        <v>0.10664754415829593</v>
      </c>
      <c r="Y1415" s="5">
        <f t="shared" si="906"/>
        <v>4.3568479782582097</v>
      </c>
      <c r="Z1415" s="5">
        <f t="shared" si="907"/>
        <v>3.9369788522613862</v>
      </c>
      <c r="AA1415" s="5">
        <f t="shared" si="908"/>
        <v>-403540.33235679206</v>
      </c>
      <c r="AB1415" t="s">
        <v>64</v>
      </c>
      <c r="AC1415" t="s">
        <v>62</v>
      </c>
      <c r="AD1415">
        <f t="shared" si="909"/>
        <v>1</v>
      </c>
    </row>
    <row r="1416" spans="1:30" x14ac:dyDescent="0.35">
      <c r="A1416" t="s">
        <v>682</v>
      </c>
      <c r="B1416" t="s">
        <v>272</v>
      </c>
      <c r="C1416" s="36">
        <f t="shared" si="897"/>
        <v>8.6233020168187333E-2</v>
      </c>
      <c r="D1416" s="3">
        <f t="shared" si="898"/>
        <v>8.6233020168187333E-2</v>
      </c>
      <c r="F1416">
        <v>930</v>
      </c>
      <c r="G1416" t="s">
        <v>76</v>
      </c>
      <c r="H1416">
        <v>1000</v>
      </c>
      <c r="I1416" s="22"/>
      <c r="J1416">
        <v>250</v>
      </c>
      <c r="K1416" s="22"/>
      <c r="L1416">
        <v>9.7807508235440306</v>
      </c>
      <c r="M1416" s="22">
        <v>7.2499999999999995E-2</v>
      </c>
      <c r="N1416" s="21">
        <v>44686</v>
      </c>
      <c r="O1416" s="21">
        <v>47243</v>
      </c>
      <c r="P1416">
        <f t="shared" si="899"/>
        <v>7</v>
      </c>
      <c r="Q1416" s="6">
        <f t="shared" si="900"/>
        <v>7.7956989247311828E-2</v>
      </c>
      <c r="R1416" s="5">
        <f t="shared" si="901"/>
        <v>1</v>
      </c>
      <c r="S1416" t="s">
        <v>93</v>
      </c>
      <c r="U1416">
        <f t="shared" si="902"/>
        <v>7</v>
      </c>
      <c r="V1416">
        <f t="shared" si="903"/>
        <v>72.5</v>
      </c>
      <c r="W1416" s="28">
        <f t="shared" si="904"/>
        <v>8.6233020168187333E-2</v>
      </c>
      <c r="X1416" s="27">
        <f t="shared" si="905"/>
        <v>8.6233020168187333E-2</v>
      </c>
      <c r="Y1416" s="5">
        <f t="shared" si="906"/>
        <v>5.677183101174692</v>
      </c>
      <c r="Z1416" s="5">
        <f t="shared" si="907"/>
        <v>5.2264873151210809</v>
      </c>
      <c r="AA1416" s="5">
        <f t="shared" si="908"/>
        <v>-4860.6332030626054</v>
      </c>
      <c r="AB1416" t="s">
        <v>64</v>
      </c>
      <c r="AC1416" t="s">
        <v>62</v>
      </c>
      <c r="AD1416">
        <f t="shared" si="909"/>
        <v>1</v>
      </c>
    </row>
    <row r="1417" spans="1:30" x14ac:dyDescent="0.35">
      <c r="A1417" t="s">
        <v>681</v>
      </c>
      <c r="B1417" t="s">
        <v>679</v>
      </c>
      <c r="C1417" s="36">
        <f t="shared" si="897"/>
        <v>9.6293477807291777E-2</v>
      </c>
      <c r="D1417" s="3">
        <f t="shared" si="898"/>
        <v>9.6293477807291777E-2</v>
      </c>
      <c r="F1417">
        <v>1040</v>
      </c>
      <c r="G1417" t="s">
        <v>76</v>
      </c>
      <c r="H1417">
        <v>1000</v>
      </c>
      <c r="I1417" s="22"/>
      <c r="J1417">
        <v>9</v>
      </c>
      <c r="K1417" s="22"/>
      <c r="L1417">
        <v>8.8686586710780198</v>
      </c>
      <c r="M1417" s="22">
        <v>0.1027</v>
      </c>
      <c r="N1417" s="21">
        <v>43591</v>
      </c>
      <c r="O1417" s="21">
        <v>47244</v>
      </c>
      <c r="P1417">
        <f t="shared" si="899"/>
        <v>10</v>
      </c>
      <c r="Q1417" s="6">
        <f t="shared" si="900"/>
        <v>9.8750000000000004E-2</v>
      </c>
      <c r="R1417" s="5">
        <f t="shared" si="901"/>
        <v>1</v>
      </c>
      <c r="S1417" t="s">
        <v>93</v>
      </c>
      <c r="U1417">
        <f t="shared" si="902"/>
        <v>10</v>
      </c>
      <c r="V1417">
        <f t="shared" si="903"/>
        <v>102.7</v>
      </c>
      <c r="W1417" s="28">
        <f t="shared" si="904"/>
        <v>9.6293477807291777E-2</v>
      </c>
      <c r="X1417" s="27">
        <f t="shared" si="905"/>
        <v>9.6293477807291777E-2</v>
      </c>
      <c r="Y1417" s="5">
        <f t="shared" si="906"/>
        <v>6.7643685603477559</v>
      </c>
      <c r="Z1417" s="5">
        <f t="shared" si="907"/>
        <v>6.1702169147966126</v>
      </c>
      <c r="AA1417" s="5">
        <f t="shared" si="908"/>
        <v>-6417.0255913884776</v>
      </c>
      <c r="AB1417" t="s">
        <v>64</v>
      </c>
      <c r="AC1417" t="s">
        <v>62</v>
      </c>
      <c r="AD1417">
        <f t="shared" si="909"/>
        <v>1</v>
      </c>
    </row>
    <row r="1418" spans="1:30" x14ac:dyDescent="0.35">
      <c r="A1418" t="s">
        <v>680</v>
      </c>
      <c r="B1418" t="s">
        <v>679</v>
      </c>
      <c r="C1418" s="36">
        <f t="shared" si="897"/>
        <v>9.7518700618593357E-2</v>
      </c>
      <c r="D1418" s="3">
        <f t="shared" si="898"/>
        <v>9.7518700618593357E-2</v>
      </c>
      <c r="F1418">
        <v>1061.99</v>
      </c>
      <c r="G1418" t="s">
        <v>76</v>
      </c>
      <c r="H1418">
        <v>1000</v>
      </c>
      <c r="I1418" s="22"/>
      <c r="J1418">
        <v>100</v>
      </c>
      <c r="K1418" s="22"/>
      <c r="L1418">
        <v>8.6419210853715995</v>
      </c>
      <c r="M1418" s="22">
        <v>0.1075</v>
      </c>
      <c r="N1418" s="21">
        <v>43591</v>
      </c>
      <c r="O1418" s="21">
        <v>47244</v>
      </c>
      <c r="P1418">
        <f t="shared" si="899"/>
        <v>10</v>
      </c>
      <c r="Q1418" s="6">
        <f t="shared" si="900"/>
        <v>0.10122505861637116</v>
      </c>
      <c r="R1418" s="5">
        <f t="shared" si="901"/>
        <v>1</v>
      </c>
      <c r="S1418" t="s">
        <v>93</v>
      </c>
      <c r="U1418">
        <f t="shared" si="902"/>
        <v>10</v>
      </c>
      <c r="V1418">
        <f t="shared" si="903"/>
        <v>107.5</v>
      </c>
      <c r="W1418" s="28">
        <f t="shared" si="904"/>
        <v>9.7518700618593357E-2</v>
      </c>
      <c r="X1418" s="27">
        <f t="shared" si="905"/>
        <v>9.7518700618593357E-2</v>
      </c>
      <c r="Y1418" s="5">
        <f t="shared" si="906"/>
        <v>6.6952622077080557</v>
      </c>
      <c r="Z1418" s="5">
        <f t="shared" si="907"/>
        <v>6.1003627582239934</v>
      </c>
      <c r="AA1418" s="5">
        <f t="shared" si="908"/>
        <v>-6478.5242456062988</v>
      </c>
      <c r="AB1418" t="s">
        <v>64</v>
      </c>
      <c r="AC1418" t="s">
        <v>62</v>
      </c>
      <c r="AD1418">
        <f t="shared" si="909"/>
        <v>1</v>
      </c>
    </row>
    <row r="1419" spans="1:30" x14ac:dyDescent="0.35">
      <c r="A1419" t="s">
        <v>678</v>
      </c>
      <c r="B1419" t="s">
        <v>162</v>
      </c>
      <c r="C1419" s="36">
        <f t="shared" si="897"/>
        <v>8.2165072335590575E-2</v>
      </c>
      <c r="D1419" s="3">
        <f t="shared" si="898"/>
        <v>8.2165072335590575E-2</v>
      </c>
      <c r="F1419">
        <v>1045</v>
      </c>
      <c r="G1419" t="s">
        <v>76</v>
      </c>
      <c r="H1419">
        <v>1000</v>
      </c>
      <c r="I1419" s="22"/>
      <c r="J1419">
        <v>50</v>
      </c>
      <c r="K1419" s="22"/>
      <c r="L1419">
        <v>7.8294663336214496</v>
      </c>
      <c r="M1419" s="22">
        <v>9.35E-2</v>
      </c>
      <c r="N1419" s="21">
        <v>45421</v>
      </c>
      <c r="O1419" s="21">
        <v>47247</v>
      </c>
      <c r="P1419">
        <f t="shared" si="899"/>
        <v>5</v>
      </c>
      <c r="Q1419" s="6">
        <f t="shared" si="900"/>
        <v>8.9473684210526316E-2</v>
      </c>
      <c r="R1419" s="5">
        <f t="shared" si="901"/>
        <v>1</v>
      </c>
      <c r="S1419" t="s">
        <v>93</v>
      </c>
      <c r="U1419">
        <f t="shared" si="902"/>
        <v>5</v>
      </c>
      <c r="V1419">
        <f t="shared" si="903"/>
        <v>93.5</v>
      </c>
      <c r="W1419" s="28">
        <f t="shared" si="904"/>
        <v>8.2165072335590575E-2</v>
      </c>
      <c r="X1419" s="27">
        <f t="shared" si="905"/>
        <v>8.2165072335590575E-2</v>
      </c>
      <c r="Y1419" s="5">
        <f t="shared" si="906"/>
        <v>4.2336267197745077</v>
      </c>
      <c r="Z1419" s="5">
        <f t="shared" si="907"/>
        <v>3.9121820025453711</v>
      </c>
      <c r="AA1419" s="5">
        <f t="shared" si="908"/>
        <v>-4088.230192659913</v>
      </c>
      <c r="AB1419" t="s">
        <v>64</v>
      </c>
      <c r="AC1419" t="s">
        <v>62</v>
      </c>
      <c r="AD1419">
        <f t="shared" si="909"/>
        <v>1</v>
      </c>
    </row>
    <row r="1420" spans="1:30" x14ac:dyDescent="0.35">
      <c r="A1420" t="s">
        <v>677</v>
      </c>
      <c r="B1420" t="s">
        <v>162</v>
      </c>
      <c r="C1420" s="36">
        <f t="shared" si="897"/>
        <v>8.5887221685940249E-2</v>
      </c>
      <c r="D1420" s="3">
        <f t="shared" si="898"/>
        <v>8.5887221685940249E-2</v>
      </c>
      <c r="F1420">
        <v>1014.99</v>
      </c>
      <c r="G1420" t="s">
        <v>76</v>
      </c>
      <c r="H1420">
        <v>1000</v>
      </c>
      <c r="I1420" s="22"/>
      <c r="J1420">
        <v>25</v>
      </c>
      <c r="K1420" s="22"/>
      <c r="L1420">
        <v>8.4502736451851099</v>
      </c>
      <c r="M1420" s="22">
        <v>8.9700000000000002E-2</v>
      </c>
      <c r="N1420" s="21">
        <v>45421</v>
      </c>
      <c r="O1420" s="21">
        <v>47247</v>
      </c>
      <c r="P1420">
        <f t="shared" si="899"/>
        <v>5</v>
      </c>
      <c r="Q1420" s="6">
        <f t="shared" si="900"/>
        <v>8.8375254928619987E-2</v>
      </c>
      <c r="R1420" s="5">
        <f t="shared" si="901"/>
        <v>1</v>
      </c>
      <c r="S1420" t="s">
        <v>93</v>
      </c>
      <c r="U1420">
        <f t="shared" si="902"/>
        <v>5</v>
      </c>
      <c r="V1420">
        <f t="shared" si="903"/>
        <v>89.7</v>
      </c>
      <c r="W1420" s="28">
        <f t="shared" si="904"/>
        <v>8.5887221685940249E-2</v>
      </c>
      <c r="X1420" s="27">
        <f t="shared" si="905"/>
        <v>8.5887221685940249E-2</v>
      </c>
      <c r="Y1420" s="5">
        <f t="shared" si="906"/>
        <v>4.2480125433205282</v>
      </c>
      <c r="Z1420" s="5">
        <f t="shared" si="907"/>
        <v>3.9120200132064324</v>
      </c>
      <c r="AA1420" s="5">
        <f t="shared" si="908"/>
        <v>-3970.661193204397</v>
      </c>
      <c r="AB1420" t="s">
        <v>64</v>
      </c>
      <c r="AC1420" t="s">
        <v>62</v>
      </c>
      <c r="AD1420">
        <f t="shared" si="909"/>
        <v>1</v>
      </c>
    </row>
    <row r="1421" spans="1:30" x14ac:dyDescent="0.35">
      <c r="A1421" t="s">
        <v>676</v>
      </c>
      <c r="B1421" t="s">
        <v>241</v>
      </c>
      <c r="C1421" s="36">
        <f t="shared" si="897"/>
        <v>0.10351571419610769</v>
      </c>
      <c r="D1421" s="3">
        <f t="shared" si="898"/>
        <v>0.10351571419610769</v>
      </c>
      <c r="F1421">
        <v>98700</v>
      </c>
      <c r="G1421" t="s">
        <v>76</v>
      </c>
      <c r="H1421">
        <v>100000</v>
      </c>
      <c r="I1421" s="22"/>
      <c r="J1421">
        <v>1</v>
      </c>
      <c r="K1421" s="22"/>
      <c r="L1421">
        <v>10.5247851701752</v>
      </c>
      <c r="M1421" s="22">
        <v>0.10050000000000001</v>
      </c>
      <c r="N1421" s="21">
        <v>45156</v>
      </c>
      <c r="O1421" s="21">
        <v>47256</v>
      </c>
      <c r="P1421">
        <f t="shared" si="899"/>
        <v>6</v>
      </c>
      <c r="Q1421" s="6">
        <f t="shared" si="900"/>
        <v>0.10182370820668693</v>
      </c>
      <c r="R1421" s="5">
        <f t="shared" si="901"/>
        <v>1</v>
      </c>
      <c r="S1421" t="s">
        <v>93</v>
      </c>
      <c r="U1421">
        <f t="shared" si="902"/>
        <v>6</v>
      </c>
      <c r="V1421">
        <f t="shared" si="903"/>
        <v>10050</v>
      </c>
      <c r="W1421" s="28">
        <f t="shared" si="904"/>
        <v>0.10351571419610769</v>
      </c>
      <c r="X1421" s="27">
        <f t="shared" si="905"/>
        <v>0.10351571419610769</v>
      </c>
      <c r="Y1421" s="5">
        <f t="shared" si="906"/>
        <v>4.5273016308221896</v>
      </c>
      <c r="Z1421" s="5">
        <f t="shared" si="907"/>
        <v>4.1026163674708078</v>
      </c>
      <c r="AA1421" s="5">
        <f t="shared" si="908"/>
        <v>-404928.23546936875</v>
      </c>
      <c r="AB1421" t="s">
        <v>64</v>
      </c>
      <c r="AC1421" t="s">
        <v>62</v>
      </c>
      <c r="AD1421">
        <f t="shared" si="909"/>
        <v>1</v>
      </c>
    </row>
    <row r="1422" spans="1:30" x14ac:dyDescent="0.35">
      <c r="A1422" t="s">
        <v>675</v>
      </c>
      <c r="B1422" t="s">
        <v>261</v>
      </c>
      <c r="C1422" s="36">
        <f t="shared" si="897"/>
        <v>8.222277294100612E-2</v>
      </c>
      <c r="D1422" s="3">
        <f t="shared" si="898"/>
        <v>8.222277294100612E-2</v>
      </c>
      <c r="F1422">
        <v>103881</v>
      </c>
      <c r="G1422" t="s">
        <v>76</v>
      </c>
      <c r="H1422">
        <v>100000</v>
      </c>
      <c r="I1422" s="22"/>
      <c r="J1422">
        <v>10</v>
      </c>
      <c r="K1422" s="22"/>
      <c r="L1422">
        <v>8.0597675926273293</v>
      </c>
      <c r="M1422" s="22">
        <v>9.1999999999999998E-2</v>
      </c>
      <c r="N1422" s="21">
        <v>45434</v>
      </c>
      <c r="O1422" s="21">
        <v>47260</v>
      </c>
      <c r="P1422">
        <f t="shared" si="899"/>
        <v>5</v>
      </c>
      <c r="Q1422" s="6">
        <f t="shared" si="900"/>
        <v>8.8562874827928115E-2</v>
      </c>
      <c r="R1422" s="5">
        <f t="shared" si="901"/>
        <v>1</v>
      </c>
      <c r="S1422" t="s">
        <v>93</v>
      </c>
      <c r="U1422">
        <f t="shared" si="902"/>
        <v>5</v>
      </c>
      <c r="V1422">
        <f t="shared" si="903"/>
        <v>9200</v>
      </c>
      <c r="W1422" s="28">
        <f t="shared" si="904"/>
        <v>8.222277294100612E-2</v>
      </c>
      <c r="X1422" s="27">
        <f t="shared" si="905"/>
        <v>8.222277294100612E-2</v>
      </c>
      <c r="Y1422" s="5">
        <f t="shared" si="906"/>
        <v>4.2415058901909024</v>
      </c>
      <c r="Z1422" s="5">
        <f t="shared" si="907"/>
        <v>3.9192539616075095</v>
      </c>
      <c r="AA1422" s="5">
        <f t="shared" si="908"/>
        <v>-407136.02078574972</v>
      </c>
      <c r="AB1422" t="s">
        <v>64</v>
      </c>
      <c r="AC1422" t="s">
        <v>62</v>
      </c>
      <c r="AD1422">
        <f t="shared" si="909"/>
        <v>1</v>
      </c>
    </row>
    <row r="1423" spans="1:30" x14ac:dyDescent="0.35">
      <c r="A1423" t="s">
        <v>674</v>
      </c>
      <c r="B1423" t="s">
        <v>401</v>
      </c>
      <c r="C1423" s="36">
        <f t="shared" si="897"/>
        <v>0.10897717568139996</v>
      </c>
      <c r="D1423" s="3">
        <f t="shared" si="898"/>
        <v>0.10897717568139996</v>
      </c>
      <c r="F1423">
        <v>100379</v>
      </c>
      <c r="G1423" t="s">
        <v>76</v>
      </c>
      <c r="H1423">
        <v>100000</v>
      </c>
      <c r="I1423" s="22"/>
      <c r="J1423">
        <v>8</v>
      </c>
      <c r="K1423" s="22"/>
      <c r="L1423">
        <v>10.8696705722425</v>
      </c>
      <c r="M1423" s="22">
        <v>0.11</v>
      </c>
      <c r="N1423" s="21">
        <v>45435</v>
      </c>
      <c r="O1423" s="21">
        <v>47261</v>
      </c>
      <c r="P1423">
        <f t="shared" si="899"/>
        <v>5</v>
      </c>
      <c r="Q1423" s="6">
        <f t="shared" si="900"/>
        <v>0.10958467408521702</v>
      </c>
      <c r="R1423" s="5">
        <f t="shared" si="901"/>
        <v>1</v>
      </c>
      <c r="S1423" t="s">
        <v>93</v>
      </c>
      <c r="U1423">
        <f t="shared" si="902"/>
        <v>5</v>
      </c>
      <c r="V1423">
        <f t="shared" si="903"/>
        <v>11000</v>
      </c>
      <c r="W1423" s="28">
        <f t="shared" si="904"/>
        <v>0.10897717568139996</v>
      </c>
      <c r="X1423" s="27">
        <f t="shared" si="905"/>
        <v>0.10897717568139996</v>
      </c>
      <c r="Y1423" s="5">
        <f t="shared" si="906"/>
        <v>4.1042674290732881</v>
      </c>
      <c r="Z1423" s="5">
        <f t="shared" si="907"/>
        <v>3.7009485128054704</v>
      </c>
      <c r="AA1423" s="5">
        <f t="shared" si="908"/>
        <v>-371497.51076690032</v>
      </c>
      <c r="AB1423" t="s">
        <v>64</v>
      </c>
      <c r="AC1423" t="s">
        <v>62</v>
      </c>
      <c r="AD1423">
        <f t="shared" si="909"/>
        <v>1</v>
      </c>
    </row>
    <row r="1424" spans="1:30" x14ac:dyDescent="0.35">
      <c r="A1424" t="s">
        <v>673</v>
      </c>
      <c r="B1424" t="s">
        <v>568</v>
      </c>
      <c r="C1424" s="36">
        <f t="shared" si="897"/>
        <v>0.10317514094503695</v>
      </c>
      <c r="D1424" s="3">
        <f t="shared" si="898"/>
        <v>0.10317514094503695</v>
      </c>
      <c r="F1424">
        <v>1005</v>
      </c>
      <c r="G1424" t="s">
        <v>76</v>
      </c>
      <c r="H1424">
        <v>1000</v>
      </c>
      <c r="I1424" s="22"/>
      <c r="J1424">
        <v>213</v>
      </c>
      <c r="K1424" s="22"/>
      <c r="L1424">
        <v>10.218550106609801</v>
      </c>
      <c r="M1424" s="22">
        <v>0.10400000000000001</v>
      </c>
      <c r="N1424" s="21">
        <v>43608</v>
      </c>
      <c r="O1424" s="21">
        <v>47261</v>
      </c>
      <c r="P1424">
        <f t="shared" si="899"/>
        <v>10</v>
      </c>
      <c r="Q1424" s="6">
        <f t="shared" si="900"/>
        <v>0.10348258706467663</v>
      </c>
      <c r="R1424" s="5">
        <f t="shared" si="901"/>
        <v>1</v>
      </c>
      <c r="S1424" t="s">
        <v>93</v>
      </c>
      <c r="U1424">
        <f t="shared" si="902"/>
        <v>10</v>
      </c>
      <c r="V1424">
        <f t="shared" si="903"/>
        <v>104.00000000000001</v>
      </c>
      <c r="W1424" s="28">
        <f t="shared" si="904"/>
        <v>0.10317514094503695</v>
      </c>
      <c r="X1424" s="27">
        <f t="shared" si="905"/>
        <v>0.10317514094503695</v>
      </c>
      <c r="Y1424" s="5">
        <f t="shared" si="906"/>
        <v>6.6771803010736939</v>
      </c>
      <c r="Z1424" s="5">
        <f t="shared" si="907"/>
        <v>6.0526928619454523</v>
      </c>
      <c r="AA1424" s="5">
        <f t="shared" si="908"/>
        <v>-6082.9563262551792</v>
      </c>
      <c r="AB1424" t="s">
        <v>64</v>
      </c>
      <c r="AC1424" t="s">
        <v>62</v>
      </c>
      <c r="AD1424">
        <f t="shared" si="909"/>
        <v>1</v>
      </c>
    </row>
    <row r="1425" spans="1:30" x14ac:dyDescent="0.35">
      <c r="C1425" s="28"/>
      <c r="D1425" s="27"/>
      <c r="I1425" s="22"/>
      <c r="K1425" s="22"/>
      <c r="M1425" s="22"/>
      <c r="N1425" s="21"/>
      <c r="O1425" s="21"/>
      <c r="P1425" s="5"/>
      <c r="Q1425" s="6"/>
      <c r="R1425" s="5"/>
      <c r="W1425" s="28"/>
      <c r="Y1425" s="33"/>
      <c r="Z1425" s="33"/>
      <c r="AA1425" s="33"/>
    </row>
    <row r="1426" spans="1:30" x14ac:dyDescent="0.35">
      <c r="A1426" t="s">
        <v>671</v>
      </c>
      <c r="B1426" t="s">
        <v>94</v>
      </c>
      <c r="C1426" s="36">
        <f t="shared" ref="C1426:C1440" si="910">RATE(U1426,V1426,-F1426,H1426)</f>
        <v>8.2129209436319531E-2</v>
      </c>
      <c r="D1426" s="3">
        <f t="shared" ref="D1426:D1440" si="911">C1426*AD1426</f>
        <v>8.2129209436319531E-2</v>
      </c>
      <c r="F1426">
        <v>1042341</v>
      </c>
      <c r="G1426" t="s">
        <v>76</v>
      </c>
      <c r="H1426">
        <v>1000000</v>
      </c>
      <c r="I1426" s="22"/>
      <c r="J1426">
        <v>5</v>
      </c>
      <c r="K1426" s="22"/>
      <c r="L1426">
        <v>8.0764659390320404</v>
      </c>
      <c r="M1426" s="22">
        <v>8.8499999999999995E-2</v>
      </c>
      <c r="N1426" s="21">
        <v>43612</v>
      </c>
      <c r="O1426" s="21">
        <v>47263</v>
      </c>
      <c r="P1426">
        <f t="shared" ref="P1426:P1440" si="912">ROUND(YEARFRAC(N1426,O1426),0)</f>
        <v>10</v>
      </c>
      <c r="Q1426" s="6">
        <f t="shared" ref="Q1426:Q1440" si="913">(M1426*H1426)/F1426</f>
        <v>8.4905035875975324E-2</v>
      </c>
      <c r="R1426" s="5">
        <f t="shared" ref="R1426:R1440" si="914">IF(S1426="Quarterly",4,IF(S1426="Semi-annual",2,IF(S1426="Annual",1,IF(S1426="Pays at maturity",0,12))))</f>
        <v>1</v>
      </c>
      <c r="S1426" t="s">
        <v>93</v>
      </c>
      <c r="U1426">
        <f t="shared" ref="U1426:U1440" si="915">R1426*P1426</f>
        <v>10</v>
      </c>
      <c r="V1426">
        <f t="shared" ref="V1426:V1440" si="916">(H1426*M1426)/AD1426</f>
        <v>88500</v>
      </c>
      <c r="W1426" s="28">
        <f t="shared" ref="W1426:W1440" si="917">RATE(U1426,V1426,-F1426,H1426)</f>
        <v>8.2129209436319531E-2</v>
      </c>
      <c r="X1426" s="27">
        <f t="shared" ref="X1426:X1440" si="918">W1426*AD1426</f>
        <v>8.2129209436319531E-2</v>
      </c>
      <c r="Y1426" s="5">
        <f t="shared" ref="Y1426:Y1440" si="919">DURATION(N1426,O1426,M1426,D1426,AD1426)</f>
        <v>7.0914913340856183</v>
      </c>
      <c r="Z1426" s="5">
        <f t="shared" ref="Z1426:Z1440" si="920">Y1426/(1+C1426)</f>
        <v>6.5532759602520771</v>
      </c>
      <c r="AA1426" s="5">
        <f t="shared" ref="AA1426:AA1440" si="921">-Z1426*F1426</f>
        <v>-6830748.2176851099</v>
      </c>
      <c r="AB1426" t="s">
        <v>64</v>
      </c>
      <c r="AC1426" t="s">
        <v>62</v>
      </c>
      <c r="AD1426">
        <f t="shared" ref="AD1426:AD1440" si="922">_xlfn.SWITCH(PROPER(TRIM(S1426)),
   "Annual",1,
   "Semi-Annual",2,
   "Quarterly",4,
   "Monthly",12,
   "")</f>
        <v>1</v>
      </c>
    </row>
    <row r="1427" spans="1:30" x14ac:dyDescent="0.35">
      <c r="A1427" t="s">
        <v>670</v>
      </c>
      <c r="B1427" t="s">
        <v>338</v>
      </c>
      <c r="C1427" s="36">
        <f t="shared" si="910"/>
        <v>0.10800000000000404</v>
      </c>
      <c r="D1427" s="3">
        <f t="shared" si="911"/>
        <v>0.10800000000000404</v>
      </c>
      <c r="F1427">
        <v>1000</v>
      </c>
      <c r="G1427" t="s">
        <v>76</v>
      </c>
      <c r="H1427">
        <v>1000</v>
      </c>
      <c r="I1427" s="22"/>
      <c r="J1427">
        <v>10</v>
      </c>
      <c r="K1427" s="22"/>
      <c r="L1427">
        <v>10.8</v>
      </c>
      <c r="M1427" s="22">
        <v>0.10800000000000001</v>
      </c>
      <c r="N1427" s="21">
        <v>45439</v>
      </c>
      <c r="O1427" s="21">
        <v>47265</v>
      </c>
      <c r="P1427">
        <f t="shared" si="912"/>
        <v>5</v>
      </c>
      <c r="Q1427" s="6">
        <f t="shared" si="913"/>
        <v>0.10800000000000001</v>
      </c>
      <c r="R1427" s="5">
        <f t="shared" si="914"/>
        <v>1</v>
      </c>
      <c r="S1427" t="s">
        <v>93</v>
      </c>
      <c r="U1427">
        <f t="shared" si="915"/>
        <v>5</v>
      </c>
      <c r="V1427">
        <f t="shared" si="916"/>
        <v>108.00000000000001</v>
      </c>
      <c r="W1427" s="28">
        <f t="shared" si="917"/>
        <v>0.10800000000000404</v>
      </c>
      <c r="X1427" s="27">
        <f t="shared" si="918"/>
        <v>0.10800000000000404</v>
      </c>
      <c r="Y1427" s="5">
        <f t="shared" si="919"/>
        <v>4.115740298963332</v>
      </c>
      <c r="Z1427" s="5">
        <f t="shared" si="920"/>
        <v>3.7145670568260982</v>
      </c>
      <c r="AA1427" s="5">
        <f t="shared" si="921"/>
        <v>-3714.5670568260985</v>
      </c>
      <c r="AB1427" t="s">
        <v>64</v>
      </c>
      <c r="AC1427" t="s">
        <v>62</v>
      </c>
      <c r="AD1427">
        <f t="shared" si="922"/>
        <v>1</v>
      </c>
    </row>
    <row r="1428" spans="1:30" x14ac:dyDescent="0.35">
      <c r="A1428" t="s">
        <v>669</v>
      </c>
      <c r="B1428" t="s">
        <v>668</v>
      </c>
      <c r="C1428" s="36">
        <f t="shared" si="910"/>
        <v>0.13437924174942981</v>
      </c>
      <c r="D1428" s="3">
        <f t="shared" si="911"/>
        <v>0.13437924174942981</v>
      </c>
      <c r="F1428">
        <v>103000</v>
      </c>
      <c r="G1428" t="s">
        <v>76</v>
      </c>
      <c r="H1428">
        <v>100000</v>
      </c>
      <c r="I1428" s="22"/>
      <c r="J1428">
        <v>1</v>
      </c>
      <c r="K1428" s="22"/>
      <c r="L1428">
        <v>13.127911068789199</v>
      </c>
      <c r="M1428" s="22">
        <v>0.14300000000000002</v>
      </c>
      <c r="N1428" s="21">
        <v>45384</v>
      </c>
      <c r="O1428" s="21">
        <v>47266</v>
      </c>
      <c r="P1428">
        <f t="shared" si="912"/>
        <v>5</v>
      </c>
      <c r="Q1428" s="6">
        <f t="shared" si="913"/>
        <v>0.1388349514563107</v>
      </c>
      <c r="R1428" s="5">
        <f t="shared" si="914"/>
        <v>1</v>
      </c>
      <c r="S1428" t="s">
        <v>93</v>
      </c>
      <c r="U1428">
        <f t="shared" si="915"/>
        <v>5</v>
      </c>
      <c r="V1428">
        <f t="shared" si="916"/>
        <v>14300.000000000002</v>
      </c>
      <c r="W1428" s="28">
        <f t="shared" si="917"/>
        <v>0.13437924174942981</v>
      </c>
      <c r="X1428" s="27">
        <f t="shared" si="918"/>
        <v>0.13437924174942981</v>
      </c>
      <c r="Y1428" s="5">
        <f t="shared" si="919"/>
        <v>3.5912715333908336</v>
      </c>
      <c r="Z1428" s="5">
        <f t="shared" si="920"/>
        <v>3.1658473649891601</v>
      </c>
      <c r="AA1428" s="5">
        <f t="shared" si="921"/>
        <v>-326082.2785938835</v>
      </c>
      <c r="AB1428" t="s">
        <v>64</v>
      </c>
      <c r="AC1428" t="s">
        <v>62</v>
      </c>
      <c r="AD1428">
        <f t="shared" si="922"/>
        <v>1</v>
      </c>
    </row>
    <row r="1429" spans="1:30" x14ac:dyDescent="0.35">
      <c r="A1429" t="s">
        <v>667</v>
      </c>
      <c r="B1429" t="s">
        <v>241</v>
      </c>
      <c r="C1429" s="36">
        <f t="shared" si="910"/>
        <v>0.10115129156926983</v>
      </c>
      <c r="D1429" s="3">
        <f t="shared" si="911"/>
        <v>0.10115129156926983</v>
      </c>
      <c r="F1429">
        <v>99717.3</v>
      </c>
      <c r="G1429" t="s">
        <v>76</v>
      </c>
      <c r="H1429">
        <v>100000</v>
      </c>
      <c r="I1429" s="22"/>
      <c r="J1429">
        <v>10</v>
      </c>
      <c r="K1429" s="22"/>
      <c r="L1429">
        <v>10.150652309700099</v>
      </c>
      <c r="M1429" s="22">
        <v>0.10050000000000001</v>
      </c>
      <c r="N1429" s="21">
        <v>45142</v>
      </c>
      <c r="O1429" s="21">
        <v>47269</v>
      </c>
      <c r="P1429">
        <f t="shared" si="912"/>
        <v>6</v>
      </c>
      <c r="Q1429" s="6">
        <f t="shared" si="913"/>
        <v>0.10078491896591664</v>
      </c>
      <c r="R1429" s="5">
        <f t="shared" si="914"/>
        <v>1</v>
      </c>
      <c r="S1429" t="s">
        <v>93</v>
      </c>
      <c r="U1429">
        <f t="shared" si="915"/>
        <v>6</v>
      </c>
      <c r="V1429">
        <f t="shared" si="916"/>
        <v>10050</v>
      </c>
      <c r="W1429" s="28">
        <f t="shared" si="917"/>
        <v>0.10115129156926983</v>
      </c>
      <c r="X1429" s="27">
        <f t="shared" si="918"/>
        <v>0.10115129156926983</v>
      </c>
      <c r="Y1429" s="5">
        <f t="shared" si="919"/>
        <v>4.6063060571213983</v>
      </c>
      <c r="Z1429" s="5">
        <f t="shared" si="920"/>
        <v>4.1831727323834595</v>
      </c>
      <c r="AA1429" s="5">
        <f t="shared" si="921"/>
        <v>-417134.69030690118</v>
      </c>
      <c r="AB1429" t="s">
        <v>64</v>
      </c>
      <c r="AC1429" t="s">
        <v>62</v>
      </c>
      <c r="AD1429">
        <f t="shared" si="922"/>
        <v>1</v>
      </c>
    </row>
    <row r="1430" spans="1:30" x14ac:dyDescent="0.35">
      <c r="A1430" t="s">
        <v>666</v>
      </c>
      <c r="B1430" t="s">
        <v>128</v>
      </c>
      <c r="C1430" s="36">
        <f t="shared" si="910"/>
        <v>0.10330106129336251</v>
      </c>
      <c r="D1430" s="3">
        <f t="shared" si="911"/>
        <v>0.10330106129336251</v>
      </c>
      <c r="F1430">
        <v>976.69</v>
      </c>
      <c r="G1430" t="s">
        <v>76</v>
      </c>
      <c r="H1430">
        <v>1000</v>
      </c>
      <c r="I1430" s="22"/>
      <c r="J1430">
        <v>9</v>
      </c>
      <c r="K1430" s="22"/>
      <c r="L1430">
        <v>10.5404504779608</v>
      </c>
      <c r="M1430" s="22">
        <v>9.7100000000000006E-2</v>
      </c>
      <c r="N1430" s="21">
        <v>45443</v>
      </c>
      <c r="O1430" s="21">
        <v>47269</v>
      </c>
      <c r="P1430">
        <f t="shared" si="912"/>
        <v>5</v>
      </c>
      <c r="Q1430" s="6">
        <f t="shared" si="913"/>
        <v>9.9417420061636758E-2</v>
      </c>
      <c r="R1430" s="5">
        <f t="shared" si="914"/>
        <v>1</v>
      </c>
      <c r="S1430" t="s">
        <v>93</v>
      </c>
      <c r="U1430">
        <f t="shared" si="915"/>
        <v>5</v>
      </c>
      <c r="V1430">
        <f t="shared" si="916"/>
        <v>97.100000000000009</v>
      </c>
      <c r="W1430" s="28">
        <f t="shared" si="917"/>
        <v>0.10330106129336251</v>
      </c>
      <c r="X1430" s="27">
        <f t="shared" si="918"/>
        <v>0.10330106129336251</v>
      </c>
      <c r="Y1430" s="5">
        <f t="shared" si="919"/>
        <v>4.1794019927335908</v>
      </c>
      <c r="Z1430" s="5">
        <f t="shared" si="920"/>
        <v>3.7880884369260186</v>
      </c>
      <c r="AA1430" s="5">
        <f t="shared" si="921"/>
        <v>-3699.7880954612733</v>
      </c>
      <c r="AB1430" t="s">
        <v>64</v>
      </c>
      <c r="AC1430" t="s">
        <v>62</v>
      </c>
      <c r="AD1430">
        <f t="shared" si="922"/>
        <v>1</v>
      </c>
    </row>
    <row r="1431" spans="1:30" x14ac:dyDescent="0.35">
      <c r="A1431" t="s">
        <v>665</v>
      </c>
      <c r="B1431" t="s">
        <v>128</v>
      </c>
      <c r="C1431" s="36">
        <f t="shared" si="910"/>
        <v>0.10657470259061726</v>
      </c>
      <c r="D1431" s="3">
        <f t="shared" si="911"/>
        <v>0.10657470259061726</v>
      </c>
      <c r="F1431">
        <v>947.53</v>
      </c>
      <c r="G1431" t="s">
        <v>76</v>
      </c>
      <c r="H1431">
        <v>1000</v>
      </c>
      <c r="I1431" s="22"/>
      <c r="J1431">
        <v>180</v>
      </c>
      <c r="K1431" s="22"/>
      <c r="L1431">
        <v>11.189630505862899</v>
      </c>
      <c r="M1431" s="22">
        <v>9.2499999999999999E-2</v>
      </c>
      <c r="N1431" s="21">
        <v>45443</v>
      </c>
      <c r="O1431" s="21">
        <v>47269</v>
      </c>
      <c r="P1431">
        <f t="shared" si="912"/>
        <v>5</v>
      </c>
      <c r="Q1431" s="6">
        <f t="shared" si="913"/>
        <v>9.7622238873703207E-2</v>
      </c>
      <c r="R1431" s="5">
        <f t="shared" si="914"/>
        <v>1</v>
      </c>
      <c r="S1431" t="s">
        <v>93</v>
      </c>
      <c r="U1431">
        <f t="shared" si="915"/>
        <v>5</v>
      </c>
      <c r="V1431">
        <f t="shared" si="916"/>
        <v>92.5</v>
      </c>
      <c r="W1431" s="28">
        <f t="shared" si="917"/>
        <v>0.10657470259061726</v>
      </c>
      <c r="X1431" s="27">
        <f t="shared" si="918"/>
        <v>0.10657470259061726</v>
      </c>
      <c r="Y1431" s="5">
        <f t="shared" si="919"/>
        <v>4.198750579696652</v>
      </c>
      <c r="Z1431" s="5">
        <f t="shared" si="920"/>
        <v>3.7943670408033903</v>
      </c>
      <c r="AA1431" s="5">
        <f t="shared" si="921"/>
        <v>-3595.2766021724365</v>
      </c>
      <c r="AB1431" t="s">
        <v>64</v>
      </c>
      <c r="AC1431" t="s">
        <v>62</v>
      </c>
      <c r="AD1431">
        <f t="shared" si="922"/>
        <v>1</v>
      </c>
    </row>
    <row r="1432" spans="1:30" x14ac:dyDescent="0.35">
      <c r="A1432" t="s">
        <v>664</v>
      </c>
      <c r="B1432" t="s">
        <v>128</v>
      </c>
      <c r="C1432" s="36">
        <f t="shared" si="910"/>
        <v>0.12983473030742038</v>
      </c>
      <c r="D1432" s="3">
        <f t="shared" si="911"/>
        <v>0.12983473030742038</v>
      </c>
      <c r="F1432">
        <v>900.3</v>
      </c>
      <c r="G1432" t="s">
        <v>76</v>
      </c>
      <c r="H1432">
        <v>1000</v>
      </c>
      <c r="I1432" s="22"/>
      <c r="J1432">
        <v>16</v>
      </c>
      <c r="K1432" s="22"/>
      <c r="L1432">
        <v>14.114526827904401</v>
      </c>
      <c r="M1432" s="22">
        <v>0.10150000000000001</v>
      </c>
      <c r="N1432" s="21">
        <v>45443</v>
      </c>
      <c r="O1432" s="21">
        <v>47269</v>
      </c>
      <c r="P1432">
        <f t="shared" si="912"/>
        <v>5</v>
      </c>
      <c r="Q1432" s="6">
        <f t="shared" si="913"/>
        <v>0.11274019771187382</v>
      </c>
      <c r="R1432" s="5">
        <f t="shared" si="914"/>
        <v>1</v>
      </c>
      <c r="S1432" t="s">
        <v>93</v>
      </c>
      <c r="U1432">
        <f t="shared" si="915"/>
        <v>5</v>
      </c>
      <c r="V1432">
        <f t="shared" si="916"/>
        <v>101.5</v>
      </c>
      <c r="W1432" s="28">
        <f t="shared" si="917"/>
        <v>0.12983473030742038</v>
      </c>
      <c r="X1432" s="27">
        <f t="shared" si="918"/>
        <v>0.12983473030742038</v>
      </c>
      <c r="Y1432" s="5">
        <f t="shared" si="919"/>
        <v>4.1103834928734768</v>
      </c>
      <c r="Z1432" s="5">
        <f t="shared" si="920"/>
        <v>3.6380396022656072</v>
      </c>
      <c r="AA1432" s="5">
        <f t="shared" si="921"/>
        <v>-3275.327053919726</v>
      </c>
      <c r="AB1432" t="s">
        <v>64</v>
      </c>
      <c r="AC1432" t="s">
        <v>62</v>
      </c>
      <c r="AD1432">
        <f t="shared" si="922"/>
        <v>1</v>
      </c>
    </row>
    <row r="1433" spans="1:30" x14ac:dyDescent="0.35">
      <c r="A1433" t="s">
        <v>663</v>
      </c>
      <c r="B1433" t="s">
        <v>249</v>
      </c>
      <c r="C1433" s="36">
        <f t="shared" si="910"/>
        <v>2.1883517426681248E-2</v>
      </c>
      <c r="D1433" s="3">
        <f t="shared" si="911"/>
        <v>8.753406970672499E-2</v>
      </c>
      <c r="F1433">
        <v>1045000</v>
      </c>
      <c r="G1433" t="s">
        <v>76</v>
      </c>
      <c r="H1433">
        <v>1000000</v>
      </c>
      <c r="I1433" s="22"/>
      <c r="J1433">
        <v>1</v>
      </c>
      <c r="K1433" s="22"/>
      <c r="M1433" s="22">
        <v>9.6199999999999994E-2</v>
      </c>
      <c r="N1433" s="21">
        <v>44726</v>
      </c>
      <c r="O1433" s="21">
        <v>47269</v>
      </c>
      <c r="P1433">
        <f t="shared" si="912"/>
        <v>7</v>
      </c>
      <c r="Q1433" s="26">
        <f t="shared" si="913"/>
        <v>9.2057416267942588E-2</v>
      </c>
      <c r="R1433" s="5">
        <f t="shared" si="914"/>
        <v>4</v>
      </c>
      <c r="S1433" t="s">
        <v>105</v>
      </c>
      <c r="U1433">
        <f t="shared" si="915"/>
        <v>28</v>
      </c>
      <c r="V1433">
        <f t="shared" si="916"/>
        <v>24050</v>
      </c>
      <c r="W1433" s="28">
        <f t="shared" si="917"/>
        <v>2.1883517426681248E-2</v>
      </c>
      <c r="X1433" s="27">
        <f t="shared" si="918"/>
        <v>8.753406970672499E-2</v>
      </c>
      <c r="Y1433" s="5">
        <f t="shared" si="919"/>
        <v>5.1799775871715603</v>
      </c>
      <c r="Z1433" s="5">
        <f t="shared" si="920"/>
        <v>5.0690489657919517</v>
      </c>
      <c r="AA1433" s="5">
        <f t="shared" si="921"/>
        <v>-5297156.1692525893</v>
      </c>
      <c r="AB1433" t="s">
        <v>64</v>
      </c>
      <c r="AC1433" t="s">
        <v>62</v>
      </c>
      <c r="AD1433">
        <f t="shared" si="922"/>
        <v>4</v>
      </c>
    </row>
    <row r="1434" spans="1:30" x14ac:dyDescent="0.35">
      <c r="A1434" t="s">
        <v>662</v>
      </c>
      <c r="B1434" t="s">
        <v>661</v>
      </c>
      <c r="C1434" s="36">
        <f t="shared" si="910"/>
        <v>3.0841019682505855E-2</v>
      </c>
      <c r="D1434" s="3">
        <f t="shared" si="911"/>
        <v>6.1682039365011709E-2</v>
      </c>
      <c r="F1434">
        <v>1020.8</v>
      </c>
      <c r="G1434" t="s">
        <v>66</v>
      </c>
      <c r="H1434">
        <v>1000</v>
      </c>
      <c r="I1434" s="22"/>
      <c r="J1434">
        <v>500000</v>
      </c>
      <c r="K1434" s="22"/>
      <c r="M1434" s="22">
        <v>6.4500000000000002E-2</v>
      </c>
      <c r="N1434" s="21">
        <v>43620</v>
      </c>
      <c r="O1434" s="21">
        <v>47273</v>
      </c>
      <c r="P1434">
        <f t="shared" si="912"/>
        <v>10</v>
      </c>
      <c r="Q1434" s="6">
        <f t="shared" si="913"/>
        <v>6.3185736677115995E-2</v>
      </c>
      <c r="R1434" s="5">
        <f t="shared" si="914"/>
        <v>2</v>
      </c>
      <c r="S1434" t="s">
        <v>65</v>
      </c>
      <c r="U1434">
        <f t="shared" si="915"/>
        <v>20</v>
      </c>
      <c r="V1434">
        <f t="shared" si="916"/>
        <v>32.25</v>
      </c>
      <c r="W1434" s="28">
        <f t="shared" si="917"/>
        <v>3.0841019682505855E-2</v>
      </c>
      <c r="X1434" s="27">
        <f t="shared" si="918"/>
        <v>6.1682039365011709E-2</v>
      </c>
      <c r="Y1434" s="5">
        <f t="shared" si="919"/>
        <v>7.5505774819610432</v>
      </c>
      <c r="Z1434" s="5">
        <f t="shared" si="920"/>
        <v>7.3246769752008749</v>
      </c>
      <c r="AA1434" s="5">
        <f t="shared" si="921"/>
        <v>-7477.0302562850529</v>
      </c>
      <c r="AB1434" t="s">
        <v>64</v>
      </c>
      <c r="AC1434" t="s">
        <v>62</v>
      </c>
      <c r="AD1434">
        <f t="shared" si="922"/>
        <v>2</v>
      </c>
    </row>
    <row r="1435" spans="1:30" x14ac:dyDescent="0.35">
      <c r="A1435" t="s">
        <v>660</v>
      </c>
      <c r="B1435" t="s">
        <v>138</v>
      </c>
      <c r="C1435" s="36">
        <f t="shared" si="910"/>
        <v>8.0292558767551092E-2</v>
      </c>
      <c r="D1435" s="3">
        <f t="shared" si="911"/>
        <v>8.0292558767551092E-2</v>
      </c>
      <c r="F1435">
        <v>1055000</v>
      </c>
      <c r="G1435" t="s">
        <v>76</v>
      </c>
      <c r="H1435">
        <v>1000000</v>
      </c>
      <c r="I1435" s="22"/>
      <c r="J1435">
        <v>2</v>
      </c>
      <c r="K1435" s="22"/>
      <c r="L1435">
        <v>7.2162019313599197</v>
      </c>
      <c r="M1435" s="22">
        <v>8.8499999999999995E-2</v>
      </c>
      <c r="N1435" s="21">
        <v>43623</v>
      </c>
      <c r="O1435" s="21">
        <v>47276</v>
      </c>
      <c r="P1435">
        <f t="shared" si="912"/>
        <v>10</v>
      </c>
      <c r="Q1435" s="6">
        <f t="shared" si="913"/>
        <v>8.3886255924170622E-2</v>
      </c>
      <c r="R1435" s="5">
        <f t="shared" si="914"/>
        <v>1</v>
      </c>
      <c r="S1435" t="s">
        <v>93</v>
      </c>
      <c r="U1435">
        <f t="shared" si="915"/>
        <v>10</v>
      </c>
      <c r="V1435">
        <f t="shared" si="916"/>
        <v>88500</v>
      </c>
      <c r="W1435" s="28">
        <f t="shared" si="917"/>
        <v>8.0292558767551092E-2</v>
      </c>
      <c r="X1435" s="27">
        <f t="shared" si="918"/>
        <v>8.0292558767551092E-2</v>
      </c>
      <c r="Y1435" s="5">
        <f t="shared" si="919"/>
        <v>7.1157329568234635</v>
      </c>
      <c r="Z1435" s="5">
        <f t="shared" si="920"/>
        <v>6.5868573277422442</v>
      </c>
      <c r="AA1435" s="5">
        <f t="shared" si="921"/>
        <v>-6949134.4807680678</v>
      </c>
      <c r="AB1435" t="s">
        <v>64</v>
      </c>
      <c r="AC1435" t="s">
        <v>62</v>
      </c>
      <c r="AD1435">
        <f t="shared" si="922"/>
        <v>1</v>
      </c>
    </row>
    <row r="1436" spans="1:30" x14ac:dyDescent="0.35">
      <c r="A1436" t="s">
        <v>659</v>
      </c>
      <c r="B1436" t="s">
        <v>236</v>
      </c>
      <c r="C1436" s="36">
        <f t="shared" si="910"/>
        <v>2.4737373293739796E-2</v>
      </c>
      <c r="D1436" s="3">
        <f t="shared" si="911"/>
        <v>9.8949493174959186E-2</v>
      </c>
      <c r="F1436">
        <v>1110000</v>
      </c>
      <c r="G1436" t="s">
        <v>76</v>
      </c>
      <c r="H1436">
        <v>1000000</v>
      </c>
      <c r="I1436" s="22"/>
      <c r="J1436">
        <v>1</v>
      </c>
      <c r="K1436" s="22"/>
      <c r="M1436" s="22">
        <v>0.1164</v>
      </c>
      <c r="N1436" s="21">
        <v>43627</v>
      </c>
      <c r="O1436" s="21">
        <v>47279</v>
      </c>
      <c r="P1436">
        <f t="shared" si="912"/>
        <v>10</v>
      </c>
      <c r="Q1436" s="6">
        <f t="shared" si="913"/>
        <v>0.10486486486486486</v>
      </c>
      <c r="R1436" s="5">
        <f t="shared" si="914"/>
        <v>4</v>
      </c>
      <c r="S1436" t="s">
        <v>105</v>
      </c>
      <c r="U1436">
        <f t="shared" si="915"/>
        <v>40</v>
      </c>
      <c r="V1436">
        <f t="shared" si="916"/>
        <v>29100</v>
      </c>
      <c r="W1436" s="28">
        <f t="shared" si="917"/>
        <v>2.4737373293739796E-2</v>
      </c>
      <c r="X1436" s="27">
        <f t="shared" si="918"/>
        <v>9.8949493174959186E-2</v>
      </c>
      <c r="Y1436" s="5">
        <f t="shared" si="919"/>
        <v>6.2450384277946256</v>
      </c>
      <c r="Z1436" s="5">
        <f t="shared" si="920"/>
        <v>6.0942819014413878</v>
      </c>
      <c r="AA1436" s="5">
        <f t="shared" si="921"/>
        <v>-6764652.9105999405</v>
      </c>
      <c r="AB1436" t="s">
        <v>64</v>
      </c>
      <c r="AC1436" t="s">
        <v>62</v>
      </c>
      <c r="AD1436">
        <f t="shared" si="922"/>
        <v>4</v>
      </c>
    </row>
    <row r="1437" spans="1:30" x14ac:dyDescent="0.35">
      <c r="A1437" t="s">
        <v>658</v>
      </c>
      <c r="B1437" t="s">
        <v>157</v>
      </c>
      <c r="C1437" s="36">
        <f t="shared" si="910"/>
        <v>8.9532195267656225E-2</v>
      </c>
      <c r="D1437" s="3">
        <f t="shared" si="911"/>
        <v>8.9532195267656225E-2</v>
      </c>
      <c r="F1437">
        <v>1010</v>
      </c>
      <c r="G1437" t="s">
        <v>76</v>
      </c>
      <c r="H1437">
        <v>1000</v>
      </c>
      <c r="I1437" s="22"/>
      <c r="J1437">
        <v>354</v>
      </c>
      <c r="K1437" s="22"/>
      <c r="L1437">
        <v>8.8655630104005496</v>
      </c>
      <c r="M1437" s="22">
        <v>9.2100000000000015E-2</v>
      </c>
      <c r="N1437" s="21">
        <v>45455</v>
      </c>
      <c r="O1437" s="21">
        <v>47281</v>
      </c>
      <c r="P1437">
        <f t="shared" si="912"/>
        <v>5</v>
      </c>
      <c r="Q1437" s="6">
        <f t="shared" si="913"/>
        <v>9.11881188118812E-2</v>
      </c>
      <c r="R1437" s="5">
        <f t="shared" si="914"/>
        <v>1</v>
      </c>
      <c r="S1437" t="s">
        <v>93</v>
      </c>
      <c r="U1437">
        <f t="shared" si="915"/>
        <v>5</v>
      </c>
      <c r="V1437">
        <f t="shared" si="916"/>
        <v>92.100000000000009</v>
      </c>
      <c r="W1437" s="28">
        <f t="shared" si="917"/>
        <v>8.9532195267656225E-2</v>
      </c>
      <c r="X1437" s="27">
        <f t="shared" si="918"/>
        <v>8.9532195267656225E-2</v>
      </c>
      <c r="Y1437" s="5">
        <f t="shared" si="919"/>
        <v>4.229049233013618</v>
      </c>
      <c r="Z1437" s="5">
        <f t="shared" si="920"/>
        <v>3.8815275504315898</v>
      </c>
      <c r="AA1437" s="5">
        <f t="shared" si="921"/>
        <v>-3920.3428259359057</v>
      </c>
      <c r="AB1437" t="s">
        <v>64</v>
      </c>
      <c r="AC1437" t="s">
        <v>62</v>
      </c>
      <c r="AD1437">
        <f t="shared" si="922"/>
        <v>1</v>
      </c>
    </row>
    <row r="1438" spans="1:30" x14ac:dyDescent="0.35">
      <c r="A1438" t="s">
        <v>657</v>
      </c>
      <c r="B1438" t="s">
        <v>157</v>
      </c>
      <c r="C1438" s="36">
        <f t="shared" si="910"/>
        <v>9.5504527891210181E-2</v>
      </c>
      <c r="D1438" s="3">
        <f t="shared" si="911"/>
        <v>9.5504527891210181E-2</v>
      </c>
      <c r="F1438">
        <v>1001.9</v>
      </c>
      <c r="G1438" t="s">
        <v>76</v>
      </c>
      <c r="H1438">
        <v>1000</v>
      </c>
      <c r="I1438" s="22"/>
      <c r="J1438">
        <v>23</v>
      </c>
      <c r="K1438" s="22"/>
      <c r="L1438">
        <v>9.5348349668871997</v>
      </c>
      <c r="M1438" s="22">
        <v>9.6000000000000002E-2</v>
      </c>
      <c r="N1438" s="21">
        <v>45455</v>
      </c>
      <c r="O1438" s="21">
        <v>47281</v>
      </c>
      <c r="P1438">
        <f t="shared" si="912"/>
        <v>5</v>
      </c>
      <c r="Q1438" s="6">
        <f t="shared" si="913"/>
        <v>9.581794590278471E-2</v>
      </c>
      <c r="R1438" s="5">
        <f t="shared" si="914"/>
        <v>1</v>
      </c>
      <c r="S1438" t="s">
        <v>93</v>
      </c>
      <c r="U1438">
        <f t="shared" si="915"/>
        <v>5</v>
      </c>
      <c r="V1438">
        <f t="shared" si="916"/>
        <v>96</v>
      </c>
      <c r="W1438" s="28">
        <f t="shared" si="917"/>
        <v>9.5504527891210181E-2</v>
      </c>
      <c r="X1438" s="27">
        <f t="shared" si="918"/>
        <v>9.5504527891210181E-2</v>
      </c>
      <c r="Y1438" s="5">
        <f t="shared" si="919"/>
        <v>4.1983379717337668</v>
      </c>
      <c r="Z1438" s="5">
        <f t="shared" si="920"/>
        <v>3.8323328337267135</v>
      </c>
      <c r="AA1438" s="5">
        <f t="shared" si="921"/>
        <v>-3839.6142661107942</v>
      </c>
      <c r="AB1438" t="s">
        <v>64</v>
      </c>
      <c r="AC1438" t="s">
        <v>62</v>
      </c>
      <c r="AD1438">
        <f t="shared" si="922"/>
        <v>1</v>
      </c>
    </row>
    <row r="1439" spans="1:30" x14ac:dyDescent="0.35">
      <c r="A1439" t="s">
        <v>656</v>
      </c>
      <c r="B1439" t="s">
        <v>654</v>
      </c>
      <c r="C1439" s="36">
        <f t="shared" si="910"/>
        <v>9.7677657447482247E-2</v>
      </c>
      <c r="D1439" s="3">
        <f t="shared" si="911"/>
        <v>9.7677657447482247E-2</v>
      </c>
      <c r="F1439">
        <v>1010</v>
      </c>
      <c r="G1439" t="s">
        <v>76</v>
      </c>
      <c r="H1439">
        <v>1000</v>
      </c>
      <c r="I1439" s="22"/>
      <c r="J1439">
        <v>200</v>
      </c>
      <c r="K1439" s="22"/>
      <c r="L1439">
        <v>9.6792065427837102</v>
      </c>
      <c r="M1439" s="22">
        <v>0.1003</v>
      </c>
      <c r="N1439" s="21">
        <v>45464</v>
      </c>
      <c r="O1439" s="21">
        <v>47290</v>
      </c>
      <c r="P1439">
        <f t="shared" si="912"/>
        <v>5</v>
      </c>
      <c r="Q1439" s="6">
        <f t="shared" si="913"/>
        <v>9.9306930693069298E-2</v>
      </c>
      <c r="R1439" s="5">
        <f t="shared" si="914"/>
        <v>1</v>
      </c>
      <c r="S1439" t="s">
        <v>93</v>
      </c>
      <c r="U1439">
        <f t="shared" si="915"/>
        <v>5</v>
      </c>
      <c r="V1439">
        <f t="shared" si="916"/>
        <v>100.3</v>
      </c>
      <c r="W1439" s="28">
        <f t="shared" si="917"/>
        <v>9.7677657447482247E-2</v>
      </c>
      <c r="X1439" s="27">
        <f t="shared" si="918"/>
        <v>9.7677657447482247E-2</v>
      </c>
      <c r="Y1439" s="5">
        <f t="shared" si="919"/>
        <v>4.1722869544808958</v>
      </c>
      <c r="Z1439" s="5">
        <f t="shared" si="920"/>
        <v>3.8010129168366684</v>
      </c>
      <c r="AA1439" s="5">
        <f t="shared" si="921"/>
        <v>-3839.0230460050352</v>
      </c>
      <c r="AB1439" t="s">
        <v>64</v>
      </c>
      <c r="AC1439" t="s">
        <v>62</v>
      </c>
      <c r="AD1439">
        <f t="shared" si="922"/>
        <v>1</v>
      </c>
    </row>
    <row r="1440" spans="1:30" x14ac:dyDescent="0.35">
      <c r="A1440" t="s">
        <v>655</v>
      </c>
      <c r="B1440" t="s">
        <v>654</v>
      </c>
      <c r="C1440" s="36">
        <f t="shared" si="910"/>
        <v>9.0581108009321537E-2</v>
      </c>
      <c r="D1440" s="3">
        <f t="shared" si="911"/>
        <v>9.0581108009321537E-2</v>
      </c>
      <c r="F1440">
        <v>1056</v>
      </c>
      <c r="G1440" t="s">
        <v>76</v>
      </c>
      <c r="H1440">
        <v>1000</v>
      </c>
      <c r="I1440" s="22"/>
      <c r="J1440">
        <v>1</v>
      </c>
      <c r="K1440" s="22"/>
      <c r="L1440">
        <v>8.5952667341943094</v>
      </c>
      <c r="M1440" s="22">
        <v>0.105</v>
      </c>
      <c r="N1440" s="21">
        <v>45464</v>
      </c>
      <c r="O1440" s="21">
        <v>47290</v>
      </c>
      <c r="P1440">
        <f t="shared" si="912"/>
        <v>5</v>
      </c>
      <c r="Q1440" s="6">
        <f t="shared" si="913"/>
        <v>9.9431818181818177E-2</v>
      </c>
      <c r="R1440" s="5">
        <f t="shared" si="914"/>
        <v>1</v>
      </c>
      <c r="S1440" t="s">
        <v>93</v>
      </c>
      <c r="U1440">
        <f t="shared" si="915"/>
        <v>5</v>
      </c>
      <c r="V1440">
        <f t="shared" si="916"/>
        <v>105</v>
      </c>
      <c r="W1440" s="28">
        <f t="shared" si="917"/>
        <v>9.0581108009321537E-2</v>
      </c>
      <c r="X1440" s="27">
        <f t="shared" si="918"/>
        <v>9.0581108009321537E-2</v>
      </c>
      <c r="Y1440" s="5">
        <f t="shared" si="919"/>
        <v>4.1609013248110429</v>
      </c>
      <c r="Z1440" s="5">
        <f t="shared" si="920"/>
        <v>3.8153066234625057</v>
      </c>
      <c r="AA1440" s="5">
        <f t="shared" si="921"/>
        <v>-4028.963794376406</v>
      </c>
      <c r="AB1440" t="s">
        <v>64</v>
      </c>
      <c r="AC1440" t="s">
        <v>62</v>
      </c>
      <c r="AD1440">
        <f t="shared" si="922"/>
        <v>1</v>
      </c>
    </row>
    <row r="1441" spans="1:30" x14ac:dyDescent="0.35">
      <c r="C1441" s="28"/>
      <c r="D1441" s="27"/>
      <c r="I1441" s="22"/>
      <c r="K1441" s="22"/>
      <c r="M1441" s="22"/>
      <c r="N1441" s="21"/>
      <c r="O1441" s="21"/>
      <c r="P1441" s="5"/>
      <c r="Q1441" s="6"/>
      <c r="R1441" s="5"/>
      <c r="W1441" s="28"/>
      <c r="Y1441" s="33"/>
      <c r="Z1441" s="33"/>
      <c r="AA1441" s="33"/>
    </row>
    <row r="1442" spans="1:30" x14ac:dyDescent="0.35">
      <c r="A1442" t="s">
        <v>652</v>
      </c>
      <c r="B1442" t="s">
        <v>272</v>
      </c>
      <c r="C1442" s="36">
        <f t="shared" ref="C1442:C1449" si="923">RATE(U1442,V1442,-F1442,H1442)</f>
        <v>8.5820242023553747E-2</v>
      </c>
      <c r="D1442" s="3">
        <f t="shared" ref="D1442:D1449" si="924">C1442*AD1442</f>
        <v>8.5820242023553747E-2</v>
      </c>
      <c r="F1442">
        <v>944.77</v>
      </c>
      <c r="G1442" t="s">
        <v>76</v>
      </c>
      <c r="H1442">
        <v>1000</v>
      </c>
      <c r="I1442" s="22"/>
      <c r="J1442">
        <v>1</v>
      </c>
      <c r="K1442" s="22"/>
      <c r="L1442">
        <v>9.4295242822956702</v>
      </c>
      <c r="M1442" s="22">
        <v>7.4999999999999997E-2</v>
      </c>
      <c r="N1442" s="21">
        <v>44735</v>
      </c>
      <c r="O1442" s="21">
        <v>47292</v>
      </c>
      <c r="P1442">
        <f t="shared" ref="P1442:P1449" si="925">ROUND(YEARFRAC(N1442,O1442),0)</f>
        <v>7</v>
      </c>
      <c r="Q1442" s="6">
        <f t="shared" ref="Q1442:Q1449" si="926">(M1442*H1442)/F1442</f>
        <v>7.9384400436084981E-2</v>
      </c>
      <c r="R1442" s="5">
        <f t="shared" ref="R1442:R1449" si="927">IF(S1442="Quarterly",4,IF(S1442="Semi-annual",2,IF(S1442="Annual",1,IF(S1442="Pays at maturity",0,12))))</f>
        <v>1</v>
      </c>
      <c r="S1442" t="s">
        <v>93</v>
      </c>
      <c r="U1442">
        <f t="shared" ref="U1442:U1449" si="928">R1442*P1442</f>
        <v>7</v>
      </c>
      <c r="V1442">
        <f t="shared" ref="V1442:V1449" si="929">(H1442*M1442)/AD1442</f>
        <v>75</v>
      </c>
      <c r="W1442" s="28">
        <f t="shared" ref="W1442:W1449" si="930">RATE(U1442,V1442,-F1442,H1442)</f>
        <v>8.5820242023553747E-2</v>
      </c>
      <c r="X1442" s="27">
        <f t="shared" ref="X1442:X1449" si="931">W1442*AD1442</f>
        <v>8.5820242023553747E-2</v>
      </c>
      <c r="Y1442" s="5">
        <f t="shared" ref="Y1442:Y1449" si="932">DURATION(N1442,O1442,M1442,D1442,AD1442)</f>
        <v>5.6516865042146289</v>
      </c>
      <c r="Z1442" s="5">
        <f t="shared" ref="Z1442:Z1449" si="933">Y1442/(1+C1442)</f>
        <v>5.2049927653605419</v>
      </c>
      <c r="AA1442" s="5">
        <f t="shared" ref="AA1442:AA1449" si="934">-Z1442*F1442</f>
        <v>-4917.521014929679</v>
      </c>
      <c r="AB1442" t="s">
        <v>64</v>
      </c>
      <c r="AC1442" t="s">
        <v>62</v>
      </c>
      <c r="AD1442">
        <f t="shared" ref="AD1442:AD1449" si="935">_xlfn.SWITCH(PROPER(TRIM(S1442)),
   "Annual",1,
   "Semi-Annual",2,
   "Quarterly",4,
   "Monthly",12,
   "")</f>
        <v>1</v>
      </c>
    </row>
    <row r="1443" spans="1:30" x14ac:dyDescent="0.35">
      <c r="A1443" t="s">
        <v>651</v>
      </c>
      <c r="B1443" t="s">
        <v>261</v>
      </c>
      <c r="C1443" s="36">
        <f t="shared" si="923"/>
        <v>8.4435577008767526E-2</v>
      </c>
      <c r="D1443" s="3">
        <f t="shared" si="924"/>
        <v>8.4435577008767526E-2</v>
      </c>
      <c r="F1443">
        <v>102787.95</v>
      </c>
      <c r="G1443" t="s">
        <v>76</v>
      </c>
      <c r="H1443">
        <v>100000</v>
      </c>
      <c r="I1443" s="22"/>
      <c r="J1443">
        <v>30</v>
      </c>
      <c r="K1443" s="22"/>
      <c r="L1443">
        <v>8.2819086907148201</v>
      </c>
      <c r="M1443" s="22">
        <v>9.1499999999999998E-2</v>
      </c>
      <c r="N1443" s="21">
        <v>45471</v>
      </c>
      <c r="O1443" s="21">
        <v>47297</v>
      </c>
      <c r="P1443">
        <f t="shared" si="925"/>
        <v>5</v>
      </c>
      <c r="Q1443" s="6">
        <f t="shared" si="926"/>
        <v>8.9018216629478453E-2</v>
      </c>
      <c r="R1443" s="5">
        <f t="shared" si="927"/>
        <v>1</v>
      </c>
      <c r="S1443" t="s">
        <v>93</v>
      </c>
      <c r="U1443">
        <f t="shared" si="928"/>
        <v>5</v>
      </c>
      <c r="V1443">
        <f t="shared" si="929"/>
        <v>9150</v>
      </c>
      <c r="W1443" s="28">
        <f t="shared" si="930"/>
        <v>8.4435577008767526E-2</v>
      </c>
      <c r="X1443" s="27">
        <f t="shared" si="931"/>
        <v>8.4435577008767526E-2</v>
      </c>
      <c r="Y1443" s="5">
        <f t="shared" si="932"/>
        <v>4.2405932391056957</v>
      </c>
      <c r="Z1443" s="5">
        <f t="shared" si="933"/>
        <v>3.9104150850552659</v>
      </c>
      <c r="AA1443" s="5">
        <f t="shared" si="934"/>
        <v>-401943.55024190643</v>
      </c>
      <c r="AB1443" t="s">
        <v>79</v>
      </c>
      <c r="AC1443" t="s">
        <v>62</v>
      </c>
      <c r="AD1443">
        <f t="shared" si="935"/>
        <v>1</v>
      </c>
    </row>
    <row r="1444" spans="1:30" x14ac:dyDescent="0.35">
      <c r="A1444" t="s">
        <v>650</v>
      </c>
      <c r="B1444" t="s">
        <v>587</v>
      </c>
      <c r="C1444" s="36">
        <f t="shared" si="923"/>
        <v>0.12506549687575963</v>
      </c>
      <c r="D1444" s="3">
        <f t="shared" si="924"/>
        <v>0.12506549687575963</v>
      </c>
      <c r="F1444">
        <v>102000</v>
      </c>
      <c r="G1444" t="s">
        <v>76</v>
      </c>
      <c r="H1444">
        <v>100000</v>
      </c>
      <c r="I1444" s="22"/>
      <c r="J1444">
        <v>4</v>
      </c>
      <c r="K1444" s="22"/>
      <c r="L1444">
        <v>12.246709268665599</v>
      </c>
      <c r="M1444" s="22">
        <v>0.13</v>
      </c>
      <c r="N1444" s="21">
        <v>45287</v>
      </c>
      <c r="O1444" s="21">
        <v>47297</v>
      </c>
      <c r="P1444">
        <f t="shared" si="925"/>
        <v>6</v>
      </c>
      <c r="Q1444" s="6">
        <f t="shared" si="926"/>
        <v>0.12745098039215685</v>
      </c>
      <c r="R1444" s="5">
        <f t="shared" si="927"/>
        <v>1</v>
      </c>
      <c r="S1444" t="s">
        <v>93</v>
      </c>
      <c r="U1444">
        <f t="shared" si="928"/>
        <v>6</v>
      </c>
      <c r="V1444">
        <f t="shared" si="929"/>
        <v>13000</v>
      </c>
      <c r="W1444" s="28">
        <f t="shared" si="930"/>
        <v>0.12506549687575963</v>
      </c>
      <c r="X1444" s="27">
        <f t="shared" si="931"/>
        <v>0.12506549687575963</v>
      </c>
      <c r="Y1444" s="5">
        <f t="shared" si="932"/>
        <v>4.0353063790644743</v>
      </c>
      <c r="Z1444" s="5">
        <f t="shared" si="933"/>
        <v>3.586730186171633</v>
      </c>
      <c r="AA1444" s="5">
        <f t="shared" si="934"/>
        <v>-365846.47898950655</v>
      </c>
      <c r="AB1444" t="s">
        <v>64</v>
      </c>
      <c r="AC1444" t="s">
        <v>62</v>
      </c>
      <c r="AD1444">
        <f t="shared" si="935"/>
        <v>1</v>
      </c>
    </row>
    <row r="1445" spans="1:30" x14ac:dyDescent="0.35">
      <c r="A1445" t="s">
        <v>649</v>
      </c>
      <c r="B1445" t="s">
        <v>85</v>
      </c>
      <c r="C1445" s="36">
        <f t="shared" si="923"/>
        <v>2.4909778569109267E-2</v>
      </c>
      <c r="D1445" s="3">
        <f t="shared" si="924"/>
        <v>4.9819557138218534E-2</v>
      </c>
      <c r="F1445">
        <v>952.65</v>
      </c>
      <c r="G1445" t="s">
        <v>66</v>
      </c>
      <c r="H1445">
        <v>1000</v>
      </c>
      <c r="I1445" s="22"/>
      <c r="J1445">
        <v>5260000</v>
      </c>
      <c r="K1445" s="22"/>
      <c r="M1445" s="22">
        <v>4.3749999999999997E-2</v>
      </c>
      <c r="N1445" s="21">
        <v>43649</v>
      </c>
      <c r="O1445" s="21">
        <v>47302</v>
      </c>
      <c r="P1445">
        <f t="shared" si="925"/>
        <v>10</v>
      </c>
      <c r="Q1445" s="6">
        <f t="shared" si="926"/>
        <v>4.5924526321314232E-2</v>
      </c>
      <c r="R1445" s="5">
        <f t="shared" si="927"/>
        <v>2</v>
      </c>
      <c r="S1445" t="s">
        <v>65</v>
      </c>
      <c r="U1445">
        <f t="shared" si="928"/>
        <v>20</v>
      </c>
      <c r="V1445">
        <f t="shared" si="929"/>
        <v>21.875</v>
      </c>
      <c r="W1445" s="28">
        <f t="shared" si="930"/>
        <v>2.4909778569109267E-2</v>
      </c>
      <c r="X1445" s="27">
        <f t="shared" si="931"/>
        <v>4.9819557138218534E-2</v>
      </c>
      <c r="Y1445" s="5">
        <f t="shared" si="932"/>
        <v>8.1522680697803285</v>
      </c>
      <c r="Z1445" s="5">
        <f t="shared" si="933"/>
        <v>7.9541323931573986</v>
      </c>
      <c r="AA1445" s="5">
        <f t="shared" si="934"/>
        <v>-7577.5042243413955</v>
      </c>
      <c r="AB1445" t="s">
        <v>69</v>
      </c>
      <c r="AC1445" t="s">
        <v>62</v>
      </c>
      <c r="AD1445">
        <f t="shared" si="935"/>
        <v>2</v>
      </c>
    </row>
    <row r="1446" spans="1:30" x14ac:dyDescent="0.35">
      <c r="A1446" t="s">
        <v>648</v>
      </c>
      <c r="B1446" t="s">
        <v>119</v>
      </c>
      <c r="C1446" s="36">
        <f t="shared" si="923"/>
        <v>0.10570661575684556</v>
      </c>
      <c r="D1446" s="3">
        <f t="shared" si="924"/>
        <v>0.10570661575684556</v>
      </c>
      <c r="F1446">
        <v>979.8</v>
      </c>
      <c r="G1446" t="s">
        <v>76</v>
      </c>
      <c r="H1446">
        <v>1000</v>
      </c>
      <c r="I1446" s="22"/>
      <c r="J1446">
        <v>20</v>
      </c>
      <c r="K1446" s="22"/>
      <c r="L1446">
        <v>10.7282921680253</v>
      </c>
      <c r="M1446" s="22">
        <v>0.1003</v>
      </c>
      <c r="N1446" s="21">
        <v>45476</v>
      </c>
      <c r="O1446" s="21">
        <v>47302</v>
      </c>
      <c r="P1446">
        <f t="shared" si="925"/>
        <v>5</v>
      </c>
      <c r="Q1446" s="6">
        <f t="shared" si="926"/>
        <v>0.10236783016942233</v>
      </c>
      <c r="R1446" s="5">
        <f t="shared" si="927"/>
        <v>1</v>
      </c>
      <c r="S1446" t="s">
        <v>93</v>
      </c>
      <c r="U1446">
        <f t="shared" si="928"/>
        <v>5</v>
      </c>
      <c r="V1446">
        <f t="shared" si="929"/>
        <v>100.3</v>
      </c>
      <c r="W1446" s="28">
        <f t="shared" si="930"/>
        <v>0.10570661575684556</v>
      </c>
      <c r="X1446" s="27">
        <f t="shared" si="931"/>
        <v>0.10570661575684556</v>
      </c>
      <c r="Y1446" s="5">
        <f t="shared" si="932"/>
        <v>4.1585451412260488</v>
      </c>
      <c r="Z1446" s="5">
        <f t="shared" si="933"/>
        <v>3.7609842267060727</v>
      </c>
      <c r="AA1446" s="5">
        <f t="shared" si="934"/>
        <v>-3685.0123453266096</v>
      </c>
      <c r="AB1446" t="s">
        <v>64</v>
      </c>
      <c r="AC1446" t="s">
        <v>62</v>
      </c>
      <c r="AD1446">
        <f t="shared" si="935"/>
        <v>1</v>
      </c>
    </row>
    <row r="1447" spans="1:30" x14ac:dyDescent="0.35">
      <c r="A1447" t="s">
        <v>647</v>
      </c>
      <c r="B1447" t="s">
        <v>119</v>
      </c>
      <c r="C1447" s="36">
        <f t="shared" si="923"/>
        <v>0.11262607994312619</v>
      </c>
      <c r="D1447" s="3">
        <f t="shared" si="924"/>
        <v>0.11262607994312619</v>
      </c>
      <c r="F1447">
        <v>972</v>
      </c>
      <c r="G1447" t="s">
        <v>76</v>
      </c>
      <c r="H1447">
        <v>1000</v>
      </c>
      <c r="I1447" s="22"/>
      <c r="J1447">
        <v>39</v>
      </c>
      <c r="K1447" s="22"/>
      <c r="L1447">
        <v>11.5321293226297</v>
      </c>
      <c r="M1447" s="22">
        <v>0.105</v>
      </c>
      <c r="N1447" s="21">
        <v>45476</v>
      </c>
      <c r="O1447" s="21">
        <v>47302</v>
      </c>
      <c r="P1447">
        <f t="shared" si="925"/>
        <v>5</v>
      </c>
      <c r="Q1447" s="6">
        <f t="shared" si="926"/>
        <v>0.10802469135802469</v>
      </c>
      <c r="R1447" s="5">
        <f t="shared" si="927"/>
        <v>1</v>
      </c>
      <c r="S1447" t="s">
        <v>93</v>
      </c>
      <c r="U1447">
        <f t="shared" si="928"/>
        <v>5</v>
      </c>
      <c r="V1447">
        <f t="shared" si="929"/>
        <v>105</v>
      </c>
      <c r="W1447" s="28">
        <f t="shared" si="930"/>
        <v>0.11262607994312619</v>
      </c>
      <c r="X1447" s="27">
        <f t="shared" si="931"/>
        <v>0.11262607994312619</v>
      </c>
      <c r="Y1447" s="5">
        <f t="shared" si="932"/>
        <v>4.1225077075923284</v>
      </c>
      <c r="Z1447" s="5">
        <f t="shared" si="933"/>
        <v>3.7052049937595002</v>
      </c>
      <c r="AA1447" s="5">
        <f t="shared" si="934"/>
        <v>-3601.4592539342343</v>
      </c>
      <c r="AB1447" t="s">
        <v>64</v>
      </c>
      <c r="AC1447" t="s">
        <v>62</v>
      </c>
      <c r="AD1447">
        <f t="shared" si="935"/>
        <v>1</v>
      </c>
    </row>
    <row r="1448" spans="1:30" x14ac:dyDescent="0.35">
      <c r="A1448" t="s">
        <v>646</v>
      </c>
      <c r="B1448" t="s">
        <v>85</v>
      </c>
      <c r="C1448" s="36">
        <f t="shared" si="923"/>
        <v>2.5684183748886483E-2</v>
      </c>
      <c r="D1448" s="3">
        <f t="shared" si="924"/>
        <v>5.1368367497772967E-2</v>
      </c>
      <c r="F1448">
        <v>941</v>
      </c>
      <c r="G1448" t="s">
        <v>66</v>
      </c>
      <c r="H1448">
        <v>1000</v>
      </c>
      <c r="I1448" s="22"/>
      <c r="J1448">
        <v>0</v>
      </c>
      <c r="K1448" s="22"/>
      <c r="M1448" s="22">
        <v>4.3749999999999997E-2</v>
      </c>
      <c r="N1448" s="21">
        <v>43649</v>
      </c>
      <c r="O1448" s="21">
        <v>47302</v>
      </c>
      <c r="P1448">
        <f t="shared" si="925"/>
        <v>10</v>
      </c>
      <c r="Q1448" s="6">
        <f t="shared" si="926"/>
        <v>4.649309245483528E-2</v>
      </c>
      <c r="R1448" s="5">
        <f t="shared" si="927"/>
        <v>2</v>
      </c>
      <c r="S1448" t="s">
        <v>65</v>
      </c>
      <c r="U1448">
        <f t="shared" si="928"/>
        <v>20</v>
      </c>
      <c r="V1448">
        <f t="shared" si="929"/>
        <v>21.875</v>
      </c>
      <c r="W1448" s="28">
        <f t="shared" si="930"/>
        <v>2.5684183748886483E-2</v>
      </c>
      <c r="X1448" s="27">
        <f t="shared" si="931"/>
        <v>5.1368367497772967E-2</v>
      </c>
      <c r="Y1448" s="5">
        <f t="shared" si="932"/>
        <v>8.1385436557489808</v>
      </c>
      <c r="Z1448" s="5">
        <f t="shared" si="933"/>
        <v>7.9347461769396865</v>
      </c>
      <c r="AA1448" s="5">
        <f t="shared" si="934"/>
        <v>-7466.5961525002449</v>
      </c>
      <c r="AB1448" t="s">
        <v>69</v>
      </c>
      <c r="AC1448" t="s">
        <v>62</v>
      </c>
      <c r="AD1448">
        <f t="shared" si="935"/>
        <v>2</v>
      </c>
    </row>
    <row r="1449" spans="1:30" x14ac:dyDescent="0.35">
      <c r="A1449" t="s">
        <v>645</v>
      </c>
      <c r="B1449" t="s">
        <v>644</v>
      </c>
      <c r="C1449" s="36">
        <f t="shared" si="923"/>
        <v>0.10046325463841174</v>
      </c>
      <c r="D1449" s="3">
        <f t="shared" si="924"/>
        <v>0.10046325463841174</v>
      </c>
      <c r="F1449">
        <v>103060.53</v>
      </c>
      <c r="G1449" t="s">
        <v>76</v>
      </c>
      <c r="H1449">
        <v>100000</v>
      </c>
      <c r="I1449" s="22"/>
      <c r="J1449">
        <v>10</v>
      </c>
      <c r="K1449" s="22"/>
      <c r="L1449">
        <v>9.6873341671424704</v>
      </c>
      <c r="M1449" s="22">
        <v>0.1075</v>
      </c>
      <c r="N1449" s="21">
        <v>45281</v>
      </c>
      <c r="O1449" s="21">
        <v>47307</v>
      </c>
      <c r="P1449">
        <f t="shared" si="925"/>
        <v>6</v>
      </c>
      <c r="Q1449" s="6">
        <f t="shared" si="926"/>
        <v>0.10430763358193482</v>
      </c>
      <c r="R1449" s="5">
        <f t="shared" si="927"/>
        <v>1</v>
      </c>
      <c r="S1449" t="s">
        <v>93</v>
      </c>
      <c r="U1449">
        <f t="shared" si="928"/>
        <v>6</v>
      </c>
      <c r="V1449">
        <f t="shared" si="929"/>
        <v>10750</v>
      </c>
      <c r="W1449" s="28">
        <f t="shared" si="930"/>
        <v>0.10046325463841174</v>
      </c>
      <c r="X1449" s="27">
        <f t="shared" si="931"/>
        <v>0.10046325463841174</v>
      </c>
      <c r="Y1449" s="5">
        <f t="shared" si="932"/>
        <v>4.2870831251327388</v>
      </c>
      <c r="Z1449" s="5">
        <f t="shared" si="933"/>
        <v>3.8957076549924254</v>
      </c>
      <c r="AA1449" s="5">
        <f t="shared" si="934"/>
        <v>-401493.69564857648</v>
      </c>
      <c r="AB1449" t="s">
        <v>64</v>
      </c>
      <c r="AC1449" t="s">
        <v>62</v>
      </c>
      <c r="AD1449">
        <f t="shared" si="935"/>
        <v>1</v>
      </c>
    </row>
    <row r="1450" spans="1:30" x14ac:dyDescent="0.35">
      <c r="C1450" s="28"/>
      <c r="D1450" s="27"/>
      <c r="I1450" s="22"/>
      <c r="K1450" s="22"/>
      <c r="M1450" s="22"/>
      <c r="N1450" s="21"/>
      <c r="O1450" s="21"/>
      <c r="P1450" s="5"/>
      <c r="Q1450" s="6"/>
      <c r="R1450" s="5"/>
      <c r="W1450" s="28"/>
      <c r="Y1450" s="33"/>
      <c r="Z1450" s="33"/>
      <c r="AA1450" s="33"/>
    </row>
    <row r="1451" spans="1:30" x14ac:dyDescent="0.35">
      <c r="A1451" t="s">
        <v>642</v>
      </c>
      <c r="B1451" t="s">
        <v>357</v>
      </c>
      <c r="C1451" s="36">
        <f t="shared" ref="C1451:C1457" si="936">RATE(U1451,V1451,-F1451,H1451)</f>
        <v>0.10250000000000002</v>
      </c>
      <c r="D1451" s="3">
        <f t="shared" ref="D1451:D1457" si="937">C1451*AD1451</f>
        <v>0.10250000000000002</v>
      </c>
      <c r="F1451">
        <v>1000</v>
      </c>
      <c r="G1451" t="s">
        <v>76</v>
      </c>
      <c r="H1451">
        <v>1000</v>
      </c>
      <c r="I1451" s="22"/>
      <c r="J1451">
        <v>10</v>
      </c>
      <c r="K1451" s="22"/>
      <c r="L1451">
        <v>10.25</v>
      </c>
      <c r="M1451" s="22">
        <v>0.10249999999999999</v>
      </c>
      <c r="N1451" s="21">
        <v>45482</v>
      </c>
      <c r="O1451" s="21">
        <v>47308</v>
      </c>
      <c r="P1451">
        <f t="shared" ref="P1451:P1457" si="938">ROUND(YEARFRAC(N1451,O1451),0)</f>
        <v>5</v>
      </c>
      <c r="Q1451" s="6">
        <f t="shared" ref="Q1451:Q1457" si="939">(M1451*H1451)/F1451</f>
        <v>0.10249999999999999</v>
      </c>
      <c r="R1451" s="5">
        <f t="shared" ref="R1451:R1457" si="940">IF(S1451="Quarterly",4,IF(S1451="Semi-annual",2,IF(S1451="Annual",1,IF(S1451="Pays at maturity",0,12))))</f>
        <v>1</v>
      </c>
      <c r="S1451" t="s">
        <v>93</v>
      </c>
      <c r="U1451">
        <f t="shared" ref="U1451:U1457" si="941">R1451*P1451</f>
        <v>5</v>
      </c>
      <c r="V1451">
        <f t="shared" ref="V1451:V1457" si="942">(H1451*M1451)/AD1451</f>
        <v>102.5</v>
      </c>
      <c r="W1451" s="28">
        <f t="shared" ref="W1451:W1457" si="943">RATE(U1451,V1451,-F1451,H1451)</f>
        <v>0.10250000000000002</v>
      </c>
      <c r="X1451" s="27">
        <f t="shared" ref="X1451:X1457" si="944">W1451*AD1451</f>
        <v>0.10250000000000002</v>
      </c>
      <c r="Y1451" s="5">
        <f t="shared" ref="Y1451:Y1457" si="945">DURATION(N1451,O1451,M1451,D1451,AD1451)</f>
        <v>4.1527867119152466</v>
      </c>
      <c r="Z1451" s="5">
        <f t="shared" ref="Z1451:Z1457" si="946">Y1451/(1+C1451)</f>
        <v>3.7666999654560058</v>
      </c>
      <c r="AA1451" s="5">
        <f t="shared" ref="AA1451:AA1457" si="947">-Z1451*F1451</f>
        <v>-3766.6999654560059</v>
      </c>
      <c r="AB1451" t="s">
        <v>64</v>
      </c>
      <c r="AC1451" t="s">
        <v>62</v>
      </c>
      <c r="AD1451">
        <f t="shared" ref="AD1451:AD1457" si="948">_xlfn.SWITCH(PROPER(TRIM(S1451)),
   "Annual",1,
   "Semi-Annual",2,
   "Quarterly",4,
   "Monthly",12,
   "")</f>
        <v>1</v>
      </c>
    </row>
    <row r="1452" spans="1:30" x14ac:dyDescent="0.35">
      <c r="A1452" t="s">
        <v>641</v>
      </c>
      <c r="B1452" t="s">
        <v>640</v>
      </c>
      <c r="C1452" s="36">
        <f t="shared" si="936"/>
        <v>2.6800814768112979E-2</v>
      </c>
      <c r="D1452" s="3">
        <f t="shared" si="937"/>
        <v>5.3601629536225957E-2</v>
      </c>
      <c r="F1452">
        <v>1011.48224999999</v>
      </c>
      <c r="G1452" t="s">
        <v>66</v>
      </c>
      <c r="H1452">
        <v>1000</v>
      </c>
      <c r="I1452" s="22"/>
      <c r="J1452">
        <v>600000</v>
      </c>
      <c r="K1452" s="22"/>
      <c r="M1452" s="22">
        <v>5.6250000000000001E-2</v>
      </c>
      <c r="N1452" s="21">
        <v>45484</v>
      </c>
      <c r="O1452" s="21">
        <v>47310</v>
      </c>
      <c r="P1452">
        <f t="shared" si="938"/>
        <v>5</v>
      </c>
      <c r="Q1452" s="6">
        <f t="shared" si="939"/>
        <v>5.5611455366617213E-2</v>
      </c>
      <c r="R1452" s="5">
        <f t="shared" si="940"/>
        <v>2</v>
      </c>
      <c r="S1452" t="s">
        <v>65</v>
      </c>
      <c r="U1452">
        <f t="shared" si="941"/>
        <v>10</v>
      </c>
      <c r="V1452">
        <f t="shared" si="942"/>
        <v>28.125</v>
      </c>
      <c r="W1452" s="28">
        <f t="shared" si="943"/>
        <v>2.6800814768112979E-2</v>
      </c>
      <c r="X1452" s="27">
        <f t="shared" si="944"/>
        <v>5.3601629536225957E-2</v>
      </c>
      <c r="Y1452" s="5">
        <f t="shared" si="945"/>
        <v>4.4312323751931251</v>
      </c>
      <c r="Z1452" s="5">
        <f t="shared" si="946"/>
        <v>4.3155715416858627</v>
      </c>
      <c r="AA1452" s="5">
        <f t="shared" si="947"/>
        <v>-4365.1240130203423</v>
      </c>
      <c r="AB1452" t="s">
        <v>69</v>
      </c>
      <c r="AC1452" t="s">
        <v>62</v>
      </c>
      <c r="AD1452">
        <f t="shared" si="948"/>
        <v>2</v>
      </c>
    </row>
    <row r="1453" spans="1:30" x14ac:dyDescent="0.35">
      <c r="A1453" t="s">
        <v>639</v>
      </c>
      <c r="B1453" t="s">
        <v>638</v>
      </c>
      <c r="C1453" s="36">
        <f t="shared" si="936"/>
        <v>0.1369069421415964</v>
      </c>
      <c r="D1453" s="3">
        <f t="shared" si="937"/>
        <v>0.1369069421415964</v>
      </c>
      <c r="F1453">
        <v>100551</v>
      </c>
      <c r="G1453" t="s">
        <v>76</v>
      </c>
      <c r="H1453">
        <v>100000</v>
      </c>
      <c r="I1453" s="22"/>
      <c r="J1453">
        <v>4</v>
      </c>
      <c r="K1453" s="22"/>
      <c r="L1453">
        <v>13.636164732324801</v>
      </c>
      <c r="M1453" s="22">
        <v>0.13849999999999998</v>
      </c>
      <c r="N1453" s="21">
        <v>45334</v>
      </c>
      <c r="O1453" s="21">
        <v>47311</v>
      </c>
      <c r="P1453">
        <f t="shared" si="938"/>
        <v>5</v>
      </c>
      <c r="Q1453" s="6">
        <f t="shared" si="939"/>
        <v>0.1377410468319559</v>
      </c>
      <c r="R1453" s="5">
        <f t="shared" si="940"/>
        <v>1</v>
      </c>
      <c r="S1453" t="s">
        <v>93</v>
      </c>
      <c r="U1453">
        <f t="shared" si="941"/>
        <v>5</v>
      </c>
      <c r="V1453">
        <f t="shared" si="942"/>
        <v>13849.999999999998</v>
      </c>
      <c r="W1453" s="28">
        <f t="shared" si="943"/>
        <v>0.1369069421415964</v>
      </c>
      <c r="X1453" s="27">
        <f t="shared" si="944"/>
        <v>0.1369069421415964</v>
      </c>
      <c r="Y1453" s="5">
        <f t="shared" si="945"/>
        <v>3.8671704467148391</v>
      </c>
      <c r="Z1453" s="5">
        <f t="shared" si="946"/>
        <v>3.4014837128448119</v>
      </c>
      <c r="AA1453" s="5">
        <f t="shared" si="947"/>
        <v>-342022.58881025866</v>
      </c>
      <c r="AB1453" t="s">
        <v>64</v>
      </c>
      <c r="AC1453" t="s">
        <v>62</v>
      </c>
      <c r="AD1453">
        <f t="shared" si="948"/>
        <v>1</v>
      </c>
    </row>
    <row r="1454" spans="1:30" x14ac:dyDescent="0.35">
      <c r="A1454" t="s">
        <v>637</v>
      </c>
      <c r="B1454" t="s">
        <v>636</v>
      </c>
      <c r="C1454" s="36">
        <f t="shared" si="936"/>
        <v>2.7261462355400029E-2</v>
      </c>
      <c r="D1454" s="3">
        <f t="shared" si="937"/>
        <v>5.4522924710800058E-2</v>
      </c>
      <c r="F1454">
        <v>1003.06</v>
      </c>
      <c r="G1454" t="s">
        <v>66</v>
      </c>
      <c r="H1454">
        <v>1000</v>
      </c>
      <c r="I1454" s="22"/>
      <c r="J1454">
        <v>200000</v>
      </c>
      <c r="K1454" s="22"/>
      <c r="M1454" s="22">
        <v>5.5E-2</v>
      </c>
      <c r="N1454" s="21">
        <v>44391</v>
      </c>
      <c r="O1454" s="21">
        <v>47314</v>
      </c>
      <c r="P1454">
        <f t="shared" si="938"/>
        <v>8</v>
      </c>
      <c r="Q1454" s="6">
        <f t="shared" si="939"/>
        <v>5.4832213426913648E-2</v>
      </c>
      <c r="R1454" s="5">
        <f t="shared" si="940"/>
        <v>2</v>
      </c>
      <c r="S1454" t="s">
        <v>65</v>
      </c>
      <c r="U1454">
        <f t="shared" si="941"/>
        <v>16</v>
      </c>
      <c r="V1454">
        <f t="shared" si="942"/>
        <v>27.5</v>
      </c>
      <c r="W1454" s="28">
        <f t="shared" si="943"/>
        <v>2.7261462355400029E-2</v>
      </c>
      <c r="X1454" s="27">
        <f t="shared" si="944"/>
        <v>5.4522924710800058E-2</v>
      </c>
      <c r="Y1454" s="5">
        <f t="shared" si="945"/>
        <v>6.4081034458482122</v>
      </c>
      <c r="Z1454" s="5">
        <f t="shared" si="946"/>
        <v>6.2380452111530795</v>
      </c>
      <c r="AA1454" s="5">
        <f t="shared" si="947"/>
        <v>-6257.1336294992079</v>
      </c>
      <c r="AB1454" t="s">
        <v>69</v>
      </c>
      <c r="AC1454" t="s">
        <v>62</v>
      </c>
      <c r="AD1454">
        <f t="shared" si="948"/>
        <v>2</v>
      </c>
    </row>
    <row r="1455" spans="1:30" x14ac:dyDescent="0.35">
      <c r="A1455" t="s">
        <v>635</v>
      </c>
      <c r="B1455" t="s">
        <v>634</v>
      </c>
      <c r="C1455" s="36">
        <f t="shared" si="936"/>
        <v>0.12019911314719987</v>
      </c>
      <c r="D1455" s="3">
        <f t="shared" si="937"/>
        <v>0.12019911314719987</v>
      </c>
      <c r="F1455">
        <v>103000</v>
      </c>
      <c r="G1455" t="s">
        <v>76</v>
      </c>
      <c r="H1455">
        <v>100000</v>
      </c>
      <c r="I1455" s="22"/>
      <c r="J1455">
        <v>2</v>
      </c>
      <c r="K1455" s="22"/>
      <c r="L1455">
        <v>11.649486595549099</v>
      </c>
      <c r="M1455" s="22">
        <v>0.1275</v>
      </c>
      <c r="N1455" s="21">
        <v>45310</v>
      </c>
      <c r="O1455" s="21">
        <v>47318</v>
      </c>
      <c r="P1455">
        <f t="shared" si="938"/>
        <v>6</v>
      </c>
      <c r="Q1455" s="6">
        <f t="shared" si="939"/>
        <v>0.12378640776699029</v>
      </c>
      <c r="R1455" s="5">
        <f t="shared" si="940"/>
        <v>1</v>
      </c>
      <c r="S1455" t="s">
        <v>93</v>
      </c>
      <c r="U1455">
        <f t="shared" si="941"/>
        <v>6</v>
      </c>
      <c r="V1455">
        <f t="shared" si="942"/>
        <v>12750</v>
      </c>
      <c r="W1455" s="28">
        <f t="shared" si="943"/>
        <v>0.12019911314719987</v>
      </c>
      <c r="X1455" s="27">
        <f t="shared" si="944"/>
        <v>0.12019911314719987</v>
      </c>
      <c r="Y1455" s="5">
        <f t="shared" si="945"/>
        <v>4.0613058520952698</v>
      </c>
      <c r="Z1455" s="5">
        <f t="shared" si="946"/>
        <v>3.6255213956428065</v>
      </c>
      <c r="AA1455" s="5">
        <f t="shared" si="947"/>
        <v>-373428.70375120908</v>
      </c>
      <c r="AB1455" t="s">
        <v>64</v>
      </c>
      <c r="AC1455" t="s">
        <v>62</v>
      </c>
      <c r="AD1455">
        <f t="shared" si="948"/>
        <v>1</v>
      </c>
    </row>
    <row r="1456" spans="1:30" x14ac:dyDescent="0.35">
      <c r="A1456" t="s">
        <v>633</v>
      </c>
      <c r="B1456" t="s">
        <v>128</v>
      </c>
      <c r="C1456" s="36">
        <f t="shared" si="936"/>
        <v>7.9969459366613357E-2</v>
      </c>
      <c r="D1456" s="3">
        <f t="shared" si="937"/>
        <v>7.9969459366613357E-2</v>
      </c>
      <c r="F1456">
        <v>107000</v>
      </c>
      <c r="G1456" t="s">
        <v>76</v>
      </c>
      <c r="H1456">
        <v>100000</v>
      </c>
      <c r="I1456" s="22"/>
      <c r="J1456">
        <v>1</v>
      </c>
      <c r="K1456" s="22"/>
      <c r="L1456">
        <v>7.4866556815940601</v>
      </c>
      <c r="M1456" s="22">
        <v>9.7500000000000003E-2</v>
      </c>
      <c r="N1456" s="21">
        <v>45496</v>
      </c>
      <c r="O1456" s="21">
        <v>47322</v>
      </c>
      <c r="P1456">
        <f t="shared" si="938"/>
        <v>5</v>
      </c>
      <c r="Q1456" s="6">
        <f t="shared" si="939"/>
        <v>9.11214953271028E-2</v>
      </c>
      <c r="R1456" s="5">
        <f t="shared" si="940"/>
        <v>1</v>
      </c>
      <c r="S1456" t="s">
        <v>93</v>
      </c>
      <c r="U1456">
        <f t="shared" si="941"/>
        <v>5</v>
      </c>
      <c r="V1456">
        <f t="shared" si="942"/>
        <v>9750</v>
      </c>
      <c r="W1456" s="28">
        <f t="shared" si="943"/>
        <v>7.9969459366613357E-2</v>
      </c>
      <c r="X1456" s="27">
        <f t="shared" si="944"/>
        <v>7.9969459366613357E-2</v>
      </c>
      <c r="Y1456" s="5">
        <f t="shared" si="945"/>
        <v>4.2164569636262712</v>
      </c>
      <c r="Z1456" s="5">
        <f t="shared" si="946"/>
        <v>3.9042372236147891</v>
      </c>
      <c r="AA1456" s="5">
        <f t="shared" si="947"/>
        <v>-417753.38292678242</v>
      </c>
      <c r="AB1456" t="s">
        <v>64</v>
      </c>
      <c r="AC1456" t="s">
        <v>62</v>
      </c>
      <c r="AD1456">
        <f t="shared" si="948"/>
        <v>1</v>
      </c>
    </row>
    <row r="1457" spans="1:30" x14ac:dyDescent="0.35">
      <c r="A1457" t="s">
        <v>632</v>
      </c>
      <c r="B1457" t="s">
        <v>631</v>
      </c>
      <c r="C1457" s="36">
        <f t="shared" si="936"/>
        <v>8.1041658729834543E-2</v>
      </c>
      <c r="D1457" s="3">
        <f t="shared" si="937"/>
        <v>8.1041658729834543E-2</v>
      </c>
      <c r="F1457">
        <v>101775.21</v>
      </c>
      <c r="G1457" t="s">
        <v>76</v>
      </c>
      <c r="H1457">
        <v>100000</v>
      </c>
      <c r="I1457" s="22"/>
      <c r="J1457">
        <v>20</v>
      </c>
      <c r="K1457" s="22"/>
      <c r="L1457">
        <v>8.0440005011695508</v>
      </c>
      <c r="M1457" s="22">
        <v>8.5500000000000007E-2</v>
      </c>
      <c r="N1457" s="21">
        <v>45499</v>
      </c>
      <c r="O1457" s="21">
        <v>47325</v>
      </c>
      <c r="P1457">
        <f t="shared" si="938"/>
        <v>5</v>
      </c>
      <c r="Q1457" s="6">
        <f t="shared" si="939"/>
        <v>8.400866969471249E-2</v>
      </c>
      <c r="R1457" s="5">
        <f t="shared" si="940"/>
        <v>1</v>
      </c>
      <c r="S1457" t="s">
        <v>93</v>
      </c>
      <c r="U1457">
        <f t="shared" si="941"/>
        <v>5</v>
      </c>
      <c r="V1457">
        <f t="shared" si="942"/>
        <v>8550</v>
      </c>
      <c r="W1457" s="28">
        <f t="shared" si="943"/>
        <v>8.1041658729834543E-2</v>
      </c>
      <c r="X1457" s="27">
        <f t="shared" si="944"/>
        <v>8.1041658729834543E-2</v>
      </c>
      <c r="Y1457" s="5">
        <f t="shared" si="945"/>
        <v>4.2789974819295562</v>
      </c>
      <c r="Z1457" s="5">
        <f t="shared" si="946"/>
        <v>3.9582170098395157</v>
      </c>
      <c r="AA1457" s="5">
        <f t="shared" si="947"/>
        <v>-402848.36740198883</v>
      </c>
      <c r="AB1457" t="s">
        <v>64</v>
      </c>
      <c r="AC1457" t="s">
        <v>62</v>
      </c>
      <c r="AD1457">
        <f t="shared" si="948"/>
        <v>1</v>
      </c>
    </row>
    <row r="1458" spans="1:30" x14ac:dyDescent="0.35">
      <c r="C1458" s="28"/>
      <c r="D1458" s="27"/>
      <c r="I1458" s="22"/>
      <c r="K1458" s="22"/>
      <c r="M1458" s="22"/>
      <c r="N1458" s="21"/>
      <c r="O1458" s="21"/>
      <c r="P1458" s="5"/>
      <c r="Q1458" s="6"/>
      <c r="R1458" s="5"/>
      <c r="W1458" s="28"/>
      <c r="Y1458" s="33"/>
      <c r="Z1458" s="33"/>
      <c r="AA1458" s="33"/>
    </row>
    <row r="1459" spans="1:30" x14ac:dyDescent="0.35">
      <c r="A1459" t="s">
        <v>629</v>
      </c>
      <c r="B1459" t="s">
        <v>122</v>
      </c>
      <c r="C1459" s="36">
        <f t="shared" ref="C1459:C1467" si="949">RATE(U1459,V1459,-F1459,H1459)</f>
        <v>0.10366862815324505</v>
      </c>
      <c r="D1459" s="3">
        <f t="shared" ref="D1459:D1467" si="950">C1459*AD1459</f>
        <v>0.10366862815324505</v>
      </c>
      <c r="F1459">
        <v>1005</v>
      </c>
      <c r="G1459" t="s">
        <v>76</v>
      </c>
      <c r="H1459">
        <v>1000</v>
      </c>
      <c r="I1459" s="22"/>
      <c r="J1459">
        <v>50</v>
      </c>
      <c r="K1459" s="22"/>
      <c r="L1459">
        <v>10.3414426695562</v>
      </c>
      <c r="M1459" s="22">
        <v>0.105</v>
      </c>
      <c r="N1459" s="21">
        <v>45499</v>
      </c>
      <c r="O1459" s="21">
        <v>47325</v>
      </c>
      <c r="P1459">
        <f t="shared" ref="P1459:P1467" si="951">ROUND(YEARFRAC(N1459,O1459),0)</f>
        <v>5</v>
      </c>
      <c r="Q1459" s="6">
        <f t="shared" ref="Q1459:Q1467" si="952">(M1459*H1459)/F1459</f>
        <v>0.1044776119402985</v>
      </c>
      <c r="R1459" s="5">
        <f t="shared" ref="R1459:R1467" si="953">IF(S1459="Quarterly",4,IF(S1459="Semi-annual",2,IF(S1459="Annual",1,IF(S1459="Pays at maturity",0,12))))</f>
        <v>1</v>
      </c>
      <c r="S1459" t="s">
        <v>93</v>
      </c>
      <c r="U1459">
        <f t="shared" ref="U1459:U1467" si="954">R1459*P1459</f>
        <v>5</v>
      </c>
      <c r="V1459">
        <f t="shared" ref="V1459:V1467" si="955">(H1459*M1459)/AD1459</f>
        <v>105</v>
      </c>
      <c r="W1459" s="28">
        <f t="shared" ref="W1459:W1467" si="956">RATE(U1459,V1459,-F1459,H1459)</f>
        <v>0.10366862815324505</v>
      </c>
      <c r="X1459" s="27">
        <f t="shared" ref="X1459:X1467" si="957">W1459*AD1459</f>
        <v>0.10366862815324505</v>
      </c>
      <c r="Y1459" s="5">
        <f t="shared" ref="Y1459:Y1467" si="958">DURATION(N1459,O1459,M1459,D1459,AD1459)</f>
        <v>4.1381817422707492</v>
      </c>
      <c r="Z1459" s="5">
        <f t="shared" ref="Z1459:Z1467" si="959">Y1459/(1+C1459)</f>
        <v>3.7494784545929489</v>
      </c>
      <c r="AA1459" s="5">
        <f t="shared" ref="AA1459:AA1467" si="960">-Z1459*F1459</f>
        <v>-3768.2258468659138</v>
      </c>
      <c r="AB1459" t="s">
        <v>64</v>
      </c>
      <c r="AC1459" t="s">
        <v>62</v>
      </c>
      <c r="AD1459">
        <f t="shared" ref="AD1459:AD1467" si="961">_xlfn.SWITCH(PROPER(TRIM(S1459)),
   "Annual",1,
   "Semi-Annual",2,
   "Quarterly",4,
   "Monthly",12,
   "")</f>
        <v>1</v>
      </c>
    </row>
    <row r="1460" spans="1:30" x14ac:dyDescent="0.35">
      <c r="A1460" t="s">
        <v>628</v>
      </c>
      <c r="B1460" t="s">
        <v>122</v>
      </c>
      <c r="C1460" s="36">
        <f t="shared" si="949"/>
        <v>9.4347829589914348E-2</v>
      </c>
      <c r="D1460" s="3">
        <f t="shared" si="950"/>
        <v>9.4347829589914348E-2</v>
      </c>
      <c r="F1460">
        <v>1040.97</v>
      </c>
      <c r="G1460" t="s">
        <v>76</v>
      </c>
      <c r="H1460">
        <v>1000</v>
      </c>
      <c r="I1460" s="22"/>
      <c r="J1460">
        <v>39</v>
      </c>
      <c r="K1460" s="22"/>
      <c r="L1460">
        <v>9.1193725717294996</v>
      </c>
      <c r="M1460" s="22">
        <v>0.105</v>
      </c>
      <c r="N1460" s="21">
        <v>45499</v>
      </c>
      <c r="O1460" s="21">
        <v>47325</v>
      </c>
      <c r="P1460">
        <f t="shared" si="951"/>
        <v>5</v>
      </c>
      <c r="Q1460" s="6">
        <f t="shared" si="952"/>
        <v>0.10086746015735323</v>
      </c>
      <c r="R1460" s="5">
        <f t="shared" si="953"/>
        <v>1</v>
      </c>
      <c r="S1460" t="s">
        <v>93</v>
      </c>
      <c r="U1460">
        <f t="shared" si="954"/>
        <v>5</v>
      </c>
      <c r="V1460">
        <f t="shared" si="955"/>
        <v>105</v>
      </c>
      <c r="W1460" s="28">
        <f t="shared" si="956"/>
        <v>9.4347829589914348E-2</v>
      </c>
      <c r="X1460" s="27">
        <f t="shared" si="957"/>
        <v>9.4347829589914348E-2</v>
      </c>
      <c r="Y1460" s="5">
        <f t="shared" si="958"/>
        <v>4.1543849552361154</v>
      </c>
      <c r="Z1460" s="5">
        <f t="shared" si="959"/>
        <v>3.796219851592241</v>
      </c>
      <c r="AA1460" s="5">
        <f t="shared" si="960"/>
        <v>-3951.7509789119754</v>
      </c>
      <c r="AB1460" t="s">
        <v>64</v>
      </c>
      <c r="AC1460" t="s">
        <v>62</v>
      </c>
      <c r="AD1460">
        <f t="shared" si="961"/>
        <v>1</v>
      </c>
    </row>
    <row r="1461" spans="1:30" x14ac:dyDescent="0.35">
      <c r="A1461" t="s">
        <v>627</v>
      </c>
      <c r="B1461" t="s">
        <v>122</v>
      </c>
      <c r="C1461" s="36">
        <f t="shared" si="949"/>
        <v>0.10848622240063914</v>
      </c>
      <c r="D1461" s="3">
        <f t="shared" si="950"/>
        <v>0.10848622240063914</v>
      </c>
      <c r="F1461">
        <v>970</v>
      </c>
      <c r="G1461" t="s">
        <v>76</v>
      </c>
      <c r="H1461">
        <v>1000</v>
      </c>
      <c r="I1461" s="22"/>
      <c r="J1461">
        <v>1</v>
      </c>
      <c r="K1461" s="22"/>
      <c r="L1461">
        <v>11.1215987831671</v>
      </c>
      <c r="M1461" s="22">
        <v>0.10039999999999999</v>
      </c>
      <c r="N1461" s="21">
        <v>45499</v>
      </c>
      <c r="O1461" s="21">
        <v>47325</v>
      </c>
      <c r="P1461">
        <f t="shared" si="951"/>
        <v>5</v>
      </c>
      <c r="Q1461" s="6">
        <f t="shared" si="952"/>
        <v>0.10350515463917524</v>
      </c>
      <c r="R1461" s="5">
        <f t="shared" si="953"/>
        <v>1</v>
      </c>
      <c r="S1461" t="s">
        <v>93</v>
      </c>
      <c r="U1461">
        <f t="shared" si="954"/>
        <v>5</v>
      </c>
      <c r="V1461">
        <f t="shared" si="955"/>
        <v>100.39999999999999</v>
      </c>
      <c r="W1461" s="28">
        <f t="shared" si="956"/>
        <v>0.10848622240063914</v>
      </c>
      <c r="X1461" s="27">
        <f t="shared" si="957"/>
        <v>0.10848622240063914</v>
      </c>
      <c r="Y1461" s="5">
        <f t="shared" si="958"/>
        <v>4.1532485832987271</v>
      </c>
      <c r="Z1461" s="5">
        <f t="shared" si="959"/>
        <v>3.7467751058773398</v>
      </c>
      <c r="AA1461" s="5">
        <f t="shared" si="960"/>
        <v>-3634.3718527010196</v>
      </c>
      <c r="AB1461" t="s">
        <v>64</v>
      </c>
      <c r="AC1461" t="s">
        <v>62</v>
      </c>
      <c r="AD1461">
        <f t="shared" si="961"/>
        <v>1</v>
      </c>
    </row>
    <row r="1462" spans="1:30" x14ac:dyDescent="0.35">
      <c r="A1462" t="s">
        <v>626</v>
      </c>
      <c r="B1462" t="s">
        <v>316</v>
      </c>
      <c r="C1462" s="36">
        <f t="shared" si="949"/>
        <v>0.10250000000000002</v>
      </c>
      <c r="D1462" s="3">
        <f t="shared" si="950"/>
        <v>0.10250000000000002</v>
      </c>
      <c r="F1462">
        <v>1000</v>
      </c>
      <c r="G1462" t="s">
        <v>76</v>
      </c>
      <c r="H1462">
        <v>1000</v>
      </c>
      <c r="I1462" s="22"/>
      <c r="J1462">
        <v>100</v>
      </c>
      <c r="K1462" s="22"/>
      <c r="L1462">
        <v>10.25</v>
      </c>
      <c r="M1462" s="22">
        <v>0.10249999999999999</v>
      </c>
      <c r="N1462" s="21">
        <v>45511</v>
      </c>
      <c r="O1462" s="21">
        <v>47336</v>
      </c>
      <c r="P1462">
        <f t="shared" si="951"/>
        <v>5</v>
      </c>
      <c r="Q1462" s="6">
        <f t="shared" si="952"/>
        <v>0.10249999999999999</v>
      </c>
      <c r="R1462" s="5">
        <f t="shared" si="953"/>
        <v>1</v>
      </c>
      <c r="S1462" t="s">
        <v>93</v>
      </c>
      <c r="U1462">
        <f t="shared" si="954"/>
        <v>5</v>
      </c>
      <c r="V1462">
        <f t="shared" si="955"/>
        <v>102.5</v>
      </c>
      <c r="W1462" s="28">
        <f t="shared" si="956"/>
        <v>0.10250000000000002</v>
      </c>
      <c r="X1462" s="27">
        <f t="shared" si="957"/>
        <v>0.10250000000000002</v>
      </c>
      <c r="Y1462" s="5">
        <f t="shared" si="958"/>
        <v>4.1500089341374684</v>
      </c>
      <c r="Z1462" s="5">
        <f t="shared" si="959"/>
        <v>3.7641804391269553</v>
      </c>
      <c r="AA1462" s="5">
        <f t="shared" si="960"/>
        <v>-3764.1804391269552</v>
      </c>
      <c r="AB1462" t="s">
        <v>64</v>
      </c>
      <c r="AC1462" t="s">
        <v>62</v>
      </c>
      <c r="AD1462">
        <f t="shared" si="961"/>
        <v>1</v>
      </c>
    </row>
    <row r="1463" spans="1:30" x14ac:dyDescent="0.35">
      <c r="A1463" t="s">
        <v>625</v>
      </c>
      <c r="B1463" t="s">
        <v>478</v>
      </c>
      <c r="C1463" s="36">
        <f t="shared" si="949"/>
        <v>9.9400000000023025E-2</v>
      </c>
      <c r="D1463" s="3">
        <f t="shared" si="950"/>
        <v>9.9400000000023025E-2</v>
      </c>
      <c r="F1463">
        <v>1000</v>
      </c>
      <c r="G1463" t="s">
        <v>76</v>
      </c>
      <c r="H1463">
        <v>1000</v>
      </c>
      <c r="I1463" s="22"/>
      <c r="J1463">
        <v>20</v>
      </c>
      <c r="K1463" s="22"/>
      <c r="L1463">
        <v>9.94</v>
      </c>
      <c r="M1463" s="22">
        <v>9.9399999999999988E-2</v>
      </c>
      <c r="N1463" s="21">
        <v>45511</v>
      </c>
      <c r="O1463" s="21">
        <v>47337</v>
      </c>
      <c r="P1463">
        <f t="shared" si="951"/>
        <v>5</v>
      </c>
      <c r="Q1463" s="6">
        <f t="shared" si="952"/>
        <v>9.9399999999999988E-2</v>
      </c>
      <c r="R1463" s="5">
        <f t="shared" si="953"/>
        <v>1</v>
      </c>
      <c r="S1463" t="s">
        <v>93</v>
      </c>
      <c r="U1463">
        <f t="shared" si="954"/>
        <v>5</v>
      </c>
      <c r="V1463">
        <f t="shared" si="955"/>
        <v>99.399999999999991</v>
      </c>
      <c r="W1463" s="28">
        <f t="shared" si="956"/>
        <v>9.9400000000023025E-2</v>
      </c>
      <c r="X1463" s="27">
        <f t="shared" si="957"/>
        <v>9.9400000000023025E-2</v>
      </c>
      <c r="Y1463" s="5">
        <f t="shared" si="958"/>
        <v>4.1739869128216736</v>
      </c>
      <c r="Z1463" s="5">
        <f t="shared" si="959"/>
        <v>3.7966044322553993</v>
      </c>
      <c r="AA1463" s="5">
        <f t="shared" si="960"/>
        <v>-3796.6044322553994</v>
      </c>
      <c r="AB1463" t="s">
        <v>64</v>
      </c>
      <c r="AC1463" t="s">
        <v>62</v>
      </c>
      <c r="AD1463">
        <f t="shared" si="961"/>
        <v>1</v>
      </c>
    </row>
    <row r="1464" spans="1:30" x14ac:dyDescent="0.35">
      <c r="A1464" t="s">
        <v>624</v>
      </c>
      <c r="B1464" t="s">
        <v>478</v>
      </c>
      <c r="C1464" s="36">
        <f t="shared" si="949"/>
        <v>0.10400533004300111</v>
      </c>
      <c r="D1464" s="3">
        <f t="shared" si="950"/>
        <v>0.10400533004300111</v>
      </c>
      <c r="F1464">
        <v>999.98</v>
      </c>
      <c r="G1464" t="s">
        <v>76</v>
      </c>
      <c r="H1464">
        <v>1000</v>
      </c>
      <c r="I1464" s="22"/>
      <c r="J1464">
        <v>171</v>
      </c>
      <c r="K1464" s="22"/>
      <c r="L1464">
        <v>10.4007022591365</v>
      </c>
      <c r="M1464" s="22">
        <v>0.10400000000000001</v>
      </c>
      <c r="N1464" s="21">
        <v>45511</v>
      </c>
      <c r="O1464" s="21">
        <v>47337</v>
      </c>
      <c r="P1464">
        <f t="shared" si="951"/>
        <v>5</v>
      </c>
      <c r="Q1464" s="6">
        <f t="shared" si="952"/>
        <v>0.10400208004160084</v>
      </c>
      <c r="R1464" s="5">
        <f t="shared" si="953"/>
        <v>1</v>
      </c>
      <c r="S1464" t="s">
        <v>93</v>
      </c>
      <c r="U1464">
        <f t="shared" si="954"/>
        <v>5</v>
      </c>
      <c r="V1464">
        <f t="shared" si="955"/>
        <v>104.00000000000001</v>
      </c>
      <c r="W1464" s="28">
        <f t="shared" si="956"/>
        <v>0.10400533004300111</v>
      </c>
      <c r="X1464" s="27">
        <f t="shared" si="957"/>
        <v>0.10400533004300111</v>
      </c>
      <c r="Y1464" s="5">
        <f t="shared" si="958"/>
        <v>4.1426024902694509</v>
      </c>
      <c r="Z1464" s="5">
        <f t="shared" si="959"/>
        <v>3.7523392120834203</v>
      </c>
      <c r="AA1464" s="5">
        <f t="shared" si="960"/>
        <v>-3752.2641652991788</v>
      </c>
      <c r="AB1464" t="s">
        <v>64</v>
      </c>
      <c r="AC1464" t="s">
        <v>62</v>
      </c>
      <c r="AD1464">
        <f t="shared" si="961"/>
        <v>1</v>
      </c>
    </row>
    <row r="1465" spans="1:30" x14ac:dyDescent="0.35">
      <c r="A1465" t="s">
        <v>623</v>
      </c>
      <c r="B1465" t="s">
        <v>326</v>
      </c>
      <c r="C1465" s="36">
        <f t="shared" si="949"/>
        <v>0.11163008409156604</v>
      </c>
      <c r="D1465" s="3">
        <f t="shared" si="950"/>
        <v>0.11163008409156604</v>
      </c>
      <c r="F1465">
        <v>994</v>
      </c>
      <c r="G1465" t="s">
        <v>76</v>
      </c>
      <c r="H1465">
        <v>1000</v>
      </c>
      <c r="I1465" s="22"/>
      <c r="J1465">
        <v>10</v>
      </c>
      <c r="K1465" s="22"/>
      <c r="L1465">
        <v>11.2094645796859</v>
      </c>
      <c r="M1465" s="22">
        <v>0.11</v>
      </c>
      <c r="N1465" s="21">
        <v>45512</v>
      </c>
      <c r="O1465" s="21">
        <v>47337</v>
      </c>
      <c r="P1465">
        <f t="shared" si="951"/>
        <v>5</v>
      </c>
      <c r="Q1465" s="6">
        <f t="shared" si="952"/>
        <v>0.11066398390342053</v>
      </c>
      <c r="R1465" s="5">
        <f t="shared" si="953"/>
        <v>1</v>
      </c>
      <c r="S1465" t="s">
        <v>93</v>
      </c>
      <c r="U1465">
        <f t="shared" si="954"/>
        <v>5</v>
      </c>
      <c r="V1465">
        <f t="shared" si="955"/>
        <v>110</v>
      </c>
      <c r="W1465" s="28">
        <f t="shared" si="956"/>
        <v>0.11163008409156604</v>
      </c>
      <c r="X1465" s="27">
        <f t="shared" si="957"/>
        <v>0.11163008409156604</v>
      </c>
      <c r="Y1465" s="5">
        <f t="shared" si="958"/>
        <v>4.0967620596942611</v>
      </c>
      <c r="Z1465" s="5">
        <f t="shared" si="959"/>
        <v>3.6853645095815946</v>
      </c>
      <c r="AA1465" s="5">
        <f t="shared" si="960"/>
        <v>-3663.2523225241048</v>
      </c>
      <c r="AB1465" t="s">
        <v>64</v>
      </c>
      <c r="AC1465" t="s">
        <v>62</v>
      </c>
      <c r="AD1465">
        <f t="shared" si="961"/>
        <v>1</v>
      </c>
    </row>
    <row r="1466" spans="1:30" x14ac:dyDescent="0.35">
      <c r="A1466" t="s">
        <v>622</v>
      </c>
      <c r="B1466" t="s">
        <v>326</v>
      </c>
      <c r="C1466" s="36">
        <f t="shared" si="949"/>
        <v>0.10750000000000247</v>
      </c>
      <c r="D1466" s="3">
        <f t="shared" si="950"/>
        <v>0.10750000000000247</v>
      </c>
      <c r="F1466">
        <v>1000</v>
      </c>
      <c r="G1466" t="s">
        <v>76</v>
      </c>
      <c r="H1466">
        <v>1000</v>
      </c>
      <c r="I1466" s="22"/>
      <c r="J1466">
        <v>60</v>
      </c>
      <c r="K1466" s="22"/>
      <c r="L1466">
        <v>10.75</v>
      </c>
      <c r="M1466" s="22">
        <v>0.1075</v>
      </c>
      <c r="N1466" s="21">
        <v>45512</v>
      </c>
      <c r="O1466" s="21">
        <v>47337</v>
      </c>
      <c r="P1466">
        <f t="shared" si="951"/>
        <v>5</v>
      </c>
      <c r="Q1466" s="6">
        <f t="shared" si="952"/>
        <v>0.1075</v>
      </c>
      <c r="R1466" s="5">
        <f t="shared" si="953"/>
        <v>1</v>
      </c>
      <c r="S1466" t="s">
        <v>93</v>
      </c>
      <c r="U1466">
        <f t="shared" si="954"/>
        <v>5</v>
      </c>
      <c r="V1466">
        <f t="shared" si="955"/>
        <v>107.5</v>
      </c>
      <c r="W1466" s="28">
        <f t="shared" si="956"/>
        <v>0.10750000000000247</v>
      </c>
      <c r="X1466" s="27">
        <f t="shared" si="957"/>
        <v>0.10750000000000247</v>
      </c>
      <c r="Y1466" s="5">
        <f t="shared" si="958"/>
        <v>4.1163007934640889</v>
      </c>
      <c r="Z1466" s="5">
        <f t="shared" si="959"/>
        <v>3.7167501521120361</v>
      </c>
      <c r="AA1466" s="5">
        <f t="shared" si="960"/>
        <v>-3716.7501521120362</v>
      </c>
      <c r="AB1466" t="s">
        <v>64</v>
      </c>
      <c r="AC1466" t="s">
        <v>62</v>
      </c>
      <c r="AD1466">
        <f t="shared" si="961"/>
        <v>1</v>
      </c>
    </row>
    <row r="1467" spans="1:30" x14ac:dyDescent="0.35">
      <c r="A1467" t="s">
        <v>621</v>
      </c>
      <c r="B1467" t="s">
        <v>353</v>
      </c>
      <c r="C1467" s="36">
        <f t="shared" si="949"/>
        <v>0.1227933193623343</v>
      </c>
      <c r="D1467" s="3">
        <f t="shared" si="950"/>
        <v>0.1227933193623343</v>
      </c>
      <c r="F1467">
        <v>990</v>
      </c>
      <c r="G1467" t="s">
        <v>76</v>
      </c>
      <c r="H1467">
        <v>1000</v>
      </c>
      <c r="I1467" s="22"/>
      <c r="J1467">
        <v>287</v>
      </c>
      <c r="K1467" s="22"/>
      <c r="L1467">
        <v>12.368819151895</v>
      </c>
      <c r="M1467" s="22">
        <v>0.12</v>
      </c>
      <c r="N1467" s="21">
        <v>45518</v>
      </c>
      <c r="O1467" s="21">
        <v>47343</v>
      </c>
      <c r="P1467">
        <f t="shared" si="951"/>
        <v>5</v>
      </c>
      <c r="Q1467" s="6">
        <f t="shared" si="952"/>
        <v>0.12121212121212122</v>
      </c>
      <c r="R1467" s="5">
        <f t="shared" si="953"/>
        <v>1</v>
      </c>
      <c r="S1467" t="s">
        <v>93</v>
      </c>
      <c r="U1467">
        <f t="shared" si="954"/>
        <v>5</v>
      </c>
      <c r="V1467">
        <f t="shared" si="955"/>
        <v>120</v>
      </c>
      <c r="W1467" s="28">
        <f t="shared" si="956"/>
        <v>0.1227933193623343</v>
      </c>
      <c r="X1467" s="27">
        <f t="shared" si="957"/>
        <v>0.1227933193623343</v>
      </c>
      <c r="Y1467" s="5">
        <f t="shared" si="958"/>
        <v>4.0294137654219906</v>
      </c>
      <c r="Z1467" s="5">
        <f t="shared" si="959"/>
        <v>3.5887404172572093</v>
      </c>
      <c r="AA1467" s="5">
        <f t="shared" si="960"/>
        <v>-3552.853013084637</v>
      </c>
      <c r="AB1467" t="s">
        <v>64</v>
      </c>
      <c r="AC1467" t="s">
        <v>62</v>
      </c>
      <c r="AD1467">
        <f t="shared" si="961"/>
        <v>1</v>
      </c>
    </row>
    <row r="1468" spans="1:30" x14ac:dyDescent="0.35">
      <c r="C1468" s="28"/>
      <c r="D1468" s="27"/>
      <c r="I1468" s="22"/>
      <c r="K1468" s="22"/>
      <c r="M1468" s="22"/>
      <c r="N1468" s="21"/>
      <c r="O1468" s="21"/>
      <c r="P1468" s="5"/>
      <c r="Q1468" s="6"/>
      <c r="R1468" s="5"/>
      <c r="W1468" s="28"/>
      <c r="Y1468" s="33"/>
      <c r="Z1468" s="33"/>
      <c r="AA1468" s="33"/>
    </row>
    <row r="1469" spans="1:30" x14ac:dyDescent="0.35">
      <c r="C1469" s="28"/>
      <c r="D1469" s="27"/>
      <c r="I1469" s="22"/>
      <c r="K1469" s="22"/>
      <c r="M1469" s="22"/>
      <c r="N1469" s="21"/>
      <c r="O1469" s="21"/>
      <c r="P1469" s="5"/>
      <c r="Q1469" s="6"/>
      <c r="R1469" s="5"/>
      <c r="W1469" s="28"/>
      <c r="Y1469" s="33"/>
      <c r="Z1469" s="33"/>
      <c r="AA1469" s="33"/>
    </row>
    <row r="1470" spans="1:30" x14ac:dyDescent="0.35">
      <c r="C1470" s="28"/>
      <c r="D1470" s="27"/>
      <c r="I1470" s="22"/>
      <c r="K1470" s="22"/>
      <c r="M1470" s="22"/>
      <c r="N1470" s="21"/>
      <c r="O1470" s="21"/>
      <c r="P1470" s="5"/>
      <c r="Q1470" s="6"/>
      <c r="R1470" s="5"/>
      <c r="W1470" s="28"/>
      <c r="Y1470" s="33"/>
      <c r="Z1470" s="33"/>
      <c r="AA1470" s="33"/>
    </row>
    <row r="1471" spans="1:30" x14ac:dyDescent="0.35">
      <c r="A1471" t="s">
        <v>617</v>
      </c>
      <c r="B1471" t="s">
        <v>616</v>
      </c>
      <c r="C1471" s="36">
        <f t="shared" ref="C1471:C1476" si="962">RATE(U1471,V1471,-F1471,H1471)</f>
        <v>7.4543301903428491E-2</v>
      </c>
      <c r="D1471" s="3">
        <f t="shared" ref="D1471:D1476" si="963">C1471*AD1471</f>
        <v>7.4543301903428491E-2</v>
      </c>
      <c r="F1471">
        <v>1096</v>
      </c>
      <c r="G1471" t="s">
        <v>76</v>
      </c>
      <c r="H1471">
        <v>1000</v>
      </c>
      <c r="I1471" s="22"/>
      <c r="J1471">
        <v>60</v>
      </c>
      <c r="K1471" s="22"/>
      <c r="L1471">
        <v>5.99744240975512</v>
      </c>
      <c r="M1471" s="22">
        <v>8.8499999999999995E-2</v>
      </c>
      <c r="N1471" s="21">
        <v>43703</v>
      </c>
      <c r="O1471" s="21">
        <v>47356</v>
      </c>
      <c r="P1471">
        <f t="shared" ref="P1471:P1476" si="964">ROUND(YEARFRAC(N1471,O1471),0)</f>
        <v>10</v>
      </c>
      <c r="Q1471" s="6">
        <f t="shared" ref="Q1471:Q1476" si="965">(M1471*H1471)/F1471</f>
        <v>8.0748175182481757E-2</v>
      </c>
      <c r="R1471" s="5">
        <f t="shared" ref="R1471:R1476" si="966">IF(S1471="Quarterly",4,IF(S1471="Semi-annual",2,IF(S1471="Annual",1,IF(S1471="Pays at maturity",0,12))))</f>
        <v>1</v>
      </c>
      <c r="S1471" t="s">
        <v>93</v>
      </c>
      <c r="U1471">
        <f t="shared" ref="U1471:U1476" si="967">R1471*P1471</f>
        <v>10</v>
      </c>
      <c r="V1471">
        <f t="shared" ref="V1471:V1476" si="968">(H1471*M1471)/AD1471</f>
        <v>88.5</v>
      </c>
      <c r="W1471" s="28">
        <f t="shared" ref="W1471:W1476" si="969">RATE(U1471,V1471,-F1471,H1471)</f>
        <v>7.4543301903428491E-2</v>
      </c>
      <c r="X1471" s="27">
        <f t="shared" ref="X1471:X1476" si="970">W1471*AD1471</f>
        <v>7.4543301903428491E-2</v>
      </c>
      <c r="Y1471" s="5">
        <f t="shared" ref="Y1471:Y1476" si="971">DURATION(N1471,O1471,M1471,D1471,AD1471)</f>
        <v>7.17400158704144</v>
      </c>
      <c r="Z1471" s="5">
        <f t="shared" ref="Z1471:Z1476" si="972">Y1471/(1+C1471)</f>
        <v>6.676326188375592</v>
      </c>
      <c r="AA1471" s="5">
        <f t="shared" ref="AA1471:AA1476" si="973">-Z1471*F1471</f>
        <v>-7317.2535024596491</v>
      </c>
      <c r="AB1471" t="s">
        <v>64</v>
      </c>
      <c r="AC1471" t="s">
        <v>62</v>
      </c>
      <c r="AD1471">
        <f t="shared" ref="AD1471:AD1476" si="974">_xlfn.SWITCH(PROPER(TRIM(S1471)),
   "Annual",1,
   "Semi-Annual",2,
   "Quarterly",4,
   "Monthly",12,
   "")</f>
        <v>1</v>
      </c>
    </row>
    <row r="1472" spans="1:30" x14ac:dyDescent="0.35">
      <c r="A1472" t="s">
        <v>615</v>
      </c>
      <c r="B1472" t="s">
        <v>236</v>
      </c>
      <c r="C1472" s="36">
        <f t="shared" si="962"/>
        <v>2.4780721747324038E-2</v>
      </c>
      <c r="D1472" s="3">
        <f t="shared" si="963"/>
        <v>9.9122886989296152E-2</v>
      </c>
      <c r="F1472">
        <v>1096859.3999999999</v>
      </c>
      <c r="G1472" t="s">
        <v>76</v>
      </c>
      <c r="H1472">
        <v>1000000</v>
      </c>
      <c r="I1472" s="22"/>
      <c r="J1472">
        <v>1</v>
      </c>
      <c r="K1472" s="22"/>
      <c r="M1472" s="22">
        <v>0.11449999999999999</v>
      </c>
      <c r="N1472" s="21">
        <v>43705</v>
      </c>
      <c r="O1472" s="21">
        <v>47357</v>
      </c>
      <c r="P1472">
        <f t="shared" si="964"/>
        <v>10</v>
      </c>
      <c r="Q1472" s="6">
        <f t="shared" si="965"/>
        <v>0.10438894903029504</v>
      </c>
      <c r="R1472" s="5">
        <f t="shared" si="966"/>
        <v>4</v>
      </c>
      <c r="S1472" t="s">
        <v>105</v>
      </c>
      <c r="U1472">
        <f t="shared" si="967"/>
        <v>40</v>
      </c>
      <c r="V1472">
        <f t="shared" si="968"/>
        <v>28624.999999999996</v>
      </c>
      <c r="W1472" s="28">
        <f t="shared" si="969"/>
        <v>2.4780721747324038E-2</v>
      </c>
      <c r="X1472" s="27">
        <f t="shared" si="970"/>
        <v>9.9122886989296152E-2</v>
      </c>
      <c r="Y1472" s="5">
        <f t="shared" si="971"/>
        <v>6.2639145403893934</v>
      </c>
      <c r="Z1472" s="5">
        <f t="shared" si="972"/>
        <v>6.1124437720773805</v>
      </c>
      <c r="AA1472" s="5">
        <f t="shared" si="973"/>
        <v>-6704491.4083745321</v>
      </c>
      <c r="AB1472" t="s">
        <v>64</v>
      </c>
      <c r="AC1472" t="s">
        <v>62</v>
      </c>
      <c r="AD1472">
        <f t="shared" si="974"/>
        <v>4</v>
      </c>
    </row>
    <row r="1473" spans="1:30" x14ac:dyDescent="0.35">
      <c r="A1473" t="s">
        <v>614</v>
      </c>
      <c r="B1473" t="s">
        <v>276</v>
      </c>
      <c r="C1473" s="36">
        <f t="shared" si="962"/>
        <v>9.0206096701294022E-2</v>
      </c>
      <c r="D1473" s="3">
        <f t="shared" si="963"/>
        <v>9.0206096701294022E-2</v>
      </c>
      <c r="F1473">
        <v>93000</v>
      </c>
      <c r="G1473" t="s">
        <v>76</v>
      </c>
      <c r="H1473">
        <v>100000</v>
      </c>
      <c r="I1473" s="22"/>
      <c r="J1473">
        <v>1</v>
      </c>
      <c r="K1473" s="22"/>
      <c r="L1473">
        <v>9.2812926988653199</v>
      </c>
      <c r="M1473" s="22">
        <v>7.22E-2</v>
      </c>
      <c r="N1473" s="21">
        <v>45532</v>
      </c>
      <c r="O1473" s="21">
        <v>47358</v>
      </c>
      <c r="P1473">
        <f t="shared" si="964"/>
        <v>5</v>
      </c>
      <c r="Q1473" s="6">
        <f t="shared" si="965"/>
        <v>7.763440860215054E-2</v>
      </c>
      <c r="R1473" s="5">
        <f t="shared" si="966"/>
        <v>1</v>
      </c>
      <c r="S1473" t="s">
        <v>93</v>
      </c>
      <c r="U1473">
        <f t="shared" si="967"/>
        <v>5</v>
      </c>
      <c r="V1473">
        <f t="shared" si="968"/>
        <v>7220</v>
      </c>
      <c r="W1473" s="28">
        <f t="shared" si="969"/>
        <v>9.0206096701294022E-2</v>
      </c>
      <c r="X1473" s="27">
        <f t="shared" si="970"/>
        <v>9.0206096701294022E-2</v>
      </c>
      <c r="Y1473" s="5">
        <f t="shared" si="971"/>
        <v>4.3444164421540421</v>
      </c>
      <c r="Z1473" s="5">
        <f t="shared" si="972"/>
        <v>3.9849496854761859</v>
      </c>
      <c r="AA1473" s="5">
        <f t="shared" si="973"/>
        <v>-370600.32074928528</v>
      </c>
      <c r="AB1473" t="s">
        <v>64</v>
      </c>
      <c r="AC1473" t="s">
        <v>62</v>
      </c>
      <c r="AD1473">
        <f t="shared" si="974"/>
        <v>1</v>
      </c>
    </row>
    <row r="1474" spans="1:30" x14ac:dyDescent="0.35">
      <c r="A1474" t="s">
        <v>613</v>
      </c>
      <c r="B1474" t="s">
        <v>612</v>
      </c>
      <c r="C1474" s="36">
        <f t="shared" si="962"/>
        <v>0.12054444320250915</v>
      </c>
      <c r="D1474" s="3">
        <f t="shared" si="963"/>
        <v>0.12054444320250915</v>
      </c>
      <c r="F1474">
        <v>100020</v>
      </c>
      <c r="G1474" t="s">
        <v>76</v>
      </c>
      <c r="H1474">
        <v>100000</v>
      </c>
      <c r="I1474" s="22"/>
      <c r="J1474">
        <v>1</v>
      </c>
      <c r="K1474" s="22"/>
      <c r="L1474">
        <v>12.0528583849011</v>
      </c>
      <c r="M1474" s="22">
        <v>0.1206</v>
      </c>
      <c r="N1474" s="21">
        <v>45534</v>
      </c>
      <c r="O1474" s="21">
        <v>47360</v>
      </c>
      <c r="P1474">
        <f t="shared" si="964"/>
        <v>5</v>
      </c>
      <c r="Q1474" s="6">
        <f t="shared" si="965"/>
        <v>0.1205758848230354</v>
      </c>
      <c r="R1474" s="5">
        <f t="shared" si="966"/>
        <v>1</v>
      </c>
      <c r="S1474" t="s">
        <v>93</v>
      </c>
      <c r="U1474">
        <f t="shared" si="967"/>
        <v>5</v>
      </c>
      <c r="V1474">
        <f t="shared" si="968"/>
        <v>12060</v>
      </c>
      <c r="W1474" s="28">
        <f t="shared" si="969"/>
        <v>0.12054444320250915</v>
      </c>
      <c r="X1474" s="27">
        <f t="shared" si="970"/>
        <v>0.12054444320250915</v>
      </c>
      <c r="Y1474" s="5">
        <f t="shared" si="971"/>
        <v>4.033617823189859</v>
      </c>
      <c r="Z1474" s="5">
        <f t="shared" si="972"/>
        <v>3.5996946374226835</v>
      </c>
      <c r="AA1474" s="5">
        <f t="shared" si="973"/>
        <v>-360041.45763501682</v>
      </c>
      <c r="AB1474" t="s">
        <v>64</v>
      </c>
      <c r="AC1474" t="s">
        <v>62</v>
      </c>
      <c r="AD1474">
        <f t="shared" si="974"/>
        <v>1</v>
      </c>
    </row>
    <row r="1475" spans="1:30" x14ac:dyDescent="0.35">
      <c r="A1475" t="s">
        <v>611</v>
      </c>
      <c r="B1475" t="s">
        <v>610</v>
      </c>
      <c r="C1475" s="36">
        <f t="shared" si="962"/>
        <v>5.1718198828621643E-2</v>
      </c>
      <c r="D1475" s="3">
        <f t="shared" si="963"/>
        <v>0.10343639765724329</v>
      </c>
      <c r="F1475">
        <v>1083.67</v>
      </c>
      <c r="G1475" t="s">
        <v>66</v>
      </c>
      <c r="H1475">
        <v>1000</v>
      </c>
      <c r="I1475" s="22"/>
      <c r="J1475">
        <v>440000</v>
      </c>
      <c r="K1475" s="22"/>
      <c r="M1475" s="22">
        <v>0.1225</v>
      </c>
      <c r="N1475" s="21">
        <v>45155</v>
      </c>
      <c r="O1475" s="21">
        <v>47362</v>
      </c>
      <c r="P1475">
        <f t="shared" si="964"/>
        <v>6</v>
      </c>
      <c r="Q1475" s="6">
        <f t="shared" si="965"/>
        <v>0.11304179316581615</v>
      </c>
      <c r="R1475" s="5">
        <f t="shared" si="966"/>
        <v>2</v>
      </c>
      <c r="S1475" t="s">
        <v>65</v>
      </c>
      <c r="U1475">
        <f t="shared" si="967"/>
        <v>12</v>
      </c>
      <c r="V1475">
        <f t="shared" si="968"/>
        <v>61.25</v>
      </c>
      <c r="W1475" s="28">
        <f t="shared" si="969"/>
        <v>5.1718198828621643E-2</v>
      </c>
      <c r="X1475" s="27">
        <f t="shared" si="970"/>
        <v>0.10343639765724329</v>
      </c>
      <c r="Y1475" s="5">
        <f t="shared" si="971"/>
        <v>4.2862815743402152</v>
      </c>
      <c r="Z1475" s="5">
        <f t="shared" si="972"/>
        <v>4.0755038556090142</v>
      </c>
      <c r="AA1475" s="5">
        <f t="shared" si="973"/>
        <v>-4416.5012632078206</v>
      </c>
      <c r="AB1475" t="s">
        <v>69</v>
      </c>
      <c r="AC1475" t="s">
        <v>62</v>
      </c>
      <c r="AD1475">
        <f t="shared" si="974"/>
        <v>2</v>
      </c>
    </row>
    <row r="1476" spans="1:30" x14ac:dyDescent="0.35">
      <c r="A1476" t="s">
        <v>609</v>
      </c>
      <c r="B1476" t="s">
        <v>535</v>
      </c>
      <c r="C1476" s="36">
        <f t="shared" si="962"/>
        <v>0.10951735967964579</v>
      </c>
      <c r="D1476" s="3">
        <f t="shared" si="963"/>
        <v>0.10951735967964579</v>
      </c>
      <c r="F1476">
        <v>105500</v>
      </c>
      <c r="G1476" t="s">
        <v>76</v>
      </c>
      <c r="H1476">
        <v>100000</v>
      </c>
      <c r="I1476" s="22"/>
      <c r="J1476">
        <v>1</v>
      </c>
      <c r="K1476" s="22"/>
      <c r="L1476">
        <v>10.359503616862</v>
      </c>
      <c r="M1476" s="22">
        <v>0.1225</v>
      </c>
      <c r="N1476" s="21">
        <v>45267</v>
      </c>
      <c r="O1476" s="21">
        <v>47368</v>
      </c>
      <c r="P1476">
        <f t="shared" si="964"/>
        <v>6</v>
      </c>
      <c r="Q1476" s="6">
        <f t="shared" si="965"/>
        <v>0.11611374407582939</v>
      </c>
      <c r="R1476" s="5">
        <f t="shared" si="966"/>
        <v>1</v>
      </c>
      <c r="S1476" t="s">
        <v>93</v>
      </c>
      <c r="U1476">
        <f t="shared" si="967"/>
        <v>6</v>
      </c>
      <c r="V1476">
        <f t="shared" si="968"/>
        <v>12250</v>
      </c>
      <c r="W1476" s="28">
        <f t="shared" si="969"/>
        <v>0.10951735967964579</v>
      </c>
      <c r="X1476" s="27">
        <f t="shared" si="970"/>
        <v>0.10951735967964579</v>
      </c>
      <c r="Y1476" s="5">
        <f t="shared" si="971"/>
        <v>4.372111198159363</v>
      </c>
      <c r="Z1476" s="5">
        <f t="shared" si="972"/>
        <v>3.940552313144281</v>
      </c>
      <c r="AA1476" s="5">
        <f t="shared" si="973"/>
        <v>-415728.26903672167</v>
      </c>
      <c r="AB1476" t="s">
        <v>64</v>
      </c>
      <c r="AC1476" t="s">
        <v>62</v>
      </c>
      <c r="AD1476">
        <f t="shared" si="974"/>
        <v>1</v>
      </c>
    </row>
    <row r="1477" spans="1:30" x14ac:dyDescent="0.35">
      <c r="C1477" s="28"/>
      <c r="D1477" s="27"/>
      <c r="I1477" s="22"/>
      <c r="K1477" s="22"/>
      <c r="M1477" s="22"/>
      <c r="N1477" s="21"/>
      <c r="O1477" s="21"/>
      <c r="P1477" s="5"/>
      <c r="Q1477" s="6"/>
      <c r="R1477" s="5"/>
      <c r="W1477" s="28"/>
      <c r="Y1477" s="33"/>
      <c r="Z1477" s="33"/>
      <c r="AA1477" s="33"/>
    </row>
    <row r="1478" spans="1:30" x14ac:dyDescent="0.35">
      <c r="A1478" t="s">
        <v>607</v>
      </c>
      <c r="B1478" t="s">
        <v>604</v>
      </c>
      <c r="C1478" s="36">
        <f>RATE(U1478,V1478,-F1478,H1478)</f>
        <v>2.4400266531363016E-2</v>
      </c>
      <c r="D1478" s="3">
        <f>C1478*AD1478</f>
        <v>4.8800533062726033E-2</v>
      </c>
      <c r="F1478">
        <v>1000.7</v>
      </c>
      <c r="G1478" t="s">
        <v>66</v>
      </c>
      <c r="H1478">
        <v>1000</v>
      </c>
      <c r="I1478" s="22"/>
      <c r="J1478">
        <v>0</v>
      </c>
      <c r="K1478" s="22"/>
      <c r="M1478" s="22">
        <v>4.8959999999999997E-2</v>
      </c>
      <c r="N1478" s="21">
        <v>45546</v>
      </c>
      <c r="O1478" s="21">
        <v>47372</v>
      </c>
      <c r="P1478">
        <f>ROUND(YEARFRAC(N1478,O1478),0)</f>
        <v>5</v>
      </c>
      <c r="Q1478" s="6">
        <f>(M1478*H1478)/F1478</f>
        <v>4.892575197361846E-2</v>
      </c>
      <c r="R1478" s="5">
        <f>IF(S1478="Quarterly",4,IF(S1478="Semi-annual",2,IF(S1478="Annual",1,IF(S1478="Pays at maturity",0,12))))</f>
        <v>2</v>
      </c>
      <c r="S1478" t="s">
        <v>65</v>
      </c>
      <c r="U1478">
        <f>R1478*P1478</f>
        <v>10</v>
      </c>
      <c r="V1478">
        <f>(H1478*M1478)/AD1478</f>
        <v>24.479999999999997</v>
      </c>
      <c r="W1478" s="28">
        <f>RATE(U1478,V1478,-F1478,H1478)</f>
        <v>2.4400266531363016E-2</v>
      </c>
      <c r="X1478" s="27">
        <f>W1478*AD1478</f>
        <v>4.8800533062726033E-2</v>
      </c>
      <c r="Y1478" s="5">
        <f>DURATION(N1478,O1478,M1478,D1478,AD1478)</f>
        <v>4.4954411900027056</v>
      </c>
      <c r="Z1478" s="5">
        <f>Y1478/(1+C1478)</f>
        <v>4.3883639402246031</v>
      </c>
      <c r="AA1478" s="5">
        <f>-Z1478*F1478</f>
        <v>-4391.4357949827609</v>
      </c>
      <c r="AB1478" t="s">
        <v>64</v>
      </c>
      <c r="AC1478" t="s">
        <v>62</v>
      </c>
      <c r="AD1478">
        <f>_xlfn.SWITCH(PROPER(TRIM(S1478)),
   "Annual",1,
   "Semi-Annual",2,
   "Quarterly",4,
   "Monthly",12,
   "")</f>
        <v>2</v>
      </c>
    </row>
    <row r="1479" spans="1:30" x14ac:dyDescent="0.35">
      <c r="A1479" t="s">
        <v>606</v>
      </c>
      <c r="B1479" t="s">
        <v>338</v>
      </c>
      <c r="C1479" s="36">
        <f>RATE(U1479,V1479,-F1479,H1479)</f>
        <v>0.11227606681264474</v>
      </c>
      <c r="D1479" s="3">
        <f>C1479*AD1479</f>
        <v>0.11227606681264474</v>
      </c>
      <c r="F1479">
        <v>1010.01</v>
      </c>
      <c r="G1479" t="s">
        <v>76</v>
      </c>
      <c r="H1479">
        <v>1000</v>
      </c>
      <c r="I1479" s="22"/>
      <c r="J1479">
        <v>10</v>
      </c>
      <c r="K1479" s="22"/>
      <c r="L1479">
        <v>11.1475657997655</v>
      </c>
      <c r="M1479" s="22">
        <v>0.115</v>
      </c>
      <c r="N1479" s="21">
        <v>45546</v>
      </c>
      <c r="O1479" s="21">
        <v>47372</v>
      </c>
      <c r="P1479">
        <f>ROUND(YEARFRAC(N1479,O1479),0)</f>
        <v>5</v>
      </c>
      <c r="Q1479" s="6">
        <f>(M1479*H1479)/F1479</f>
        <v>0.11386025880931872</v>
      </c>
      <c r="R1479" s="5">
        <f>IF(S1479="Quarterly",4,IF(S1479="Semi-annual",2,IF(S1479="Annual",1,IF(S1479="Pays at maturity",0,12))))</f>
        <v>1</v>
      </c>
      <c r="S1479" t="s">
        <v>93</v>
      </c>
      <c r="U1479">
        <f>R1479*P1479</f>
        <v>5</v>
      </c>
      <c r="V1479">
        <f>(H1479*M1479)/AD1479</f>
        <v>115</v>
      </c>
      <c r="W1479" s="28">
        <f>RATE(U1479,V1479,-F1479,H1479)</f>
        <v>0.11227606681264474</v>
      </c>
      <c r="X1479" s="27">
        <f>W1479*AD1479</f>
        <v>0.11227606681264474</v>
      </c>
      <c r="Y1479" s="5">
        <f>DURATION(N1479,O1479,M1479,D1479,AD1479)</f>
        <v>4.0745527844370537</v>
      </c>
      <c r="Z1479" s="5">
        <f>Y1479/(1+C1479)</f>
        <v>3.6632567273636969</v>
      </c>
      <c r="AA1479" s="5">
        <f>-Z1479*F1479</f>
        <v>-3699.9259272046074</v>
      </c>
      <c r="AB1479" t="s">
        <v>64</v>
      </c>
      <c r="AC1479" t="s">
        <v>62</v>
      </c>
      <c r="AD1479">
        <f>_xlfn.SWITCH(PROPER(TRIM(S1479)),
   "Annual",1,
   "Semi-Annual",2,
   "Quarterly",4,
   "Monthly",12,
   "")</f>
        <v>1</v>
      </c>
    </row>
    <row r="1480" spans="1:30" x14ac:dyDescent="0.35">
      <c r="A1480" t="s">
        <v>605</v>
      </c>
      <c r="B1480" t="s">
        <v>604</v>
      </c>
      <c r="C1480" s="36">
        <f>RATE(U1480,V1480,-F1480,H1480)</f>
        <v>2.4816744253085776E-2</v>
      </c>
      <c r="D1480" s="3">
        <f>C1480*AD1480</f>
        <v>4.9633488506171553E-2</v>
      </c>
      <c r="F1480">
        <v>997.05</v>
      </c>
      <c r="G1480" t="s">
        <v>66</v>
      </c>
      <c r="H1480">
        <v>1000</v>
      </c>
      <c r="I1480" s="22"/>
      <c r="J1480">
        <v>600000</v>
      </c>
      <c r="K1480" s="22"/>
      <c r="M1480" s="22">
        <v>4.8959999999999997E-2</v>
      </c>
      <c r="N1480" s="21">
        <v>45546</v>
      </c>
      <c r="O1480" s="21">
        <v>47372</v>
      </c>
      <c r="P1480">
        <f>ROUND(YEARFRAC(N1480,O1480),0)</f>
        <v>5</v>
      </c>
      <c r="Q1480" s="6">
        <f>(M1480*H1480)/F1480</f>
        <v>4.9104859335038359E-2</v>
      </c>
      <c r="R1480" s="5">
        <f>IF(S1480="Quarterly",4,IF(S1480="Semi-annual",2,IF(S1480="Annual",1,IF(S1480="Pays at maturity",0,12))))</f>
        <v>2</v>
      </c>
      <c r="S1480" t="s">
        <v>65</v>
      </c>
      <c r="U1480">
        <f>R1480*P1480</f>
        <v>10</v>
      </c>
      <c r="V1480">
        <f>(H1480*M1480)/AD1480</f>
        <v>24.479999999999997</v>
      </c>
      <c r="W1480" s="28">
        <f>RATE(U1480,V1480,-F1480,H1480)</f>
        <v>2.4816744253085776E-2</v>
      </c>
      <c r="X1480" s="27">
        <f>W1480*AD1480</f>
        <v>4.9633488506171553E-2</v>
      </c>
      <c r="Y1480" s="5">
        <f>DURATION(N1480,O1480,M1480,D1480,AD1480)</f>
        <v>4.4943242453499561</v>
      </c>
      <c r="Z1480" s="5">
        <f>Y1480/(1+C1480)</f>
        <v>4.3854906455744356</v>
      </c>
      <c r="AA1480" s="5">
        <f>-Z1480*F1480</f>
        <v>-4372.5534481699906</v>
      </c>
      <c r="AB1480" t="s">
        <v>64</v>
      </c>
      <c r="AC1480" t="s">
        <v>62</v>
      </c>
      <c r="AD1480">
        <f>_xlfn.SWITCH(PROPER(TRIM(S1480)),
   "Annual",1,
   "Semi-Annual",2,
   "Quarterly",4,
   "Monthly",12,
   "")</f>
        <v>2</v>
      </c>
    </row>
    <row r="1481" spans="1:30" x14ac:dyDescent="0.35">
      <c r="A1481" t="s">
        <v>603</v>
      </c>
      <c r="B1481" t="s">
        <v>600</v>
      </c>
      <c r="C1481" s="36">
        <f>RATE(U1481,V1481,-F1481,H1481)</f>
        <v>2.0817973439841046E-2</v>
      </c>
      <c r="D1481" s="3">
        <f>C1481*AD1481</f>
        <v>8.3271893759364182E-2</v>
      </c>
      <c r="F1481">
        <v>1050</v>
      </c>
      <c r="G1481" t="s">
        <v>76</v>
      </c>
      <c r="H1481">
        <v>1000</v>
      </c>
      <c r="I1481" s="22"/>
      <c r="J1481">
        <v>10</v>
      </c>
      <c r="K1481" s="22"/>
      <c r="M1481" s="22">
        <v>9.5600000000000004E-2</v>
      </c>
      <c r="N1481" s="21">
        <v>45547</v>
      </c>
      <c r="O1481" s="21">
        <v>47373</v>
      </c>
      <c r="P1481">
        <f>ROUND(YEARFRAC(N1481,O1481),0)</f>
        <v>5</v>
      </c>
      <c r="Q1481" s="6">
        <f>(M1481*H1481)/F1481</f>
        <v>9.1047619047619058E-2</v>
      </c>
      <c r="R1481" s="5">
        <f>IF(S1481="Quarterly",4,IF(S1481="Semi-annual",2,IF(S1481="Annual",1,IF(S1481="Pays at maturity",0,12))))</f>
        <v>4</v>
      </c>
      <c r="S1481" t="s">
        <v>105</v>
      </c>
      <c r="U1481">
        <f>R1481*P1481</f>
        <v>20</v>
      </c>
      <c r="V1481">
        <f>(H1481*M1481)/AD1481</f>
        <v>23.900000000000002</v>
      </c>
      <c r="W1481" s="28">
        <f>RATE(U1481,V1481,-F1481,H1481)</f>
        <v>2.0817973439841046E-2</v>
      </c>
      <c r="X1481" s="27">
        <f>W1481*AD1481</f>
        <v>8.3271893759364182E-2</v>
      </c>
      <c r="Y1481" s="5">
        <f>DURATION(N1481,O1481,M1481,D1481,AD1481)</f>
        <v>4.0599204772777</v>
      </c>
      <c r="Z1481" s="5">
        <f>Y1481/(1+C1481)</f>
        <v>3.977124798848342</v>
      </c>
      <c r="AA1481" s="5">
        <f>-Z1481*F1481</f>
        <v>-4175.9810387907592</v>
      </c>
      <c r="AB1481" t="s">
        <v>64</v>
      </c>
      <c r="AC1481" t="s">
        <v>62</v>
      </c>
      <c r="AD1481">
        <f>_xlfn.SWITCH(PROPER(TRIM(S1481)),
   "Annual",1,
   "Semi-Annual",2,
   "Quarterly",4,
   "Monthly",12,
   "")</f>
        <v>4</v>
      </c>
    </row>
    <row r="1482" spans="1:30" x14ac:dyDescent="0.35">
      <c r="A1482" t="s">
        <v>602</v>
      </c>
      <c r="B1482" t="s">
        <v>600</v>
      </c>
      <c r="C1482" s="36">
        <f>RATE(U1482,V1482,-F1482,H1482)</f>
        <v>5.8308294129323666E-2</v>
      </c>
      <c r="D1482" s="3">
        <f>C1482*AD1482</f>
        <v>5.8308294129323666E-2</v>
      </c>
      <c r="F1482">
        <v>1172.2</v>
      </c>
      <c r="G1482" t="s">
        <v>76</v>
      </c>
      <c r="H1482">
        <v>1000</v>
      </c>
      <c r="I1482" s="22"/>
      <c r="J1482">
        <v>5</v>
      </c>
      <c r="K1482" s="22"/>
      <c r="L1482">
        <v>4.9157242634079603</v>
      </c>
      <c r="M1482" s="22">
        <v>9.9000000000000005E-2</v>
      </c>
      <c r="N1482" s="21">
        <v>45547</v>
      </c>
      <c r="O1482" s="21">
        <v>47373</v>
      </c>
      <c r="P1482">
        <f>ROUND(YEARFRAC(N1482,O1482),0)</f>
        <v>5</v>
      </c>
      <c r="Q1482" s="6">
        <f>(M1482*H1482)/F1482</f>
        <v>8.445657737587442E-2</v>
      </c>
      <c r="R1482" s="5">
        <f>IF(S1482="Quarterly",4,IF(S1482="Semi-annual",2,IF(S1482="Annual",1,IF(S1482="Pays at maturity",0,12))))</f>
        <v>1</v>
      </c>
      <c r="S1482" t="s">
        <v>93</v>
      </c>
      <c r="U1482">
        <f>R1482*P1482</f>
        <v>5</v>
      </c>
      <c r="V1482">
        <f>(H1482*M1482)/AD1482</f>
        <v>99</v>
      </c>
      <c r="W1482" s="28">
        <f>RATE(U1482,V1482,-F1482,H1482)</f>
        <v>5.8308294129323666E-2</v>
      </c>
      <c r="X1482" s="27">
        <f>W1482*AD1482</f>
        <v>5.8308294129323666E-2</v>
      </c>
      <c r="Y1482" s="5">
        <f>DURATION(N1482,O1482,M1482,D1482,AD1482)</f>
        <v>4.2447366026887936</v>
      </c>
      <c r="Z1482" s="5">
        <f>Y1482/(1+C1482)</f>
        <v>4.0108696362253902</v>
      </c>
      <c r="AA1482" s="5">
        <f>-Z1482*F1482</f>
        <v>-4701.5413875834029</v>
      </c>
      <c r="AB1482" t="s">
        <v>64</v>
      </c>
      <c r="AC1482" t="s">
        <v>62</v>
      </c>
      <c r="AD1482">
        <f>_xlfn.SWITCH(PROPER(TRIM(S1482)),
   "Annual",1,
   "Semi-Annual",2,
   "Quarterly",4,
   "Monthly",12,
   "")</f>
        <v>1</v>
      </c>
    </row>
    <row r="1483" spans="1:30" x14ac:dyDescent="0.35">
      <c r="C1483" s="28"/>
      <c r="D1483" s="27"/>
      <c r="I1483" s="22"/>
      <c r="K1483" s="22"/>
      <c r="M1483" s="22"/>
      <c r="N1483" s="21"/>
      <c r="O1483" s="21"/>
      <c r="P1483" s="5"/>
      <c r="Q1483" s="6"/>
      <c r="R1483" s="5"/>
      <c r="W1483" s="28"/>
      <c r="Y1483" s="33"/>
      <c r="Z1483" s="33"/>
      <c r="AA1483" s="33"/>
    </row>
    <row r="1484" spans="1:30" x14ac:dyDescent="0.35">
      <c r="A1484" t="s">
        <v>599</v>
      </c>
      <c r="B1484" t="s">
        <v>598</v>
      </c>
      <c r="C1484" s="36">
        <f>RATE(U1484,V1484,-F1484,H1484)</f>
        <v>0.10498757920664629</v>
      </c>
      <c r="D1484" s="3">
        <f>C1484*AD1484</f>
        <v>0.10498757920664629</v>
      </c>
      <c r="F1484">
        <v>108590</v>
      </c>
      <c r="G1484" t="s">
        <v>76</v>
      </c>
      <c r="H1484">
        <v>100000</v>
      </c>
      <c r="I1484" s="22"/>
      <c r="J1484">
        <v>1</v>
      </c>
      <c r="K1484" s="22"/>
      <c r="L1484">
        <v>9.6555793104933905</v>
      </c>
      <c r="M1484" s="22">
        <v>0.125</v>
      </c>
      <c r="N1484" s="21">
        <v>45366</v>
      </c>
      <c r="O1484" s="21">
        <v>47376</v>
      </c>
      <c r="P1484">
        <f>ROUND(YEARFRAC(N1484,O1484),0)</f>
        <v>6</v>
      </c>
      <c r="Q1484" s="6">
        <f>(M1484*H1484)/F1484</f>
        <v>0.11511188875587071</v>
      </c>
      <c r="R1484" s="5">
        <f>IF(S1484="Quarterly",4,IF(S1484="Semi-annual",2,IF(S1484="Annual",1,IF(S1484="Pays at maturity",0,12))))</f>
        <v>1</v>
      </c>
      <c r="S1484" t="s">
        <v>93</v>
      </c>
      <c r="U1484">
        <f>R1484*P1484</f>
        <v>6</v>
      </c>
      <c r="V1484">
        <f>(H1484*M1484)/AD1484</f>
        <v>12500</v>
      </c>
      <c r="W1484" s="28">
        <f>RATE(U1484,V1484,-F1484,H1484)</f>
        <v>0.10498757920664629</v>
      </c>
      <c r="X1484" s="27">
        <f>W1484*AD1484</f>
        <v>0.10498757920664629</v>
      </c>
      <c r="Y1484" s="5">
        <f>DURATION(N1484,O1484,M1484,D1484,AD1484)</f>
        <v>4.1217569816386685</v>
      </c>
      <c r="Z1484" s="5">
        <f>Y1484/(1+C1484)</f>
        <v>3.7301387447250653</v>
      </c>
      <c r="AA1484" s="5">
        <f>-Z1484*F1484</f>
        <v>-405055.76628969488</v>
      </c>
      <c r="AB1484" t="s">
        <v>64</v>
      </c>
      <c r="AC1484" t="s">
        <v>62</v>
      </c>
      <c r="AD1484">
        <f>_xlfn.SWITCH(PROPER(TRIM(S1484)),
   "Annual",1,
   "Semi-Annual",2,
   "Quarterly",4,
   "Monthly",12,
   "")</f>
        <v>1</v>
      </c>
    </row>
    <row r="1485" spans="1:30" x14ac:dyDescent="0.35">
      <c r="C1485" s="28"/>
      <c r="D1485" s="27"/>
      <c r="I1485" s="22"/>
      <c r="K1485" s="22"/>
      <c r="M1485" s="22"/>
      <c r="N1485" s="21"/>
      <c r="O1485" s="21"/>
      <c r="P1485" s="5"/>
      <c r="Q1485" s="6"/>
      <c r="R1485" s="5"/>
      <c r="W1485" s="28"/>
      <c r="Y1485" s="33"/>
      <c r="Z1485" s="33"/>
      <c r="AA1485" s="33"/>
    </row>
    <row r="1486" spans="1:30" x14ac:dyDescent="0.35">
      <c r="A1486" t="s">
        <v>596</v>
      </c>
      <c r="B1486" t="s">
        <v>241</v>
      </c>
      <c r="C1486" s="36">
        <f t="shared" ref="C1486:C1492" si="975">RATE(U1486,V1486,-F1486,H1486)</f>
        <v>9.4500000000000195E-2</v>
      </c>
      <c r="D1486" s="3">
        <f t="shared" ref="D1486:D1492" si="976">C1486*AD1486</f>
        <v>9.4500000000000195E-2</v>
      </c>
      <c r="F1486">
        <v>1000</v>
      </c>
      <c r="G1486" t="s">
        <v>76</v>
      </c>
      <c r="H1486">
        <v>1000</v>
      </c>
      <c r="I1486" s="22"/>
      <c r="J1486">
        <v>50</v>
      </c>
      <c r="K1486" s="22"/>
      <c r="L1486">
        <v>9.4499999999999993</v>
      </c>
      <c r="M1486" s="22">
        <v>9.4499999999999987E-2</v>
      </c>
      <c r="N1486" s="21">
        <v>45551</v>
      </c>
      <c r="O1486" s="21">
        <v>47377</v>
      </c>
      <c r="P1486">
        <f t="shared" ref="P1486:P1492" si="977">ROUND(YEARFRAC(N1486,O1486),0)</f>
        <v>5</v>
      </c>
      <c r="Q1486" s="6">
        <f t="shared" ref="Q1486:Q1492" si="978">(M1486*H1486)/F1486</f>
        <v>9.4499999999999987E-2</v>
      </c>
      <c r="R1486" s="5">
        <f t="shared" ref="R1486:R1492" si="979">IF(S1486="Quarterly",4,IF(S1486="Semi-annual",2,IF(S1486="Annual",1,IF(S1486="Pays at maturity",0,12))))</f>
        <v>1</v>
      </c>
      <c r="S1486" t="s">
        <v>93</v>
      </c>
      <c r="U1486">
        <f t="shared" ref="U1486:U1492" si="980">R1486*P1486</f>
        <v>5</v>
      </c>
      <c r="V1486">
        <f t="shared" ref="V1486:V1492" si="981">(H1486*M1486)/AD1486</f>
        <v>94.499999999999986</v>
      </c>
      <c r="W1486" s="28">
        <f t="shared" ref="W1486:W1492" si="982">RATE(U1486,V1486,-F1486,H1486)</f>
        <v>9.4500000000000195E-2</v>
      </c>
      <c r="X1486" s="27">
        <f t="shared" ref="X1486:X1492" si="983">W1486*AD1486</f>
        <v>9.4500000000000195E-2</v>
      </c>
      <c r="Y1486" s="5">
        <f t="shared" ref="Y1486:Y1492" si="984">DURATION(N1486,O1486,M1486,D1486,AD1486)</f>
        <v>4.207976715013741</v>
      </c>
      <c r="Z1486" s="5">
        <f t="shared" ref="Z1486:Z1492" si="985">Y1486/(1+C1486)</f>
        <v>3.8446566605881589</v>
      </c>
      <c r="AA1486" s="5">
        <f t="shared" ref="AA1486:AA1492" si="986">-Z1486*F1486</f>
        <v>-3844.656660588159</v>
      </c>
      <c r="AB1486" t="s">
        <v>64</v>
      </c>
      <c r="AC1486" t="s">
        <v>62</v>
      </c>
      <c r="AD1486">
        <f t="shared" ref="AD1486:AD1492" si="987">_xlfn.SWITCH(PROPER(TRIM(S1486)),
   "Annual",1,
   "Semi-Annual",2,
   "Quarterly",4,
   "Monthly",12,
   "")</f>
        <v>1</v>
      </c>
    </row>
    <row r="1487" spans="1:30" x14ac:dyDescent="0.35">
      <c r="A1487" t="s">
        <v>595</v>
      </c>
      <c r="B1487" t="s">
        <v>241</v>
      </c>
      <c r="C1487" s="36">
        <f t="shared" si="975"/>
        <v>8.6886599994848671E-2</v>
      </c>
      <c r="D1487" s="3">
        <f t="shared" si="976"/>
        <v>8.6886599994848671E-2</v>
      </c>
      <c r="F1487">
        <v>1047.5</v>
      </c>
      <c r="G1487" t="s">
        <v>76</v>
      </c>
      <c r="H1487">
        <v>1000</v>
      </c>
      <c r="I1487" s="22"/>
      <c r="J1487">
        <v>40</v>
      </c>
      <c r="K1487" s="22"/>
      <c r="L1487">
        <v>8.3607371840224296</v>
      </c>
      <c r="M1487" s="22">
        <v>9.9000000000000005E-2</v>
      </c>
      <c r="N1487" s="21">
        <v>45551</v>
      </c>
      <c r="O1487" s="21">
        <v>47377</v>
      </c>
      <c r="P1487">
        <f t="shared" si="977"/>
        <v>5</v>
      </c>
      <c r="Q1487" s="6">
        <f t="shared" si="978"/>
        <v>9.4510739856801904E-2</v>
      </c>
      <c r="R1487" s="5">
        <f t="shared" si="979"/>
        <v>1</v>
      </c>
      <c r="S1487" t="s">
        <v>93</v>
      </c>
      <c r="U1487">
        <f t="shared" si="980"/>
        <v>5</v>
      </c>
      <c r="V1487">
        <f t="shared" si="981"/>
        <v>99</v>
      </c>
      <c r="W1487" s="28">
        <f t="shared" si="982"/>
        <v>8.6886599994848671E-2</v>
      </c>
      <c r="X1487" s="27">
        <f t="shared" si="983"/>
        <v>8.6886599994848671E-2</v>
      </c>
      <c r="Y1487" s="5">
        <f t="shared" si="984"/>
        <v>4.1972241339417202</v>
      </c>
      <c r="Z1487" s="5">
        <f t="shared" si="985"/>
        <v>3.8616946183360921</v>
      </c>
      <c r="AA1487" s="5">
        <f t="shared" si="986"/>
        <v>-4045.1251127070564</v>
      </c>
      <c r="AB1487" t="s">
        <v>64</v>
      </c>
      <c r="AC1487" t="s">
        <v>62</v>
      </c>
      <c r="AD1487">
        <f t="shared" si="987"/>
        <v>1</v>
      </c>
    </row>
    <row r="1488" spans="1:30" x14ac:dyDescent="0.35">
      <c r="A1488" t="s">
        <v>594</v>
      </c>
      <c r="B1488" t="s">
        <v>593</v>
      </c>
      <c r="C1488" s="36">
        <f t="shared" si="975"/>
        <v>0.10055540723519429</v>
      </c>
      <c r="D1488" s="3">
        <f t="shared" si="976"/>
        <v>0.10055540723519429</v>
      </c>
      <c r="F1488">
        <v>940200</v>
      </c>
      <c r="G1488" t="s">
        <v>76</v>
      </c>
      <c r="H1488">
        <v>1000000</v>
      </c>
      <c r="I1488" s="22"/>
      <c r="J1488">
        <v>2</v>
      </c>
      <c r="K1488" s="22"/>
      <c r="L1488">
        <v>10.7556877630456</v>
      </c>
      <c r="M1488" s="22">
        <v>9.0800000000000006E-2</v>
      </c>
      <c r="N1488" s="21">
        <v>43732</v>
      </c>
      <c r="O1488" s="21">
        <v>47385</v>
      </c>
      <c r="P1488">
        <f t="shared" si="977"/>
        <v>10</v>
      </c>
      <c r="Q1488" s="6">
        <f t="shared" si="978"/>
        <v>9.6575196766645388E-2</v>
      </c>
      <c r="R1488" s="5">
        <f t="shared" si="979"/>
        <v>1</v>
      </c>
      <c r="S1488" t="s">
        <v>93</v>
      </c>
      <c r="U1488">
        <f t="shared" si="980"/>
        <v>10</v>
      </c>
      <c r="V1488">
        <f t="shared" si="981"/>
        <v>90800</v>
      </c>
      <c r="W1488" s="28">
        <f t="shared" si="982"/>
        <v>0.10055540723519429</v>
      </c>
      <c r="X1488" s="27">
        <f t="shared" si="983"/>
        <v>0.10055540723519429</v>
      </c>
      <c r="Y1488" s="5">
        <f t="shared" si="984"/>
        <v>6.87511927803203</v>
      </c>
      <c r="Z1488" s="5">
        <f t="shared" si="985"/>
        <v>6.2469542494944843</v>
      </c>
      <c r="AA1488" s="5">
        <f t="shared" si="986"/>
        <v>-5873386.3853747137</v>
      </c>
      <c r="AB1488" t="s">
        <v>64</v>
      </c>
      <c r="AC1488" t="s">
        <v>62</v>
      </c>
      <c r="AD1488">
        <f t="shared" si="987"/>
        <v>1</v>
      </c>
    </row>
    <row r="1489" spans="1:30" x14ac:dyDescent="0.35">
      <c r="A1489" t="s">
        <v>592</v>
      </c>
      <c r="B1489" t="s">
        <v>591</v>
      </c>
      <c r="C1489" s="36">
        <f t="shared" si="975"/>
        <v>0.10500000000000012</v>
      </c>
      <c r="D1489" s="3">
        <f t="shared" si="976"/>
        <v>0.10500000000000012</v>
      </c>
      <c r="F1489">
        <v>1000</v>
      </c>
      <c r="G1489" t="s">
        <v>76</v>
      </c>
      <c r="H1489">
        <v>1000</v>
      </c>
      <c r="I1489" s="22"/>
      <c r="J1489">
        <v>500</v>
      </c>
      <c r="K1489" s="22"/>
      <c r="L1489">
        <v>10.5</v>
      </c>
      <c r="M1489" s="22">
        <v>0.105</v>
      </c>
      <c r="N1489" s="21">
        <v>45560</v>
      </c>
      <c r="O1489" s="21">
        <v>47386</v>
      </c>
      <c r="P1489">
        <f t="shared" si="977"/>
        <v>5</v>
      </c>
      <c r="Q1489" s="6">
        <f t="shared" si="978"/>
        <v>0.105</v>
      </c>
      <c r="R1489" s="5">
        <f t="shared" si="979"/>
        <v>1</v>
      </c>
      <c r="S1489" t="s">
        <v>93</v>
      </c>
      <c r="U1489">
        <f t="shared" si="980"/>
        <v>5</v>
      </c>
      <c r="V1489">
        <f t="shared" si="981"/>
        <v>105</v>
      </c>
      <c r="W1489" s="28">
        <f t="shared" si="982"/>
        <v>0.10500000000000012</v>
      </c>
      <c r="X1489" s="27">
        <f t="shared" si="983"/>
        <v>0.10500000000000012</v>
      </c>
      <c r="Y1489" s="5">
        <f t="shared" si="984"/>
        <v>4.1358583369310464</v>
      </c>
      <c r="Z1489" s="5">
        <f t="shared" si="985"/>
        <v>3.7428582234670098</v>
      </c>
      <c r="AA1489" s="5">
        <f t="shared" si="986"/>
        <v>-3742.8582234670098</v>
      </c>
      <c r="AB1489" t="s">
        <v>64</v>
      </c>
      <c r="AC1489" t="s">
        <v>62</v>
      </c>
      <c r="AD1489">
        <f t="shared" si="987"/>
        <v>1</v>
      </c>
    </row>
    <row r="1490" spans="1:30" x14ac:dyDescent="0.35">
      <c r="A1490" t="s">
        <v>590</v>
      </c>
      <c r="B1490" t="s">
        <v>128</v>
      </c>
      <c r="C1490" s="36">
        <f t="shared" si="975"/>
        <v>0.11238789951384594</v>
      </c>
      <c r="D1490" s="3">
        <f t="shared" si="976"/>
        <v>0.11238789951384594</v>
      </c>
      <c r="F1490">
        <v>960</v>
      </c>
      <c r="G1490" t="s">
        <v>76</v>
      </c>
      <c r="H1490">
        <v>1000</v>
      </c>
      <c r="I1490" s="22"/>
      <c r="J1490">
        <v>20</v>
      </c>
      <c r="K1490" s="22"/>
      <c r="L1490">
        <v>11.542217707669399</v>
      </c>
      <c r="M1490" s="22">
        <v>0.10150000000000001</v>
      </c>
      <c r="N1490" s="21">
        <v>45560</v>
      </c>
      <c r="O1490" s="21">
        <v>47386</v>
      </c>
      <c r="P1490">
        <f t="shared" si="977"/>
        <v>5</v>
      </c>
      <c r="Q1490" s="6">
        <f t="shared" si="978"/>
        <v>0.10572916666666667</v>
      </c>
      <c r="R1490" s="5">
        <f t="shared" si="979"/>
        <v>1</v>
      </c>
      <c r="S1490" t="s">
        <v>93</v>
      </c>
      <c r="U1490">
        <f t="shared" si="980"/>
        <v>5</v>
      </c>
      <c r="V1490">
        <f t="shared" si="981"/>
        <v>101.5</v>
      </c>
      <c r="W1490" s="28">
        <f t="shared" si="982"/>
        <v>0.11238789951384594</v>
      </c>
      <c r="X1490" s="27">
        <f t="shared" si="983"/>
        <v>0.11238789951384594</v>
      </c>
      <c r="Y1490" s="5">
        <f t="shared" si="984"/>
        <v>4.140805551645462</v>
      </c>
      <c r="Z1490" s="5">
        <f t="shared" si="985"/>
        <v>3.7224474964669656</v>
      </c>
      <c r="AA1490" s="5">
        <f t="shared" si="986"/>
        <v>-3573.5495966082872</v>
      </c>
      <c r="AB1490" t="s">
        <v>64</v>
      </c>
      <c r="AC1490" t="s">
        <v>62</v>
      </c>
      <c r="AD1490">
        <f t="shared" si="987"/>
        <v>1</v>
      </c>
    </row>
    <row r="1491" spans="1:30" x14ac:dyDescent="0.35">
      <c r="A1491" t="s">
        <v>589</v>
      </c>
      <c r="B1491" t="s">
        <v>128</v>
      </c>
      <c r="C1491" s="36">
        <f t="shared" si="975"/>
        <v>0.10768500985337109</v>
      </c>
      <c r="D1491" s="3">
        <f t="shared" si="976"/>
        <v>0.10768500985337109</v>
      </c>
      <c r="F1491">
        <v>960.65</v>
      </c>
      <c r="G1491" t="s">
        <v>76</v>
      </c>
      <c r="H1491">
        <v>1000</v>
      </c>
      <c r="I1491" s="22"/>
      <c r="J1491">
        <v>60</v>
      </c>
      <c r="K1491" s="22"/>
      <c r="L1491">
        <v>11.028372235650099</v>
      </c>
      <c r="M1491" s="22">
        <v>9.7100000000000006E-2</v>
      </c>
      <c r="N1491" s="21">
        <v>45560</v>
      </c>
      <c r="O1491" s="21">
        <v>47386</v>
      </c>
      <c r="P1491">
        <f t="shared" si="977"/>
        <v>5</v>
      </c>
      <c r="Q1491" s="6">
        <f t="shared" si="978"/>
        <v>0.10107739551345445</v>
      </c>
      <c r="R1491" s="5">
        <f t="shared" si="979"/>
        <v>1</v>
      </c>
      <c r="S1491" t="s">
        <v>93</v>
      </c>
      <c r="U1491">
        <f t="shared" si="980"/>
        <v>5</v>
      </c>
      <c r="V1491">
        <f t="shared" si="981"/>
        <v>97.100000000000009</v>
      </c>
      <c r="W1491" s="28">
        <f t="shared" si="982"/>
        <v>0.10768500985337109</v>
      </c>
      <c r="X1491" s="27">
        <f t="shared" si="983"/>
        <v>0.10768500985337109</v>
      </c>
      <c r="Y1491" s="5">
        <f t="shared" si="984"/>
        <v>4.1719723440174734</v>
      </c>
      <c r="Z1491" s="5">
        <f t="shared" si="985"/>
        <v>3.766388735882356</v>
      </c>
      <c r="AA1491" s="5">
        <f t="shared" si="986"/>
        <v>-3618.1813391253854</v>
      </c>
      <c r="AB1491" t="s">
        <v>64</v>
      </c>
      <c r="AC1491" t="s">
        <v>62</v>
      </c>
      <c r="AD1491">
        <f t="shared" si="987"/>
        <v>1</v>
      </c>
    </row>
    <row r="1492" spans="1:30" x14ac:dyDescent="0.35">
      <c r="A1492" t="s">
        <v>588</v>
      </c>
      <c r="B1492" t="s">
        <v>587</v>
      </c>
      <c r="C1492" s="36">
        <f t="shared" si="975"/>
        <v>0.12627678591984567</v>
      </c>
      <c r="D1492" s="3">
        <f t="shared" si="976"/>
        <v>0.12627678591984567</v>
      </c>
      <c r="F1492">
        <v>101100</v>
      </c>
      <c r="G1492" t="s">
        <v>76</v>
      </c>
      <c r="H1492">
        <v>100000</v>
      </c>
      <c r="I1492" s="22"/>
      <c r="J1492">
        <v>4</v>
      </c>
      <c r="K1492" s="22"/>
      <c r="L1492">
        <v>12.5032646057984</v>
      </c>
      <c r="M1492" s="22">
        <v>0.129</v>
      </c>
      <c r="N1492" s="21">
        <v>45377</v>
      </c>
      <c r="O1492" s="21">
        <v>47387</v>
      </c>
      <c r="P1492">
        <f t="shared" si="977"/>
        <v>6</v>
      </c>
      <c r="Q1492" s="6">
        <f t="shared" si="978"/>
        <v>0.12759643916913946</v>
      </c>
      <c r="R1492" s="5">
        <f t="shared" si="979"/>
        <v>1</v>
      </c>
      <c r="S1492" t="s">
        <v>93</v>
      </c>
      <c r="U1492">
        <f t="shared" si="980"/>
        <v>6</v>
      </c>
      <c r="V1492">
        <f t="shared" si="981"/>
        <v>12900</v>
      </c>
      <c r="W1492" s="28">
        <f t="shared" si="982"/>
        <v>0.12627678591984567</v>
      </c>
      <c r="X1492" s="27">
        <f t="shared" si="983"/>
        <v>0.12627678591984567</v>
      </c>
      <c r="Y1492" s="5">
        <f t="shared" si="984"/>
        <v>4.0342607566964261</v>
      </c>
      <c r="Z1492" s="5">
        <f t="shared" si="985"/>
        <v>3.5819443383107554</v>
      </c>
      <c r="AA1492" s="5">
        <f t="shared" si="986"/>
        <v>-362134.57260321738</v>
      </c>
      <c r="AB1492" t="s">
        <v>64</v>
      </c>
      <c r="AC1492" t="s">
        <v>62</v>
      </c>
      <c r="AD1492">
        <f t="shared" si="987"/>
        <v>1</v>
      </c>
    </row>
    <row r="1493" spans="1:30" x14ac:dyDescent="0.35">
      <c r="C1493" s="28"/>
      <c r="D1493" s="27"/>
      <c r="I1493" s="22"/>
      <c r="K1493" s="22"/>
      <c r="M1493" s="22"/>
      <c r="N1493" s="21"/>
      <c r="O1493" s="21"/>
      <c r="P1493" s="5"/>
      <c r="Q1493" s="6"/>
      <c r="R1493" s="5"/>
      <c r="W1493" s="28"/>
      <c r="Y1493" s="33"/>
      <c r="Z1493" s="33"/>
      <c r="AA1493" s="33"/>
    </row>
    <row r="1494" spans="1:30" x14ac:dyDescent="0.35">
      <c r="A1494" t="s">
        <v>585</v>
      </c>
      <c r="B1494" t="s">
        <v>119</v>
      </c>
      <c r="C1494" s="36">
        <f t="shared" ref="C1494:C1499" si="988">RATE(U1494,V1494,-F1494,H1494)</f>
        <v>9.9509598776037114E-2</v>
      </c>
      <c r="D1494" s="3">
        <f t="shared" ref="D1494:D1499" si="989">C1494*AD1494</f>
        <v>9.9509598776037114E-2</v>
      </c>
      <c r="F1494">
        <v>1003</v>
      </c>
      <c r="G1494" t="s">
        <v>76</v>
      </c>
      <c r="H1494">
        <v>1000</v>
      </c>
      <c r="I1494" s="22"/>
      <c r="J1494">
        <v>3</v>
      </c>
      <c r="K1494" s="22"/>
      <c r="L1494">
        <v>9.9290165913183692</v>
      </c>
      <c r="M1494" s="22">
        <v>0.1003</v>
      </c>
      <c r="N1494" s="21">
        <v>45573</v>
      </c>
      <c r="O1494" s="21">
        <v>47399</v>
      </c>
      <c r="P1494">
        <f t="shared" ref="P1494:P1499" si="990">ROUND(YEARFRAC(N1494,O1494),0)</f>
        <v>5</v>
      </c>
      <c r="Q1494" s="6">
        <f t="shared" ref="Q1494:Q1499" si="991">(M1494*H1494)/F1494</f>
        <v>9.9999999999999992E-2</v>
      </c>
      <c r="R1494" s="5">
        <f t="shared" ref="R1494:R1499" si="992">IF(S1494="Quarterly",4,IF(S1494="Semi-annual",2,IF(S1494="Annual",1,IF(S1494="Pays at maturity",0,12))))</f>
        <v>1</v>
      </c>
      <c r="S1494" t="s">
        <v>93</v>
      </c>
      <c r="U1494">
        <f t="shared" ref="U1494:U1499" si="993">R1494*P1494</f>
        <v>5</v>
      </c>
      <c r="V1494">
        <f t="shared" ref="V1494:V1499" si="994">(H1494*M1494)/AD1494</f>
        <v>100.3</v>
      </c>
      <c r="W1494" s="28">
        <f t="shared" ref="W1494:W1499" si="995">RATE(U1494,V1494,-F1494,H1494)</f>
        <v>9.9509598776037114E-2</v>
      </c>
      <c r="X1494" s="27">
        <f t="shared" ref="X1494:X1499" si="996">W1494*AD1494</f>
        <v>9.9509598776037114E-2</v>
      </c>
      <c r="Y1494" s="5">
        <f t="shared" ref="Y1494:Y1499" si="997">DURATION(N1494,O1494,M1494,D1494,AD1494)</f>
        <v>4.1691589567835896</v>
      </c>
      <c r="Z1494" s="5">
        <f t="shared" ref="Z1494:Z1499" si="998">Y1494/(1+C1494)</f>
        <v>3.7918349793623038</v>
      </c>
      <c r="AA1494" s="5">
        <f t="shared" ref="AA1494:AA1499" si="999">-Z1494*F1494</f>
        <v>-3803.2104843003908</v>
      </c>
      <c r="AB1494" t="s">
        <v>64</v>
      </c>
      <c r="AC1494" t="s">
        <v>62</v>
      </c>
      <c r="AD1494">
        <f t="shared" ref="AD1494:AD1499" si="1000">_xlfn.SWITCH(PROPER(TRIM(S1494)),
   "Annual",1,
   "Semi-Annual",2,
   "Quarterly",4,
   "Monthly",12,
   "")</f>
        <v>1</v>
      </c>
    </row>
    <row r="1495" spans="1:30" x14ac:dyDescent="0.35">
      <c r="A1495" t="s">
        <v>584</v>
      </c>
      <c r="B1495" t="s">
        <v>119</v>
      </c>
      <c r="C1495" s="36">
        <f t="shared" si="988"/>
        <v>9.3544778935273812E-2</v>
      </c>
      <c r="D1495" s="3">
        <f t="shared" si="989"/>
        <v>9.3544778935273812E-2</v>
      </c>
      <c r="F1495">
        <v>1044.1500000000001</v>
      </c>
      <c r="G1495" t="s">
        <v>76</v>
      </c>
      <c r="H1495">
        <v>1000</v>
      </c>
      <c r="I1495" s="22"/>
      <c r="J1495">
        <v>680</v>
      </c>
      <c r="K1495" s="22"/>
      <c r="L1495">
        <v>9.05320857376209</v>
      </c>
      <c r="M1495" s="22">
        <v>0.105</v>
      </c>
      <c r="N1495" s="21">
        <v>45573</v>
      </c>
      <c r="O1495" s="21">
        <v>47399</v>
      </c>
      <c r="P1495">
        <f t="shared" si="990"/>
        <v>5</v>
      </c>
      <c r="Q1495" s="6">
        <f t="shared" si="991"/>
        <v>0.10056026432983765</v>
      </c>
      <c r="R1495" s="5">
        <f t="shared" si="992"/>
        <v>1</v>
      </c>
      <c r="S1495" t="s">
        <v>93</v>
      </c>
      <c r="U1495">
        <f t="shared" si="993"/>
        <v>5</v>
      </c>
      <c r="V1495">
        <f t="shared" si="994"/>
        <v>105</v>
      </c>
      <c r="W1495" s="28">
        <f t="shared" si="995"/>
        <v>9.3544778935273812E-2</v>
      </c>
      <c r="X1495" s="27">
        <f t="shared" si="996"/>
        <v>9.3544778935273812E-2</v>
      </c>
      <c r="Y1495" s="5">
        <f t="shared" si="997"/>
        <v>4.1557757676135312</v>
      </c>
      <c r="Z1495" s="5">
        <f t="shared" si="998"/>
        <v>3.8002794651534875</v>
      </c>
      <c r="AA1495" s="5">
        <f t="shared" si="999"/>
        <v>-3968.0618035400144</v>
      </c>
      <c r="AB1495" t="s">
        <v>64</v>
      </c>
      <c r="AC1495" t="s">
        <v>62</v>
      </c>
      <c r="AD1495">
        <f t="shared" si="1000"/>
        <v>1</v>
      </c>
    </row>
    <row r="1496" spans="1:30" x14ac:dyDescent="0.35">
      <c r="A1496" t="s">
        <v>583</v>
      </c>
      <c r="B1496" t="s">
        <v>582</v>
      </c>
      <c r="C1496" s="36">
        <f t="shared" si="988"/>
        <v>4.0660471967670982E-2</v>
      </c>
      <c r="D1496" s="3">
        <f t="shared" si="989"/>
        <v>8.1320943935341963E-2</v>
      </c>
      <c r="F1496">
        <v>940.9</v>
      </c>
      <c r="G1496" t="s">
        <v>66</v>
      </c>
      <c r="H1496">
        <v>1000</v>
      </c>
      <c r="I1496" s="22"/>
      <c r="J1496">
        <v>200000</v>
      </c>
      <c r="K1496" s="22"/>
      <c r="M1496" s="22">
        <v>6.6699999999999995E-2</v>
      </c>
      <c r="N1496" s="21">
        <v>45574</v>
      </c>
      <c r="O1496" s="21">
        <v>47400</v>
      </c>
      <c r="P1496">
        <f t="shared" si="990"/>
        <v>5</v>
      </c>
      <c r="Q1496" s="6">
        <f t="shared" si="991"/>
        <v>7.0889573812307358E-2</v>
      </c>
      <c r="R1496" s="5">
        <f t="shared" si="992"/>
        <v>2</v>
      </c>
      <c r="S1496" t="s">
        <v>65</v>
      </c>
      <c r="U1496">
        <f t="shared" si="993"/>
        <v>10</v>
      </c>
      <c r="V1496">
        <f t="shared" si="994"/>
        <v>33.349999999999994</v>
      </c>
      <c r="W1496" s="28">
        <f t="shared" si="995"/>
        <v>4.0660471967670982E-2</v>
      </c>
      <c r="X1496" s="27">
        <f t="shared" si="996"/>
        <v>8.1320943935341963E-2</v>
      </c>
      <c r="Y1496" s="5">
        <f t="shared" si="997"/>
        <v>4.3082874720235633</v>
      </c>
      <c r="Z1496" s="5">
        <f t="shared" si="998"/>
        <v>4.139954949838244</v>
      </c>
      <c r="AA1496" s="5">
        <f t="shared" si="999"/>
        <v>-3895.2836123028037</v>
      </c>
      <c r="AB1496" t="s">
        <v>69</v>
      </c>
      <c r="AC1496" t="s">
        <v>62</v>
      </c>
      <c r="AD1496">
        <f t="shared" si="1000"/>
        <v>2</v>
      </c>
    </row>
    <row r="1497" spans="1:30" x14ac:dyDescent="0.35">
      <c r="A1497" t="s">
        <v>581</v>
      </c>
      <c r="B1497" t="s">
        <v>128</v>
      </c>
      <c r="C1497" s="36">
        <f t="shared" si="988"/>
        <v>9.5608485831007506E-2</v>
      </c>
      <c r="D1497" s="3">
        <f t="shared" si="989"/>
        <v>9.5608485831007506E-2</v>
      </c>
      <c r="F1497">
        <v>100725.15</v>
      </c>
      <c r="G1497" t="s">
        <v>76</v>
      </c>
      <c r="H1497">
        <v>100000</v>
      </c>
      <c r="I1497" s="22"/>
      <c r="J1497">
        <v>5</v>
      </c>
      <c r="K1497" s="22"/>
      <c r="L1497">
        <v>9.5142276475271199</v>
      </c>
      <c r="M1497" s="22">
        <v>9.7500000000000003E-2</v>
      </c>
      <c r="N1497" s="21">
        <v>45586</v>
      </c>
      <c r="O1497" s="21">
        <v>47411</v>
      </c>
      <c r="P1497">
        <f t="shared" si="990"/>
        <v>5</v>
      </c>
      <c r="Q1497" s="6">
        <f t="shared" si="991"/>
        <v>9.6798068804067314E-2</v>
      </c>
      <c r="R1497" s="5">
        <f t="shared" si="992"/>
        <v>1</v>
      </c>
      <c r="S1497" t="s">
        <v>93</v>
      </c>
      <c r="U1497">
        <f t="shared" si="993"/>
        <v>5</v>
      </c>
      <c r="V1497">
        <f t="shared" si="994"/>
        <v>9750</v>
      </c>
      <c r="W1497" s="28">
        <f t="shared" si="995"/>
        <v>9.5608485831007506E-2</v>
      </c>
      <c r="X1497" s="27">
        <f t="shared" si="996"/>
        <v>9.5608485831007506E-2</v>
      </c>
      <c r="Y1497" s="5">
        <f t="shared" si="997"/>
        <v>4.1875068525692392</v>
      </c>
      <c r="Z1497" s="5">
        <f t="shared" si="998"/>
        <v>3.8220832594163956</v>
      </c>
      <c r="AA1497" s="5">
        <f t="shared" si="999"/>
        <v>-384979.90961720533</v>
      </c>
      <c r="AB1497" t="s">
        <v>64</v>
      </c>
      <c r="AC1497" t="s">
        <v>62</v>
      </c>
      <c r="AD1497">
        <f t="shared" si="1000"/>
        <v>1</v>
      </c>
    </row>
    <row r="1498" spans="1:30" x14ac:dyDescent="0.35">
      <c r="A1498" t="s">
        <v>580</v>
      </c>
      <c r="B1498" t="s">
        <v>122</v>
      </c>
      <c r="C1498" s="36">
        <f t="shared" si="988"/>
        <v>9.2827864778027569E-2</v>
      </c>
      <c r="D1498" s="3">
        <f t="shared" si="989"/>
        <v>9.2827864778027569E-2</v>
      </c>
      <c r="F1498">
        <v>1047</v>
      </c>
      <c r="G1498" t="s">
        <v>76</v>
      </c>
      <c r="H1498">
        <v>1000</v>
      </c>
      <c r="I1498" s="22"/>
      <c r="J1498">
        <v>29</v>
      </c>
      <c r="K1498" s="22"/>
      <c r="L1498">
        <v>8.9742833295841802</v>
      </c>
      <c r="M1498" s="22">
        <v>0.105</v>
      </c>
      <c r="N1498" s="21">
        <v>45589</v>
      </c>
      <c r="O1498" s="21">
        <v>47415</v>
      </c>
      <c r="P1498">
        <f t="shared" si="990"/>
        <v>5</v>
      </c>
      <c r="Q1498" s="6">
        <f t="shared" si="991"/>
        <v>0.10028653295128939</v>
      </c>
      <c r="R1498" s="5">
        <f t="shared" si="992"/>
        <v>1</v>
      </c>
      <c r="S1498" t="s">
        <v>93</v>
      </c>
      <c r="U1498">
        <f t="shared" si="993"/>
        <v>5</v>
      </c>
      <c r="V1498">
        <f t="shared" si="994"/>
        <v>105</v>
      </c>
      <c r="W1498" s="28">
        <f t="shared" si="995"/>
        <v>9.2827864778027569E-2</v>
      </c>
      <c r="X1498" s="27">
        <f t="shared" si="996"/>
        <v>9.2827864778027569E-2</v>
      </c>
      <c r="Y1498" s="5">
        <f t="shared" si="997"/>
        <v>4.1570166926388872</v>
      </c>
      <c r="Z1498" s="5">
        <f t="shared" si="998"/>
        <v>3.8039080321979615</v>
      </c>
      <c r="AA1498" s="5">
        <f t="shared" si="999"/>
        <v>-3982.6917097112655</v>
      </c>
      <c r="AB1498" t="s">
        <v>64</v>
      </c>
      <c r="AC1498" t="s">
        <v>62</v>
      </c>
      <c r="AD1498">
        <f t="shared" si="1000"/>
        <v>1</v>
      </c>
    </row>
    <row r="1499" spans="1:30" x14ac:dyDescent="0.35">
      <c r="A1499" t="s">
        <v>579</v>
      </c>
      <c r="B1499" t="s">
        <v>122</v>
      </c>
      <c r="C1499" s="36">
        <f t="shared" si="988"/>
        <v>9.7400607676749712E-2</v>
      </c>
      <c r="D1499" s="3">
        <f t="shared" si="989"/>
        <v>9.7400607676749712E-2</v>
      </c>
      <c r="F1499">
        <v>1029</v>
      </c>
      <c r="G1499" t="s">
        <v>76</v>
      </c>
      <c r="H1499">
        <v>1000</v>
      </c>
      <c r="I1499" s="22"/>
      <c r="J1499">
        <v>569</v>
      </c>
      <c r="K1499" s="22"/>
      <c r="L1499">
        <v>9.5421327199752799</v>
      </c>
      <c r="M1499" s="22">
        <v>0.105</v>
      </c>
      <c r="N1499" s="21">
        <v>45589</v>
      </c>
      <c r="O1499" s="21">
        <v>47415</v>
      </c>
      <c r="P1499">
        <f t="shared" si="990"/>
        <v>5</v>
      </c>
      <c r="Q1499" s="6">
        <f t="shared" si="991"/>
        <v>0.10204081632653061</v>
      </c>
      <c r="R1499" s="5">
        <f t="shared" si="992"/>
        <v>1</v>
      </c>
      <c r="S1499" t="s">
        <v>93</v>
      </c>
      <c r="U1499">
        <f t="shared" si="993"/>
        <v>5</v>
      </c>
      <c r="V1499">
        <f t="shared" si="994"/>
        <v>105</v>
      </c>
      <c r="W1499" s="28">
        <f t="shared" si="995"/>
        <v>9.7400607676749712E-2</v>
      </c>
      <c r="X1499" s="27">
        <f t="shared" si="996"/>
        <v>9.7400607676749712E-2</v>
      </c>
      <c r="Y1499" s="5">
        <f t="shared" si="997"/>
        <v>4.1490902225167208</v>
      </c>
      <c r="Z1499" s="5">
        <f t="shared" si="998"/>
        <v>3.7808346318492987</v>
      </c>
      <c r="AA1499" s="5">
        <f t="shared" si="999"/>
        <v>-3890.4788361729284</v>
      </c>
      <c r="AB1499" t="s">
        <v>64</v>
      </c>
      <c r="AC1499" t="s">
        <v>62</v>
      </c>
      <c r="AD1499">
        <f t="shared" si="1000"/>
        <v>1</v>
      </c>
    </row>
    <row r="1500" spans="1:30" x14ac:dyDescent="0.35">
      <c r="C1500" s="28"/>
      <c r="D1500" s="27"/>
      <c r="I1500" s="22"/>
      <c r="K1500" s="22"/>
      <c r="M1500" s="22"/>
      <c r="N1500" s="21"/>
      <c r="O1500" s="21"/>
      <c r="P1500" s="5"/>
      <c r="Q1500" s="6"/>
      <c r="R1500" s="5"/>
      <c r="W1500" s="28"/>
      <c r="Y1500" s="33"/>
      <c r="Z1500" s="33"/>
      <c r="AA1500" s="33"/>
    </row>
    <row r="1501" spans="1:30" x14ac:dyDescent="0.35">
      <c r="A1501" t="s">
        <v>577</v>
      </c>
      <c r="B1501" t="s">
        <v>122</v>
      </c>
      <c r="C1501" s="36">
        <f>RATE(U1501,V1501,-F1501,H1501)</f>
        <v>0.10092884747067141</v>
      </c>
      <c r="D1501" s="3">
        <f>C1501*AD1501</f>
        <v>0.10092884747067141</v>
      </c>
      <c r="F1501">
        <v>998</v>
      </c>
      <c r="G1501" t="s">
        <v>76</v>
      </c>
      <c r="H1501">
        <v>1000</v>
      </c>
      <c r="I1501" s="22"/>
      <c r="J1501">
        <v>106</v>
      </c>
      <c r="K1501" s="22"/>
      <c r="L1501">
        <v>10.107008889574001</v>
      </c>
      <c r="M1501" s="22">
        <v>0.10039999999999999</v>
      </c>
      <c r="N1501" s="21">
        <v>45589</v>
      </c>
      <c r="O1501" s="21">
        <v>47415</v>
      </c>
      <c r="P1501">
        <f>ROUND(YEARFRAC(N1501,O1501),0)</f>
        <v>5</v>
      </c>
      <c r="Q1501" s="6">
        <f>(M1501*H1501)/F1501</f>
        <v>0.10060120240480962</v>
      </c>
      <c r="R1501" s="5">
        <f>IF(S1501="Quarterly",4,IF(S1501="Semi-annual",2,IF(S1501="Annual",1,IF(S1501="Pays at maturity",0,12))))</f>
        <v>1</v>
      </c>
      <c r="S1501" t="s">
        <v>93</v>
      </c>
      <c r="U1501">
        <f>R1501*P1501</f>
        <v>5</v>
      </c>
      <c r="V1501">
        <f>(H1501*M1501)/AD1501</f>
        <v>100.39999999999999</v>
      </c>
      <c r="W1501" s="28">
        <f>RATE(U1501,V1501,-F1501,H1501)</f>
        <v>0.10092884747067141</v>
      </c>
      <c r="X1501" s="27">
        <f>W1501*AD1501</f>
        <v>0.10092884747067141</v>
      </c>
      <c r="Y1501" s="5">
        <f>DURATION(N1501,O1501,M1501,D1501,AD1501)</f>
        <v>4.1662178845643343</v>
      </c>
      <c r="Z1501" s="5">
        <f>Y1501/(1+C1501)</f>
        <v>3.7842753363543977</v>
      </c>
      <c r="AA1501" s="5">
        <f>-Z1501*F1501</f>
        <v>-3776.7067856816889</v>
      </c>
      <c r="AB1501" t="s">
        <v>64</v>
      </c>
      <c r="AC1501" t="s">
        <v>62</v>
      </c>
      <c r="AD1501">
        <f>_xlfn.SWITCH(PROPER(TRIM(S1501)),
   "Annual",1,
   "Semi-Annual",2,
   "Quarterly",4,
   "Monthly",12,
   "")</f>
        <v>1</v>
      </c>
    </row>
    <row r="1502" spans="1:30" x14ac:dyDescent="0.35">
      <c r="A1502" t="s">
        <v>576</v>
      </c>
      <c r="B1502" t="s">
        <v>241</v>
      </c>
      <c r="C1502" s="36">
        <f>RATE(U1502,V1502,-F1502,H1502)</f>
        <v>9.4760275700074004E-2</v>
      </c>
      <c r="D1502" s="3">
        <f>C1502*AD1502</f>
        <v>9.4760275700074004E-2</v>
      </c>
      <c r="F1502">
        <v>999</v>
      </c>
      <c r="G1502" t="s">
        <v>76</v>
      </c>
      <c r="H1502">
        <v>1000</v>
      </c>
      <c r="I1502" s="22"/>
      <c r="J1502">
        <v>65</v>
      </c>
      <c r="K1502" s="22"/>
      <c r="L1502">
        <v>9.4828653124617208</v>
      </c>
      <c r="M1502" s="22">
        <v>9.4499999999999987E-2</v>
      </c>
      <c r="N1502" s="21">
        <v>45595</v>
      </c>
      <c r="O1502" s="21">
        <v>47421</v>
      </c>
      <c r="P1502">
        <f>ROUND(YEARFRAC(N1502,O1502),0)</f>
        <v>5</v>
      </c>
      <c r="Q1502" s="6">
        <f>(M1502*H1502)/F1502</f>
        <v>9.4594594594594586E-2</v>
      </c>
      <c r="R1502" s="5">
        <f>IF(S1502="Quarterly",4,IF(S1502="Semi-annual",2,IF(S1502="Annual",1,IF(S1502="Pays at maturity",0,12))))</f>
        <v>1</v>
      </c>
      <c r="S1502" t="s">
        <v>93</v>
      </c>
      <c r="U1502">
        <f>R1502*P1502</f>
        <v>5</v>
      </c>
      <c r="V1502">
        <f>(H1502*M1502)/AD1502</f>
        <v>94.499999999999986</v>
      </c>
      <c r="W1502" s="28">
        <f>RATE(U1502,V1502,-F1502,H1502)</f>
        <v>9.4760275700074004E-2</v>
      </c>
      <c r="X1502" s="27">
        <f>W1502*AD1502</f>
        <v>9.4760275700074004E-2</v>
      </c>
      <c r="Y1502" s="5">
        <f>DURATION(N1502,O1502,M1502,D1502,AD1502)</f>
        <v>4.2075442754597496</v>
      </c>
      <c r="Z1502" s="5">
        <f>Y1502/(1+C1502)</f>
        <v>3.843347597508616</v>
      </c>
      <c r="AA1502" s="5">
        <f>-Z1502*F1502</f>
        <v>-3839.5042499111073</v>
      </c>
      <c r="AB1502" t="s">
        <v>64</v>
      </c>
      <c r="AC1502" t="s">
        <v>62</v>
      </c>
      <c r="AD1502">
        <f>_xlfn.SWITCH(PROPER(TRIM(S1502)),
   "Annual",1,
   "Semi-Annual",2,
   "Quarterly",4,
   "Monthly",12,
   "")</f>
        <v>1</v>
      </c>
    </row>
    <row r="1503" spans="1:30" x14ac:dyDescent="0.35">
      <c r="C1503" s="28"/>
      <c r="D1503" s="27"/>
      <c r="I1503" s="22"/>
      <c r="K1503" s="22"/>
      <c r="M1503" s="22"/>
      <c r="N1503" s="21"/>
      <c r="O1503" s="21"/>
      <c r="P1503" s="5"/>
      <c r="Q1503" s="6"/>
      <c r="R1503" s="5"/>
      <c r="W1503" s="28"/>
      <c r="Y1503" s="33"/>
      <c r="Z1503" s="33"/>
      <c r="AA1503" s="33"/>
    </row>
    <row r="1504" spans="1:30" x14ac:dyDescent="0.35">
      <c r="A1504" t="s">
        <v>574</v>
      </c>
      <c r="B1504" t="s">
        <v>241</v>
      </c>
      <c r="C1504" s="36">
        <f t="shared" ref="C1504:C1515" si="1001">RATE(U1504,V1504,-F1504,H1504)</f>
        <v>0.10032006606076428</v>
      </c>
      <c r="D1504" s="3">
        <f t="shared" ref="D1504:D1515" si="1002">C1504*AD1504</f>
        <v>0.10032006606076428</v>
      </c>
      <c r="F1504">
        <v>995</v>
      </c>
      <c r="G1504" t="s">
        <v>76</v>
      </c>
      <c r="H1504">
        <v>1000</v>
      </c>
      <c r="I1504" s="22"/>
      <c r="J1504">
        <v>45</v>
      </c>
      <c r="K1504" s="22"/>
      <c r="L1504">
        <v>10.0624128011062</v>
      </c>
      <c r="M1504" s="22">
        <v>9.9000000000000005E-2</v>
      </c>
      <c r="N1504" s="21">
        <v>45595</v>
      </c>
      <c r="O1504" s="21">
        <v>47421</v>
      </c>
      <c r="P1504">
        <f t="shared" ref="P1504:P1515" si="1003">ROUND(YEARFRAC(N1504,O1504),0)</f>
        <v>5</v>
      </c>
      <c r="Q1504" s="6">
        <f t="shared" ref="Q1504:Q1515" si="1004">(M1504*H1504)/F1504</f>
        <v>9.9497487437185936E-2</v>
      </c>
      <c r="R1504" s="5">
        <f t="shared" ref="R1504:R1515" si="1005">IF(S1504="Quarterly",4,IF(S1504="Semi-annual",2,IF(S1504="Annual",1,IF(S1504="Pays at maturity",0,12))))</f>
        <v>1</v>
      </c>
      <c r="S1504" t="s">
        <v>93</v>
      </c>
      <c r="U1504">
        <f t="shared" ref="U1504:U1515" si="1006">R1504*P1504</f>
        <v>5</v>
      </c>
      <c r="V1504">
        <f t="shared" ref="V1504:V1515" si="1007">(H1504*M1504)/AD1504</f>
        <v>99</v>
      </c>
      <c r="W1504" s="28">
        <f t="shared" ref="W1504:W1515" si="1008">RATE(U1504,V1504,-F1504,H1504)</f>
        <v>0.10032006606076428</v>
      </c>
      <c r="X1504" s="27">
        <f t="shared" ref="X1504:X1515" si="1009">W1504*AD1504</f>
        <v>0.10032006606076428</v>
      </c>
      <c r="Y1504" s="5">
        <f t="shared" ref="Y1504:Y1515" si="1010">DURATION(N1504,O1504,M1504,D1504,AD1504)</f>
        <v>4.1744951839564681</v>
      </c>
      <c r="Z1504" s="5">
        <f t="shared" ref="Z1504:Z1515" si="1011">Y1504/(1+C1504)</f>
        <v>3.793891716345319</v>
      </c>
      <c r="AA1504" s="5">
        <f t="shared" ref="AA1504:AA1515" si="1012">-Z1504*F1504</f>
        <v>-3774.9222577635924</v>
      </c>
      <c r="AB1504" t="s">
        <v>64</v>
      </c>
      <c r="AC1504" t="s">
        <v>62</v>
      </c>
      <c r="AD1504">
        <f t="shared" ref="AD1504:AD1515" si="1013">_xlfn.SWITCH(PROPER(TRIM(S1504)),
   "Annual",1,
   "Semi-Annual",2,
   "Quarterly",4,
   "Monthly",12,
   "")</f>
        <v>1</v>
      </c>
    </row>
    <row r="1505" spans="1:30" x14ac:dyDescent="0.35">
      <c r="A1505" t="s">
        <v>573</v>
      </c>
      <c r="B1505" t="s">
        <v>465</v>
      </c>
      <c r="C1505" s="36">
        <f t="shared" si="1001"/>
        <v>0.11724481234513687</v>
      </c>
      <c r="D1505" s="3">
        <f t="shared" si="1002"/>
        <v>0.11724481234513687</v>
      </c>
      <c r="F1505">
        <v>1010</v>
      </c>
      <c r="G1505" t="s">
        <v>76</v>
      </c>
      <c r="H1505">
        <v>1000</v>
      </c>
      <c r="I1505" s="22"/>
      <c r="J1505">
        <v>236</v>
      </c>
      <c r="K1505" s="22"/>
      <c r="L1505">
        <v>11.650712265104</v>
      </c>
      <c r="M1505" s="22">
        <v>0.12</v>
      </c>
      <c r="N1505" s="21">
        <v>45604</v>
      </c>
      <c r="O1505" s="21">
        <v>47429</v>
      </c>
      <c r="P1505">
        <f t="shared" si="1003"/>
        <v>5</v>
      </c>
      <c r="Q1505" s="6">
        <f t="shared" si="1004"/>
        <v>0.11881188118811881</v>
      </c>
      <c r="R1505" s="5">
        <f t="shared" si="1005"/>
        <v>1</v>
      </c>
      <c r="S1505" t="s">
        <v>93</v>
      </c>
      <c r="U1505">
        <f t="shared" si="1006"/>
        <v>5</v>
      </c>
      <c r="V1505">
        <f t="shared" si="1007"/>
        <v>120</v>
      </c>
      <c r="W1505" s="28">
        <f t="shared" si="1008"/>
        <v>0.11724481234513687</v>
      </c>
      <c r="X1505" s="27">
        <f t="shared" si="1009"/>
        <v>0.11724481234513687</v>
      </c>
      <c r="Y1505" s="5">
        <f t="shared" si="1010"/>
        <v>4.0396512054053453</v>
      </c>
      <c r="Z1505" s="5">
        <f t="shared" si="1011"/>
        <v>3.6157260796995536</v>
      </c>
      <c r="AA1505" s="5">
        <f t="shared" si="1012"/>
        <v>-3651.883340496549</v>
      </c>
      <c r="AB1505" t="s">
        <v>64</v>
      </c>
      <c r="AC1505" t="s">
        <v>62</v>
      </c>
      <c r="AD1505">
        <f t="shared" si="1013"/>
        <v>1</v>
      </c>
    </row>
    <row r="1506" spans="1:30" x14ac:dyDescent="0.35">
      <c r="A1506" t="s">
        <v>572</v>
      </c>
      <c r="B1506" t="s">
        <v>571</v>
      </c>
      <c r="C1506" s="36">
        <f t="shared" si="1001"/>
        <v>7.0396674423390468E-2</v>
      </c>
      <c r="D1506" s="3">
        <f t="shared" si="1002"/>
        <v>7.0396674423390468E-2</v>
      </c>
      <c r="F1506">
        <v>1082898.3</v>
      </c>
      <c r="G1506" t="s">
        <v>76</v>
      </c>
      <c r="H1506">
        <v>1000000</v>
      </c>
      <c r="I1506" s="22"/>
      <c r="J1506">
        <v>1</v>
      </c>
      <c r="K1506" s="22"/>
      <c r="L1506">
        <v>6.6802292690265901</v>
      </c>
      <c r="M1506" s="22">
        <v>8.5800000000000001E-2</v>
      </c>
      <c r="N1506" s="21">
        <v>44874</v>
      </c>
      <c r="O1506" s="21">
        <v>47431</v>
      </c>
      <c r="P1506">
        <f t="shared" si="1003"/>
        <v>7</v>
      </c>
      <c r="Q1506" s="6">
        <f t="shared" si="1004"/>
        <v>7.9231817059829165E-2</v>
      </c>
      <c r="R1506" s="5">
        <f t="shared" si="1005"/>
        <v>1</v>
      </c>
      <c r="S1506" t="s">
        <v>93</v>
      </c>
      <c r="U1506">
        <f t="shared" si="1006"/>
        <v>7</v>
      </c>
      <c r="V1506">
        <f t="shared" si="1007"/>
        <v>85800</v>
      </c>
      <c r="W1506" s="28">
        <f t="shared" si="1008"/>
        <v>7.0396674423390468E-2</v>
      </c>
      <c r="X1506" s="27">
        <f t="shared" si="1009"/>
        <v>7.0396674423390468E-2</v>
      </c>
      <c r="Y1506" s="5">
        <f t="shared" si="1010"/>
        <v>5.6051707911817745</v>
      </c>
      <c r="Z1506" s="5">
        <f t="shared" si="1011"/>
        <v>5.2365360665953222</v>
      </c>
      <c r="AA1506" s="5">
        <f t="shared" si="1012"/>
        <v>-5670636.0044047618</v>
      </c>
      <c r="AB1506" t="s">
        <v>64</v>
      </c>
      <c r="AC1506" t="s">
        <v>62</v>
      </c>
      <c r="AD1506">
        <f t="shared" si="1013"/>
        <v>1</v>
      </c>
    </row>
    <row r="1507" spans="1:30" x14ac:dyDescent="0.35">
      <c r="A1507" t="s">
        <v>570</v>
      </c>
      <c r="B1507" t="s">
        <v>568</v>
      </c>
      <c r="C1507" s="36">
        <f t="shared" si="1001"/>
        <v>9.5231540311106186E-2</v>
      </c>
      <c r="D1507" s="3">
        <f t="shared" si="1002"/>
        <v>9.5231540311106186E-2</v>
      </c>
      <c r="F1507">
        <v>1055</v>
      </c>
      <c r="G1507" t="s">
        <v>76</v>
      </c>
      <c r="H1507">
        <v>1000</v>
      </c>
      <c r="I1507" s="22"/>
      <c r="J1507">
        <v>40</v>
      </c>
      <c r="K1507" s="22"/>
      <c r="L1507">
        <v>8.6707683756463698</v>
      </c>
      <c r="M1507" s="22">
        <v>0.10400000000000001</v>
      </c>
      <c r="N1507" s="21">
        <v>43797</v>
      </c>
      <c r="O1507" s="21">
        <v>47450</v>
      </c>
      <c r="P1507">
        <f t="shared" si="1003"/>
        <v>10</v>
      </c>
      <c r="Q1507" s="6">
        <f t="shared" si="1004"/>
        <v>9.857819905213272E-2</v>
      </c>
      <c r="R1507" s="5">
        <f t="shared" si="1005"/>
        <v>1</v>
      </c>
      <c r="S1507" t="s">
        <v>93</v>
      </c>
      <c r="U1507">
        <f t="shared" si="1006"/>
        <v>10</v>
      </c>
      <c r="V1507">
        <f t="shared" si="1007"/>
        <v>104.00000000000001</v>
      </c>
      <c r="W1507" s="28">
        <f t="shared" si="1008"/>
        <v>9.5231540311106186E-2</v>
      </c>
      <c r="X1507" s="27">
        <f t="shared" si="1009"/>
        <v>9.5231540311106186E-2</v>
      </c>
      <c r="Y1507" s="5">
        <f t="shared" si="1010"/>
        <v>6.7598175712296724</v>
      </c>
      <c r="Z1507" s="5">
        <f t="shared" si="1011"/>
        <v>6.1720442869180987</v>
      </c>
      <c r="AA1507" s="5">
        <f t="shared" si="1012"/>
        <v>-6511.5067226985939</v>
      </c>
      <c r="AB1507" t="s">
        <v>64</v>
      </c>
      <c r="AC1507" t="s">
        <v>62</v>
      </c>
      <c r="AD1507">
        <f t="shared" si="1013"/>
        <v>1</v>
      </c>
    </row>
    <row r="1508" spans="1:30" x14ac:dyDescent="0.35">
      <c r="A1508" t="s">
        <v>569</v>
      </c>
      <c r="B1508" t="s">
        <v>568</v>
      </c>
      <c r="C1508" s="36">
        <f t="shared" si="1001"/>
        <v>0.10196179190165439</v>
      </c>
      <c r="D1508" s="3">
        <f t="shared" si="1002"/>
        <v>0.10196179190165439</v>
      </c>
      <c r="F1508">
        <v>985</v>
      </c>
      <c r="G1508" t="s">
        <v>76</v>
      </c>
      <c r="H1508">
        <v>1000</v>
      </c>
      <c r="I1508" s="22"/>
      <c r="J1508">
        <v>32</v>
      </c>
      <c r="K1508" s="22"/>
      <c r="L1508">
        <v>10.4513262180025</v>
      </c>
      <c r="M1508" s="22">
        <v>9.9499999999999991E-2</v>
      </c>
      <c r="N1508" s="21">
        <v>43797</v>
      </c>
      <c r="O1508" s="21">
        <v>47450</v>
      </c>
      <c r="P1508">
        <f t="shared" si="1003"/>
        <v>10</v>
      </c>
      <c r="Q1508" s="6">
        <f t="shared" si="1004"/>
        <v>0.10101522842639593</v>
      </c>
      <c r="R1508" s="5">
        <f t="shared" si="1005"/>
        <v>1</v>
      </c>
      <c r="S1508" t="s">
        <v>93</v>
      </c>
      <c r="U1508">
        <f t="shared" si="1006"/>
        <v>10</v>
      </c>
      <c r="V1508">
        <f t="shared" si="1007"/>
        <v>99.499999999999986</v>
      </c>
      <c r="W1508" s="28">
        <f t="shared" si="1008"/>
        <v>0.10196179190165439</v>
      </c>
      <c r="X1508" s="27">
        <f t="shared" si="1009"/>
        <v>0.10196179190165439</v>
      </c>
      <c r="Y1508" s="5">
        <f t="shared" si="1010"/>
        <v>6.7448903693886919</v>
      </c>
      <c r="Z1508" s="5">
        <f t="shared" si="1011"/>
        <v>6.1208023898442443</v>
      </c>
      <c r="AA1508" s="5">
        <f t="shared" si="1012"/>
        <v>-6028.9903539965808</v>
      </c>
      <c r="AB1508" t="s">
        <v>64</v>
      </c>
      <c r="AC1508" t="s">
        <v>62</v>
      </c>
      <c r="AD1508">
        <f t="shared" si="1013"/>
        <v>1</v>
      </c>
    </row>
    <row r="1509" spans="1:30" x14ac:dyDescent="0.35">
      <c r="A1509" t="s">
        <v>567</v>
      </c>
      <c r="B1509" t="s">
        <v>225</v>
      </c>
      <c r="C1509" s="36">
        <f t="shared" si="1001"/>
        <v>8.9944612985695671E-2</v>
      </c>
      <c r="D1509" s="3">
        <f t="shared" si="1002"/>
        <v>8.9944612985695671E-2</v>
      </c>
      <c r="F1509">
        <v>102268.18</v>
      </c>
      <c r="G1509" t="s">
        <v>76</v>
      </c>
      <c r="H1509">
        <v>100000</v>
      </c>
      <c r="I1509" s="22"/>
      <c r="J1509">
        <v>3</v>
      </c>
      <c r="K1509" s="22"/>
      <c r="L1509">
        <v>8.7808067905088798</v>
      </c>
      <c r="M1509" s="22">
        <v>9.5000000000000001E-2</v>
      </c>
      <c r="N1509" s="21">
        <v>45441</v>
      </c>
      <c r="O1509" s="21">
        <v>47451</v>
      </c>
      <c r="P1509">
        <f t="shared" si="1003"/>
        <v>6</v>
      </c>
      <c r="Q1509" s="6">
        <f t="shared" si="1004"/>
        <v>9.2893019118947859E-2</v>
      </c>
      <c r="R1509" s="5">
        <f t="shared" si="1005"/>
        <v>1</v>
      </c>
      <c r="S1509" t="s">
        <v>93</v>
      </c>
      <c r="U1509">
        <f t="shared" si="1006"/>
        <v>6</v>
      </c>
      <c r="V1509">
        <f t="shared" si="1007"/>
        <v>9500</v>
      </c>
      <c r="W1509" s="28">
        <f t="shared" si="1008"/>
        <v>8.9944612985695671E-2</v>
      </c>
      <c r="X1509" s="27">
        <f t="shared" si="1009"/>
        <v>8.9944612985695671E-2</v>
      </c>
      <c r="Y1509" s="5">
        <f t="shared" si="1010"/>
        <v>4.3538311408604748</v>
      </c>
      <c r="Z1509" s="5">
        <f t="shared" si="1011"/>
        <v>3.9945434740339549</v>
      </c>
      <c r="AA1509" s="5">
        <f t="shared" si="1012"/>
        <v>-408514.69102032977</v>
      </c>
      <c r="AB1509" t="s">
        <v>64</v>
      </c>
      <c r="AC1509" t="s">
        <v>62</v>
      </c>
      <c r="AD1509">
        <f t="shared" si="1013"/>
        <v>1</v>
      </c>
    </row>
    <row r="1510" spans="1:30" x14ac:dyDescent="0.35">
      <c r="A1510" t="s">
        <v>566</v>
      </c>
      <c r="B1510" t="s">
        <v>249</v>
      </c>
      <c r="C1510" s="36">
        <f t="shared" si="1001"/>
        <v>2.2229564275468315E-2</v>
      </c>
      <c r="D1510" s="3">
        <f t="shared" si="1002"/>
        <v>8.891825710187326E-2</v>
      </c>
      <c r="F1510">
        <v>1037645.11</v>
      </c>
      <c r="G1510" t="s">
        <v>76</v>
      </c>
      <c r="H1510">
        <v>1000000</v>
      </c>
      <c r="I1510" s="22"/>
      <c r="J1510">
        <v>1</v>
      </c>
      <c r="K1510" s="22"/>
      <c r="M1510" s="22">
        <v>9.6199999999999994E-2</v>
      </c>
      <c r="N1510" s="21">
        <v>44916</v>
      </c>
      <c r="O1510" s="21">
        <v>47452</v>
      </c>
      <c r="P1510">
        <f t="shared" si="1003"/>
        <v>7</v>
      </c>
      <c r="Q1510" s="6">
        <f t="shared" si="1004"/>
        <v>9.2709924687063766E-2</v>
      </c>
      <c r="R1510" s="5">
        <f t="shared" si="1005"/>
        <v>4</v>
      </c>
      <c r="S1510" t="s">
        <v>105</v>
      </c>
      <c r="U1510">
        <f t="shared" si="1006"/>
        <v>28</v>
      </c>
      <c r="V1510">
        <f t="shared" si="1007"/>
        <v>24050</v>
      </c>
      <c r="W1510" s="28">
        <f t="shared" si="1008"/>
        <v>2.2229564275468315E-2</v>
      </c>
      <c r="X1510" s="27">
        <f t="shared" si="1009"/>
        <v>8.891825710187326E-2</v>
      </c>
      <c r="Y1510" s="5">
        <f t="shared" si="1010"/>
        <v>5.1532394023552159</v>
      </c>
      <c r="Z1510" s="5">
        <f t="shared" si="1011"/>
        <v>5.0411762508626987</v>
      </c>
      <c r="AA1510" s="5">
        <f t="shared" si="1012"/>
        <v>-5230951.8853558125</v>
      </c>
      <c r="AB1510" t="s">
        <v>64</v>
      </c>
      <c r="AC1510" t="s">
        <v>62</v>
      </c>
      <c r="AD1510">
        <f t="shared" si="1013"/>
        <v>4</v>
      </c>
    </row>
    <row r="1511" spans="1:30" x14ac:dyDescent="0.35">
      <c r="A1511" t="s">
        <v>565</v>
      </c>
      <c r="B1511" t="s">
        <v>390</v>
      </c>
      <c r="C1511" s="36">
        <f t="shared" si="1001"/>
        <v>0.10118623604769947</v>
      </c>
      <c r="D1511" s="3">
        <f t="shared" si="1002"/>
        <v>0.10118623604769947</v>
      </c>
      <c r="F1511">
        <v>1090</v>
      </c>
      <c r="G1511" t="s">
        <v>76</v>
      </c>
      <c r="H1511">
        <v>1000</v>
      </c>
      <c r="I1511" s="22"/>
      <c r="J1511">
        <v>25</v>
      </c>
      <c r="K1511" s="22"/>
      <c r="L1511">
        <v>9.5936601396686196</v>
      </c>
      <c r="M1511" s="22">
        <v>0.125</v>
      </c>
      <c r="N1511" s="21">
        <v>45628</v>
      </c>
      <c r="O1511" s="21">
        <v>47454</v>
      </c>
      <c r="P1511">
        <f t="shared" si="1003"/>
        <v>5</v>
      </c>
      <c r="Q1511" s="6">
        <f t="shared" si="1004"/>
        <v>0.11467889908256881</v>
      </c>
      <c r="R1511" s="5">
        <f t="shared" si="1005"/>
        <v>1</v>
      </c>
      <c r="S1511" t="s">
        <v>93</v>
      </c>
      <c r="U1511">
        <f t="shared" si="1006"/>
        <v>5</v>
      </c>
      <c r="V1511">
        <f t="shared" si="1007"/>
        <v>125</v>
      </c>
      <c r="W1511" s="28">
        <f t="shared" si="1008"/>
        <v>0.10118623604769947</v>
      </c>
      <c r="X1511" s="27">
        <f t="shared" si="1009"/>
        <v>0.10118623604769947</v>
      </c>
      <c r="Y1511" s="5">
        <f t="shared" si="1010"/>
        <v>4.0499655504051555</v>
      </c>
      <c r="Z1511" s="5">
        <f t="shared" si="1011"/>
        <v>3.6778207153596547</v>
      </c>
      <c r="AA1511" s="5">
        <f t="shared" si="1012"/>
        <v>-4008.8245797420236</v>
      </c>
      <c r="AB1511" t="s">
        <v>64</v>
      </c>
      <c r="AC1511" t="s">
        <v>62</v>
      </c>
      <c r="AD1511">
        <f t="shared" si="1013"/>
        <v>1</v>
      </c>
    </row>
    <row r="1512" spans="1:30" x14ac:dyDescent="0.35">
      <c r="A1512" t="s">
        <v>564</v>
      </c>
      <c r="B1512" t="s">
        <v>326</v>
      </c>
      <c r="C1512" s="36">
        <f t="shared" si="1001"/>
        <v>0.11433823256284771</v>
      </c>
      <c r="D1512" s="3">
        <f t="shared" si="1002"/>
        <v>0.11433823256284771</v>
      </c>
      <c r="F1512">
        <v>975</v>
      </c>
      <c r="G1512" t="s">
        <v>76</v>
      </c>
      <c r="H1512">
        <v>1000</v>
      </c>
      <c r="I1512" s="22"/>
      <c r="J1512">
        <v>10</v>
      </c>
      <c r="K1512" s="22"/>
      <c r="L1512">
        <v>11.6105769230769</v>
      </c>
      <c r="M1512" s="22">
        <v>0.1075</v>
      </c>
      <c r="N1512" s="21">
        <v>45630</v>
      </c>
      <c r="O1512" s="21">
        <v>47455</v>
      </c>
      <c r="P1512">
        <f t="shared" si="1003"/>
        <v>5</v>
      </c>
      <c r="Q1512" s="6">
        <f t="shared" si="1004"/>
        <v>0.11025641025641025</v>
      </c>
      <c r="R1512" s="5">
        <f t="shared" si="1005"/>
        <v>1</v>
      </c>
      <c r="S1512" t="s">
        <v>93</v>
      </c>
      <c r="U1512">
        <f t="shared" si="1006"/>
        <v>5</v>
      </c>
      <c r="V1512">
        <f t="shared" si="1007"/>
        <v>107.5</v>
      </c>
      <c r="W1512" s="28">
        <f t="shared" si="1008"/>
        <v>0.11433823256284771</v>
      </c>
      <c r="X1512" s="27">
        <f t="shared" si="1009"/>
        <v>0.11433823256284771</v>
      </c>
      <c r="Y1512" s="5">
        <f t="shared" si="1010"/>
        <v>4.10420897414786</v>
      </c>
      <c r="Z1512" s="5">
        <f t="shared" si="1011"/>
        <v>3.6830908733236756</v>
      </c>
      <c r="AA1512" s="5">
        <f t="shared" si="1012"/>
        <v>-3591.0136014905838</v>
      </c>
      <c r="AB1512" t="s">
        <v>64</v>
      </c>
      <c r="AC1512" t="s">
        <v>62</v>
      </c>
      <c r="AD1512">
        <f t="shared" si="1013"/>
        <v>1</v>
      </c>
    </row>
    <row r="1513" spans="1:30" x14ac:dyDescent="0.35">
      <c r="A1513" t="s">
        <v>563</v>
      </c>
      <c r="B1513" t="s">
        <v>326</v>
      </c>
      <c r="C1513" s="36">
        <f t="shared" si="1001"/>
        <v>0.11000000000002166</v>
      </c>
      <c r="D1513" s="3">
        <f t="shared" si="1002"/>
        <v>0.11000000000002166</v>
      </c>
      <c r="F1513">
        <v>1000</v>
      </c>
      <c r="G1513" t="s">
        <v>76</v>
      </c>
      <c r="H1513">
        <v>1000</v>
      </c>
      <c r="I1513" s="22"/>
      <c r="J1513">
        <v>1</v>
      </c>
      <c r="K1513" s="22"/>
      <c r="L1513">
        <v>11</v>
      </c>
      <c r="M1513" s="22">
        <v>0.11</v>
      </c>
      <c r="N1513" s="21">
        <v>45630</v>
      </c>
      <c r="O1513" s="21">
        <v>47455</v>
      </c>
      <c r="P1513">
        <f t="shared" si="1003"/>
        <v>5</v>
      </c>
      <c r="Q1513" s="6">
        <f t="shared" si="1004"/>
        <v>0.11</v>
      </c>
      <c r="R1513" s="5">
        <f t="shared" si="1005"/>
        <v>1</v>
      </c>
      <c r="S1513" t="s">
        <v>93</v>
      </c>
      <c r="U1513">
        <f t="shared" si="1006"/>
        <v>5</v>
      </c>
      <c r="V1513">
        <f t="shared" si="1007"/>
        <v>110</v>
      </c>
      <c r="W1513" s="28">
        <f t="shared" si="1008"/>
        <v>0.11000000000002166</v>
      </c>
      <c r="X1513" s="27">
        <f t="shared" si="1009"/>
        <v>0.11000000000002166</v>
      </c>
      <c r="Y1513" s="5">
        <f t="shared" si="1010"/>
        <v>4.0996679118130901</v>
      </c>
      <c r="Z1513" s="5">
        <f t="shared" si="1011"/>
        <v>3.6933945151468559</v>
      </c>
      <c r="AA1513" s="5">
        <f t="shared" si="1012"/>
        <v>-3693.3945151468561</v>
      </c>
      <c r="AB1513" t="s">
        <v>64</v>
      </c>
      <c r="AC1513" t="s">
        <v>62</v>
      </c>
      <c r="AD1513">
        <f t="shared" si="1013"/>
        <v>1</v>
      </c>
    </row>
    <row r="1514" spans="1:30" x14ac:dyDescent="0.35">
      <c r="A1514" t="s">
        <v>562</v>
      </c>
      <c r="B1514" t="s">
        <v>561</v>
      </c>
      <c r="C1514" s="36">
        <f t="shared" si="1001"/>
        <v>0.12122031021636261</v>
      </c>
      <c r="D1514" s="3">
        <f t="shared" si="1002"/>
        <v>0.12122031021636261</v>
      </c>
      <c r="F1514">
        <v>99500.01</v>
      </c>
      <c r="G1514" t="s">
        <v>76</v>
      </c>
      <c r="H1514">
        <v>100000</v>
      </c>
      <c r="I1514" s="22"/>
      <c r="J1514">
        <v>1</v>
      </c>
      <c r="K1514" s="22"/>
      <c r="L1514">
        <v>12.1750053602701</v>
      </c>
      <c r="M1514" s="22">
        <v>0.12</v>
      </c>
      <c r="N1514" s="21">
        <v>45446</v>
      </c>
      <c r="O1514" s="21">
        <v>47455</v>
      </c>
      <c r="P1514">
        <f t="shared" si="1003"/>
        <v>6</v>
      </c>
      <c r="Q1514" s="6">
        <f t="shared" si="1004"/>
        <v>0.12060300295447207</v>
      </c>
      <c r="R1514" s="5">
        <f t="shared" si="1005"/>
        <v>1</v>
      </c>
      <c r="S1514" t="s">
        <v>93</v>
      </c>
      <c r="U1514">
        <f t="shared" si="1006"/>
        <v>6</v>
      </c>
      <c r="V1514">
        <f t="shared" si="1007"/>
        <v>12000</v>
      </c>
      <c r="W1514" s="28">
        <f t="shared" si="1008"/>
        <v>0.12122031021636261</v>
      </c>
      <c r="X1514" s="27">
        <f t="shared" si="1009"/>
        <v>0.12122031021636261</v>
      </c>
      <c r="Y1514" s="5">
        <f t="shared" si="1010"/>
        <v>4.1010656387184294</v>
      </c>
      <c r="Z1514" s="5">
        <f t="shared" si="1011"/>
        <v>3.6576804766647903</v>
      </c>
      <c r="AA1514" s="5">
        <f t="shared" si="1012"/>
        <v>-363939.24400495138</v>
      </c>
      <c r="AB1514" t="s">
        <v>64</v>
      </c>
      <c r="AC1514" t="s">
        <v>62</v>
      </c>
      <c r="AD1514">
        <f t="shared" si="1013"/>
        <v>1</v>
      </c>
    </row>
    <row r="1515" spans="1:30" x14ac:dyDescent="0.35">
      <c r="A1515" t="s">
        <v>560</v>
      </c>
      <c r="B1515" t="s">
        <v>559</v>
      </c>
      <c r="C1515" s="36">
        <f t="shared" si="1001"/>
        <v>1.9988762385186699E-2</v>
      </c>
      <c r="D1515" s="3">
        <f t="shared" si="1002"/>
        <v>3.9977524770373397E-2</v>
      </c>
      <c r="F1515">
        <v>949.08</v>
      </c>
      <c r="G1515" t="s">
        <v>66</v>
      </c>
      <c r="H1515">
        <v>1000</v>
      </c>
      <c r="I1515" s="22"/>
      <c r="J1515">
        <v>550000</v>
      </c>
      <c r="K1515" s="22"/>
      <c r="M1515" s="22">
        <v>3.3750000000000002E-2</v>
      </c>
      <c r="N1515" s="21">
        <v>43804</v>
      </c>
      <c r="O1515" s="21">
        <v>47457</v>
      </c>
      <c r="P1515">
        <f t="shared" si="1003"/>
        <v>10</v>
      </c>
      <c r="Q1515" s="6">
        <f t="shared" si="1004"/>
        <v>3.5560753571880134E-2</v>
      </c>
      <c r="R1515" s="5">
        <f t="shared" si="1005"/>
        <v>2</v>
      </c>
      <c r="S1515" t="s">
        <v>65</v>
      </c>
      <c r="U1515">
        <f t="shared" si="1006"/>
        <v>20</v>
      </c>
      <c r="V1515">
        <f t="shared" si="1007"/>
        <v>16.875</v>
      </c>
      <c r="W1515" s="28">
        <f t="shared" si="1008"/>
        <v>1.9988762385186699E-2</v>
      </c>
      <c r="X1515" s="27">
        <f t="shared" si="1009"/>
        <v>3.9977524770373397E-2</v>
      </c>
      <c r="Y1515" s="5">
        <f t="shared" si="1010"/>
        <v>8.5234377898273106</v>
      </c>
      <c r="Z1515" s="5">
        <f t="shared" si="1011"/>
        <v>8.3564036234043684</v>
      </c>
      <c r="AA1515" s="5">
        <f t="shared" si="1012"/>
        <v>-7930.8955509006182</v>
      </c>
      <c r="AB1515" t="s">
        <v>64</v>
      </c>
      <c r="AC1515" t="s">
        <v>62</v>
      </c>
      <c r="AD1515">
        <f t="shared" si="1013"/>
        <v>2</v>
      </c>
    </row>
    <row r="1516" spans="1:30" x14ac:dyDescent="0.35">
      <c r="C1516" s="28"/>
      <c r="D1516" s="27"/>
      <c r="I1516" s="22"/>
      <c r="K1516" s="22"/>
      <c r="M1516" s="22"/>
      <c r="N1516" s="21"/>
      <c r="O1516" s="21"/>
      <c r="P1516" s="5"/>
      <c r="Q1516" s="6"/>
      <c r="R1516" s="5"/>
      <c r="W1516" s="28"/>
      <c r="Y1516" s="33"/>
      <c r="Z1516" s="33"/>
      <c r="AA1516" s="33"/>
    </row>
    <row r="1517" spans="1:30" x14ac:dyDescent="0.35">
      <c r="A1517" t="s">
        <v>557</v>
      </c>
      <c r="B1517" t="s">
        <v>316</v>
      </c>
      <c r="C1517" s="36">
        <f>RATE(U1517,V1517,-F1517,H1517)</f>
        <v>0.13470996768343887</v>
      </c>
      <c r="D1517" s="3">
        <f>C1517*AD1517</f>
        <v>0.13470996768343887</v>
      </c>
      <c r="F1517">
        <v>888</v>
      </c>
      <c r="G1517" t="s">
        <v>76</v>
      </c>
      <c r="H1517">
        <v>1000</v>
      </c>
      <c r="I1517" s="22"/>
      <c r="J1517">
        <v>100</v>
      </c>
      <c r="K1517" s="22"/>
      <c r="L1517">
        <v>14.332855582855499</v>
      </c>
      <c r="M1517" s="22">
        <v>0.10249999999999999</v>
      </c>
      <c r="N1517" s="21">
        <v>45638</v>
      </c>
      <c r="O1517" s="21">
        <v>47463</v>
      </c>
      <c r="P1517">
        <f>ROUND(YEARFRAC(N1517,O1517),0)</f>
        <v>5</v>
      </c>
      <c r="Q1517" s="6">
        <f>(M1517*H1517)/F1517</f>
        <v>0.11542792792792793</v>
      </c>
      <c r="R1517" s="5">
        <f>IF(S1517="Quarterly",4,IF(S1517="Semi-annual",2,IF(S1517="Annual",1,IF(S1517="Pays at maturity",0,12))))</f>
        <v>1</v>
      </c>
      <c r="S1517" t="s">
        <v>93</v>
      </c>
      <c r="U1517">
        <f>R1517*P1517</f>
        <v>5</v>
      </c>
      <c r="V1517">
        <f>(H1517*M1517)/AD1517</f>
        <v>102.5</v>
      </c>
      <c r="W1517" s="28">
        <f>RATE(U1517,V1517,-F1517,H1517)</f>
        <v>0.13470996768343887</v>
      </c>
      <c r="X1517" s="27">
        <f>W1517*AD1517</f>
        <v>0.13470996768343887</v>
      </c>
      <c r="Y1517" s="5">
        <f>DURATION(N1517,O1517,M1517,D1517,AD1517)</f>
        <v>4.0937428232202864</v>
      </c>
      <c r="Z1517" s="5">
        <f>Y1517/(1+C1517)</f>
        <v>3.607743775775448</v>
      </c>
      <c r="AA1517" s="5">
        <f>-Z1517*F1517</f>
        <v>-3203.6764728885978</v>
      </c>
      <c r="AB1517" t="s">
        <v>64</v>
      </c>
      <c r="AC1517" t="s">
        <v>62</v>
      </c>
      <c r="AD1517">
        <f>_xlfn.SWITCH(PROPER(TRIM(S1517)),
   "Annual",1,
   "Semi-Annual",2,
   "Quarterly",4,
   "Monthly",12,
   "")</f>
        <v>1</v>
      </c>
    </row>
    <row r="1518" spans="1:30" x14ac:dyDescent="0.35">
      <c r="C1518" s="28"/>
      <c r="D1518" s="27"/>
      <c r="I1518" s="22"/>
      <c r="K1518" s="22"/>
      <c r="M1518" s="22"/>
      <c r="N1518" s="21"/>
      <c r="O1518" s="21"/>
      <c r="P1518" s="5"/>
      <c r="Q1518" s="6"/>
      <c r="R1518" s="5"/>
      <c r="W1518" s="28"/>
      <c r="Y1518" s="33"/>
      <c r="Z1518" s="33"/>
      <c r="AA1518" s="33"/>
    </row>
    <row r="1519" spans="1:30" x14ac:dyDescent="0.35">
      <c r="A1519" t="s">
        <v>555</v>
      </c>
      <c r="B1519" t="s">
        <v>553</v>
      </c>
      <c r="C1519" s="36">
        <f>RATE(U1519,V1519,-F1519,H1519)</f>
        <v>9.1467710927811613E-2</v>
      </c>
      <c r="D1519" s="3">
        <f>C1519*AD1519</f>
        <v>9.1467710927811613E-2</v>
      </c>
      <c r="F1519">
        <v>1004</v>
      </c>
      <c r="G1519" t="s">
        <v>76</v>
      </c>
      <c r="H1519">
        <v>1000</v>
      </c>
      <c r="I1519" s="22"/>
      <c r="J1519">
        <v>100</v>
      </c>
      <c r="K1519" s="22"/>
      <c r="L1519">
        <v>9.1232164723911993</v>
      </c>
      <c r="M1519" s="22">
        <v>9.2499999999999999E-2</v>
      </c>
      <c r="N1519" s="21">
        <v>45652</v>
      </c>
      <c r="O1519" s="21">
        <v>47478</v>
      </c>
      <c r="P1519">
        <f>ROUND(YEARFRAC(N1519,O1519),0)</f>
        <v>5</v>
      </c>
      <c r="Q1519" s="6">
        <f>(M1519*H1519)/F1519</f>
        <v>9.2131474103585659E-2</v>
      </c>
      <c r="R1519" s="5">
        <f>IF(S1519="Quarterly",4,IF(S1519="Semi-annual",2,IF(S1519="Annual",1,IF(S1519="Pays at maturity",0,12))))</f>
        <v>1</v>
      </c>
      <c r="S1519" t="s">
        <v>93</v>
      </c>
      <c r="U1519">
        <f>R1519*P1519</f>
        <v>5</v>
      </c>
      <c r="V1519">
        <f>(H1519*M1519)/AD1519</f>
        <v>92.5</v>
      </c>
      <c r="W1519" s="28">
        <f>RATE(U1519,V1519,-F1519,H1519)</f>
        <v>9.1467710927811613E-2</v>
      </c>
      <c r="X1519" s="27">
        <f>W1519*AD1519</f>
        <v>9.1467710927811613E-2</v>
      </c>
      <c r="Y1519" s="5">
        <f>DURATION(N1519,O1519,M1519,D1519,AD1519)</f>
        <v>4.2237175937115161</v>
      </c>
      <c r="Z1519" s="5">
        <f>Y1519/(1+C1519)</f>
        <v>3.8697595461812679</v>
      </c>
      <c r="AA1519" s="5">
        <f>-Z1519*F1519</f>
        <v>-3885.2385843659931</v>
      </c>
      <c r="AB1519" t="s">
        <v>64</v>
      </c>
      <c r="AC1519" t="s">
        <v>62</v>
      </c>
      <c r="AD1519">
        <f>_xlfn.SWITCH(PROPER(TRIM(S1519)),
   "Annual",1,
   "Semi-Annual",2,
   "Quarterly",4,
   "Monthly",12,
   "")</f>
        <v>1</v>
      </c>
    </row>
    <row r="1520" spans="1:30" x14ac:dyDescent="0.35">
      <c r="A1520" t="s">
        <v>554</v>
      </c>
      <c r="B1520" t="s">
        <v>553</v>
      </c>
      <c r="C1520" s="36">
        <f>RATE(U1520,V1520,-F1520,H1520)</f>
        <v>9.6716863534175385E-2</v>
      </c>
      <c r="D1520" s="3">
        <f>C1520*AD1520</f>
        <v>9.6716863534175385E-2</v>
      </c>
      <c r="F1520">
        <v>970.5</v>
      </c>
      <c r="G1520" t="s">
        <v>76</v>
      </c>
      <c r="H1520">
        <v>1000</v>
      </c>
      <c r="I1520" s="22"/>
      <c r="J1520">
        <v>100</v>
      </c>
      <c r="K1520" s="22"/>
      <c r="L1520">
        <v>9.8541287132452897</v>
      </c>
      <c r="M1520" s="22">
        <v>8.900000000000001E-2</v>
      </c>
      <c r="N1520" s="21">
        <v>45652</v>
      </c>
      <c r="O1520" s="21">
        <v>47478</v>
      </c>
      <c r="P1520">
        <f>ROUND(YEARFRAC(N1520,O1520),0)</f>
        <v>5</v>
      </c>
      <c r="Q1520" s="6">
        <f>(M1520*H1520)/F1520</f>
        <v>9.1705306543019074E-2</v>
      </c>
      <c r="R1520" s="5">
        <f>IF(S1520="Quarterly",4,IF(S1520="Semi-annual",2,IF(S1520="Annual",1,IF(S1520="Pays at maturity",0,12))))</f>
        <v>1</v>
      </c>
      <c r="S1520" t="s">
        <v>93</v>
      </c>
      <c r="U1520">
        <f>R1520*P1520</f>
        <v>5</v>
      </c>
      <c r="V1520">
        <f>(H1520*M1520)/AD1520</f>
        <v>89.000000000000014</v>
      </c>
      <c r="W1520" s="28">
        <f>RATE(U1520,V1520,-F1520,H1520)</f>
        <v>9.6716863534175385E-2</v>
      </c>
      <c r="X1520" s="27">
        <f>W1520*AD1520</f>
        <v>9.6716863534175385E-2</v>
      </c>
      <c r="Y1520" s="5">
        <f>DURATION(N1520,O1520,M1520,D1520,AD1520)</f>
        <v>4.2343662733278267</v>
      </c>
      <c r="Z1520" s="5">
        <f>Y1520/(1+C1520)</f>
        <v>3.8609475372545665</v>
      </c>
      <c r="AA1520" s="5">
        <f>-Z1520*F1520</f>
        <v>-3747.0495849055569</v>
      </c>
      <c r="AB1520" t="s">
        <v>64</v>
      </c>
      <c r="AC1520" t="s">
        <v>62</v>
      </c>
      <c r="AD1520">
        <f>_xlfn.SWITCH(PROPER(TRIM(S1520)),
   "Annual",1,
   "Semi-Annual",2,
   "Quarterly",4,
   "Monthly",12,
   "")</f>
        <v>1</v>
      </c>
    </row>
    <row r="1521" spans="1:30" x14ac:dyDescent="0.35">
      <c r="A1521" t="s">
        <v>552</v>
      </c>
      <c r="B1521" t="s">
        <v>128</v>
      </c>
      <c r="C1521" s="36">
        <f>RATE(U1521,V1521,-F1521,H1521)</f>
        <v>0.10149999999944202</v>
      </c>
      <c r="D1521" s="3">
        <f>C1521*AD1521</f>
        <v>0.10149999999944202</v>
      </c>
      <c r="F1521">
        <v>1000</v>
      </c>
      <c r="G1521" t="s">
        <v>76</v>
      </c>
      <c r="H1521">
        <v>1000</v>
      </c>
      <c r="I1521" s="22"/>
      <c r="J1521">
        <v>36</v>
      </c>
      <c r="K1521" s="22"/>
      <c r="L1521">
        <v>10.15</v>
      </c>
      <c r="M1521" s="22">
        <v>0.10150000000000001</v>
      </c>
      <c r="N1521" s="21">
        <v>45653</v>
      </c>
      <c r="O1521" s="21">
        <v>47479</v>
      </c>
      <c r="P1521">
        <f>ROUND(YEARFRAC(N1521,O1521),0)</f>
        <v>5</v>
      </c>
      <c r="Q1521" s="6">
        <f>(M1521*H1521)/F1521</f>
        <v>0.10150000000000001</v>
      </c>
      <c r="R1521" s="5">
        <f>IF(S1521="Quarterly",4,IF(S1521="Semi-annual",2,IF(S1521="Annual",1,IF(S1521="Pays at maturity",0,12))))</f>
        <v>1</v>
      </c>
      <c r="S1521" t="s">
        <v>93</v>
      </c>
      <c r="U1521">
        <f>R1521*P1521</f>
        <v>5</v>
      </c>
      <c r="V1521">
        <f>(H1521*M1521)/AD1521</f>
        <v>101.5</v>
      </c>
      <c r="W1521" s="28">
        <f>RATE(U1521,V1521,-F1521,H1521)</f>
        <v>0.10149999999944202</v>
      </c>
      <c r="X1521" s="27">
        <f>W1521*AD1521</f>
        <v>0.10149999999944202</v>
      </c>
      <c r="Y1521" s="5">
        <f>DURATION(N1521,O1521,M1521,D1521,AD1521)</f>
        <v>4.1596000637009762</v>
      </c>
      <c r="Z1521" s="5">
        <f>Y1521/(1+C1521)</f>
        <v>3.7763050964167806</v>
      </c>
      <c r="AA1521" s="5">
        <f>-Z1521*F1521</f>
        <v>-3776.3050964167805</v>
      </c>
      <c r="AB1521" t="s">
        <v>64</v>
      </c>
      <c r="AC1521" t="s">
        <v>62</v>
      </c>
      <c r="AD1521">
        <f>_xlfn.SWITCH(PROPER(TRIM(S1521)),
   "Annual",1,
   "Semi-Annual",2,
   "Quarterly",4,
   "Monthly",12,
   "")</f>
        <v>1</v>
      </c>
    </row>
    <row r="1522" spans="1:30" x14ac:dyDescent="0.35">
      <c r="A1522" t="s">
        <v>551</v>
      </c>
      <c r="B1522" t="s">
        <v>128</v>
      </c>
      <c r="C1522" s="36">
        <f>RATE(U1522,V1522,-F1522,H1522)</f>
        <v>0.10201333447771313</v>
      </c>
      <c r="D1522" s="3">
        <f>C1522*AD1522</f>
        <v>0.10201333447771313</v>
      </c>
      <c r="F1522">
        <v>981.47</v>
      </c>
      <c r="G1522" t="s">
        <v>76</v>
      </c>
      <c r="H1522">
        <v>1000</v>
      </c>
      <c r="I1522" s="22"/>
      <c r="J1522">
        <v>25</v>
      </c>
      <c r="K1522" s="22"/>
      <c r="L1522">
        <v>10.3160927820739</v>
      </c>
      <c r="M1522" s="22">
        <v>9.7100000000000006E-2</v>
      </c>
      <c r="N1522" s="21">
        <v>45653</v>
      </c>
      <c r="O1522" s="21">
        <v>47479</v>
      </c>
      <c r="P1522">
        <f>ROUND(YEARFRAC(N1522,O1522),0)</f>
        <v>5</v>
      </c>
      <c r="Q1522" s="6">
        <f>(M1522*H1522)/F1522</f>
        <v>9.893323280385545E-2</v>
      </c>
      <c r="R1522" s="5">
        <f>IF(S1522="Quarterly",4,IF(S1522="Semi-annual",2,IF(S1522="Annual",1,IF(S1522="Pays at maturity",0,12))))</f>
        <v>1</v>
      </c>
      <c r="S1522" t="s">
        <v>93</v>
      </c>
      <c r="U1522">
        <f>R1522*P1522</f>
        <v>5</v>
      </c>
      <c r="V1522">
        <f>(H1522*M1522)/AD1522</f>
        <v>97.100000000000009</v>
      </c>
      <c r="W1522" s="28">
        <f>RATE(U1522,V1522,-F1522,H1522)</f>
        <v>0.10201333447771313</v>
      </c>
      <c r="X1522" s="27">
        <f>W1522*AD1522</f>
        <v>0.10201333447771313</v>
      </c>
      <c r="Y1522" s="5">
        <f>DURATION(N1522,O1522,M1522,D1522,AD1522)</f>
        <v>4.1815795185027884</v>
      </c>
      <c r="Z1522" s="5">
        <f>Y1522/(1+C1522)</f>
        <v>3.7944908538557756</v>
      </c>
      <c r="AA1522" s="5">
        <f>-Z1522*F1522</f>
        <v>-3724.1789383338282</v>
      </c>
      <c r="AB1522" t="s">
        <v>64</v>
      </c>
      <c r="AC1522" t="s">
        <v>62</v>
      </c>
      <c r="AD1522">
        <f>_xlfn.SWITCH(PROPER(TRIM(S1522)),
   "Annual",1,
   "Semi-Annual",2,
   "Quarterly",4,
   "Monthly",12,
   "")</f>
        <v>1</v>
      </c>
    </row>
    <row r="1523" spans="1:30" x14ac:dyDescent="0.35">
      <c r="A1523" t="s">
        <v>550</v>
      </c>
      <c r="B1523" t="s">
        <v>241</v>
      </c>
      <c r="C1523" s="36">
        <f>RATE(U1523,V1523,-F1523,H1523)</f>
        <v>9.9354135149330502E-2</v>
      </c>
      <c r="D1523" s="3">
        <f>C1523*AD1523</f>
        <v>9.9354135149330502E-2</v>
      </c>
      <c r="F1523">
        <v>100500</v>
      </c>
      <c r="G1523" t="s">
        <v>76</v>
      </c>
      <c r="H1523">
        <v>100000</v>
      </c>
      <c r="I1523" s="22"/>
      <c r="J1523">
        <v>1</v>
      </c>
      <c r="K1523" s="22"/>
      <c r="L1523">
        <v>9.8905412659427405</v>
      </c>
      <c r="M1523" s="22">
        <v>0.10050000000000001</v>
      </c>
      <c r="N1523" s="21">
        <v>45352</v>
      </c>
      <c r="O1523" s="21">
        <v>47483</v>
      </c>
      <c r="P1523">
        <f>ROUND(YEARFRAC(N1523,O1523),0)</f>
        <v>6</v>
      </c>
      <c r="Q1523" s="6">
        <f>(M1523*H1523)/F1523</f>
        <v>0.1</v>
      </c>
      <c r="R1523" s="5">
        <f>IF(S1523="Quarterly",4,IF(S1523="Semi-annual",2,IF(S1523="Annual",1,IF(S1523="Pays at maturity",0,12))))</f>
        <v>1</v>
      </c>
      <c r="S1523" t="s">
        <v>93</v>
      </c>
      <c r="U1523">
        <f>R1523*P1523</f>
        <v>6</v>
      </c>
      <c r="V1523">
        <f>(H1523*M1523)/AD1523</f>
        <v>10050</v>
      </c>
      <c r="W1523" s="28">
        <f>RATE(U1523,V1523,-F1523,H1523)</f>
        <v>9.9354135149330502E-2</v>
      </c>
      <c r="X1523" s="27">
        <f>W1523*AD1523</f>
        <v>9.9354135149330502E-2</v>
      </c>
      <c r="Y1523" s="5">
        <f>DURATION(N1523,O1523,M1523,D1523,AD1523)</f>
        <v>4.6197853488675866</v>
      </c>
      <c r="Z1523" s="5">
        <f>Y1523/(1+C1523)</f>
        <v>4.2022722261740153</v>
      </c>
      <c r="AA1523" s="5">
        <f>-Z1523*F1523</f>
        <v>-422328.35873048851</v>
      </c>
      <c r="AB1523" t="s">
        <v>64</v>
      </c>
      <c r="AC1523" t="s">
        <v>62</v>
      </c>
      <c r="AD1523">
        <f>_xlfn.SWITCH(PROPER(TRIM(S1523)),
   "Annual",1,
   "Semi-Annual",2,
   "Quarterly",4,
   "Monthly",12,
   "")</f>
        <v>1</v>
      </c>
    </row>
    <row r="1524" spans="1:30" x14ac:dyDescent="0.35">
      <c r="C1524" s="28"/>
      <c r="D1524" s="27"/>
      <c r="I1524" s="22"/>
      <c r="K1524" s="22"/>
      <c r="M1524" s="22"/>
      <c r="N1524" s="21"/>
      <c r="O1524" s="21"/>
      <c r="P1524" s="5"/>
      <c r="Q1524" s="6"/>
      <c r="R1524" s="5"/>
      <c r="W1524" s="28"/>
      <c r="Y1524" s="33"/>
      <c r="Z1524" s="33"/>
      <c r="AA1524" s="33"/>
    </row>
    <row r="1525" spans="1:30" x14ac:dyDescent="0.35">
      <c r="C1525" s="28"/>
      <c r="D1525" s="27"/>
      <c r="I1525" s="22"/>
      <c r="K1525" s="22"/>
      <c r="M1525" s="22"/>
      <c r="N1525" s="21"/>
      <c r="O1525" s="21"/>
      <c r="P1525" s="5"/>
      <c r="Q1525" s="6"/>
      <c r="R1525" s="5"/>
      <c r="W1525" s="28"/>
      <c r="Y1525" s="33"/>
      <c r="Z1525" s="33"/>
      <c r="AA1525" s="33"/>
    </row>
    <row r="1526" spans="1:30" x14ac:dyDescent="0.35">
      <c r="A1526" t="s">
        <v>547</v>
      </c>
      <c r="B1526" t="s">
        <v>546</v>
      </c>
      <c r="C1526" s="36">
        <f>RATE(U1526,V1526,-F1526,H1526)</f>
        <v>6.9404529964158412E-2</v>
      </c>
      <c r="D1526" s="3">
        <f>C1526*AD1526</f>
        <v>6.9404529964158412E-2</v>
      </c>
      <c r="F1526">
        <v>101271.23</v>
      </c>
      <c r="G1526" t="s">
        <v>76</v>
      </c>
      <c r="H1526">
        <v>100000</v>
      </c>
      <c r="I1526" s="22"/>
      <c r="J1526">
        <v>5</v>
      </c>
      <c r="K1526" s="22"/>
      <c r="L1526">
        <v>6.8991093002614496</v>
      </c>
      <c r="M1526" s="22">
        <v>7.2499999999999995E-2</v>
      </c>
      <c r="N1526" s="21">
        <v>45663</v>
      </c>
      <c r="O1526" s="21">
        <v>47489</v>
      </c>
      <c r="P1526">
        <f>ROUND(YEARFRAC(N1526,O1526),0)</f>
        <v>5</v>
      </c>
      <c r="Q1526" s="6">
        <f>(M1526*H1526)/F1526</f>
        <v>7.1589927366340858E-2</v>
      </c>
      <c r="R1526" s="5">
        <f>IF(S1526="Quarterly",4,IF(S1526="Semi-annual",2,IF(S1526="Annual",1,IF(S1526="Pays at maturity",0,12))))</f>
        <v>1</v>
      </c>
      <c r="S1526" t="s">
        <v>93</v>
      </c>
      <c r="U1526">
        <f>R1526*P1526</f>
        <v>5</v>
      </c>
      <c r="V1526">
        <f>(H1526*M1526)/AD1526</f>
        <v>7249.9999999999991</v>
      </c>
      <c r="W1526" s="28">
        <f>RATE(U1526,V1526,-F1526,H1526)</f>
        <v>6.9404529964158412E-2</v>
      </c>
      <c r="X1526" s="27">
        <f>W1526*AD1526</f>
        <v>6.9404529964158412E-2</v>
      </c>
      <c r="Y1526" s="5">
        <f>DURATION(N1526,O1526,M1526,D1526,AD1526)</f>
        <v>4.3726177518737943</v>
      </c>
      <c r="Z1526" s="5">
        <f>Y1526/(1+C1526)</f>
        <v>4.0888341402671493</v>
      </c>
      <c r="AA1526" s="5">
        <f>-Z1526*F1526</f>
        <v>-414081.26265084674</v>
      </c>
      <c r="AB1526" t="s">
        <v>64</v>
      </c>
      <c r="AC1526" t="s">
        <v>62</v>
      </c>
      <c r="AD1526">
        <f>_xlfn.SWITCH(PROPER(TRIM(S1526)),
   "Annual",1,
   "Semi-Annual",2,
   "Quarterly",4,
   "Monthly",12,
   "")</f>
        <v>1</v>
      </c>
    </row>
    <row r="1527" spans="1:30" x14ac:dyDescent="0.35">
      <c r="A1527" t="s">
        <v>545</v>
      </c>
      <c r="B1527" t="s">
        <v>119</v>
      </c>
      <c r="C1527" s="36">
        <f>RATE(U1527,V1527,-F1527,H1527)</f>
        <v>0.10029999999999689</v>
      </c>
      <c r="D1527" s="3">
        <f>C1527*AD1527</f>
        <v>0.10029999999999689</v>
      </c>
      <c r="F1527">
        <v>1000</v>
      </c>
      <c r="G1527" t="s">
        <v>76</v>
      </c>
      <c r="H1527">
        <v>1000</v>
      </c>
      <c r="I1527" s="22"/>
      <c r="J1527">
        <v>74</v>
      </c>
      <c r="K1527" s="22"/>
      <c r="L1527">
        <v>10.029999999999999</v>
      </c>
      <c r="M1527" s="22">
        <v>0.1003</v>
      </c>
      <c r="N1527" s="21">
        <v>45663</v>
      </c>
      <c r="O1527" s="21">
        <v>47489</v>
      </c>
      <c r="P1527">
        <f>ROUND(YEARFRAC(N1527,O1527),0)</f>
        <v>5</v>
      </c>
      <c r="Q1527" s="6">
        <f>(M1527*H1527)/F1527</f>
        <v>0.1003</v>
      </c>
      <c r="R1527" s="5">
        <f>IF(S1527="Quarterly",4,IF(S1527="Semi-annual",2,IF(S1527="Annual",1,IF(S1527="Pays at maturity",0,12))))</f>
        <v>1</v>
      </c>
      <c r="S1527" t="s">
        <v>93</v>
      </c>
      <c r="U1527">
        <f>R1527*P1527</f>
        <v>5</v>
      </c>
      <c r="V1527">
        <f>(H1527*M1527)/AD1527</f>
        <v>100.3</v>
      </c>
      <c r="W1527" s="28">
        <f>RATE(U1527,V1527,-F1527,H1527)</f>
        <v>0.10029999999999689</v>
      </c>
      <c r="X1527" s="27">
        <f>W1527*AD1527</f>
        <v>0.10029999999999689</v>
      </c>
      <c r="Y1527" s="5">
        <f>DURATION(N1527,O1527,M1527,D1527,AD1527)</f>
        <v>4.1678080007281846</v>
      </c>
      <c r="Z1527" s="5">
        <f>Y1527/(1+C1527)</f>
        <v>3.7878833052151197</v>
      </c>
      <c r="AA1527" s="5">
        <f>-Z1527*F1527</f>
        <v>-3787.8833052151199</v>
      </c>
      <c r="AB1527" t="s">
        <v>64</v>
      </c>
      <c r="AC1527" t="s">
        <v>62</v>
      </c>
      <c r="AD1527">
        <f>_xlfn.SWITCH(PROPER(TRIM(S1527)),
   "Annual",1,
   "Semi-Annual",2,
   "Quarterly",4,
   "Monthly",12,
   "")</f>
        <v>1</v>
      </c>
    </row>
    <row r="1528" spans="1:30" x14ac:dyDescent="0.35">
      <c r="C1528" s="28"/>
      <c r="D1528" s="27"/>
      <c r="I1528" s="22"/>
      <c r="K1528" s="22"/>
      <c r="M1528" s="22"/>
      <c r="N1528" s="21"/>
      <c r="O1528" s="21"/>
      <c r="P1528" s="5"/>
      <c r="Q1528" s="6"/>
      <c r="R1528" s="5"/>
      <c r="W1528" s="28"/>
      <c r="Y1528" s="33"/>
      <c r="Z1528" s="33"/>
      <c r="AA1528" s="33"/>
    </row>
    <row r="1529" spans="1:30" x14ac:dyDescent="0.35">
      <c r="A1529" t="s">
        <v>543</v>
      </c>
      <c r="B1529" t="s">
        <v>241</v>
      </c>
      <c r="C1529" s="36">
        <f>RATE(U1529,V1529,-F1529,H1529)</f>
        <v>0.10032006606076428</v>
      </c>
      <c r="D1529" s="3">
        <f>C1529*AD1529</f>
        <v>0.10032006606076428</v>
      </c>
      <c r="F1529">
        <v>995</v>
      </c>
      <c r="G1529" t="s">
        <v>76</v>
      </c>
      <c r="H1529">
        <v>1000</v>
      </c>
      <c r="I1529" s="22"/>
      <c r="J1529">
        <v>2</v>
      </c>
      <c r="K1529" s="22"/>
      <c r="L1529">
        <v>10.0613163139297</v>
      </c>
      <c r="M1529" s="22">
        <v>9.9000000000000005E-2</v>
      </c>
      <c r="N1529" s="21">
        <v>45667</v>
      </c>
      <c r="O1529" s="21">
        <v>47493</v>
      </c>
      <c r="P1529">
        <f>ROUND(YEARFRAC(N1529,O1529),0)</f>
        <v>5</v>
      </c>
      <c r="Q1529" s="6">
        <f>(M1529*H1529)/F1529</f>
        <v>9.9497487437185936E-2</v>
      </c>
      <c r="R1529" s="5">
        <f>IF(S1529="Quarterly",4,IF(S1529="Semi-annual",2,IF(S1529="Annual",1,IF(S1529="Pays at maturity",0,12))))</f>
        <v>1</v>
      </c>
      <c r="S1529" t="s">
        <v>93</v>
      </c>
      <c r="U1529">
        <f>R1529*P1529</f>
        <v>5</v>
      </c>
      <c r="V1529">
        <f>(H1529*M1529)/AD1529</f>
        <v>99</v>
      </c>
      <c r="W1529" s="28">
        <f>RATE(U1529,V1529,-F1529,H1529)</f>
        <v>0.10032006606076428</v>
      </c>
      <c r="X1529" s="27">
        <f>W1529*AD1529</f>
        <v>0.10032006606076428</v>
      </c>
      <c r="Y1529" s="5">
        <f>DURATION(N1529,O1529,M1529,D1529,AD1529)</f>
        <v>4.1744951839564681</v>
      </c>
      <c r="Z1529" s="5">
        <f>Y1529/(1+C1529)</f>
        <v>3.793891716345319</v>
      </c>
      <c r="AA1529" s="5">
        <f>-Z1529*F1529</f>
        <v>-3774.9222577635924</v>
      </c>
      <c r="AB1529" t="s">
        <v>64</v>
      </c>
      <c r="AC1529" t="s">
        <v>62</v>
      </c>
      <c r="AD1529">
        <f>_xlfn.SWITCH(PROPER(TRIM(S1529)),
   "Annual",1,
   "Semi-Annual",2,
   "Quarterly",4,
   "Monthly",12,
   "")</f>
        <v>1</v>
      </c>
    </row>
    <row r="1530" spans="1:30" x14ac:dyDescent="0.35">
      <c r="A1530" t="s">
        <v>542</v>
      </c>
      <c r="B1530" t="s">
        <v>241</v>
      </c>
      <c r="C1530" s="36">
        <f>RATE(U1530,V1530,-F1530,H1530)</f>
        <v>9.7911085807888973E-2</v>
      </c>
      <c r="D1530" s="3">
        <f>C1530*AD1530</f>
        <v>9.7911085807888973E-2</v>
      </c>
      <c r="F1530">
        <v>987</v>
      </c>
      <c r="G1530" t="s">
        <v>76</v>
      </c>
      <c r="H1530">
        <v>1000</v>
      </c>
      <c r="I1530" s="22"/>
      <c r="J1530">
        <v>807</v>
      </c>
      <c r="K1530" s="22"/>
      <c r="L1530">
        <v>9.8677870275756892</v>
      </c>
      <c r="M1530" s="22">
        <v>9.4499999999999987E-2</v>
      </c>
      <c r="N1530" s="21">
        <v>45667</v>
      </c>
      <c r="O1530" s="21">
        <v>47493</v>
      </c>
      <c r="P1530">
        <f>ROUND(YEARFRAC(N1530,O1530),0)</f>
        <v>5</v>
      </c>
      <c r="Q1530" s="6">
        <f>(M1530*H1530)/F1530</f>
        <v>9.5744680851063815E-2</v>
      </c>
      <c r="R1530" s="5">
        <f>IF(S1530="Quarterly",4,IF(S1530="Semi-annual",2,IF(S1530="Annual",1,IF(S1530="Pays at maturity",0,12))))</f>
        <v>1</v>
      </c>
      <c r="S1530" t="s">
        <v>93</v>
      </c>
      <c r="U1530">
        <f>R1530*P1530</f>
        <v>5</v>
      </c>
      <c r="V1530">
        <f>(H1530*M1530)/AD1530</f>
        <v>94.499999999999986</v>
      </c>
      <c r="W1530" s="28">
        <f>RATE(U1530,V1530,-F1530,H1530)</f>
        <v>9.7911085807888973E-2</v>
      </c>
      <c r="X1530" s="27">
        <f>W1530*AD1530</f>
        <v>9.7911085807888973E-2</v>
      </c>
      <c r="Y1530" s="5">
        <f>DURATION(N1530,O1530,M1530,D1530,AD1530)</f>
        <v>4.2023018753078185</v>
      </c>
      <c r="Z1530" s="5">
        <f>Y1530/(1+C1530)</f>
        <v>3.8275429856103411</v>
      </c>
      <c r="AA1530" s="5">
        <f>-Z1530*F1530</f>
        <v>-3777.7849267974066</v>
      </c>
      <c r="AB1530" t="s">
        <v>64</v>
      </c>
      <c r="AC1530" t="s">
        <v>62</v>
      </c>
      <c r="AD1530">
        <f>_xlfn.SWITCH(PROPER(TRIM(S1530)),
   "Annual",1,
   "Semi-Annual",2,
   "Quarterly",4,
   "Monthly",12,
   "")</f>
        <v>1</v>
      </c>
    </row>
    <row r="1531" spans="1:30" x14ac:dyDescent="0.35">
      <c r="C1531" s="28"/>
      <c r="D1531" s="27"/>
      <c r="I1531" s="22"/>
      <c r="K1531" s="22"/>
      <c r="M1531" s="22"/>
      <c r="N1531" s="21"/>
      <c r="O1531" s="21"/>
      <c r="P1531" s="5"/>
      <c r="Q1531" s="6"/>
      <c r="R1531" s="5"/>
      <c r="W1531" s="28"/>
      <c r="Y1531" s="33"/>
      <c r="Z1531" s="33"/>
      <c r="AA1531" s="33"/>
    </row>
    <row r="1532" spans="1:30" x14ac:dyDescent="0.35">
      <c r="A1532" t="s">
        <v>540</v>
      </c>
      <c r="B1532" t="s">
        <v>539</v>
      </c>
      <c r="C1532" s="36">
        <f t="shared" ref="C1532:C1538" si="1014">RATE(U1532,V1532,-F1532,H1532)</f>
        <v>7.1184212265196195E-2</v>
      </c>
      <c r="D1532" s="3">
        <f t="shared" ref="D1532:D1538" si="1015">C1532*AD1532</f>
        <v>7.1184212265196195E-2</v>
      </c>
      <c r="F1532">
        <v>1100</v>
      </c>
      <c r="G1532" t="s">
        <v>76</v>
      </c>
      <c r="H1532">
        <v>1000</v>
      </c>
      <c r="I1532" s="22"/>
      <c r="J1532">
        <v>100</v>
      </c>
      <c r="K1532" s="22"/>
      <c r="L1532">
        <v>5.7531400431583002</v>
      </c>
      <c r="M1532" s="22">
        <v>8.5500000000000007E-2</v>
      </c>
      <c r="N1532" s="21">
        <v>43844</v>
      </c>
      <c r="O1532" s="21">
        <v>47497</v>
      </c>
      <c r="P1532">
        <f t="shared" ref="P1532:P1538" si="1016">ROUND(YEARFRAC(N1532,O1532),0)</f>
        <v>10</v>
      </c>
      <c r="Q1532" s="6">
        <f t="shared" ref="Q1532:Q1538" si="1017">(M1532*H1532)/F1532</f>
        <v>7.7727272727272728E-2</v>
      </c>
      <c r="R1532" s="5">
        <f t="shared" ref="R1532:R1538" si="1018">IF(S1532="Quarterly",4,IF(S1532="Semi-annual",2,IF(S1532="Annual",1,IF(S1532="Pays at maturity",0,12))))</f>
        <v>1</v>
      </c>
      <c r="S1532" t="s">
        <v>93</v>
      </c>
      <c r="U1532">
        <f t="shared" ref="U1532:U1538" si="1019">R1532*P1532</f>
        <v>10</v>
      </c>
      <c r="V1532">
        <f t="shared" ref="V1532:V1538" si="1020">(H1532*M1532)/AD1532</f>
        <v>85.5</v>
      </c>
      <c r="W1532" s="28">
        <f t="shared" ref="W1532:W1538" si="1021">RATE(U1532,V1532,-F1532,H1532)</f>
        <v>7.1184212265196195E-2</v>
      </c>
      <c r="X1532" s="27">
        <f t="shared" ref="X1532:X1538" si="1022">W1532*AD1532</f>
        <v>7.1184212265196195E-2</v>
      </c>
      <c r="Y1532" s="5">
        <f t="shared" ref="Y1532:Y1538" si="1023">DURATION(N1532,O1532,M1532,D1532,AD1532)</f>
        <v>7.2511393511137543</v>
      </c>
      <c r="Z1532" s="5">
        <f t="shared" ref="Z1532:Z1538" si="1024">Y1532/(1+C1532)</f>
        <v>6.7692739195436991</v>
      </c>
      <c r="AA1532" s="5">
        <f t="shared" ref="AA1532:AA1538" si="1025">-Z1532*F1532</f>
        <v>-7446.2013114980691</v>
      </c>
      <c r="AB1532" t="s">
        <v>64</v>
      </c>
      <c r="AC1532" t="s">
        <v>62</v>
      </c>
      <c r="AD1532">
        <f t="shared" ref="AD1532:AD1538" si="1026">_xlfn.SWITCH(PROPER(TRIM(S1532)),
   "Annual",1,
   "Semi-Annual",2,
   "Quarterly",4,
   "Monthly",12,
   "")</f>
        <v>1</v>
      </c>
    </row>
    <row r="1533" spans="1:30" x14ac:dyDescent="0.35">
      <c r="A1533" t="s">
        <v>538</v>
      </c>
      <c r="B1533" t="s">
        <v>353</v>
      </c>
      <c r="C1533" s="36">
        <f t="shared" si="1014"/>
        <v>0.1258406775982846</v>
      </c>
      <c r="D1533" s="3">
        <f t="shared" si="1015"/>
        <v>0.1258406775982846</v>
      </c>
      <c r="F1533">
        <v>982.8</v>
      </c>
      <c r="G1533" t="s">
        <v>76</v>
      </c>
      <c r="H1533">
        <v>1000</v>
      </c>
      <c r="I1533" s="22"/>
      <c r="J1533">
        <v>100</v>
      </c>
      <c r="K1533" s="22"/>
      <c r="L1533">
        <v>12.6825035414704</v>
      </c>
      <c r="M1533" s="22">
        <v>0.121</v>
      </c>
      <c r="N1533" s="21">
        <v>45674</v>
      </c>
      <c r="O1533" s="21">
        <v>47499</v>
      </c>
      <c r="P1533">
        <f t="shared" si="1016"/>
        <v>5</v>
      </c>
      <c r="Q1533" s="6">
        <f t="shared" si="1017"/>
        <v>0.12311762311762313</v>
      </c>
      <c r="R1533" s="5">
        <f t="shared" si="1018"/>
        <v>1</v>
      </c>
      <c r="S1533" t="s">
        <v>93</v>
      </c>
      <c r="U1533">
        <f t="shared" si="1019"/>
        <v>5</v>
      </c>
      <c r="V1533">
        <f t="shared" si="1020"/>
        <v>121</v>
      </c>
      <c r="W1533" s="28">
        <f t="shared" si="1021"/>
        <v>0.1258406775982846</v>
      </c>
      <c r="X1533" s="27">
        <f t="shared" si="1022"/>
        <v>0.1258406775982846</v>
      </c>
      <c r="Y1533" s="5">
        <f t="shared" si="1023"/>
        <v>4.0192146748220701</v>
      </c>
      <c r="Z1533" s="5">
        <f t="shared" si="1024"/>
        <v>3.5699675405192468</v>
      </c>
      <c r="AA1533" s="5">
        <f t="shared" si="1025"/>
        <v>-3508.5640988223154</v>
      </c>
      <c r="AB1533" t="s">
        <v>64</v>
      </c>
      <c r="AC1533" t="s">
        <v>62</v>
      </c>
      <c r="AD1533">
        <f t="shared" si="1026"/>
        <v>1</v>
      </c>
    </row>
    <row r="1534" spans="1:30" x14ac:dyDescent="0.35">
      <c r="A1534" t="s">
        <v>537</v>
      </c>
      <c r="B1534" t="s">
        <v>353</v>
      </c>
      <c r="C1534" s="36">
        <f t="shared" si="1014"/>
        <v>9.04034138132353E-2</v>
      </c>
      <c r="D1534" s="3">
        <f t="shared" si="1015"/>
        <v>9.04034138132353E-2</v>
      </c>
      <c r="F1534">
        <v>1115</v>
      </c>
      <c r="G1534" t="s">
        <v>76</v>
      </c>
      <c r="H1534">
        <v>1000</v>
      </c>
      <c r="I1534" s="22"/>
      <c r="J1534">
        <v>1</v>
      </c>
      <c r="K1534" s="22"/>
      <c r="L1534">
        <v>8.4821537701026397</v>
      </c>
      <c r="M1534" s="22">
        <v>0.12</v>
      </c>
      <c r="N1534" s="21">
        <v>45674</v>
      </c>
      <c r="O1534" s="21">
        <v>47499</v>
      </c>
      <c r="P1534">
        <f t="shared" si="1016"/>
        <v>5</v>
      </c>
      <c r="Q1534" s="6">
        <f t="shared" si="1017"/>
        <v>0.10762331838565023</v>
      </c>
      <c r="R1534" s="5">
        <f t="shared" si="1018"/>
        <v>1</v>
      </c>
      <c r="S1534" t="s">
        <v>93</v>
      </c>
      <c r="U1534">
        <f t="shared" si="1019"/>
        <v>5</v>
      </c>
      <c r="V1534">
        <f t="shared" si="1020"/>
        <v>120</v>
      </c>
      <c r="W1534" s="28">
        <f t="shared" si="1021"/>
        <v>9.04034138132353E-2</v>
      </c>
      <c r="X1534" s="27">
        <f t="shared" si="1022"/>
        <v>9.04034138132353E-2</v>
      </c>
      <c r="Y1534" s="5">
        <f t="shared" si="1023"/>
        <v>4.0887124502220917</v>
      </c>
      <c r="Z1534" s="5">
        <f t="shared" si="1024"/>
        <v>3.7497245500392462</v>
      </c>
      <c r="AA1534" s="5">
        <f t="shared" si="1025"/>
        <v>-4180.9428732937595</v>
      </c>
      <c r="AB1534" t="s">
        <v>64</v>
      </c>
      <c r="AC1534" t="s">
        <v>62</v>
      </c>
      <c r="AD1534">
        <f t="shared" si="1026"/>
        <v>1</v>
      </c>
    </row>
    <row r="1535" spans="1:30" x14ac:dyDescent="0.35">
      <c r="A1535" t="s">
        <v>536</v>
      </c>
      <c r="B1535" t="s">
        <v>535</v>
      </c>
      <c r="C1535" s="36">
        <f t="shared" si="1014"/>
        <v>0.11402195648530257</v>
      </c>
      <c r="D1535" s="3">
        <f t="shared" si="1015"/>
        <v>0.11402195648530257</v>
      </c>
      <c r="F1535">
        <v>102500</v>
      </c>
      <c r="G1535" t="s">
        <v>76</v>
      </c>
      <c r="H1535">
        <v>100000</v>
      </c>
      <c r="I1535" s="22"/>
      <c r="J1535">
        <v>2</v>
      </c>
      <c r="K1535" s="22"/>
      <c r="L1535">
        <v>11.167120530428599</v>
      </c>
      <c r="M1535" s="22">
        <v>0.12</v>
      </c>
      <c r="N1535" s="21">
        <v>45405</v>
      </c>
      <c r="O1535" s="21">
        <v>47507</v>
      </c>
      <c r="P1535">
        <f t="shared" si="1016"/>
        <v>6</v>
      </c>
      <c r="Q1535" s="6">
        <f t="shared" si="1017"/>
        <v>0.11707317073170732</v>
      </c>
      <c r="R1535" s="5">
        <f t="shared" si="1018"/>
        <v>1</v>
      </c>
      <c r="S1535" t="s">
        <v>93</v>
      </c>
      <c r="U1535">
        <f t="shared" si="1019"/>
        <v>6</v>
      </c>
      <c r="V1535">
        <f t="shared" si="1020"/>
        <v>12000</v>
      </c>
      <c r="W1535" s="28">
        <f t="shared" si="1021"/>
        <v>0.11402195648530257</v>
      </c>
      <c r="X1535" s="27">
        <f t="shared" si="1022"/>
        <v>0.11402195648530257</v>
      </c>
      <c r="Y1535" s="5">
        <f t="shared" si="1023"/>
        <v>4.375694255755703</v>
      </c>
      <c r="Z1535" s="5">
        <f t="shared" si="1024"/>
        <v>3.9278348422869991</v>
      </c>
      <c r="AA1535" s="5">
        <f t="shared" si="1025"/>
        <v>-402603.07133441739</v>
      </c>
      <c r="AB1535" t="s">
        <v>64</v>
      </c>
      <c r="AC1535" t="s">
        <v>62</v>
      </c>
      <c r="AD1535">
        <f t="shared" si="1026"/>
        <v>1</v>
      </c>
    </row>
    <row r="1536" spans="1:30" x14ac:dyDescent="0.35">
      <c r="A1536" t="s">
        <v>534</v>
      </c>
      <c r="B1536" t="s">
        <v>401</v>
      </c>
      <c r="C1536" s="36">
        <f t="shared" si="1014"/>
        <v>0.10910507775021336</v>
      </c>
      <c r="D1536" s="3">
        <f t="shared" si="1015"/>
        <v>0.10910507775021336</v>
      </c>
      <c r="F1536">
        <v>100331.5</v>
      </c>
      <c r="G1536" t="s">
        <v>76</v>
      </c>
      <c r="H1536">
        <v>100000</v>
      </c>
      <c r="I1536" s="22"/>
      <c r="J1536">
        <v>25</v>
      </c>
      <c r="K1536" s="22"/>
      <c r="L1536">
        <v>10.893458905497701</v>
      </c>
      <c r="M1536" s="22">
        <v>0.11</v>
      </c>
      <c r="N1536" s="21">
        <v>45681</v>
      </c>
      <c r="O1536" s="21">
        <v>47507</v>
      </c>
      <c r="P1536">
        <f t="shared" si="1016"/>
        <v>5</v>
      </c>
      <c r="Q1536" s="6">
        <f t="shared" si="1017"/>
        <v>0.10963655482076914</v>
      </c>
      <c r="R1536" s="5">
        <f t="shared" si="1018"/>
        <v>1</v>
      </c>
      <c r="S1536" t="s">
        <v>93</v>
      </c>
      <c r="U1536">
        <f t="shared" si="1019"/>
        <v>5</v>
      </c>
      <c r="V1536">
        <f t="shared" si="1020"/>
        <v>11000</v>
      </c>
      <c r="W1536" s="28">
        <f t="shared" si="1021"/>
        <v>0.10910507775021336</v>
      </c>
      <c r="X1536" s="27">
        <f t="shared" si="1022"/>
        <v>0.10910507775021336</v>
      </c>
      <c r="Y1536" s="5">
        <f t="shared" si="1023"/>
        <v>4.1040396915077908</v>
      </c>
      <c r="Z1536" s="5">
        <f t="shared" si="1024"/>
        <v>3.700316384659164</v>
      </c>
      <c r="AA1536" s="5">
        <f t="shared" si="1025"/>
        <v>-371258.29334743094</v>
      </c>
      <c r="AB1536" t="s">
        <v>64</v>
      </c>
      <c r="AC1536" t="s">
        <v>62</v>
      </c>
      <c r="AD1536">
        <f t="shared" si="1026"/>
        <v>1</v>
      </c>
    </row>
    <row r="1537" spans="1:30" x14ac:dyDescent="0.35">
      <c r="A1537" t="s">
        <v>533</v>
      </c>
      <c r="B1537" t="s">
        <v>122</v>
      </c>
      <c r="C1537" s="36">
        <f t="shared" si="1014"/>
        <v>0.10234619524471776</v>
      </c>
      <c r="D1537" s="3">
        <f t="shared" si="1015"/>
        <v>0.10234619524471776</v>
      </c>
      <c r="F1537">
        <v>1010</v>
      </c>
      <c r="G1537" t="s">
        <v>76</v>
      </c>
      <c r="H1537">
        <v>1000</v>
      </c>
      <c r="I1537" s="22"/>
      <c r="J1537">
        <v>200</v>
      </c>
      <c r="K1537" s="22"/>
      <c r="L1537">
        <v>10.1780745022632</v>
      </c>
      <c r="M1537" s="22">
        <v>0.105</v>
      </c>
      <c r="N1537" s="21">
        <v>45681</v>
      </c>
      <c r="O1537" s="21">
        <v>47507</v>
      </c>
      <c r="P1537">
        <f t="shared" si="1016"/>
        <v>5</v>
      </c>
      <c r="Q1537" s="6">
        <f t="shared" si="1017"/>
        <v>0.10396039603960396</v>
      </c>
      <c r="R1537" s="5">
        <f t="shared" si="1018"/>
        <v>1</v>
      </c>
      <c r="S1537" t="s">
        <v>93</v>
      </c>
      <c r="U1537">
        <f t="shared" si="1019"/>
        <v>5</v>
      </c>
      <c r="V1537">
        <f t="shared" si="1020"/>
        <v>105</v>
      </c>
      <c r="W1537" s="28">
        <f t="shared" si="1021"/>
        <v>0.10234619524471776</v>
      </c>
      <c r="X1537" s="27">
        <f t="shared" si="1022"/>
        <v>0.10234619524471776</v>
      </c>
      <c r="Y1537" s="5">
        <f t="shared" si="1023"/>
        <v>4.1404873527379724</v>
      </c>
      <c r="Z1537" s="5">
        <f t="shared" si="1024"/>
        <v>3.7560680760718692</v>
      </c>
      <c r="AA1537" s="5">
        <f t="shared" si="1025"/>
        <v>-3793.6287568325879</v>
      </c>
      <c r="AB1537" t="s">
        <v>64</v>
      </c>
      <c r="AC1537" t="s">
        <v>62</v>
      </c>
      <c r="AD1537">
        <f t="shared" si="1026"/>
        <v>1</v>
      </c>
    </row>
    <row r="1538" spans="1:30" x14ac:dyDescent="0.35">
      <c r="A1538" t="s">
        <v>532</v>
      </c>
      <c r="B1538" t="s">
        <v>122</v>
      </c>
      <c r="C1538" s="36">
        <f t="shared" si="1014"/>
        <v>0.10092884747067141</v>
      </c>
      <c r="D1538" s="3">
        <f t="shared" si="1015"/>
        <v>0.10092884747067141</v>
      </c>
      <c r="F1538">
        <v>998</v>
      </c>
      <c r="G1538" t="s">
        <v>76</v>
      </c>
      <c r="H1538">
        <v>1000</v>
      </c>
      <c r="I1538" s="22"/>
      <c r="J1538">
        <v>397</v>
      </c>
      <c r="K1538" s="22"/>
      <c r="L1538">
        <v>10.1043708712039</v>
      </c>
      <c r="M1538" s="22">
        <v>0.10039999999999999</v>
      </c>
      <c r="N1538" s="21">
        <v>45681</v>
      </c>
      <c r="O1538" s="21">
        <v>47507</v>
      </c>
      <c r="P1538">
        <f t="shared" si="1016"/>
        <v>5</v>
      </c>
      <c r="Q1538" s="6">
        <f t="shared" si="1017"/>
        <v>0.10060120240480962</v>
      </c>
      <c r="R1538" s="5">
        <f t="shared" si="1018"/>
        <v>1</v>
      </c>
      <c r="S1538" t="s">
        <v>93</v>
      </c>
      <c r="U1538">
        <f t="shared" si="1019"/>
        <v>5</v>
      </c>
      <c r="V1538">
        <f t="shared" si="1020"/>
        <v>100.39999999999999</v>
      </c>
      <c r="W1538" s="28">
        <f t="shared" si="1021"/>
        <v>0.10092884747067141</v>
      </c>
      <c r="X1538" s="27">
        <f t="shared" si="1022"/>
        <v>0.10092884747067141</v>
      </c>
      <c r="Y1538" s="5">
        <f t="shared" si="1023"/>
        <v>4.1662178845643343</v>
      </c>
      <c r="Z1538" s="5">
        <f t="shared" si="1024"/>
        <v>3.7842753363543977</v>
      </c>
      <c r="AA1538" s="5">
        <f t="shared" si="1025"/>
        <v>-3776.7067856816889</v>
      </c>
      <c r="AB1538" t="s">
        <v>64</v>
      </c>
      <c r="AC1538" t="s">
        <v>62</v>
      </c>
      <c r="AD1538">
        <f t="shared" si="1026"/>
        <v>1</v>
      </c>
    </row>
    <row r="1539" spans="1:30" x14ac:dyDescent="0.35">
      <c r="C1539" s="28"/>
      <c r="D1539" s="27"/>
      <c r="I1539" s="22"/>
      <c r="K1539" s="22"/>
      <c r="M1539" s="22"/>
      <c r="N1539" s="21"/>
      <c r="O1539" s="21"/>
      <c r="P1539" s="5"/>
      <c r="Q1539" s="6"/>
      <c r="R1539" s="5"/>
      <c r="W1539" s="28"/>
      <c r="Y1539" s="33"/>
      <c r="Z1539" s="33"/>
      <c r="AA1539" s="33"/>
    </row>
    <row r="1540" spans="1:30" x14ac:dyDescent="0.35">
      <c r="A1540" t="s">
        <v>530</v>
      </c>
      <c r="B1540" t="s">
        <v>122</v>
      </c>
      <c r="C1540" s="36">
        <f t="shared" ref="C1540:C1545" si="1027">RATE(U1540,V1540,-F1540,H1540)</f>
        <v>0.10486645747268301</v>
      </c>
      <c r="D1540" s="3">
        <f t="shared" ref="D1540:D1545" si="1028">C1540*AD1540</f>
        <v>0.10486645747268301</v>
      </c>
      <c r="F1540">
        <v>1000.5</v>
      </c>
      <c r="G1540" t="s">
        <v>76</v>
      </c>
      <c r="H1540">
        <v>1000</v>
      </c>
      <c r="I1540" s="22"/>
      <c r="J1540">
        <v>505</v>
      </c>
      <c r="K1540" s="22"/>
      <c r="L1540">
        <v>10.4837042411562</v>
      </c>
      <c r="M1540" s="22">
        <v>0.105</v>
      </c>
      <c r="N1540" s="21">
        <v>45681</v>
      </c>
      <c r="O1540" s="21">
        <v>47507</v>
      </c>
      <c r="P1540">
        <f t="shared" ref="P1540:P1545" si="1029">ROUND(YEARFRAC(N1540,O1540),0)</f>
        <v>5</v>
      </c>
      <c r="Q1540" s="6">
        <f t="shared" ref="Q1540:Q1545" si="1030">(M1540*H1540)/F1540</f>
        <v>0.10494752623688156</v>
      </c>
      <c r="R1540" s="5">
        <f t="shared" ref="R1540:R1545" si="1031">IF(S1540="Quarterly",4,IF(S1540="Semi-annual",2,IF(S1540="Annual",1,IF(S1540="Pays at maturity",0,12))))</f>
        <v>1</v>
      </c>
      <c r="S1540" t="s">
        <v>93</v>
      </c>
      <c r="U1540">
        <f t="shared" ref="U1540:U1545" si="1032">R1540*P1540</f>
        <v>5</v>
      </c>
      <c r="V1540">
        <f t="shared" ref="V1540:V1545" si="1033">(H1540*M1540)/AD1540</f>
        <v>105</v>
      </c>
      <c r="W1540" s="28">
        <f t="shared" ref="W1540:W1545" si="1034">RATE(U1540,V1540,-F1540,H1540)</f>
        <v>0.10486645747268301</v>
      </c>
      <c r="X1540" s="27">
        <f t="shared" ref="X1540:X1545" si="1035">W1540*AD1540</f>
        <v>0.10486645747268301</v>
      </c>
      <c r="Y1540" s="5">
        <f t="shared" ref="Y1540:Y1545" si="1036">DURATION(N1540,O1540,M1540,D1540,AD1540)</f>
        <v>4.1360914845931527</v>
      </c>
      <c r="Z1540" s="5">
        <f t="shared" ref="Z1540:Z1545" si="1037">Y1540/(1+C1540)</f>
        <v>3.7435216325185747</v>
      </c>
      <c r="AA1540" s="5">
        <f t="shared" ref="AA1540:AA1545" si="1038">-Z1540*F1540</f>
        <v>-3745.3933933348339</v>
      </c>
      <c r="AB1540" t="s">
        <v>64</v>
      </c>
      <c r="AC1540" t="s">
        <v>62</v>
      </c>
      <c r="AD1540">
        <f t="shared" ref="AD1540:AD1545" si="1039">_xlfn.SWITCH(PROPER(TRIM(S1540)),
   "Annual",1,
   "Semi-Annual",2,
   "Quarterly",4,
   "Monthly",12,
   "")</f>
        <v>1</v>
      </c>
    </row>
    <row r="1541" spans="1:30" x14ac:dyDescent="0.35">
      <c r="A1541" t="s">
        <v>529</v>
      </c>
      <c r="B1541" t="s">
        <v>390</v>
      </c>
      <c r="C1541" s="36">
        <f t="shared" si="1027"/>
        <v>0.11945923605501899</v>
      </c>
      <c r="D1541" s="3">
        <f t="shared" si="1028"/>
        <v>0.11945923605501899</v>
      </c>
      <c r="F1541">
        <v>1020</v>
      </c>
      <c r="G1541" t="s">
        <v>76</v>
      </c>
      <c r="H1541">
        <v>1000</v>
      </c>
      <c r="I1541" s="22"/>
      <c r="J1541">
        <v>73</v>
      </c>
      <c r="K1541" s="22"/>
      <c r="L1541">
        <v>11.8214154226196</v>
      </c>
      <c r="M1541" s="22">
        <v>0.125</v>
      </c>
      <c r="N1541" s="21">
        <v>45684</v>
      </c>
      <c r="O1541" s="21">
        <v>47510</v>
      </c>
      <c r="P1541">
        <f t="shared" si="1029"/>
        <v>5</v>
      </c>
      <c r="Q1541" s="6">
        <f t="shared" si="1030"/>
        <v>0.12254901960784313</v>
      </c>
      <c r="R1541" s="5">
        <f t="shared" si="1031"/>
        <v>1</v>
      </c>
      <c r="S1541" t="s">
        <v>93</v>
      </c>
      <c r="U1541">
        <f t="shared" si="1032"/>
        <v>5</v>
      </c>
      <c r="V1541">
        <f t="shared" si="1033"/>
        <v>125</v>
      </c>
      <c r="W1541" s="28">
        <f t="shared" si="1034"/>
        <v>0.11945923605501899</v>
      </c>
      <c r="X1541" s="27">
        <f t="shared" si="1035"/>
        <v>0.11945923605501899</v>
      </c>
      <c r="Y1541" s="5">
        <f t="shared" si="1036"/>
        <v>4.0160027042301962</v>
      </c>
      <c r="Z1541" s="5">
        <f t="shared" si="1037"/>
        <v>3.5874488100009905</v>
      </c>
      <c r="AA1541" s="5">
        <f t="shared" si="1038"/>
        <v>-3659.1977862010103</v>
      </c>
      <c r="AB1541" t="s">
        <v>64</v>
      </c>
      <c r="AC1541" t="s">
        <v>62</v>
      </c>
      <c r="AD1541">
        <f t="shared" si="1039"/>
        <v>1</v>
      </c>
    </row>
    <row r="1542" spans="1:30" x14ac:dyDescent="0.35">
      <c r="A1542" t="s">
        <v>528</v>
      </c>
      <c r="B1542" t="s">
        <v>527</v>
      </c>
      <c r="C1542" s="36">
        <f t="shared" si="1027"/>
        <v>7.3845067489629115E-2</v>
      </c>
      <c r="D1542" s="3">
        <f t="shared" si="1028"/>
        <v>7.3845067489629115E-2</v>
      </c>
      <c r="F1542">
        <v>1080424</v>
      </c>
      <c r="G1542" t="s">
        <v>76</v>
      </c>
      <c r="H1542">
        <v>1000000</v>
      </c>
      <c r="I1542" s="22"/>
      <c r="J1542">
        <v>1</v>
      </c>
      <c r="K1542" s="22"/>
      <c r="L1542">
        <v>6.4361445966793296</v>
      </c>
      <c r="M1542" s="22">
        <v>8.5500000000000007E-2</v>
      </c>
      <c r="N1542" s="21">
        <v>43858</v>
      </c>
      <c r="O1542" s="21">
        <v>47511</v>
      </c>
      <c r="P1542">
        <f t="shared" si="1029"/>
        <v>10</v>
      </c>
      <c r="Q1542" s="6">
        <f t="shared" si="1030"/>
        <v>7.9135598616839317E-2</v>
      </c>
      <c r="R1542" s="5">
        <f t="shared" si="1031"/>
        <v>1</v>
      </c>
      <c r="S1542" t="s">
        <v>93</v>
      </c>
      <c r="U1542">
        <f t="shared" si="1032"/>
        <v>10</v>
      </c>
      <c r="V1542">
        <f t="shared" si="1033"/>
        <v>85500</v>
      </c>
      <c r="W1542" s="28">
        <f t="shared" si="1034"/>
        <v>7.3845067489629115E-2</v>
      </c>
      <c r="X1542" s="27">
        <f t="shared" si="1035"/>
        <v>7.3845067489629115E-2</v>
      </c>
      <c r="Y1542" s="5">
        <f t="shared" si="1036"/>
        <v>7.2244305740794248</v>
      </c>
      <c r="Z1542" s="5">
        <f t="shared" si="1037"/>
        <v>6.7276284007787703</v>
      </c>
      <c r="AA1542" s="5">
        <f t="shared" si="1038"/>
        <v>-7268691.1872830018</v>
      </c>
      <c r="AB1542" t="s">
        <v>64</v>
      </c>
      <c r="AC1542" t="s">
        <v>62</v>
      </c>
      <c r="AD1542">
        <f t="shared" si="1039"/>
        <v>1</v>
      </c>
    </row>
    <row r="1543" spans="1:30" x14ac:dyDescent="0.35">
      <c r="A1543" t="s">
        <v>526</v>
      </c>
      <c r="B1543" t="s">
        <v>338</v>
      </c>
      <c r="C1543" s="36">
        <f t="shared" si="1027"/>
        <v>0.11135747431996572</v>
      </c>
      <c r="D1543" s="3">
        <f t="shared" si="1028"/>
        <v>0.11135747431996572</v>
      </c>
      <c r="F1543">
        <v>995</v>
      </c>
      <c r="G1543" t="s">
        <v>76</v>
      </c>
      <c r="H1543">
        <v>1000</v>
      </c>
      <c r="I1543" s="22"/>
      <c r="J1543">
        <v>50</v>
      </c>
      <c r="K1543" s="22"/>
      <c r="L1543">
        <v>11.1660354914669</v>
      </c>
      <c r="M1543" s="22">
        <v>0.11</v>
      </c>
      <c r="N1543" s="21">
        <v>45686</v>
      </c>
      <c r="O1543" s="21">
        <v>47512</v>
      </c>
      <c r="P1543">
        <f t="shared" si="1029"/>
        <v>5</v>
      </c>
      <c r="Q1543" s="6">
        <f t="shared" si="1030"/>
        <v>0.11055276381909548</v>
      </c>
      <c r="R1543" s="5">
        <f t="shared" si="1031"/>
        <v>1</v>
      </c>
      <c r="S1543" t="s">
        <v>93</v>
      </c>
      <c r="U1543">
        <f t="shared" si="1032"/>
        <v>5</v>
      </c>
      <c r="V1543">
        <f t="shared" si="1033"/>
        <v>110</v>
      </c>
      <c r="W1543" s="28">
        <f t="shared" si="1034"/>
        <v>0.11135747431996572</v>
      </c>
      <c r="X1543" s="27">
        <f t="shared" si="1035"/>
        <v>0.11135747431996572</v>
      </c>
      <c r="Y1543" s="5">
        <f t="shared" si="1036"/>
        <v>4.100026018179812</v>
      </c>
      <c r="Z1543" s="5">
        <f t="shared" si="1037"/>
        <v>3.6892054203249036</v>
      </c>
      <c r="AA1543" s="5">
        <f t="shared" si="1038"/>
        <v>-3670.7593932232789</v>
      </c>
      <c r="AB1543" t="s">
        <v>64</v>
      </c>
      <c r="AC1543" t="s">
        <v>62</v>
      </c>
      <c r="AD1543">
        <f t="shared" si="1039"/>
        <v>1</v>
      </c>
    </row>
    <row r="1544" spans="1:30" x14ac:dyDescent="0.35">
      <c r="A1544" t="s">
        <v>525</v>
      </c>
      <c r="B1544" t="s">
        <v>309</v>
      </c>
      <c r="C1544" s="36">
        <f t="shared" si="1027"/>
        <v>2.6240253415827156E-2</v>
      </c>
      <c r="D1544" s="3">
        <f t="shared" si="1028"/>
        <v>5.2480506831654311E-2</v>
      </c>
      <c r="F1544">
        <v>961.63</v>
      </c>
      <c r="G1544" t="s">
        <v>66</v>
      </c>
      <c r="H1544">
        <v>1000</v>
      </c>
      <c r="I1544" s="22"/>
      <c r="J1544">
        <v>90000</v>
      </c>
      <c r="K1544" s="22"/>
      <c r="M1544" s="22">
        <v>4.7500000000000001E-2</v>
      </c>
      <c r="N1544" s="21">
        <v>43846</v>
      </c>
      <c r="O1544" s="21">
        <v>47513</v>
      </c>
      <c r="P1544">
        <f t="shared" si="1029"/>
        <v>10</v>
      </c>
      <c r="Q1544" s="6">
        <f t="shared" si="1030"/>
        <v>4.939529756767156E-2</v>
      </c>
      <c r="R1544" s="5">
        <f t="shared" si="1031"/>
        <v>2</v>
      </c>
      <c r="S1544" t="s">
        <v>65</v>
      </c>
      <c r="U1544">
        <f t="shared" si="1032"/>
        <v>20</v>
      </c>
      <c r="V1544">
        <f t="shared" si="1033"/>
        <v>23.75</v>
      </c>
      <c r="W1544" s="28">
        <f t="shared" si="1034"/>
        <v>2.6240253415827156E-2</v>
      </c>
      <c r="X1544" s="27">
        <f t="shared" si="1035"/>
        <v>5.2480506831654311E-2</v>
      </c>
      <c r="Y1544" s="5">
        <f t="shared" si="1036"/>
        <v>7.8746454247048296</v>
      </c>
      <c r="Z1544" s="5">
        <f t="shared" si="1037"/>
        <v>7.673296188191971</v>
      </c>
      <c r="AA1544" s="5">
        <f t="shared" si="1038"/>
        <v>-7378.8718134510455</v>
      </c>
      <c r="AB1544" t="s">
        <v>69</v>
      </c>
      <c r="AC1544" t="s">
        <v>62</v>
      </c>
      <c r="AD1544">
        <f t="shared" si="1039"/>
        <v>2</v>
      </c>
    </row>
    <row r="1545" spans="1:30" x14ac:dyDescent="0.35">
      <c r="A1545" t="s">
        <v>524</v>
      </c>
      <c r="B1545" t="s">
        <v>309</v>
      </c>
      <c r="C1545" s="36">
        <f t="shared" si="1027"/>
        <v>3.0420547550715524E-2</v>
      </c>
      <c r="D1545" s="3">
        <f t="shared" si="1028"/>
        <v>6.0841095101431049E-2</v>
      </c>
      <c r="F1545">
        <v>1033.6600000000001</v>
      </c>
      <c r="G1545" t="s">
        <v>66</v>
      </c>
      <c r="H1545">
        <v>1000</v>
      </c>
      <c r="I1545" s="22"/>
      <c r="J1545">
        <v>20000</v>
      </c>
      <c r="K1545" s="22"/>
      <c r="M1545" s="22">
        <v>6.8750000000000006E-2</v>
      </c>
      <c r="N1545" s="21">
        <v>45670</v>
      </c>
      <c r="O1545" s="21">
        <v>47513</v>
      </c>
      <c r="P1545">
        <f t="shared" si="1029"/>
        <v>5</v>
      </c>
      <c r="Q1545" s="6">
        <f t="shared" si="1030"/>
        <v>6.6511231933130813E-2</v>
      </c>
      <c r="R1545" s="5">
        <f t="shared" si="1031"/>
        <v>2</v>
      </c>
      <c r="S1545" t="s">
        <v>65</v>
      </c>
      <c r="U1545">
        <f t="shared" si="1032"/>
        <v>10</v>
      </c>
      <c r="V1545">
        <f t="shared" si="1033"/>
        <v>34.375</v>
      </c>
      <c r="W1545" s="28">
        <f t="shared" si="1034"/>
        <v>3.0420547550715524E-2</v>
      </c>
      <c r="X1545" s="27">
        <f t="shared" si="1035"/>
        <v>6.0841095101431049E-2</v>
      </c>
      <c r="Y1545" s="5">
        <f t="shared" si="1036"/>
        <v>4.2360749215637101</v>
      </c>
      <c r="Z1545" s="5">
        <f t="shared" si="1037"/>
        <v>4.1110155767300611</v>
      </c>
      <c r="AA1545" s="5">
        <f t="shared" si="1038"/>
        <v>-4249.3923610427955</v>
      </c>
      <c r="AB1545" t="s">
        <v>69</v>
      </c>
      <c r="AC1545" t="s">
        <v>62</v>
      </c>
      <c r="AD1545">
        <f t="shared" si="1039"/>
        <v>2</v>
      </c>
    </row>
    <row r="1546" spans="1:30" x14ac:dyDescent="0.35">
      <c r="C1546" s="28"/>
      <c r="D1546" s="27"/>
      <c r="I1546" s="22"/>
      <c r="K1546" s="22"/>
      <c r="M1546" s="22"/>
      <c r="N1546" s="21"/>
      <c r="O1546" s="21"/>
      <c r="P1546" s="5"/>
      <c r="Q1546" s="6"/>
      <c r="R1546" s="5"/>
      <c r="W1546" s="28"/>
      <c r="Y1546" s="33"/>
      <c r="Z1546" s="33"/>
      <c r="AA1546" s="33"/>
    </row>
    <row r="1547" spans="1:30" x14ac:dyDescent="0.35">
      <c r="A1547" t="s">
        <v>522</v>
      </c>
      <c r="B1547" t="s">
        <v>241</v>
      </c>
      <c r="C1547" s="36">
        <f t="shared" ref="C1547:C1556" si="1040">RATE(U1547,V1547,-F1547,H1547)</f>
        <v>5.804194813126197E-2</v>
      </c>
      <c r="D1547" s="3">
        <f t="shared" ref="D1547:D1556" si="1041">C1547*AD1547</f>
        <v>5.804194813126197E-2</v>
      </c>
      <c r="F1547">
        <v>1200</v>
      </c>
      <c r="G1547" t="s">
        <v>76</v>
      </c>
      <c r="H1547">
        <v>1000</v>
      </c>
      <c r="I1547" s="22"/>
      <c r="J1547">
        <v>191</v>
      </c>
      <c r="K1547" s="22"/>
      <c r="L1547">
        <v>3.8242698892245701</v>
      </c>
      <c r="M1547" s="22">
        <v>0.09</v>
      </c>
      <c r="N1547" s="21">
        <v>44594</v>
      </c>
      <c r="O1547" s="21">
        <v>47516</v>
      </c>
      <c r="P1547">
        <f t="shared" ref="P1547:P1556" si="1042">ROUND(YEARFRAC(N1547,O1547),0)</f>
        <v>8</v>
      </c>
      <c r="Q1547" s="6">
        <f t="shared" ref="Q1547:Q1556" si="1043">(M1547*H1547)/F1547</f>
        <v>7.4999999999999997E-2</v>
      </c>
      <c r="R1547" s="5">
        <f t="shared" ref="R1547:R1556" si="1044">IF(S1547="Quarterly",4,IF(S1547="Semi-annual",2,IF(S1547="Annual",1,IF(S1547="Pays at maturity",0,12))))</f>
        <v>1</v>
      </c>
      <c r="S1547" t="s">
        <v>93</v>
      </c>
      <c r="U1547">
        <f t="shared" ref="U1547:U1556" si="1045">R1547*P1547</f>
        <v>8</v>
      </c>
      <c r="V1547">
        <f t="shared" ref="V1547:V1556" si="1046">(H1547*M1547)/AD1547</f>
        <v>90</v>
      </c>
      <c r="W1547" s="28">
        <f t="shared" ref="W1547:W1556" si="1047">RATE(U1547,V1547,-F1547,H1547)</f>
        <v>5.804194813126197E-2</v>
      </c>
      <c r="X1547" s="27">
        <f t="shared" ref="X1547:X1556" si="1048">W1547*AD1547</f>
        <v>5.804194813126197E-2</v>
      </c>
      <c r="Y1547" s="5">
        <f t="shared" ref="Y1547:Y1556" si="1049">DURATION(N1547,O1547,M1547,D1547,AD1547)</f>
        <v>6.2186703417822278</v>
      </c>
      <c r="Z1547" s="5">
        <f t="shared" ref="Z1547:Z1556" si="1050">Y1547/(1+C1547)</f>
        <v>5.8775272121920938</v>
      </c>
      <c r="AA1547" s="5">
        <f t="shared" ref="AA1547:AA1556" si="1051">-Z1547*F1547</f>
        <v>-7053.0326546305123</v>
      </c>
      <c r="AB1547" t="s">
        <v>64</v>
      </c>
      <c r="AC1547" t="s">
        <v>62</v>
      </c>
      <c r="AD1547">
        <f t="shared" ref="AD1547:AD1556" si="1052">_xlfn.SWITCH(PROPER(TRIM(S1547)),
   "Annual",1,
   "Semi-Annual",2,
   "Quarterly",4,
   "Monthly",12,
   "")</f>
        <v>1</v>
      </c>
    </row>
    <row r="1548" spans="1:30" x14ac:dyDescent="0.35">
      <c r="A1548" t="s">
        <v>521</v>
      </c>
      <c r="B1548" t="s">
        <v>520</v>
      </c>
      <c r="C1548" s="36">
        <f t="shared" si="1040"/>
        <v>9.0032603814909948E-2</v>
      </c>
      <c r="D1548" s="3">
        <f t="shared" si="1041"/>
        <v>9.0032603814909948E-2</v>
      </c>
      <c r="F1548">
        <v>1080</v>
      </c>
      <c r="G1548" t="s">
        <v>76</v>
      </c>
      <c r="H1548">
        <v>1000</v>
      </c>
      <c r="I1548" s="22"/>
      <c r="J1548">
        <v>151</v>
      </c>
      <c r="K1548" s="22"/>
      <c r="L1548">
        <v>7.86200356983489</v>
      </c>
      <c r="M1548" s="22">
        <v>0.10249999999999999</v>
      </c>
      <c r="N1548" s="21">
        <v>43866</v>
      </c>
      <c r="O1548" s="21">
        <v>47519</v>
      </c>
      <c r="P1548">
        <f t="shared" si="1042"/>
        <v>10</v>
      </c>
      <c r="Q1548" s="6">
        <f t="shared" si="1043"/>
        <v>9.4907407407407413E-2</v>
      </c>
      <c r="R1548" s="5">
        <f t="shared" si="1044"/>
        <v>1</v>
      </c>
      <c r="S1548" t="s">
        <v>93</v>
      </c>
      <c r="U1548">
        <f t="shared" si="1045"/>
        <v>10</v>
      </c>
      <c r="V1548">
        <f t="shared" si="1046"/>
        <v>102.5</v>
      </c>
      <c r="W1548" s="28">
        <f t="shared" si="1047"/>
        <v>9.0032603814909948E-2</v>
      </c>
      <c r="X1548" s="27">
        <f t="shared" si="1048"/>
        <v>9.0032603814909948E-2</v>
      </c>
      <c r="Y1548" s="5">
        <f t="shared" si="1049"/>
        <v>6.8317173441493937</v>
      </c>
      <c r="Z1548" s="5">
        <f t="shared" si="1050"/>
        <v>6.2674431207283732</v>
      </c>
      <c r="AA1548" s="5">
        <f t="shared" si="1051"/>
        <v>-6768.8385703866434</v>
      </c>
      <c r="AB1548" t="s">
        <v>64</v>
      </c>
      <c r="AC1548" t="s">
        <v>62</v>
      </c>
      <c r="AD1548">
        <f t="shared" si="1052"/>
        <v>1</v>
      </c>
    </row>
    <row r="1549" spans="1:30" x14ac:dyDescent="0.35">
      <c r="A1549" t="s">
        <v>519</v>
      </c>
      <c r="B1549" t="s">
        <v>518</v>
      </c>
      <c r="C1549" s="36">
        <f t="shared" si="1040"/>
        <v>9.9461320783943361E-2</v>
      </c>
      <c r="D1549" s="3">
        <f t="shared" si="1041"/>
        <v>9.9461320783943361E-2</v>
      </c>
      <c r="F1549">
        <v>991</v>
      </c>
      <c r="G1549" t="s">
        <v>76</v>
      </c>
      <c r="H1549">
        <v>1000</v>
      </c>
      <c r="I1549" s="22"/>
      <c r="J1549">
        <v>12</v>
      </c>
      <c r="K1549" s="22"/>
      <c r="L1549">
        <v>10.088689774233099</v>
      </c>
      <c r="M1549" s="22">
        <v>9.8000000000000004E-2</v>
      </c>
      <c r="N1549" s="21">
        <v>43866</v>
      </c>
      <c r="O1549" s="21">
        <v>47519</v>
      </c>
      <c r="P1549">
        <f t="shared" si="1042"/>
        <v>10</v>
      </c>
      <c r="Q1549" s="6">
        <f t="shared" si="1043"/>
        <v>9.8890010090817354E-2</v>
      </c>
      <c r="R1549" s="5">
        <f t="shared" si="1044"/>
        <v>1</v>
      </c>
      <c r="S1549" t="s">
        <v>93</v>
      </c>
      <c r="U1549">
        <f t="shared" si="1045"/>
        <v>10</v>
      </c>
      <c r="V1549">
        <f t="shared" si="1046"/>
        <v>98</v>
      </c>
      <c r="W1549" s="28">
        <f t="shared" si="1047"/>
        <v>9.9461320783943361E-2</v>
      </c>
      <c r="X1549" s="27">
        <f t="shared" si="1048"/>
        <v>9.9461320783943361E-2</v>
      </c>
      <c r="Y1549" s="5">
        <f t="shared" si="1049"/>
        <v>6.7899209701073602</v>
      </c>
      <c r="Z1549" s="5">
        <f t="shared" si="1050"/>
        <v>6.1756797094653377</v>
      </c>
      <c r="AA1549" s="5">
        <f t="shared" si="1051"/>
        <v>-6120.0985920801495</v>
      </c>
      <c r="AB1549" t="s">
        <v>64</v>
      </c>
      <c r="AC1549" t="s">
        <v>62</v>
      </c>
      <c r="AD1549">
        <f t="shared" si="1052"/>
        <v>1</v>
      </c>
    </row>
    <row r="1550" spans="1:30" x14ac:dyDescent="0.35">
      <c r="A1550" t="s">
        <v>517</v>
      </c>
      <c r="B1550" t="s">
        <v>499</v>
      </c>
      <c r="C1550" s="36">
        <f t="shared" si="1040"/>
        <v>6.9653986684334757E-2</v>
      </c>
      <c r="D1550" s="3">
        <f t="shared" si="1041"/>
        <v>6.9653986684334757E-2</v>
      </c>
      <c r="F1550">
        <v>1079.8</v>
      </c>
      <c r="G1550" t="s">
        <v>76</v>
      </c>
      <c r="H1550">
        <v>1000</v>
      </c>
      <c r="I1550" s="22"/>
      <c r="J1550">
        <v>10</v>
      </c>
      <c r="K1550" s="22"/>
      <c r="L1550">
        <v>6.0626206895628796</v>
      </c>
      <c r="M1550" s="22">
        <v>8.3000000000000004E-2</v>
      </c>
      <c r="N1550" s="21">
        <v>44476</v>
      </c>
      <c r="O1550" s="21">
        <v>47521</v>
      </c>
      <c r="P1550">
        <f t="shared" si="1042"/>
        <v>8</v>
      </c>
      <c r="Q1550" s="6">
        <f t="shared" si="1043"/>
        <v>7.6866086312280049E-2</v>
      </c>
      <c r="R1550" s="5">
        <f t="shared" si="1044"/>
        <v>1</v>
      </c>
      <c r="S1550" t="s">
        <v>93</v>
      </c>
      <c r="U1550">
        <f t="shared" si="1045"/>
        <v>8</v>
      </c>
      <c r="V1550">
        <f t="shared" si="1046"/>
        <v>83</v>
      </c>
      <c r="W1550" s="28">
        <f t="shared" si="1047"/>
        <v>6.9653986684334757E-2</v>
      </c>
      <c r="X1550" s="27">
        <f t="shared" si="1048"/>
        <v>6.9653986684334757E-2</v>
      </c>
      <c r="Y1550" s="5">
        <f t="shared" si="1049"/>
        <v>6.1183558991441096</v>
      </c>
      <c r="Z1550" s="5">
        <f t="shared" si="1050"/>
        <v>5.7199393217890142</v>
      </c>
      <c r="AA1550" s="5">
        <f t="shared" si="1051"/>
        <v>-6176.3904796677771</v>
      </c>
      <c r="AB1550" t="s">
        <v>64</v>
      </c>
      <c r="AC1550" t="s">
        <v>62</v>
      </c>
      <c r="AD1550">
        <f t="shared" si="1052"/>
        <v>1</v>
      </c>
    </row>
    <row r="1551" spans="1:30" x14ac:dyDescent="0.35">
      <c r="A1551" t="s">
        <v>516</v>
      </c>
      <c r="B1551" t="s">
        <v>321</v>
      </c>
      <c r="C1551" s="36">
        <f t="shared" si="1040"/>
        <v>2.5910948878671802E-2</v>
      </c>
      <c r="D1551" s="3">
        <f t="shared" si="1041"/>
        <v>5.1821897757343603E-2</v>
      </c>
      <c r="F1551">
        <v>904.7</v>
      </c>
      <c r="G1551" t="s">
        <v>66</v>
      </c>
      <c r="H1551">
        <v>1000</v>
      </c>
      <c r="I1551" s="22"/>
      <c r="J1551">
        <v>0</v>
      </c>
      <c r="K1551" s="22"/>
      <c r="M1551" s="22">
        <v>3.9489999999999997E-2</v>
      </c>
      <c r="N1551" s="21">
        <v>43873</v>
      </c>
      <c r="O1551" s="21">
        <v>47526</v>
      </c>
      <c r="P1551">
        <f t="shared" si="1042"/>
        <v>10</v>
      </c>
      <c r="Q1551" s="6">
        <f t="shared" si="1043"/>
        <v>4.3649828672488108E-2</v>
      </c>
      <c r="R1551" s="5">
        <f t="shared" si="1044"/>
        <v>2</v>
      </c>
      <c r="S1551" t="s">
        <v>65</v>
      </c>
      <c r="U1551">
        <f t="shared" si="1045"/>
        <v>20</v>
      </c>
      <c r="V1551">
        <f t="shared" si="1046"/>
        <v>19.744999999999997</v>
      </c>
      <c r="W1551" s="28">
        <f t="shared" si="1047"/>
        <v>2.5910948878671802E-2</v>
      </c>
      <c r="X1551" s="27">
        <f t="shared" si="1048"/>
        <v>5.1821897757343603E-2</v>
      </c>
      <c r="Y1551" s="5">
        <f t="shared" si="1049"/>
        <v>8.2548831553452615</v>
      </c>
      <c r="Z1551" s="5">
        <f t="shared" si="1050"/>
        <v>8.0463934656004117</v>
      </c>
      <c r="AA1551" s="5">
        <f t="shared" si="1051"/>
        <v>-7279.5721683286929</v>
      </c>
      <c r="AB1551" t="s">
        <v>69</v>
      </c>
      <c r="AC1551" t="s">
        <v>62</v>
      </c>
      <c r="AD1551">
        <f t="shared" si="1052"/>
        <v>2</v>
      </c>
    </row>
    <row r="1552" spans="1:30" x14ac:dyDescent="0.35">
      <c r="A1552" t="s">
        <v>515</v>
      </c>
      <c r="B1552" t="s">
        <v>321</v>
      </c>
      <c r="C1552" s="36">
        <f t="shared" si="1040"/>
        <v>2.5198072846056373E-2</v>
      </c>
      <c r="D1552" s="3">
        <f t="shared" si="1041"/>
        <v>5.0396145692112745E-2</v>
      </c>
      <c r="F1552">
        <v>915.15</v>
      </c>
      <c r="G1552" t="s">
        <v>66</v>
      </c>
      <c r="H1552">
        <v>1000</v>
      </c>
      <c r="I1552" s="22"/>
      <c r="J1552">
        <v>7854000</v>
      </c>
      <c r="K1552" s="22"/>
      <c r="M1552" s="22">
        <v>3.9489999999999997E-2</v>
      </c>
      <c r="N1552" s="21">
        <v>43873</v>
      </c>
      <c r="O1552" s="21">
        <v>47526</v>
      </c>
      <c r="P1552">
        <f t="shared" si="1042"/>
        <v>10</v>
      </c>
      <c r="Q1552" s="6">
        <f t="shared" si="1043"/>
        <v>4.3151395946019772E-2</v>
      </c>
      <c r="R1552" s="5">
        <f t="shared" si="1044"/>
        <v>2</v>
      </c>
      <c r="S1552" t="s">
        <v>65</v>
      </c>
      <c r="U1552">
        <f t="shared" si="1045"/>
        <v>20</v>
      </c>
      <c r="V1552">
        <f t="shared" si="1046"/>
        <v>19.744999999999997</v>
      </c>
      <c r="W1552" s="28">
        <f t="shared" si="1047"/>
        <v>2.5198072846056373E-2</v>
      </c>
      <c r="X1552" s="27">
        <f t="shared" si="1048"/>
        <v>5.0396145692112745E-2</v>
      </c>
      <c r="Y1552" s="5">
        <f t="shared" si="1049"/>
        <v>8.2670123253941288</v>
      </c>
      <c r="Z1552" s="5">
        <f t="shared" si="1050"/>
        <v>8.0638196114084018</v>
      </c>
      <c r="AA1552" s="5">
        <f t="shared" si="1051"/>
        <v>-7379.6045173803986</v>
      </c>
      <c r="AB1552" t="s">
        <v>69</v>
      </c>
      <c r="AC1552" t="s">
        <v>62</v>
      </c>
      <c r="AD1552">
        <f t="shared" si="1052"/>
        <v>2</v>
      </c>
    </row>
    <row r="1553" spans="1:30" x14ac:dyDescent="0.35">
      <c r="A1553" t="s">
        <v>514</v>
      </c>
      <c r="B1553" t="s">
        <v>72</v>
      </c>
      <c r="C1553" s="36">
        <f t="shared" si="1040"/>
        <v>2.0267234329589243E-2</v>
      </c>
      <c r="D1553" s="3">
        <f t="shared" si="1041"/>
        <v>4.0534468659178487E-2</v>
      </c>
      <c r="F1553">
        <v>934.4</v>
      </c>
      <c r="G1553" t="s">
        <v>66</v>
      </c>
      <c r="H1553">
        <v>1000</v>
      </c>
      <c r="I1553" s="22"/>
      <c r="J1553">
        <v>0</v>
      </c>
      <c r="K1553" s="22"/>
      <c r="M1553" s="22">
        <v>3.2489999999999998E-2</v>
      </c>
      <c r="N1553" s="21">
        <v>43874</v>
      </c>
      <c r="O1553" s="21">
        <v>47527</v>
      </c>
      <c r="P1553">
        <f t="shared" si="1042"/>
        <v>10</v>
      </c>
      <c r="Q1553" s="6">
        <f t="shared" si="1043"/>
        <v>3.4770976027397253E-2</v>
      </c>
      <c r="R1553" s="5">
        <f t="shared" si="1044"/>
        <v>2</v>
      </c>
      <c r="S1553" t="s">
        <v>65</v>
      </c>
      <c r="U1553">
        <f t="shared" si="1045"/>
        <v>20</v>
      </c>
      <c r="V1553">
        <f t="shared" si="1046"/>
        <v>16.244999999999997</v>
      </c>
      <c r="W1553" s="28">
        <f t="shared" si="1047"/>
        <v>2.0267234329589243E-2</v>
      </c>
      <c r="X1553" s="27">
        <f t="shared" si="1048"/>
        <v>4.0534468659178487E-2</v>
      </c>
      <c r="Y1553" s="5">
        <f t="shared" si="1049"/>
        <v>8.5588270680430512</v>
      </c>
      <c r="Z1553" s="5">
        <f t="shared" si="1050"/>
        <v>8.3888091081029366</v>
      </c>
      <c r="AA1553" s="5">
        <f t="shared" si="1051"/>
        <v>-7838.5032306113835</v>
      </c>
      <c r="AB1553" t="s">
        <v>64</v>
      </c>
      <c r="AC1553" t="s">
        <v>62</v>
      </c>
      <c r="AD1553">
        <f t="shared" si="1052"/>
        <v>2</v>
      </c>
    </row>
    <row r="1554" spans="1:30" x14ac:dyDescent="0.35">
      <c r="A1554" t="s">
        <v>513</v>
      </c>
      <c r="B1554" t="s">
        <v>72</v>
      </c>
      <c r="C1554" s="36">
        <f t="shared" si="1040"/>
        <v>2.0324675398087525E-2</v>
      </c>
      <c r="D1554" s="3">
        <f t="shared" si="1041"/>
        <v>4.064935079617505E-2</v>
      </c>
      <c r="F1554">
        <v>933.5</v>
      </c>
      <c r="G1554" t="s">
        <v>66</v>
      </c>
      <c r="H1554">
        <v>1000</v>
      </c>
      <c r="I1554" s="22"/>
      <c r="J1554">
        <v>3010000</v>
      </c>
      <c r="K1554" s="22"/>
      <c r="M1554" s="22">
        <v>3.2489999999999998E-2</v>
      </c>
      <c r="N1554" s="21">
        <v>43874</v>
      </c>
      <c r="O1554" s="21">
        <v>47527</v>
      </c>
      <c r="P1554">
        <f t="shared" si="1042"/>
        <v>10</v>
      </c>
      <c r="Q1554" s="6">
        <f t="shared" si="1043"/>
        <v>3.4804499196572032E-2</v>
      </c>
      <c r="R1554" s="5">
        <f t="shared" si="1044"/>
        <v>2</v>
      </c>
      <c r="S1554" t="s">
        <v>65</v>
      </c>
      <c r="U1554">
        <f t="shared" si="1045"/>
        <v>20</v>
      </c>
      <c r="V1554">
        <f t="shared" si="1046"/>
        <v>16.244999999999997</v>
      </c>
      <c r="W1554" s="28">
        <f t="shared" si="1047"/>
        <v>2.0324675398087525E-2</v>
      </c>
      <c r="X1554" s="27">
        <f t="shared" si="1048"/>
        <v>4.064935079617505E-2</v>
      </c>
      <c r="Y1554" s="5">
        <f t="shared" si="1049"/>
        <v>8.5579726663520077</v>
      </c>
      <c r="Z1554" s="5">
        <f t="shared" si="1050"/>
        <v>8.3874994623775514</v>
      </c>
      <c r="AA1554" s="5">
        <f t="shared" si="1051"/>
        <v>-7829.7307481294438</v>
      </c>
      <c r="AB1554" t="s">
        <v>64</v>
      </c>
      <c r="AC1554" t="s">
        <v>62</v>
      </c>
      <c r="AD1554">
        <f t="shared" si="1052"/>
        <v>2</v>
      </c>
    </row>
    <row r="1555" spans="1:30" x14ac:dyDescent="0.35">
      <c r="A1555" t="s">
        <v>512</v>
      </c>
      <c r="B1555" t="s">
        <v>236</v>
      </c>
      <c r="C1555" s="36">
        <f t="shared" si="1040"/>
        <v>2.4524495739135579E-2</v>
      </c>
      <c r="D1555" s="3">
        <f t="shared" si="1041"/>
        <v>9.8097982956542318E-2</v>
      </c>
      <c r="F1555">
        <v>1103763.25</v>
      </c>
      <c r="G1555" t="s">
        <v>76</v>
      </c>
      <c r="H1555">
        <v>1000000</v>
      </c>
      <c r="I1555" s="22"/>
      <c r="J1555">
        <v>2</v>
      </c>
      <c r="K1555" s="22"/>
      <c r="M1555" s="22">
        <v>0.11449999999999999</v>
      </c>
      <c r="N1555" s="21">
        <v>43875</v>
      </c>
      <c r="O1555" s="21">
        <v>47527</v>
      </c>
      <c r="P1555">
        <f t="shared" si="1042"/>
        <v>10</v>
      </c>
      <c r="Q1555" s="6">
        <f t="shared" si="1043"/>
        <v>0.10373601404105454</v>
      </c>
      <c r="R1555" s="5">
        <f t="shared" si="1044"/>
        <v>4</v>
      </c>
      <c r="S1555" t="s">
        <v>105</v>
      </c>
      <c r="U1555">
        <f t="shared" si="1045"/>
        <v>40</v>
      </c>
      <c r="V1555">
        <f t="shared" si="1046"/>
        <v>28624.999999999996</v>
      </c>
      <c r="W1555" s="28">
        <f t="shared" si="1047"/>
        <v>2.4524495739135579E-2</v>
      </c>
      <c r="X1555" s="27">
        <f t="shared" si="1048"/>
        <v>9.8097982956542318E-2</v>
      </c>
      <c r="Y1555" s="5">
        <f t="shared" si="1049"/>
        <v>6.2763933845990092</v>
      </c>
      <c r="Z1555" s="5">
        <f t="shared" si="1050"/>
        <v>6.1261525817115308</v>
      </c>
      <c r="AA1555" s="5">
        <f t="shared" si="1051"/>
        <v>-6761822.0835858099</v>
      </c>
      <c r="AB1555" t="s">
        <v>64</v>
      </c>
      <c r="AC1555" t="s">
        <v>62</v>
      </c>
      <c r="AD1555">
        <f t="shared" si="1052"/>
        <v>4</v>
      </c>
    </row>
    <row r="1556" spans="1:30" x14ac:dyDescent="0.35">
      <c r="A1556" t="s">
        <v>511</v>
      </c>
      <c r="B1556" t="s">
        <v>72</v>
      </c>
      <c r="C1556" s="36">
        <f t="shared" si="1040"/>
        <v>1.6165461911567369E-2</v>
      </c>
      <c r="D1556" s="3">
        <f t="shared" si="1041"/>
        <v>3.2330923823134738E-2</v>
      </c>
      <c r="F1556">
        <v>1001.35</v>
      </c>
      <c r="G1556" t="s">
        <v>66</v>
      </c>
      <c r="H1556">
        <v>1000</v>
      </c>
      <c r="I1556" s="22"/>
      <c r="J1556">
        <v>200000</v>
      </c>
      <c r="K1556" s="22"/>
      <c r="M1556" s="22">
        <v>3.2489999999999998E-2</v>
      </c>
      <c r="N1556" s="21">
        <v>43874</v>
      </c>
      <c r="O1556" s="21">
        <v>47527</v>
      </c>
      <c r="P1556">
        <f t="shared" si="1042"/>
        <v>10</v>
      </c>
      <c r="Q1556" s="6">
        <f t="shared" si="1043"/>
        <v>3.244619763319518E-2</v>
      </c>
      <c r="R1556" s="5">
        <f t="shared" si="1044"/>
        <v>2</v>
      </c>
      <c r="S1556" t="s">
        <v>65</v>
      </c>
      <c r="U1556">
        <f t="shared" si="1045"/>
        <v>20</v>
      </c>
      <c r="V1556">
        <f t="shared" si="1046"/>
        <v>16.244999999999997</v>
      </c>
      <c r="W1556" s="28">
        <f t="shared" si="1047"/>
        <v>1.6165461911567369E-2</v>
      </c>
      <c r="X1556" s="27">
        <f t="shared" si="1048"/>
        <v>3.2330923823134738E-2</v>
      </c>
      <c r="Y1556" s="5">
        <f t="shared" si="1049"/>
        <v>8.6187812002834843</v>
      </c>
      <c r="Z1556" s="5">
        <f t="shared" si="1050"/>
        <v>8.4816710696604449</v>
      </c>
      <c r="AA1556" s="5">
        <f t="shared" si="1051"/>
        <v>-8493.1213256044866</v>
      </c>
      <c r="AB1556" t="s">
        <v>64</v>
      </c>
      <c r="AC1556" t="s">
        <v>62</v>
      </c>
      <c r="AD1556">
        <f t="shared" si="1052"/>
        <v>2</v>
      </c>
    </row>
    <row r="1557" spans="1:30" x14ac:dyDescent="0.35">
      <c r="C1557" s="28"/>
      <c r="D1557" s="27"/>
      <c r="I1557" s="22"/>
      <c r="K1557" s="22"/>
      <c r="M1557" s="22"/>
      <c r="N1557" s="21"/>
      <c r="O1557" s="21"/>
      <c r="P1557" s="5"/>
      <c r="Q1557" s="6"/>
      <c r="R1557" s="5"/>
      <c r="W1557" s="28"/>
      <c r="Y1557" s="33"/>
      <c r="Z1557" s="33"/>
      <c r="AA1557" s="33"/>
    </row>
    <row r="1558" spans="1:30" x14ac:dyDescent="0.35">
      <c r="A1558" t="s">
        <v>509</v>
      </c>
      <c r="B1558" t="s">
        <v>241</v>
      </c>
      <c r="C1558" s="36">
        <f>RATE(U1558,V1558,-F1558,H1558)</f>
        <v>9.4500000000000195E-2</v>
      </c>
      <c r="D1558" s="3">
        <f>C1558*AD1558</f>
        <v>9.4500000000000195E-2</v>
      </c>
      <c r="F1558">
        <v>1000</v>
      </c>
      <c r="G1558" t="s">
        <v>76</v>
      </c>
      <c r="H1558">
        <v>1000</v>
      </c>
      <c r="I1558" s="22"/>
      <c r="J1558">
        <v>1</v>
      </c>
      <c r="K1558" s="22"/>
      <c r="L1558">
        <v>9.4499999999999993</v>
      </c>
      <c r="M1558" s="22">
        <v>9.4499999999999987E-2</v>
      </c>
      <c r="N1558" s="21">
        <v>45712</v>
      </c>
      <c r="O1558" s="21">
        <v>47538</v>
      </c>
      <c r="P1558">
        <f>ROUND(YEARFRAC(N1558,O1558),0)</f>
        <v>5</v>
      </c>
      <c r="Q1558" s="6">
        <f>(M1558*H1558)/F1558</f>
        <v>9.4499999999999987E-2</v>
      </c>
      <c r="R1558" s="5">
        <f>IF(S1558="Quarterly",4,IF(S1558="Semi-annual",2,IF(S1558="Annual",1,IF(S1558="Pays at maturity",0,12))))</f>
        <v>1</v>
      </c>
      <c r="S1558" t="s">
        <v>93</v>
      </c>
      <c r="U1558">
        <f>R1558*P1558</f>
        <v>5</v>
      </c>
      <c r="V1558">
        <f>(H1558*M1558)/AD1558</f>
        <v>94.499999999999986</v>
      </c>
      <c r="W1558" s="28">
        <f>RATE(U1558,V1558,-F1558,H1558)</f>
        <v>9.4500000000000195E-2</v>
      </c>
      <c r="X1558" s="27">
        <f>W1558*AD1558</f>
        <v>9.4500000000000195E-2</v>
      </c>
      <c r="Y1558" s="5">
        <f>DURATION(N1558,O1558,M1558,D1558,AD1558)</f>
        <v>4.207976715013741</v>
      </c>
      <c r="Z1558" s="5">
        <f>Y1558/(1+C1558)</f>
        <v>3.8446566605881589</v>
      </c>
      <c r="AA1558" s="5">
        <f>-Z1558*F1558</f>
        <v>-3844.656660588159</v>
      </c>
      <c r="AB1558" t="s">
        <v>64</v>
      </c>
      <c r="AC1558" t="s">
        <v>62</v>
      </c>
      <c r="AD1558">
        <f>_xlfn.SWITCH(PROPER(TRIM(S1558)),
   "Annual",1,
   "Semi-Annual",2,
   "Quarterly",4,
   "Monthly",12,
   "")</f>
        <v>1</v>
      </c>
    </row>
    <row r="1559" spans="1:30" x14ac:dyDescent="0.35">
      <c r="A1559" t="s">
        <v>508</v>
      </c>
      <c r="B1559" t="s">
        <v>241</v>
      </c>
      <c r="C1559" s="36">
        <f>RATE(U1559,V1559,-F1559,H1559)</f>
        <v>0.10705710503451339</v>
      </c>
      <c r="D1559" s="3">
        <f>C1559*AD1559</f>
        <v>0.10705710503451339</v>
      </c>
      <c r="F1559">
        <v>970</v>
      </c>
      <c r="G1559" t="s">
        <v>76</v>
      </c>
      <c r="H1559">
        <v>1000</v>
      </c>
      <c r="I1559" s="22"/>
      <c r="J1559">
        <v>30</v>
      </c>
      <c r="K1559" s="22"/>
      <c r="L1559">
        <v>10.832637275879</v>
      </c>
      <c r="M1559" s="22">
        <v>9.9000000000000005E-2</v>
      </c>
      <c r="N1559" s="21">
        <v>45712</v>
      </c>
      <c r="O1559" s="21">
        <v>47538</v>
      </c>
      <c r="P1559">
        <f>ROUND(YEARFRAC(N1559,O1559),0)</f>
        <v>5</v>
      </c>
      <c r="Q1559" s="6">
        <f>(M1559*H1559)/F1559</f>
        <v>0.10206185567010309</v>
      </c>
      <c r="R1559" s="5">
        <f>IF(S1559="Quarterly",4,IF(S1559="Semi-annual",2,IF(S1559="Annual",1,IF(S1559="Pays at maturity",0,12))))</f>
        <v>1</v>
      </c>
      <c r="S1559" t="s">
        <v>93</v>
      </c>
      <c r="U1559">
        <f>R1559*P1559</f>
        <v>5</v>
      </c>
      <c r="V1559">
        <f>(H1559*M1559)/AD1559</f>
        <v>99</v>
      </c>
      <c r="W1559" s="28">
        <f>RATE(U1559,V1559,-F1559,H1559)</f>
        <v>0.10705710503451339</v>
      </c>
      <c r="X1559" s="27">
        <f>W1559*AD1559</f>
        <v>0.10705710503451339</v>
      </c>
      <c r="Y1559" s="5">
        <f>DURATION(N1559,O1559,M1559,D1559,AD1559)</f>
        <v>4.163005788470695</v>
      </c>
      <c r="Z1559" s="5">
        <f>Y1559/(1+C1559)</f>
        <v>3.7604255187368221</v>
      </c>
      <c r="AA1559" s="5">
        <f>-Z1559*F1559</f>
        <v>-3647.6127531747175</v>
      </c>
      <c r="AB1559" t="s">
        <v>64</v>
      </c>
      <c r="AC1559" t="s">
        <v>62</v>
      </c>
      <c r="AD1559">
        <f>_xlfn.SWITCH(PROPER(TRIM(S1559)),
   "Annual",1,
   "Semi-Annual",2,
   "Quarterly",4,
   "Monthly",12,
   "")</f>
        <v>1</v>
      </c>
    </row>
    <row r="1560" spans="1:30" x14ac:dyDescent="0.35">
      <c r="C1560" s="28"/>
      <c r="D1560" s="27"/>
      <c r="I1560" s="22"/>
      <c r="K1560" s="22"/>
      <c r="M1560" s="22"/>
      <c r="N1560" s="21"/>
      <c r="O1560" s="21"/>
      <c r="P1560" s="5"/>
      <c r="Q1560" s="6"/>
      <c r="R1560" s="5"/>
      <c r="W1560" s="28"/>
      <c r="Y1560" s="33"/>
      <c r="Z1560" s="33"/>
      <c r="AA1560" s="33"/>
    </row>
    <row r="1561" spans="1:30" x14ac:dyDescent="0.35">
      <c r="A1561" t="s">
        <v>506</v>
      </c>
      <c r="B1561" t="s">
        <v>94</v>
      </c>
      <c r="C1561" s="36">
        <f>RATE(U1561,V1561,-F1561,H1561)</f>
        <v>6.7214956873998283E-2</v>
      </c>
      <c r="D1561" s="3">
        <f>C1561*AD1561</f>
        <v>6.7214956873998283E-2</v>
      </c>
      <c r="F1561">
        <v>1048986.3999999999</v>
      </c>
      <c r="G1561" t="s">
        <v>76</v>
      </c>
      <c r="H1561">
        <v>1000000</v>
      </c>
      <c r="I1561" s="22"/>
      <c r="J1561">
        <v>1</v>
      </c>
      <c r="K1561" s="22"/>
      <c r="L1561">
        <v>6.3040395151464104</v>
      </c>
      <c r="M1561" s="22">
        <v>7.4099999999999999E-2</v>
      </c>
      <c r="N1561" s="21">
        <v>43886</v>
      </c>
      <c r="O1561" s="21">
        <v>47539</v>
      </c>
      <c r="P1561">
        <f>ROUND(YEARFRAC(N1561,O1561),0)</f>
        <v>10</v>
      </c>
      <c r="Q1561" s="6">
        <f>(M1561*H1561)/F1561</f>
        <v>7.0639619350641725E-2</v>
      </c>
      <c r="R1561" s="5">
        <f>IF(S1561="Quarterly",4,IF(S1561="Semi-annual",2,IF(S1561="Annual",1,IF(S1561="Pays at maturity",0,12))))</f>
        <v>1</v>
      </c>
      <c r="S1561" t="s">
        <v>93</v>
      </c>
      <c r="U1561">
        <f>R1561*P1561</f>
        <v>10</v>
      </c>
      <c r="V1561">
        <f>(H1561*M1561)/AD1561</f>
        <v>74100</v>
      </c>
      <c r="W1561" s="28">
        <f>RATE(U1561,V1561,-F1561,H1561)</f>
        <v>6.7214956873998283E-2</v>
      </c>
      <c r="X1561" s="27">
        <f>W1561*AD1561</f>
        <v>6.7214956873998283E-2</v>
      </c>
      <c r="Y1561" s="5">
        <f>DURATION(N1561,O1561,M1561,D1561,AD1561)</f>
        <v>7.4704964745013633</v>
      </c>
      <c r="Z1561" s="5">
        <f>Y1561/(1+C1561)</f>
        <v>6.999992294320303</v>
      </c>
      <c r="AA1561" s="5">
        <f>-Z1561*F1561</f>
        <v>-7342896.7168467948</v>
      </c>
      <c r="AB1561" t="s">
        <v>64</v>
      </c>
      <c r="AC1561" t="s">
        <v>62</v>
      </c>
      <c r="AD1561">
        <f>_xlfn.SWITCH(PROPER(TRIM(S1561)),
   "Annual",1,
   "Semi-Annual",2,
   "Quarterly",4,
   "Monthly",12,
   "")</f>
        <v>1</v>
      </c>
    </row>
    <row r="1562" spans="1:30" x14ac:dyDescent="0.35">
      <c r="A1562" t="s">
        <v>505</v>
      </c>
      <c r="B1562" t="s">
        <v>504</v>
      </c>
      <c r="C1562" s="36">
        <f>RATE(U1562,V1562,-F1562,H1562)</f>
        <v>8.4221592085726646E-2</v>
      </c>
      <c r="D1562" s="3">
        <f>C1562*AD1562</f>
        <v>0.33688636834290658</v>
      </c>
      <c r="F1562">
        <v>467100</v>
      </c>
      <c r="G1562" t="s">
        <v>76</v>
      </c>
      <c r="H1562">
        <v>1000000</v>
      </c>
      <c r="I1562" s="22"/>
      <c r="J1562">
        <v>10</v>
      </c>
      <c r="K1562" s="22"/>
      <c r="M1562" s="22">
        <v>0.15</v>
      </c>
      <c r="N1562" s="21">
        <v>43924</v>
      </c>
      <c r="O1562" s="21">
        <v>47544</v>
      </c>
      <c r="P1562">
        <f>ROUND(YEARFRAC(N1562,O1562),0)</f>
        <v>10</v>
      </c>
      <c r="Q1562" s="6">
        <f>(M1562*H1562)/F1562</f>
        <v>0.32113037893384716</v>
      </c>
      <c r="R1562" s="5">
        <f>IF(S1562="Quarterly",4,IF(S1562="Semi-annual",2,IF(S1562="Annual",1,IF(S1562="Pays at maturity",0,12))))</f>
        <v>4</v>
      </c>
      <c r="S1562" t="s">
        <v>105</v>
      </c>
      <c r="U1562">
        <f>R1562*P1562</f>
        <v>40</v>
      </c>
      <c r="V1562">
        <f>(H1562*M1562)/AD1562</f>
        <v>37500</v>
      </c>
      <c r="W1562" s="28">
        <f>RATE(U1562,V1562,-F1562,H1562)</f>
        <v>8.4221592085726646E-2</v>
      </c>
      <c r="X1562" s="27">
        <f>W1562*AD1562</f>
        <v>0.33688636834290658</v>
      </c>
      <c r="Y1562" s="5">
        <f>DURATION(N1562,O1562,M1562,D1562,AD1562)</f>
        <v>3.3286102733772061</v>
      </c>
      <c r="Z1562" s="5">
        <f>Y1562/(1+C1562)</f>
        <v>3.070046102821038</v>
      </c>
      <c r="AA1562" s="5">
        <f>-Z1562*F1562</f>
        <v>-1434018.5346277067</v>
      </c>
      <c r="AB1562" t="s">
        <v>503</v>
      </c>
      <c r="AC1562" t="s">
        <v>62</v>
      </c>
      <c r="AD1562">
        <f>_xlfn.SWITCH(PROPER(TRIM(S1562)),
   "Annual",1,
   "Semi-Annual",2,
   "Quarterly",4,
   "Monthly",12,
   "")</f>
        <v>4</v>
      </c>
    </row>
    <row r="1563" spans="1:30" x14ac:dyDescent="0.35">
      <c r="C1563" s="28"/>
      <c r="D1563" s="27"/>
      <c r="I1563" s="22"/>
      <c r="K1563" s="22"/>
      <c r="M1563" s="22"/>
      <c r="N1563" s="21"/>
      <c r="O1563" s="21"/>
      <c r="P1563" s="5"/>
      <c r="Q1563" s="6"/>
      <c r="R1563" s="5"/>
      <c r="W1563" s="28"/>
      <c r="Y1563" s="33"/>
      <c r="Z1563" s="33"/>
      <c r="AA1563" s="33"/>
    </row>
    <row r="1564" spans="1:30" x14ac:dyDescent="0.35">
      <c r="A1564" t="s">
        <v>501</v>
      </c>
      <c r="B1564" t="s">
        <v>499</v>
      </c>
      <c r="C1564" s="36">
        <f>RATE(U1564,V1564,-F1564,H1564)</f>
        <v>9.2135605783483163E-2</v>
      </c>
      <c r="D1564" s="3">
        <f>C1564*AD1564</f>
        <v>9.2135605783483163E-2</v>
      </c>
      <c r="F1564">
        <v>1050</v>
      </c>
      <c r="G1564" t="s">
        <v>76</v>
      </c>
      <c r="H1564">
        <v>1000</v>
      </c>
      <c r="I1564" s="22"/>
      <c r="J1564">
        <v>20</v>
      </c>
      <c r="K1564" s="22"/>
      <c r="L1564">
        <v>8.6012536649479294</v>
      </c>
      <c r="M1564" s="22">
        <v>0.1</v>
      </c>
      <c r="N1564" s="21">
        <v>43906</v>
      </c>
      <c r="O1564" s="21">
        <v>47558</v>
      </c>
      <c r="P1564">
        <f>ROUND(YEARFRAC(N1564,O1564),0)</f>
        <v>10</v>
      </c>
      <c r="Q1564" s="6">
        <f>(M1564*H1564)/F1564</f>
        <v>9.5238095238095233E-2</v>
      </c>
      <c r="R1564" s="5">
        <f>IF(S1564="Quarterly",4,IF(S1564="Semi-annual",2,IF(S1564="Annual",1,IF(S1564="Pays at maturity",0,12))))</f>
        <v>1</v>
      </c>
      <c r="S1564" t="s">
        <v>93</v>
      </c>
      <c r="U1564">
        <f>R1564*P1564</f>
        <v>10</v>
      </c>
      <c r="V1564">
        <f>(H1564*M1564)/AD1564</f>
        <v>100</v>
      </c>
      <c r="W1564" s="28">
        <f>RATE(U1564,V1564,-F1564,H1564)</f>
        <v>9.2135605783483163E-2</v>
      </c>
      <c r="X1564" s="27">
        <f>W1564*AD1564</f>
        <v>9.2135605783483163E-2</v>
      </c>
      <c r="Y1564" s="5">
        <f>DURATION(N1564,O1564,M1564,D1564,AD1564)</f>
        <v>6.8406254273592548</v>
      </c>
      <c r="Z1564" s="5">
        <f>Y1564/(1+C1564)</f>
        <v>6.2635311870927266</v>
      </c>
      <c r="AA1564" s="5">
        <f>-Z1564*F1564</f>
        <v>-6576.7077464473632</v>
      </c>
      <c r="AB1564" t="s">
        <v>64</v>
      </c>
      <c r="AC1564" t="s">
        <v>62</v>
      </c>
      <c r="AD1564">
        <f>_xlfn.SWITCH(PROPER(TRIM(S1564)),
   "Annual",1,
   "Semi-Annual",2,
   "Quarterly",4,
   "Monthly",12,
   "")</f>
        <v>1</v>
      </c>
    </row>
    <row r="1565" spans="1:30" x14ac:dyDescent="0.35">
      <c r="A1565" t="s">
        <v>500</v>
      </c>
      <c r="B1565" t="s">
        <v>499</v>
      </c>
      <c r="C1565" s="36">
        <f>RATE(U1565,V1565,-F1565,H1565)</f>
        <v>9.4429032430395035E-2</v>
      </c>
      <c r="D1565" s="3">
        <f>C1565*AD1565</f>
        <v>9.4429032430395035E-2</v>
      </c>
      <c r="F1565">
        <v>1008</v>
      </c>
      <c r="G1565" t="s">
        <v>76</v>
      </c>
      <c r="H1565">
        <v>1000</v>
      </c>
      <c r="I1565" s="22"/>
      <c r="J1565">
        <v>27</v>
      </c>
      <c r="K1565" s="22"/>
      <c r="L1565">
        <v>9.3275634008392601</v>
      </c>
      <c r="M1565" s="22">
        <v>9.5700000000000007E-2</v>
      </c>
      <c r="N1565" s="21">
        <v>43906</v>
      </c>
      <c r="O1565" s="21">
        <v>47558</v>
      </c>
      <c r="P1565">
        <f>ROUND(YEARFRAC(N1565,O1565),0)</f>
        <v>10</v>
      </c>
      <c r="Q1565" s="6">
        <f>(M1565*H1565)/F1565</f>
        <v>9.49404761904762E-2</v>
      </c>
      <c r="R1565" s="5">
        <f>IF(S1565="Quarterly",4,IF(S1565="Semi-annual",2,IF(S1565="Annual",1,IF(S1565="Pays at maturity",0,12))))</f>
        <v>1</v>
      </c>
      <c r="S1565" t="s">
        <v>93</v>
      </c>
      <c r="U1565">
        <f>R1565*P1565</f>
        <v>10</v>
      </c>
      <c r="V1565">
        <f>(H1565*M1565)/AD1565</f>
        <v>95.7</v>
      </c>
      <c r="W1565" s="28">
        <f>RATE(U1565,V1565,-F1565,H1565)</f>
        <v>9.4429032430395035E-2</v>
      </c>
      <c r="X1565" s="27">
        <f>W1565*AD1565</f>
        <v>9.4429032430395035E-2</v>
      </c>
      <c r="Y1565" s="5">
        <f>DURATION(N1565,O1565,M1565,D1565,AD1565)</f>
        <v>6.871941983452829</v>
      </c>
      <c r="Z1565" s="5">
        <f>Y1565/(1+C1565)</f>
        <v>6.2790201829645627</v>
      </c>
      <c r="AA1565" s="5">
        <f>-Z1565*F1565</f>
        <v>-6329.2523444282788</v>
      </c>
      <c r="AB1565" t="s">
        <v>64</v>
      </c>
      <c r="AC1565" t="s">
        <v>62</v>
      </c>
      <c r="AD1565">
        <f>_xlfn.SWITCH(PROPER(TRIM(S1565)),
   "Annual",1,
   "Semi-Annual",2,
   "Quarterly",4,
   "Monthly",12,
   "")</f>
        <v>1</v>
      </c>
    </row>
    <row r="1566" spans="1:30" x14ac:dyDescent="0.35">
      <c r="A1566" t="s">
        <v>498</v>
      </c>
      <c r="B1566" t="s">
        <v>497</v>
      </c>
      <c r="C1566" s="36">
        <f>RATE(U1566,V1566,-F1566,H1566)</f>
        <v>0.12439132248559422</v>
      </c>
      <c r="D1566" s="3">
        <f>C1566*AD1566</f>
        <v>0.12439132248559422</v>
      </c>
      <c r="F1566">
        <v>1020</v>
      </c>
      <c r="G1566" t="s">
        <v>76</v>
      </c>
      <c r="H1566">
        <v>1000</v>
      </c>
      <c r="I1566" s="22"/>
      <c r="J1566">
        <v>195</v>
      </c>
      <c r="K1566" s="22"/>
      <c r="L1566">
        <v>12.324353609756599</v>
      </c>
      <c r="M1566" s="22">
        <v>0.13</v>
      </c>
      <c r="N1566" s="21">
        <v>45736</v>
      </c>
      <c r="O1566" s="21">
        <v>47562</v>
      </c>
      <c r="P1566">
        <f>ROUND(YEARFRAC(N1566,O1566),0)</f>
        <v>5</v>
      </c>
      <c r="Q1566" s="6">
        <f>(M1566*H1566)/F1566</f>
        <v>0.12745098039215685</v>
      </c>
      <c r="R1566" s="5">
        <f>IF(S1566="Quarterly",4,IF(S1566="Semi-annual",2,IF(S1566="Annual",1,IF(S1566="Pays at maturity",0,12))))</f>
        <v>1</v>
      </c>
      <c r="S1566" t="s">
        <v>93</v>
      </c>
      <c r="U1566">
        <f>R1566*P1566</f>
        <v>5</v>
      </c>
      <c r="V1566">
        <f>(H1566*M1566)/AD1566</f>
        <v>130</v>
      </c>
      <c r="W1566" s="28">
        <f>RATE(U1566,V1566,-F1566,H1566)</f>
        <v>0.12439132248559422</v>
      </c>
      <c r="X1566" s="27">
        <f>W1566*AD1566</f>
        <v>0.12439132248559422</v>
      </c>
      <c r="Y1566" s="5">
        <f>DURATION(N1566,O1566,M1566,D1566,AD1566)</f>
        <v>3.9851063022044966</v>
      </c>
      <c r="Z1566" s="5">
        <f>Y1566/(1+C1566)</f>
        <v>3.5442343092749673</v>
      </c>
      <c r="AA1566" s="5">
        <f>-Z1566*F1566</f>
        <v>-3615.1189954604665</v>
      </c>
      <c r="AB1566" t="s">
        <v>69</v>
      </c>
      <c r="AC1566" t="s">
        <v>62</v>
      </c>
      <c r="AD1566">
        <f>_xlfn.SWITCH(PROPER(TRIM(S1566)),
   "Annual",1,
   "Semi-Annual",2,
   "Quarterly",4,
   "Monthly",12,
   "")</f>
        <v>1</v>
      </c>
    </row>
    <row r="1567" spans="1:30" x14ac:dyDescent="0.35">
      <c r="C1567" s="28"/>
      <c r="D1567" s="27"/>
      <c r="I1567" s="22"/>
      <c r="K1567" s="22"/>
      <c r="M1567" s="22"/>
      <c r="N1567" s="21"/>
      <c r="O1567" s="21"/>
      <c r="P1567" s="5"/>
      <c r="Q1567" s="6"/>
      <c r="R1567" s="5"/>
      <c r="W1567" s="28"/>
      <c r="Y1567" s="33"/>
      <c r="Z1567" s="33"/>
      <c r="AA1567" s="33"/>
    </row>
    <row r="1568" spans="1:30" x14ac:dyDescent="0.35">
      <c r="A1568" t="s">
        <v>495</v>
      </c>
      <c r="B1568" t="s">
        <v>281</v>
      </c>
      <c r="C1568" s="36">
        <f t="shared" ref="C1568:C1586" si="1053">RATE(U1568,V1568,-F1568,H1568)</f>
        <v>2.2775419619862045E-2</v>
      </c>
      <c r="D1568" s="3">
        <f t="shared" ref="D1568:D1586" si="1054">C1568*AD1568</f>
        <v>9.1101678479448181E-2</v>
      </c>
      <c r="F1568">
        <v>1033250</v>
      </c>
      <c r="G1568" t="s">
        <v>76</v>
      </c>
      <c r="H1568">
        <v>1000000</v>
      </c>
      <c r="I1568" s="22"/>
      <c r="J1568">
        <v>1</v>
      </c>
      <c r="K1568" s="22"/>
      <c r="M1568" s="22">
        <v>9.6999999999999989E-2</v>
      </c>
      <c r="N1568" s="21">
        <v>44650</v>
      </c>
      <c r="O1568" s="21">
        <v>47571</v>
      </c>
      <c r="P1568">
        <f t="shared" ref="P1568:P1586" si="1055">ROUND(YEARFRAC(N1568,O1568),0)</f>
        <v>8</v>
      </c>
      <c r="Q1568" s="6">
        <f t="shared" ref="Q1568:Q1586" si="1056">(M1568*H1568)/F1568</f>
        <v>9.3878538591821908E-2</v>
      </c>
      <c r="R1568" s="5">
        <f t="shared" ref="R1568:R1586" si="1057">IF(S1568="Quarterly",4,IF(S1568="Semi-annual",2,IF(S1568="Annual",1,IF(S1568="Pays at maturity",0,12))))</f>
        <v>4</v>
      </c>
      <c r="S1568" t="s">
        <v>105</v>
      </c>
      <c r="U1568">
        <f t="shared" ref="U1568:U1586" si="1058">R1568*P1568</f>
        <v>32</v>
      </c>
      <c r="V1568">
        <f t="shared" ref="V1568:V1586" si="1059">(H1568*M1568)/AD1568</f>
        <v>24249.999999999996</v>
      </c>
      <c r="W1568" s="28">
        <f t="shared" ref="W1568:W1586" si="1060">RATE(U1568,V1568,-F1568,H1568)</f>
        <v>2.2775419619862045E-2</v>
      </c>
      <c r="X1568" s="27">
        <f t="shared" ref="X1568:X1586" si="1061">W1568*AD1568</f>
        <v>9.1101678479448181E-2</v>
      </c>
      <c r="Y1568" s="5">
        <f t="shared" ref="Y1568:Y1586" si="1062">DURATION(N1568,O1568,M1568,D1568,AD1568)</f>
        <v>5.6947017732162184</v>
      </c>
      <c r="Z1568" s="5">
        <f t="shared" ref="Z1568:Z1586" si="1063">Y1568/(1+C1568)</f>
        <v>5.567890725544407</v>
      </c>
      <c r="AA1568" s="5">
        <f t="shared" ref="AA1568:AA1586" si="1064">-Z1568*F1568</f>
        <v>-5753023.0921687586</v>
      </c>
      <c r="AB1568" t="s">
        <v>64</v>
      </c>
      <c r="AC1568" t="s">
        <v>62</v>
      </c>
      <c r="AD1568">
        <f t="shared" ref="AD1568:AD1586" si="1065">_xlfn.SWITCH(PROPER(TRIM(S1568)),
   "Annual",1,
   "Semi-Annual",2,
   "Quarterly",4,
   "Monthly",12,
   "")</f>
        <v>4</v>
      </c>
    </row>
    <row r="1569" spans="1:30" x14ac:dyDescent="0.35">
      <c r="A1569" t="s">
        <v>494</v>
      </c>
      <c r="B1569" t="s">
        <v>239</v>
      </c>
      <c r="C1569" s="36">
        <f t="shared" si="1053"/>
        <v>2.2214705494612616E-2</v>
      </c>
      <c r="D1569" s="3">
        <f t="shared" si="1054"/>
        <v>8.8858821978450464E-2</v>
      </c>
      <c r="F1569">
        <v>100073</v>
      </c>
      <c r="G1569" t="s">
        <v>76</v>
      </c>
      <c r="H1569">
        <v>100000</v>
      </c>
      <c r="I1569" s="22"/>
      <c r="J1569">
        <v>2</v>
      </c>
      <c r="K1569" s="22"/>
      <c r="M1569" s="22">
        <v>8.900000000000001E-2</v>
      </c>
      <c r="N1569" s="21">
        <v>45009</v>
      </c>
      <c r="O1569" s="21">
        <v>47571</v>
      </c>
      <c r="P1569">
        <f t="shared" si="1055"/>
        <v>7</v>
      </c>
      <c r="Q1569" s="6">
        <f t="shared" si="1056"/>
        <v>8.8935077393502759E-2</v>
      </c>
      <c r="R1569" s="5">
        <f t="shared" si="1057"/>
        <v>4</v>
      </c>
      <c r="S1569" t="s">
        <v>105</v>
      </c>
      <c r="U1569">
        <f t="shared" si="1058"/>
        <v>28</v>
      </c>
      <c r="V1569">
        <f t="shared" si="1059"/>
        <v>2225.0000000000005</v>
      </c>
      <c r="W1569" s="28">
        <f t="shared" si="1060"/>
        <v>2.2214705494612616E-2</v>
      </c>
      <c r="X1569" s="27">
        <f t="shared" si="1061"/>
        <v>8.8858821978450464E-2</v>
      </c>
      <c r="Y1569" s="5">
        <f t="shared" si="1062"/>
        <v>5.18312978541009</v>
      </c>
      <c r="Z1569" s="5">
        <f t="shared" si="1063"/>
        <v>5.0704903358851219</v>
      </c>
      <c r="AA1569" s="5">
        <f t="shared" si="1064"/>
        <v>-507419.17938303179</v>
      </c>
      <c r="AB1569" t="s">
        <v>64</v>
      </c>
      <c r="AC1569" t="s">
        <v>62</v>
      </c>
      <c r="AD1569">
        <f t="shared" si="1065"/>
        <v>4</v>
      </c>
    </row>
    <row r="1570" spans="1:30" x14ac:dyDescent="0.35">
      <c r="A1570" t="s">
        <v>493</v>
      </c>
      <c r="B1570" t="s">
        <v>283</v>
      </c>
      <c r="C1570" s="36">
        <f t="shared" si="1053"/>
        <v>2.2615253497198128E-2</v>
      </c>
      <c r="D1570" s="3">
        <f t="shared" si="1054"/>
        <v>9.0461013988792513E-2</v>
      </c>
      <c r="F1570">
        <v>1046500</v>
      </c>
      <c r="G1570" t="s">
        <v>76</v>
      </c>
      <c r="H1570">
        <v>1000000</v>
      </c>
      <c r="I1570" s="22"/>
      <c r="J1570">
        <v>2</v>
      </c>
      <c r="K1570" s="22"/>
      <c r="M1570" s="22">
        <v>9.9499999999999991E-2</v>
      </c>
      <c r="N1570" s="21">
        <v>44841</v>
      </c>
      <c r="O1570" s="21">
        <v>47571</v>
      </c>
      <c r="P1570">
        <f t="shared" si="1055"/>
        <v>7</v>
      </c>
      <c r="Q1570" s="6">
        <f t="shared" si="1056"/>
        <v>9.5078834209268978E-2</v>
      </c>
      <c r="R1570" s="5">
        <f t="shared" si="1057"/>
        <v>4</v>
      </c>
      <c r="S1570" t="s">
        <v>105</v>
      </c>
      <c r="U1570">
        <f t="shared" si="1058"/>
        <v>28</v>
      </c>
      <c r="V1570">
        <f t="shared" si="1059"/>
        <v>24874.999999999996</v>
      </c>
      <c r="W1570" s="28">
        <f t="shared" si="1060"/>
        <v>2.2615253497198128E-2</v>
      </c>
      <c r="X1570" s="27">
        <f t="shared" si="1061"/>
        <v>9.0461013988792513E-2</v>
      </c>
      <c r="Y1570" s="5">
        <f t="shared" si="1062"/>
        <v>5.4066725379170695</v>
      </c>
      <c r="Z1570" s="5">
        <f t="shared" si="1063"/>
        <v>5.2871033552717126</v>
      </c>
      <c r="AA1570" s="5">
        <f t="shared" si="1064"/>
        <v>-5532953.661291847</v>
      </c>
      <c r="AB1570" t="s">
        <v>64</v>
      </c>
      <c r="AC1570" t="s">
        <v>62</v>
      </c>
      <c r="AD1570">
        <f t="shared" si="1065"/>
        <v>4</v>
      </c>
    </row>
    <row r="1571" spans="1:30" x14ac:dyDescent="0.35">
      <c r="A1571" t="s">
        <v>492</v>
      </c>
      <c r="B1571" t="s">
        <v>491</v>
      </c>
      <c r="C1571" s="36">
        <f t="shared" si="1053"/>
        <v>0.11749999999999999</v>
      </c>
      <c r="D1571" s="3">
        <f t="shared" si="1054"/>
        <v>0.11749999999999999</v>
      </c>
      <c r="F1571">
        <v>1000000</v>
      </c>
      <c r="G1571" t="s">
        <v>76</v>
      </c>
      <c r="H1571">
        <v>1000000</v>
      </c>
      <c r="I1571" s="22"/>
      <c r="J1571">
        <v>1</v>
      </c>
      <c r="K1571" s="22"/>
      <c r="L1571">
        <v>11.75</v>
      </c>
      <c r="M1571" s="22">
        <v>0.11749999999999999</v>
      </c>
      <c r="N1571" s="21">
        <v>42094</v>
      </c>
      <c r="O1571" s="21">
        <v>47572</v>
      </c>
      <c r="P1571">
        <f t="shared" si="1055"/>
        <v>15</v>
      </c>
      <c r="Q1571" s="6">
        <f t="shared" si="1056"/>
        <v>0.11749999999999999</v>
      </c>
      <c r="R1571" s="5">
        <f t="shared" si="1057"/>
        <v>1</v>
      </c>
      <c r="S1571" t="s">
        <v>93</v>
      </c>
      <c r="U1571">
        <f t="shared" si="1058"/>
        <v>15</v>
      </c>
      <c r="V1571">
        <f t="shared" si="1059"/>
        <v>117500</v>
      </c>
      <c r="W1571" s="28">
        <f t="shared" si="1060"/>
        <v>0.11749999999999999</v>
      </c>
      <c r="X1571" s="27">
        <f t="shared" si="1061"/>
        <v>0.11749999999999999</v>
      </c>
      <c r="Y1571" s="5">
        <f t="shared" si="1062"/>
        <v>7.7138509197772276</v>
      </c>
      <c r="Z1571" s="5">
        <f t="shared" si="1063"/>
        <v>6.9027748722838727</v>
      </c>
      <c r="AA1571" s="5">
        <f t="shared" si="1064"/>
        <v>-6902774.8722838722</v>
      </c>
      <c r="AB1571" t="s">
        <v>69</v>
      </c>
      <c r="AC1571" t="s">
        <v>62</v>
      </c>
      <c r="AD1571">
        <f t="shared" si="1065"/>
        <v>1</v>
      </c>
    </row>
    <row r="1572" spans="1:30" x14ac:dyDescent="0.35">
      <c r="A1572" t="s">
        <v>490</v>
      </c>
      <c r="B1572" t="s">
        <v>119</v>
      </c>
      <c r="C1572" s="36">
        <f t="shared" si="1053"/>
        <v>0.10500000000000012</v>
      </c>
      <c r="D1572" s="3">
        <f t="shared" si="1054"/>
        <v>0.10500000000000012</v>
      </c>
      <c r="F1572">
        <v>1000</v>
      </c>
      <c r="G1572" t="s">
        <v>76</v>
      </c>
      <c r="H1572">
        <v>1000</v>
      </c>
      <c r="I1572" s="22"/>
      <c r="J1572">
        <v>2</v>
      </c>
      <c r="K1572" s="22"/>
      <c r="L1572">
        <v>10.5</v>
      </c>
      <c r="M1572" s="22">
        <v>0.105</v>
      </c>
      <c r="N1572" s="21">
        <v>45750</v>
      </c>
      <c r="O1572" s="21">
        <v>47576</v>
      </c>
      <c r="P1572">
        <f t="shared" si="1055"/>
        <v>5</v>
      </c>
      <c r="Q1572" s="6">
        <f t="shared" si="1056"/>
        <v>0.105</v>
      </c>
      <c r="R1572" s="5">
        <f t="shared" si="1057"/>
        <v>1</v>
      </c>
      <c r="S1572" t="s">
        <v>93</v>
      </c>
      <c r="U1572">
        <f t="shared" si="1058"/>
        <v>5</v>
      </c>
      <c r="V1572">
        <f t="shared" si="1059"/>
        <v>105</v>
      </c>
      <c r="W1572" s="28">
        <f t="shared" si="1060"/>
        <v>0.10500000000000012</v>
      </c>
      <c r="X1572" s="27">
        <f t="shared" si="1061"/>
        <v>0.10500000000000012</v>
      </c>
      <c r="Y1572" s="5">
        <f t="shared" si="1062"/>
        <v>4.1358583369310464</v>
      </c>
      <c r="Z1572" s="5">
        <f t="shared" si="1063"/>
        <v>3.7428582234670098</v>
      </c>
      <c r="AA1572" s="5">
        <f t="shared" si="1064"/>
        <v>-3742.8582234670098</v>
      </c>
      <c r="AB1572" t="s">
        <v>64</v>
      </c>
      <c r="AC1572" t="s">
        <v>62</v>
      </c>
      <c r="AD1572">
        <f t="shared" si="1065"/>
        <v>1</v>
      </c>
    </row>
    <row r="1573" spans="1:30" x14ac:dyDescent="0.35">
      <c r="A1573" t="s">
        <v>489</v>
      </c>
      <c r="B1573" t="s">
        <v>119</v>
      </c>
      <c r="C1573" s="36">
        <f t="shared" si="1053"/>
        <v>0.10834288361479219</v>
      </c>
      <c r="D1573" s="3">
        <f t="shared" si="1054"/>
        <v>0.10834288361479219</v>
      </c>
      <c r="F1573">
        <v>970.15</v>
      </c>
      <c r="G1573" t="s">
        <v>76</v>
      </c>
      <c r="H1573">
        <v>1000</v>
      </c>
      <c r="I1573" s="22"/>
      <c r="J1573">
        <v>19</v>
      </c>
      <c r="K1573" s="22"/>
      <c r="L1573">
        <v>10.9926831349684</v>
      </c>
      <c r="M1573" s="22">
        <v>0.1003</v>
      </c>
      <c r="N1573" s="21">
        <v>45750</v>
      </c>
      <c r="O1573" s="21">
        <v>47576</v>
      </c>
      <c r="P1573">
        <f t="shared" si="1055"/>
        <v>5</v>
      </c>
      <c r="Q1573" s="6">
        <f t="shared" si="1056"/>
        <v>0.10338607431840437</v>
      </c>
      <c r="R1573" s="5">
        <f t="shared" si="1057"/>
        <v>1</v>
      </c>
      <c r="S1573" t="s">
        <v>93</v>
      </c>
      <c r="U1573">
        <f t="shared" si="1058"/>
        <v>5</v>
      </c>
      <c r="V1573">
        <f t="shared" si="1059"/>
        <v>100.3</v>
      </c>
      <c r="W1573" s="28">
        <f t="shared" si="1060"/>
        <v>0.10834288361479219</v>
      </c>
      <c r="X1573" s="27">
        <f t="shared" si="1061"/>
        <v>0.10834288361479219</v>
      </c>
      <c r="Y1573" s="5">
        <f t="shared" si="1062"/>
        <v>4.1540148722597312</v>
      </c>
      <c r="Z1573" s="5">
        <f t="shared" si="1063"/>
        <v>3.7479510480652585</v>
      </c>
      <c r="AA1573" s="5">
        <f t="shared" si="1064"/>
        <v>-3636.0747092805104</v>
      </c>
      <c r="AB1573" t="s">
        <v>64</v>
      </c>
      <c r="AC1573" t="s">
        <v>62</v>
      </c>
      <c r="AD1573">
        <f t="shared" si="1065"/>
        <v>1</v>
      </c>
    </row>
    <row r="1574" spans="1:30" x14ac:dyDescent="0.35">
      <c r="A1574" t="s">
        <v>488</v>
      </c>
      <c r="B1574" t="s">
        <v>357</v>
      </c>
      <c r="C1574" s="36">
        <f t="shared" si="1053"/>
        <v>0.10250000000000002</v>
      </c>
      <c r="D1574" s="3">
        <f t="shared" si="1054"/>
        <v>0.10250000000000002</v>
      </c>
      <c r="F1574">
        <v>1000</v>
      </c>
      <c r="G1574" t="s">
        <v>76</v>
      </c>
      <c r="H1574">
        <v>1000</v>
      </c>
      <c r="I1574" s="22"/>
      <c r="J1574">
        <v>1</v>
      </c>
      <c r="K1574" s="22"/>
      <c r="L1574">
        <v>10.25</v>
      </c>
      <c r="M1574" s="22">
        <v>0.10249999999999999</v>
      </c>
      <c r="N1574" s="21">
        <v>45751</v>
      </c>
      <c r="O1574" s="21">
        <v>47577</v>
      </c>
      <c r="P1574">
        <f t="shared" si="1055"/>
        <v>5</v>
      </c>
      <c r="Q1574" s="6">
        <f t="shared" si="1056"/>
        <v>0.10249999999999999</v>
      </c>
      <c r="R1574" s="5">
        <f t="shared" si="1057"/>
        <v>1</v>
      </c>
      <c r="S1574" t="s">
        <v>93</v>
      </c>
      <c r="U1574">
        <f t="shared" si="1058"/>
        <v>5</v>
      </c>
      <c r="V1574">
        <f t="shared" si="1059"/>
        <v>102.5</v>
      </c>
      <c r="W1574" s="28">
        <f t="shared" si="1060"/>
        <v>0.10250000000000002</v>
      </c>
      <c r="X1574" s="27">
        <f t="shared" si="1061"/>
        <v>0.10250000000000002</v>
      </c>
      <c r="Y1574" s="5">
        <f t="shared" si="1062"/>
        <v>4.1527867119152466</v>
      </c>
      <c r="Z1574" s="5">
        <f t="shared" si="1063"/>
        <v>3.7666999654560058</v>
      </c>
      <c r="AA1574" s="5">
        <f t="shared" si="1064"/>
        <v>-3766.6999654560059</v>
      </c>
      <c r="AB1574" t="s">
        <v>64</v>
      </c>
      <c r="AC1574" t="s">
        <v>62</v>
      </c>
      <c r="AD1574">
        <f t="shared" si="1065"/>
        <v>1</v>
      </c>
    </row>
    <row r="1575" spans="1:30" x14ac:dyDescent="0.35">
      <c r="A1575" t="s">
        <v>487</v>
      </c>
      <c r="B1575" t="s">
        <v>401</v>
      </c>
      <c r="C1575" s="36">
        <f t="shared" si="1053"/>
        <v>0.10513408669470131</v>
      </c>
      <c r="D1575" s="3">
        <f t="shared" si="1054"/>
        <v>0.10513408669470131</v>
      </c>
      <c r="F1575">
        <v>99942.47</v>
      </c>
      <c r="G1575" t="s">
        <v>76</v>
      </c>
      <c r="H1575">
        <v>100000</v>
      </c>
      <c r="I1575" s="22"/>
      <c r="J1575">
        <v>2</v>
      </c>
      <c r="K1575" s="22"/>
      <c r="L1575">
        <v>10.517867727277601</v>
      </c>
      <c r="M1575" s="22">
        <v>0.105</v>
      </c>
      <c r="N1575" s="21">
        <v>45576</v>
      </c>
      <c r="O1575" s="21">
        <v>47584</v>
      </c>
      <c r="P1575">
        <f t="shared" si="1055"/>
        <v>6</v>
      </c>
      <c r="Q1575" s="6">
        <f t="shared" si="1056"/>
        <v>0.1050604412718637</v>
      </c>
      <c r="R1575" s="5">
        <f t="shared" si="1057"/>
        <v>1</v>
      </c>
      <c r="S1575" t="s">
        <v>93</v>
      </c>
      <c r="U1575">
        <f t="shared" si="1058"/>
        <v>6</v>
      </c>
      <c r="V1575">
        <f t="shared" si="1059"/>
        <v>10500</v>
      </c>
      <c r="W1575" s="28">
        <f t="shared" si="1060"/>
        <v>0.10513408669470131</v>
      </c>
      <c r="X1575" s="27">
        <f t="shared" si="1061"/>
        <v>0.10513408669470131</v>
      </c>
      <c r="Y1575" s="5">
        <f t="shared" si="1062"/>
        <v>4.242467847543649</v>
      </c>
      <c r="Z1575" s="5">
        <f t="shared" si="1063"/>
        <v>3.8388715890867746</v>
      </c>
      <c r="AA1575" s="5">
        <f t="shared" si="1064"/>
        <v>-383666.30862615729</v>
      </c>
      <c r="AB1575" t="s">
        <v>64</v>
      </c>
      <c r="AC1575" t="s">
        <v>62</v>
      </c>
      <c r="AD1575">
        <f t="shared" si="1065"/>
        <v>1</v>
      </c>
    </row>
    <row r="1576" spans="1:30" x14ac:dyDescent="0.35">
      <c r="A1576" t="s">
        <v>486</v>
      </c>
      <c r="B1576" t="s">
        <v>182</v>
      </c>
      <c r="C1576" s="36">
        <f t="shared" si="1053"/>
        <v>5.2145137236273335E-2</v>
      </c>
      <c r="D1576" s="3">
        <f t="shared" si="1054"/>
        <v>0.10429027447254667</v>
      </c>
      <c r="F1576">
        <v>102500</v>
      </c>
      <c r="G1576" t="s">
        <v>76</v>
      </c>
      <c r="H1576">
        <v>100000</v>
      </c>
      <c r="I1576" s="22"/>
      <c r="J1576">
        <v>1</v>
      </c>
      <c r="K1576" s="22"/>
      <c r="M1576" s="22">
        <v>0.11</v>
      </c>
      <c r="N1576" s="21">
        <v>45371</v>
      </c>
      <c r="O1576" s="21">
        <v>47593</v>
      </c>
      <c r="P1576">
        <f t="shared" si="1055"/>
        <v>6</v>
      </c>
      <c r="Q1576" s="6">
        <f t="shared" si="1056"/>
        <v>0.10731707317073171</v>
      </c>
      <c r="R1576" s="5">
        <f t="shared" si="1057"/>
        <v>2</v>
      </c>
      <c r="S1576" t="s">
        <v>65</v>
      </c>
      <c r="U1576">
        <f t="shared" si="1058"/>
        <v>12</v>
      </c>
      <c r="V1576">
        <f t="shared" si="1059"/>
        <v>5500</v>
      </c>
      <c r="W1576" s="28">
        <f t="shared" si="1060"/>
        <v>5.2145137236273335E-2</v>
      </c>
      <c r="X1576" s="27">
        <f t="shared" si="1061"/>
        <v>0.10429027447254667</v>
      </c>
      <c r="Y1576" s="5">
        <f t="shared" si="1062"/>
        <v>4.4171634392475054</v>
      </c>
      <c r="Z1576" s="5">
        <f t="shared" si="1063"/>
        <v>4.1982453588582924</v>
      </c>
      <c r="AA1576" s="5">
        <f t="shared" si="1064"/>
        <v>-430320.14928297495</v>
      </c>
      <c r="AB1576" t="s">
        <v>64</v>
      </c>
      <c r="AC1576" t="s">
        <v>62</v>
      </c>
      <c r="AD1576">
        <f t="shared" si="1065"/>
        <v>2</v>
      </c>
    </row>
    <row r="1577" spans="1:30" x14ac:dyDescent="0.35">
      <c r="A1577" t="s">
        <v>485</v>
      </c>
      <c r="B1577" t="s">
        <v>483</v>
      </c>
      <c r="C1577" s="36">
        <f t="shared" si="1053"/>
        <v>9.7047242161509201E-2</v>
      </c>
      <c r="D1577" s="3">
        <f t="shared" si="1054"/>
        <v>9.7047242161509201E-2</v>
      </c>
      <c r="F1577">
        <v>996</v>
      </c>
      <c r="G1577" t="s">
        <v>76</v>
      </c>
      <c r="H1577">
        <v>1000</v>
      </c>
      <c r="I1577" s="22"/>
      <c r="J1577">
        <v>81</v>
      </c>
      <c r="K1577" s="22"/>
      <c r="L1577">
        <v>9.7213713611508101</v>
      </c>
      <c r="M1577" s="22">
        <v>9.6000000000000002E-2</v>
      </c>
      <c r="N1577" s="21">
        <v>45768</v>
      </c>
      <c r="O1577" s="21">
        <v>47594</v>
      </c>
      <c r="P1577">
        <f t="shared" si="1055"/>
        <v>5</v>
      </c>
      <c r="Q1577" s="6">
        <f t="shared" si="1056"/>
        <v>9.6385542168674704E-2</v>
      </c>
      <c r="R1577" s="5">
        <f t="shared" si="1057"/>
        <v>1</v>
      </c>
      <c r="S1577" t="s">
        <v>93</v>
      </c>
      <c r="U1577">
        <f t="shared" si="1058"/>
        <v>5</v>
      </c>
      <c r="V1577">
        <f t="shared" si="1059"/>
        <v>96</v>
      </c>
      <c r="W1577" s="28">
        <f t="shared" si="1060"/>
        <v>9.7047242161509201E-2</v>
      </c>
      <c r="X1577" s="27">
        <f t="shared" si="1061"/>
        <v>9.7047242161509201E-2</v>
      </c>
      <c r="Y1577" s="5">
        <f t="shared" si="1062"/>
        <v>4.1957545463261177</v>
      </c>
      <c r="Z1577" s="5">
        <f t="shared" si="1063"/>
        <v>3.8245887552292039</v>
      </c>
      <c r="AA1577" s="5">
        <f t="shared" si="1064"/>
        <v>-3809.2904002082873</v>
      </c>
      <c r="AB1577" t="s">
        <v>64</v>
      </c>
      <c r="AC1577" t="s">
        <v>62</v>
      </c>
      <c r="AD1577">
        <f t="shared" si="1065"/>
        <v>1</v>
      </c>
    </row>
    <row r="1578" spans="1:30" x14ac:dyDescent="0.35">
      <c r="A1578" t="s">
        <v>484</v>
      </c>
      <c r="B1578" t="s">
        <v>483</v>
      </c>
      <c r="C1578" s="36">
        <f t="shared" si="1053"/>
        <v>0.10250000000000002</v>
      </c>
      <c r="D1578" s="3">
        <f t="shared" si="1054"/>
        <v>0.10250000000000002</v>
      </c>
      <c r="F1578">
        <v>1000</v>
      </c>
      <c r="G1578" t="s">
        <v>76</v>
      </c>
      <c r="H1578">
        <v>1000</v>
      </c>
      <c r="I1578" s="22"/>
      <c r="J1578">
        <v>140</v>
      </c>
      <c r="K1578" s="22"/>
      <c r="L1578">
        <v>10.25</v>
      </c>
      <c r="M1578" s="22">
        <v>0.10249999999999999</v>
      </c>
      <c r="N1578" s="21">
        <v>45768</v>
      </c>
      <c r="O1578" s="21">
        <v>47594</v>
      </c>
      <c r="P1578">
        <f t="shared" si="1055"/>
        <v>5</v>
      </c>
      <c r="Q1578" s="6">
        <f t="shared" si="1056"/>
        <v>0.10249999999999999</v>
      </c>
      <c r="R1578" s="5">
        <f t="shared" si="1057"/>
        <v>1</v>
      </c>
      <c r="S1578" t="s">
        <v>93</v>
      </c>
      <c r="U1578">
        <f t="shared" si="1058"/>
        <v>5</v>
      </c>
      <c r="V1578">
        <f t="shared" si="1059"/>
        <v>102.5</v>
      </c>
      <c r="W1578" s="28">
        <f t="shared" si="1060"/>
        <v>0.10250000000000002</v>
      </c>
      <c r="X1578" s="27">
        <f t="shared" si="1061"/>
        <v>0.10250000000000002</v>
      </c>
      <c r="Y1578" s="5">
        <f t="shared" si="1062"/>
        <v>4.1527867119152466</v>
      </c>
      <c r="Z1578" s="5">
        <f t="shared" si="1063"/>
        <v>3.7666999654560058</v>
      </c>
      <c r="AA1578" s="5">
        <f t="shared" si="1064"/>
        <v>-3766.6999654560059</v>
      </c>
      <c r="AB1578" t="s">
        <v>64</v>
      </c>
      <c r="AC1578" t="s">
        <v>62</v>
      </c>
      <c r="AD1578">
        <f t="shared" si="1065"/>
        <v>1</v>
      </c>
    </row>
    <row r="1579" spans="1:30" x14ac:dyDescent="0.35">
      <c r="A1579" t="s">
        <v>482</v>
      </c>
      <c r="B1579" t="s">
        <v>94</v>
      </c>
      <c r="C1579" s="36">
        <f t="shared" si="1053"/>
        <v>2.6388906042079215E-2</v>
      </c>
      <c r="D1579" s="3">
        <f t="shared" si="1054"/>
        <v>5.2777812084158431E-2</v>
      </c>
      <c r="F1579">
        <v>897.85</v>
      </c>
      <c r="G1579" t="s">
        <v>66</v>
      </c>
      <c r="H1579">
        <v>1000</v>
      </c>
      <c r="I1579" s="22"/>
      <c r="J1579">
        <v>600000</v>
      </c>
      <c r="K1579" s="22"/>
      <c r="M1579" s="22">
        <v>3.95E-2</v>
      </c>
      <c r="N1579" s="21">
        <v>43853</v>
      </c>
      <c r="O1579" s="21">
        <v>47596</v>
      </c>
      <c r="P1579">
        <f t="shared" si="1055"/>
        <v>10</v>
      </c>
      <c r="Q1579" s="6">
        <f t="shared" si="1056"/>
        <v>4.3993985632343934E-2</v>
      </c>
      <c r="R1579" s="5">
        <f t="shared" si="1057"/>
        <v>2</v>
      </c>
      <c r="S1579" t="s">
        <v>65</v>
      </c>
      <c r="U1579">
        <f t="shared" si="1058"/>
        <v>20</v>
      </c>
      <c r="V1579">
        <f t="shared" si="1059"/>
        <v>19.75</v>
      </c>
      <c r="W1579" s="28">
        <f t="shared" si="1060"/>
        <v>2.6388906042079215E-2</v>
      </c>
      <c r="X1579" s="27">
        <f t="shared" si="1061"/>
        <v>5.2777812084158431E-2</v>
      </c>
      <c r="Y1579" s="5">
        <f t="shared" si="1062"/>
        <v>8.3189296688179795</v>
      </c>
      <c r="Z1579" s="5">
        <f t="shared" si="1063"/>
        <v>8.105046361906922</v>
      </c>
      <c r="AA1579" s="5">
        <f t="shared" si="1064"/>
        <v>-7277.1158760381304</v>
      </c>
      <c r="AB1579" t="s">
        <v>64</v>
      </c>
      <c r="AC1579" t="s">
        <v>62</v>
      </c>
      <c r="AD1579">
        <f t="shared" si="1065"/>
        <v>2</v>
      </c>
    </row>
    <row r="1580" spans="1:30" x14ac:dyDescent="0.35">
      <c r="A1580" t="s">
        <v>481</v>
      </c>
      <c r="B1580" t="s">
        <v>94</v>
      </c>
      <c r="C1580" s="36">
        <f t="shared" si="1053"/>
        <v>2.2416423253149881E-2</v>
      </c>
      <c r="D1580" s="3">
        <f t="shared" si="1054"/>
        <v>4.4832846506299762E-2</v>
      </c>
      <c r="F1580">
        <v>957.4</v>
      </c>
      <c r="G1580" t="s">
        <v>66</v>
      </c>
      <c r="H1580">
        <v>1000</v>
      </c>
      <c r="I1580" s="22"/>
      <c r="J1580">
        <v>0</v>
      </c>
      <c r="K1580" s="22"/>
      <c r="M1580" s="22">
        <v>3.95E-2</v>
      </c>
      <c r="N1580" s="21">
        <v>43853</v>
      </c>
      <c r="O1580" s="21">
        <v>47596</v>
      </c>
      <c r="P1580">
        <f t="shared" si="1055"/>
        <v>10</v>
      </c>
      <c r="Q1580" s="6">
        <f t="shared" si="1056"/>
        <v>4.1257572592437855E-2</v>
      </c>
      <c r="R1580" s="5">
        <f t="shared" si="1057"/>
        <v>2</v>
      </c>
      <c r="S1580" t="s">
        <v>65</v>
      </c>
      <c r="U1580">
        <f t="shared" si="1058"/>
        <v>20</v>
      </c>
      <c r="V1580">
        <f t="shared" si="1059"/>
        <v>19.75</v>
      </c>
      <c r="W1580" s="28">
        <f t="shared" si="1060"/>
        <v>2.2416423253149881E-2</v>
      </c>
      <c r="X1580" s="27">
        <f t="shared" si="1061"/>
        <v>4.4832846506299762E-2</v>
      </c>
      <c r="Y1580" s="5">
        <f t="shared" si="1062"/>
        <v>8.3954187270135918</v>
      </c>
      <c r="Z1580" s="5">
        <f t="shared" si="1063"/>
        <v>8.2113496380475191</v>
      </c>
      <c r="AA1580" s="5">
        <f t="shared" si="1064"/>
        <v>-7861.546143466695</v>
      </c>
      <c r="AB1580" t="s">
        <v>64</v>
      </c>
      <c r="AC1580" t="s">
        <v>62</v>
      </c>
      <c r="AD1580">
        <f t="shared" si="1065"/>
        <v>2</v>
      </c>
    </row>
    <row r="1581" spans="1:30" x14ac:dyDescent="0.35">
      <c r="A1581" t="s">
        <v>481</v>
      </c>
      <c r="B1581" t="s">
        <v>94</v>
      </c>
      <c r="C1581" s="36">
        <f t="shared" si="1053"/>
        <v>2.2416423253149881E-2</v>
      </c>
      <c r="D1581" s="3">
        <f t="shared" si="1054"/>
        <v>4.4832846506299762E-2</v>
      </c>
      <c r="F1581">
        <v>957.4</v>
      </c>
      <c r="G1581" t="s">
        <v>66</v>
      </c>
      <c r="H1581">
        <v>1000</v>
      </c>
      <c r="I1581" s="22"/>
      <c r="J1581">
        <v>0</v>
      </c>
      <c r="K1581" s="22"/>
      <c r="M1581" s="22">
        <v>3.95E-2</v>
      </c>
      <c r="N1581" s="21">
        <v>43853</v>
      </c>
      <c r="O1581" s="21">
        <v>47596</v>
      </c>
      <c r="P1581">
        <f t="shared" si="1055"/>
        <v>10</v>
      </c>
      <c r="Q1581" s="6">
        <f t="shared" si="1056"/>
        <v>4.1257572592437855E-2</v>
      </c>
      <c r="R1581" s="5">
        <f t="shared" si="1057"/>
        <v>2</v>
      </c>
      <c r="S1581" t="s">
        <v>65</v>
      </c>
      <c r="U1581">
        <f t="shared" si="1058"/>
        <v>20</v>
      </c>
      <c r="V1581">
        <f t="shared" si="1059"/>
        <v>19.75</v>
      </c>
      <c r="W1581" s="28">
        <f t="shared" si="1060"/>
        <v>2.2416423253149881E-2</v>
      </c>
      <c r="X1581" s="27">
        <f t="shared" si="1061"/>
        <v>4.4832846506299762E-2</v>
      </c>
      <c r="Y1581" s="5">
        <f t="shared" si="1062"/>
        <v>8.3954187270135918</v>
      </c>
      <c r="Z1581" s="5">
        <f t="shared" si="1063"/>
        <v>8.2113496380475191</v>
      </c>
      <c r="AA1581" s="5">
        <f t="shared" si="1064"/>
        <v>-7861.546143466695</v>
      </c>
      <c r="AB1581" t="s">
        <v>64</v>
      </c>
      <c r="AC1581" t="s">
        <v>62</v>
      </c>
      <c r="AD1581">
        <f t="shared" si="1065"/>
        <v>2</v>
      </c>
    </row>
    <row r="1582" spans="1:30" x14ac:dyDescent="0.35">
      <c r="A1582" t="s">
        <v>480</v>
      </c>
      <c r="B1582" t="s">
        <v>478</v>
      </c>
      <c r="C1582" s="36">
        <f t="shared" si="1053"/>
        <v>0.10366597440237123</v>
      </c>
      <c r="D1582" s="3">
        <f t="shared" si="1054"/>
        <v>0.10366597440237123</v>
      </c>
      <c r="F1582">
        <v>1005.01</v>
      </c>
      <c r="G1582" t="s">
        <v>76</v>
      </c>
      <c r="H1582">
        <v>1000</v>
      </c>
      <c r="I1582" s="22"/>
      <c r="J1582">
        <v>100</v>
      </c>
      <c r="K1582" s="22"/>
      <c r="L1582">
        <v>10.342845363163701</v>
      </c>
      <c r="M1582" s="22">
        <v>0.105</v>
      </c>
      <c r="N1582" s="21">
        <v>45771</v>
      </c>
      <c r="O1582" s="21">
        <v>47597</v>
      </c>
      <c r="P1582">
        <f t="shared" si="1055"/>
        <v>5</v>
      </c>
      <c r="Q1582" s="6">
        <f t="shared" si="1056"/>
        <v>0.1044765723724142</v>
      </c>
      <c r="R1582" s="5">
        <f t="shared" si="1057"/>
        <v>1</v>
      </c>
      <c r="S1582" t="s">
        <v>93</v>
      </c>
      <c r="U1582">
        <f t="shared" si="1058"/>
        <v>5</v>
      </c>
      <c r="V1582">
        <f t="shared" si="1059"/>
        <v>105</v>
      </c>
      <c r="W1582" s="28">
        <f t="shared" si="1060"/>
        <v>0.10366597440237123</v>
      </c>
      <c r="X1582" s="27">
        <f t="shared" si="1061"/>
        <v>0.10366597440237123</v>
      </c>
      <c r="Y1582" s="5">
        <f t="shared" si="1062"/>
        <v>4.138186371176884</v>
      </c>
      <c r="Z1582" s="5">
        <f t="shared" si="1063"/>
        <v>3.7494916642851916</v>
      </c>
      <c r="AA1582" s="5">
        <f t="shared" si="1064"/>
        <v>-3768.2766175232605</v>
      </c>
      <c r="AB1582" t="s">
        <v>64</v>
      </c>
      <c r="AC1582" t="s">
        <v>62</v>
      </c>
      <c r="AD1582">
        <f t="shared" si="1065"/>
        <v>1</v>
      </c>
    </row>
    <row r="1583" spans="1:30" x14ac:dyDescent="0.35">
      <c r="A1583" t="s">
        <v>479</v>
      </c>
      <c r="B1583" t="s">
        <v>478</v>
      </c>
      <c r="C1583" s="36">
        <f t="shared" si="1053"/>
        <v>0.10029999999999689</v>
      </c>
      <c r="D1583" s="3">
        <f t="shared" si="1054"/>
        <v>0.10029999999999689</v>
      </c>
      <c r="F1583">
        <v>1000</v>
      </c>
      <c r="G1583" t="s">
        <v>76</v>
      </c>
      <c r="H1583">
        <v>1000</v>
      </c>
      <c r="I1583" s="22"/>
      <c r="J1583">
        <v>664</v>
      </c>
      <c r="K1583" s="22"/>
      <c r="L1583">
        <v>10.029999999999999</v>
      </c>
      <c r="M1583" s="22">
        <v>0.1003</v>
      </c>
      <c r="N1583" s="21">
        <v>45771</v>
      </c>
      <c r="O1583" s="21">
        <v>47597</v>
      </c>
      <c r="P1583">
        <f t="shared" si="1055"/>
        <v>5</v>
      </c>
      <c r="Q1583" s="6">
        <f t="shared" si="1056"/>
        <v>0.1003</v>
      </c>
      <c r="R1583" s="5">
        <f t="shared" si="1057"/>
        <v>1</v>
      </c>
      <c r="S1583" t="s">
        <v>93</v>
      </c>
      <c r="U1583">
        <f t="shared" si="1058"/>
        <v>5</v>
      </c>
      <c r="V1583">
        <f t="shared" si="1059"/>
        <v>100.3</v>
      </c>
      <c r="W1583" s="28">
        <f t="shared" si="1060"/>
        <v>0.10029999999999689</v>
      </c>
      <c r="X1583" s="27">
        <f t="shared" si="1061"/>
        <v>0.10029999999999689</v>
      </c>
      <c r="Y1583" s="5">
        <f t="shared" si="1062"/>
        <v>4.1678080007281846</v>
      </c>
      <c r="Z1583" s="5">
        <f t="shared" si="1063"/>
        <v>3.7878833052151197</v>
      </c>
      <c r="AA1583" s="5">
        <f t="shared" si="1064"/>
        <v>-3787.8833052151199</v>
      </c>
      <c r="AB1583" t="s">
        <v>64</v>
      </c>
      <c r="AC1583" t="s">
        <v>62</v>
      </c>
      <c r="AD1583">
        <f t="shared" si="1065"/>
        <v>1</v>
      </c>
    </row>
    <row r="1584" spans="1:30" x14ac:dyDescent="0.35">
      <c r="A1584" t="s">
        <v>477</v>
      </c>
      <c r="B1584" t="s">
        <v>476</v>
      </c>
      <c r="C1584" s="36">
        <f t="shared" si="1053"/>
        <v>8.724400466297573E-2</v>
      </c>
      <c r="D1584" s="3">
        <f t="shared" si="1054"/>
        <v>8.724400466297573E-2</v>
      </c>
      <c r="F1584">
        <v>101400</v>
      </c>
      <c r="G1584" t="s">
        <v>76</v>
      </c>
      <c r="H1584">
        <v>100000</v>
      </c>
      <c r="I1584" s="22"/>
      <c r="J1584">
        <v>1</v>
      </c>
      <c r="K1584" s="22"/>
      <c r="L1584">
        <v>8.5861162121109</v>
      </c>
      <c r="M1584" s="22">
        <v>0.09</v>
      </c>
      <c r="N1584" s="21">
        <v>45072</v>
      </c>
      <c r="O1584" s="21">
        <v>47599</v>
      </c>
      <c r="P1584">
        <f t="shared" si="1055"/>
        <v>7</v>
      </c>
      <c r="Q1584" s="6">
        <f t="shared" si="1056"/>
        <v>8.8757396449704137E-2</v>
      </c>
      <c r="R1584" s="5">
        <f t="shared" si="1057"/>
        <v>1</v>
      </c>
      <c r="S1584" t="s">
        <v>93</v>
      </c>
      <c r="U1584">
        <f t="shared" si="1058"/>
        <v>7</v>
      </c>
      <c r="V1584">
        <f t="shared" si="1059"/>
        <v>9000</v>
      </c>
      <c r="W1584" s="28">
        <f t="shared" si="1060"/>
        <v>8.724400466297573E-2</v>
      </c>
      <c r="X1584" s="27">
        <f t="shared" si="1061"/>
        <v>8.724400466297573E-2</v>
      </c>
      <c r="Y1584" s="5">
        <f t="shared" si="1062"/>
        <v>5.4140655215909392</v>
      </c>
      <c r="Z1584" s="5">
        <f t="shared" si="1063"/>
        <v>4.9796232477448275</v>
      </c>
      <c r="AA1584" s="5">
        <f t="shared" si="1064"/>
        <v>-504933.79732132552</v>
      </c>
      <c r="AB1584" t="s">
        <v>64</v>
      </c>
      <c r="AC1584" t="s">
        <v>62</v>
      </c>
      <c r="AD1584">
        <f t="shared" si="1065"/>
        <v>1</v>
      </c>
    </row>
    <row r="1585" spans="1:30" x14ac:dyDescent="0.35">
      <c r="A1585" t="s">
        <v>475</v>
      </c>
      <c r="B1585" t="s">
        <v>241</v>
      </c>
      <c r="C1585" s="36">
        <f t="shared" si="1053"/>
        <v>0.10165360574780416</v>
      </c>
      <c r="D1585" s="3">
        <f t="shared" si="1054"/>
        <v>0.10165360574780416</v>
      </c>
      <c r="F1585">
        <v>99500</v>
      </c>
      <c r="G1585" t="s">
        <v>76</v>
      </c>
      <c r="H1585">
        <v>100000</v>
      </c>
      <c r="I1585" s="22"/>
      <c r="J1585">
        <v>2</v>
      </c>
      <c r="K1585" s="22"/>
      <c r="L1585">
        <v>10.2041279845555</v>
      </c>
      <c r="M1585" s="22">
        <v>0.10050000000000001</v>
      </c>
      <c r="N1585" s="21">
        <v>45474</v>
      </c>
      <c r="O1585" s="21">
        <v>47602</v>
      </c>
      <c r="P1585">
        <f t="shared" si="1055"/>
        <v>6</v>
      </c>
      <c r="Q1585" s="6">
        <f t="shared" si="1056"/>
        <v>0.10100502512562815</v>
      </c>
      <c r="R1585" s="5">
        <f t="shared" si="1057"/>
        <v>1</v>
      </c>
      <c r="S1585" t="s">
        <v>93</v>
      </c>
      <c r="U1585">
        <f t="shared" si="1058"/>
        <v>6</v>
      </c>
      <c r="V1585">
        <f t="shared" si="1059"/>
        <v>10050</v>
      </c>
      <c r="W1585" s="28">
        <f t="shared" si="1060"/>
        <v>0.10165360574780416</v>
      </c>
      <c r="X1585" s="27">
        <f t="shared" si="1061"/>
        <v>0.10165360574780416</v>
      </c>
      <c r="Y1585" s="5">
        <f t="shared" si="1062"/>
        <v>4.6104218855603945</v>
      </c>
      <c r="Z1585" s="5">
        <f t="shared" si="1063"/>
        <v>4.1850014028963605</v>
      </c>
      <c r="AA1585" s="5">
        <f t="shared" si="1064"/>
        <v>-416407.63958818786</v>
      </c>
      <c r="AB1585" t="s">
        <v>64</v>
      </c>
      <c r="AC1585" t="s">
        <v>62</v>
      </c>
      <c r="AD1585">
        <f t="shared" si="1065"/>
        <v>1</v>
      </c>
    </row>
    <row r="1586" spans="1:30" x14ac:dyDescent="0.35">
      <c r="A1586" t="s">
        <v>474</v>
      </c>
      <c r="B1586" t="s">
        <v>241</v>
      </c>
      <c r="C1586" s="36">
        <f t="shared" si="1053"/>
        <v>9.4370836587907916E-2</v>
      </c>
      <c r="D1586" s="3">
        <f t="shared" si="1054"/>
        <v>9.4370836587907916E-2</v>
      </c>
      <c r="F1586">
        <v>1005</v>
      </c>
      <c r="G1586" t="s">
        <v>76</v>
      </c>
      <c r="H1586">
        <v>1000</v>
      </c>
      <c r="I1586" s="22"/>
      <c r="J1586">
        <v>30</v>
      </c>
      <c r="K1586" s="22"/>
      <c r="L1586">
        <v>9.3985424907517299</v>
      </c>
      <c r="M1586" s="22">
        <v>9.5500000000000002E-2</v>
      </c>
      <c r="N1586" s="21">
        <v>45412</v>
      </c>
      <c r="O1586" s="21">
        <v>47603</v>
      </c>
      <c r="P1586">
        <f t="shared" si="1055"/>
        <v>6</v>
      </c>
      <c r="Q1586" s="6">
        <f t="shared" si="1056"/>
        <v>9.5024875621890548E-2</v>
      </c>
      <c r="R1586" s="5">
        <f t="shared" si="1057"/>
        <v>1</v>
      </c>
      <c r="S1586" t="s">
        <v>93</v>
      </c>
      <c r="U1586">
        <f t="shared" si="1058"/>
        <v>6</v>
      </c>
      <c r="V1586">
        <f t="shared" si="1059"/>
        <v>95.5</v>
      </c>
      <c r="W1586" s="28">
        <f t="shared" si="1060"/>
        <v>9.4370836587907916E-2</v>
      </c>
      <c r="X1586" s="27">
        <f t="shared" si="1061"/>
        <v>9.4370836587907916E-2</v>
      </c>
      <c r="Y1586" s="5">
        <f t="shared" si="1062"/>
        <v>4.8379382299683966</v>
      </c>
      <c r="Z1586" s="5">
        <f t="shared" si="1063"/>
        <v>4.4207484960513002</v>
      </c>
      <c r="AA1586" s="5">
        <f t="shared" si="1064"/>
        <v>-4442.8522385315564</v>
      </c>
      <c r="AB1586" t="s">
        <v>64</v>
      </c>
      <c r="AC1586" t="s">
        <v>62</v>
      </c>
      <c r="AD1586">
        <f t="shared" si="1065"/>
        <v>1</v>
      </c>
    </row>
    <row r="1587" spans="1:30" x14ac:dyDescent="0.35">
      <c r="C1587" s="28"/>
      <c r="D1587" s="27"/>
      <c r="I1587" s="22"/>
      <c r="K1587" s="22"/>
      <c r="M1587" s="22"/>
      <c r="N1587" s="21"/>
      <c r="O1587" s="21"/>
      <c r="P1587" s="5"/>
      <c r="Q1587" s="6"/>
      <c r="R1587" s="5"/>
      <c r="W1587" s="28"/>
      <c r="Y1587" s="33"/>
      <c r="Z1587" s="33"/>
      <c r="AA1587" s="33"/>
    </row>
    <row r="1588" spans="1:30" x14ac:dyDescent="0.35">
      <c r="A1588" t="s">
        <v>472</v>
      </c>
      <c r="B1588" t="s">
        <v>241</v>
      </c>
      <c r="C1588" s="36">
        <f>RATE(U1588,V1588,-F1588,H1588)</f>
        <v>0.10254454369301325</v>
      </c>
      <c r="D1588" s="3">
        <f>C1588*AD1588</f>
        <v>0.10254454369301325</v>
      </c>
      <c r="F1588">
        <v>989</v>
      </c>
      <c r="G1588" t="s">
        <v>76</v>
      </c>
      <c r="H1588">
        <v>1000</v>
      </c>
      <c r="I1588" s="22"/>
      <c r="J1588">
        <v>698</v>
      </c>
      <c r="K1588" s="22"/>
      <c r="L1588">
        <v>10.3425429006824</v>
      </c>
      <c r="M1588" s="22">
        <v>0.1</v>
      </c>
      <c r="N1588" s="21">
        <v>45412</v>
      </c>
      <c r="O1588" s="21">
        <v>47603</v>
      </c>
      <c r="P1588">
        <f>ROUND(YEARFRAC(N1588,O1588),0)</f>
        <v>6</v>
      </c>
      <c r="Q1588" s="6">
        <f>(M1588*H1588)/F1588</f>
        <v>0.10111223458038422</v>
      </c>
      <c r="R1588" s="5">
        <f>IF(S1588="Quarterly",4,IF(S1588="Semi-annual",2,IF(S1588="Annual",1,IF(S1588="Pays at maturity",0,12))))</f>
        <v>1</v>
      </c>
      <c r="S1588" t="s">
        <v>93</v>
      </c>
      <c r="U1588">
        <f>R1588*P1588</f>
        <v>6</v>
      </c>
      <c r="V1588">
        <f>(H1588*M1588)/AD1588</f>
        <v>100</v>
      </c>
      <c r="W1588" s="28">
        <f>RATE(U1588,V1588,-F1588,H1588)</f>
        <v>0.10254454369301325</v>
      </c>
      <c r="X1588" s="27">
        <f>W1588*AD1588</f>
        <v>0.10254454369301325</v>
      </c>
      <c r="Y1588" s="5">
        <f>DURATION(N1588,O1588,M1588,D1588,AD1588)</f>
        <v>4.7835053315492493</v>
      </c>
      <c r="Z1588" s="5">
        <f>Y1588/(1+C1588)</f>
        <v>4.3386050558345</v>
      </c>
      <c r="AA1588" s="5">
        <f>-Z1588*F1588</f>
        <v>-4290.8804002203206</v>
      </c>
      <c r="AB1588" t="s">
        <v>64</v>
      </c>
      <c r="AC1588" t="s">
        <v>62</v>
      </c>
      <c r="AD1588">
        <f>_xlfn.SWITCH(PROPER(TRIM(S1588)),
   "Annual",1,
   "Semi-Annual",2,
   "Quarterly",4,
   "Monthly",12,
   "")</f>
        <v>1</v>
      </c>
    </row>
    <row r="1589" spans="1:30" x14ac:dyDescent="0.35">
      <c r="A1589" t="s">
        <v>471</v>
      </c>
      <c r="B1589" t="s">
        <v>122</v>
      </c>
      <c r="C1589" s="36">
        <f>RATE(U1589,V1589,-F1589,H1589)</f>
        <v>0.10279112986249021</v>
      </c>
      <c r="D1589" s="3">
        <f>C1589*AD1589</f>
        <v>0.10279112986249021</v>
      </c>
      <c r="F1589">
        <v>991</v>
      </c>
      <c r="G1589" t="s">
        <v>76</v>
      </c>
      <c r="H1589">
        <v>1000</v>
      </c>
      <c r="I1589" s="22"/>
      <c r="J1589">
        <v>10</v>
      </c>
      <c r="K1589" s="22"/>
      <c r="L1589">
        <v>10.3209249588598</v>
      </c>
      <c r="M1589" s="22">
        <v>0.10039999999999999</v>
      </c>
      <c r="N1589" s="21">
        <v>45777</v>
      </c>
      <c r="O1589" s="21">
        <v>47603</v>
      </c>
      <c r="P1589">
        <f>ROUND(YEARFRAC(N1589,O1589),0)</f>
        <v>5</v>
      </c>
      <c r="Q1589" s="6">
        <f>(M1589*H1589)/F1589</f>
        <v>0.10131180625630676</v>
      </c>
      <c r="R1589" s="5">
        <f>IF(S1589="Quarterly",4,IF(S1589="Semi-annual",2,IF(S1589="Annual",1,IF(S1589="Pays at maturity",0,12))))</f>
        <v>1</v>
      </c>
      <c r="S1589" t="s">
        <v>93</v>
      </c>
      <c r="U1589">
        <f>R1589*P1589</f>
        <v>5</v>
      </c>
      <c r="V1589">
        <f>(H1589*M1589)/AD1589</f>
        <v>100.39999999999999</v>
      </c>
      <c r="W1589" s="28">
        <f>RATE(U1589,V1589,-F1589,H1589)</f>
        <v>0.10279112986249021</v>
      </c>
      <c r="X1589" s="27">
        <f>W1589*AD1589</f>
        <v>0.10279112986249021</v>
      </c>
      <c r="Y1589" s="5">
        <f>DURATION(N1589,O1589,M1589,D1589,AD1589)</f>
        <v>4.1630288614006652</v>
      </c>
      <c r="Z1589" s="5">
        <f>Y1589/(1+C1589)</f>
        <v>3.7749930595830636</v>
      </c>
      <c r="AA1589" s="5">
        <f>-Z1589*F1589</f>
        <v>-3741.0181220468162</v>
      </c>
      <c r="AB1589" t="s">
        <v>64</v>
      </c>
      <c r="AC1589" t="s">
        <v>62</v>
      </c>
      <c r="AD1589">
        <f>_xlfn.SWITCH(PROPER(TRIM(S1589)),
   "Annual",1,
   "Semi-Annual",2,
   "Quarterly",4,
   "Monthly",12,
   "")</f>
        <v>1</v>
      </c>
    </row>
    <row r="1590" spans="1:30" x14ac:dyDescent="0.35">
      <c r="C1590" s="28"/>
      <c r="D1590" s="27"/>
      <c r="I1590" s="22"/>
      <c r="K1590" s="22"/>
      <c r="M1590" s="22"/>
      <c r="N1590" s="21"/>
      <c r="O1590" s="21"/>
      <c r="P1590" s="5"/>
      <c r="Q1590" s="6"/>
      <c r="R1590" s="5"/>
      <c r="W1590" s="28"/>
      <c r="Y1590" s="33"/>
      <c r="Z1590" s="33"/>
      <c r="AA1590" s="33"/>
    </row>
    <row r="1591" spans="1:30" x14ac:dyDescent="0.35">
      <c r="C1591" s="28"/>
      <c r="D1591" s="27"/>
      <c r="I1591" s="22"/>
      <c r="K1591" s="22"/>
      <c r="M1591" s="22"/>
      <c r="N1591" s="21"/>
      <c r="O1591" s="21"/>
      <c r="P1591" s="5"/>
      <c r="Q1591" s="6"/>
      <c r="R1591" s="5"/>
      <c r="W1591" s="28"/>
      <c r="Y1591" s="33"/>
      <c r="Z1591" s="33"/>
      <c r="AA1591" s="33"/>
    </row>
    <row r="1592" spans="1:30" x14ac:dyDescent="0.35">
      <c r="A1592" t="s">
        <v>468</v>
      </c>
      <c r="B1592" t="s">
        <v>241</v>
      </c>
      <c r="C1592" s="36">
        <f>RATE(U1592,V1592,-F1592,H1592)</f>
        <v>9.4027671146334424E-2</v>
      </c>
      <c r="D1592" s="3">
        <f>C1592*AD1592</f>
        <v>9.4027671146334424E-2</v>
      </c>
      <c r="F1592">
        <v>980</v>
      </c>
      <c r="G1592" t="s">
        <v>76</v>
      </c>
      <c r="H1592">
        <v>1000</v>
      </c>
      <c r="I1592" s="22"/>
      <c r="J1592">
        <v>10</v>
      </c>
      <c r="K1592" s="22"/>
      <c r="L1592">
        <v>9.6103046029408308</v>
      </c>
      <c r="M1592" s="22">
        <v>0.09</v>
      </c>
      <c r="N1592" s="21">
        <v>45048</v>
      </c>
      <c r="O1592" s="21">
        <v>47605</v>
      </c>
      <c r="P1592">
        <f>ROUND(YEARFRAC(N1592,O1592),0)</f>
        <v>7</v>
      </c>
      <c r="Q1592" s="6">
        <f>(M1592*H1592)/F1592</f>
        <v>9.1836734693877556E-2</v>
      </c>
      <c r="R1592" s="5">
        <f>IF(S1592="Quarterly",4,IF(S1592="Semi-annual",2,IF(S1592="Annual",1,IF(S1592="Pays at maturity",0,12))))</f>
        <v>1</v>
      </c>
      <c r="S1592" t="s">
        <v>93</v>
      </c>
      <c r="U1592">
        <f>R1592*P1592</f>
        <v>7</v>
      </c>
      <c r="V1592">
        <f>(H1592*M1592)/AD1592</f>
        <v>90</v>
      </c>
      <c r="W1592" s="28">
        <f>RATE(U1592,V1592,-F1592,H1592)</f>
        <v>9.4027671146334424E-2</v>
      </c>
      <c r="X1592" s="27">
        <f>W1592*AD1592</f>
        <v>9.4027671146334424E-2</v>
      </c>
      <c r="Y1592" s="5">
        <f>DURATION(N1592,O1592,M1592,D1592,AD1592)</f>
        <v>5.4690800340244001</v>
      </c>
      <c r="Z1592" s="5">
        <f>Y1592/(1+C1592)</f>
        <v>4.9990326371670628</v>
      </c>
      <c r="AA1592" s="5">
        <f>-Z1592*F1592</f>
        <v>-4899.0519844237215</v>
      </c>
      <c r="AB1592" t="s">
        <v>64</v>
      </c>
      <c r="AC1592" t="s">
        <v>62</v>
      </c>
      <c r="AD1592">
        <f>_xlfn.SWITCH(PROPER(TRIM(S1592)),
   "Annual",1,
   "Semi-Annual",2,
   "Quarterly",4,
   "Monthly",12,
   "")</f>
        <v>1</v>
      </c>
    </row>
    <row r="1593" spans="1:30" x14ac:dyDescent="0.35">
      <c r="A1593" t="s">
        <v>467</v>
      </c>
      <c r="B1593" t="s">
        <v>417</v>
      </c>
      <c r="C1593" s="36">
        <f>RATE(U1593,V1593,-F1593,H1593)</f>
        <v>8.8851167518305324E-2</v>
      </c>
      <c r="D1593" s="3">
        <f>C1593*AD1593</f>
        <v>8.8851167518305324E-2</v>
      </c>
      <c r="F1593">
        <v>1075000</v>
      </c>
      <c r="G1593" t="s">
        <v>76</v>
      </c>
      <c r="H1593">
        <v>1000000</v>
      </c>
      <c r="I1593" s="22"/>
      <c r="J1593">
        <v>1</v>
      </c>
      <c r="K1593" s="22"/>
      <c r="L1593">
        <v>7.6571015071364297</v>
      </c>
      <c r="M1593" s="22">
        <v>9.6999999999999989E-2</v>
      </c>
      <c r="N1593" s="21">
        <v>40302</v>
      </c>
      <c r="O1593" s="21">
        <v>47607</v>
      </c>
      <c r="P1593">
        <f>ROUND(YEARFRAC(N1593,O1593),0)</f>
        <v>20</v>
      </c>
      <c r="Q1593" s="6">
        <f>(M1593*H1593)/F1593</f>
        <v>9.0232558139534874E-2</v>
      </c>
      <c r="R1593" s="5">
        <f>IF(S1593="Quarterly",4,IF(S1593="Semi-annual",2,IF(S1593="Annual",1,IF(S1593="Pays at maturity",0,12))))</f>
        <v>1</v>
      </c>
      <c r="S1593" t="s">
        <v>93</v>
      </c>
      <c r="U1593">
        <f>R1593*P1593</f>
        <v>20</v>
      </c>
      <c r="V1593">
        <f>(H1593*M1593)/AD1593</f>
        <v>96999.999999999985</v>
      </c>
      <c r="W1593" s="28">
        <f>RATE(U1593,V1593,-F1593,H1593)</f>
        <v>8.8851167518305324E-2</v>
      </c>
      <c r="X1593" s="27">
        <f>W1593*AD1593</f>
        <v>8.8851167518305324E-2</v>
      </c>
      <c r="Y1593" s="5">
        <f>DURATION(N1593,O1593,M1593,D1593,AD1593)</f>
        <v>9.8664008324138752</v>
      </c>
      <c r="Z1593" s="5">
        <f>Y1593/(1+C1593)</f>
        <v>9.0612942583339855</v>
      </c>
      <c r="AA1593" s="5">
        <f>-Z1593*F1593</f>
        <v>-9740891.3277090341</v>
      </c>
      <c r="AB1593" t="s">
        <v>64</v>
      </c>
      <c r="AC1593" t="s">
        <v>62</v>
      </c>
      <c r="AD1593">
        <f>_xlfn.SWITCH(PROPER(TRIM(S1593)),
   "Annual",1,
   "Semi-Annual",2,
   "Quarterly",4,
   "Monthly",12,
   "")</f>
        <v>1</v>
      </c>
    </row>
    <row r="1594" spans="1:30" x14ac:dyDescent="0.35">
      <c r="C1594" s="28"/>
      <c r="D1594" s="27"/>
      <c r="I1594" s="22"/>
      <c r="K1594" s="22"/>
      <c r="M1594" s="22"/>
      <c r="N1594" s="21"/>
      <c r="O1594" s="21"/>
      <c r="P1594" s="5"/>
      <c r="Q1594" s="6"/>
      <c r="R1594" s="5"/>
      <c r="W1594" s="28"/>
      <c r="Y1594" s="33"/>
      <c r="Z1594" s="33"/>
      <c r="AA1594" s="33"/>
    </row>
    <row r="1595" spans="1:30" x14ac:dyDescent="0.35">
      <c r="A1595" t="s">
        <v>464</v>
      </c>
      <c r="B1595" t="s">
        <v>101</v>
      </c>
      <c r="C1595" s="36">
        <f>RATE(U1595,V1595,-F1595,H1595)</f>
        <v>6.8930967111069996E-2</v>
      </c>
      <c r="D1595" s="3">
        <f>C1595*AD1595</f>
        <v>6.8930967111069996E-2</v>
      </c>
      <c r="F1595">
        <v>1046367</v>
      </c>
      <c r="G1595" t="s">
        <v>76</v>
      </c>
      <c r="H1595">
        <v>1000000</v>
      </c>
      <c r="I1595" s="22"/>
      <c r="J1595">
        <v>1</v>
      </c>
      <c r="K1595" s="22"/>
      <c r="L1595">
        <v>6.3787103990750698</v>
      </c>
      <c r="M1595" s="22">
        <v>7.5499999999999998E-2</v>
      </c>
      <c r="N1595" s="21">
        <v>43962</v>
      </c>
      <c r="O1595" s="21">
        <v>47614</v>
      </c>
      <c r="P1595">
        <f>ROUND(YEARFRAC(N1595,O1595),0)</f>
        <v>10</v>
      </c>
      <c r="Q1595" s="6">
        <f>(M1595*H1595)/F1595</f>
        <v>7.2154416184761178E-2</v>
      </c>
      <c r="R1595" s="5">
        <f>IF(S1595="Quarterly",4,IF(S1595="Semi-annual",2,IF(S1595="Annual",1,IF(S1595="Pays at maturity",0,12))))</f>
        <v>1</v>
      </c>
      <c r="S1595" t="s">
        <v>93</v>
      </c>
      <c r="U1595">
        <f>R1595*P1595</f>
        <v>10</v>
      </c>
      <c r="V1595">
        <f>(H1595*M1595)/AD1595</f>
        <v>75500</v>
      </c>
      <c r="W1595" s="28">
        <f>RATE(U1595,V1595,-F1595,H1595)</f>
        <v>6.8930967111069996E-2</v>
      </c>
      <c r="X1595" s="27">
        <f>W1595*AD1595</f>
        <v>6.8930967111069996E-2</v>
      </c>
      <c r="Y1595" s="5">
        <f>DURATION(N1595,O1595,M1595,D1595,AD1595)</f>
        <v>7.4301589487038147</v>
      </c>
      <c r="Z1595" s="5">
        <f>Y1595/(1+C1595)</f>
        <v>6.9510185197317469</v>
      </c>
      <c r="AA1595" s="5">
        <f>-Z1595*F1595</f>
        <v>-7273316.3954361491</v>
      </c>
      <c r="AB1595" t="s">
        <v>64</v>
      </c>
      <c r="AC1595" t="s">
        <v>62</v>
      </c>
      <c r="AD1595">
        <f>_xlfn.SWITCH(PROPER(TRIM(S1595)),
   "Annual",1,
   "Semi-Annual",2,
   "Quarterly",4,
   "Monthly",12,
   "")</f>
        <v>1</v>
      </c>
    </row>
    <row r="1596" spans="1:30" x14ac:dyDescent="0.35">
      <c r="A1596" t="s">
        <v>463</v>
      </c>
      <c r="B1596" t="s">
        <v>168</v>
      </c>
      <c r="C1596" s="36">
        <f>RATE(U1596,V1596,-F1596,H1596)</f>
        <v>2.2190368743511348E-2</v>
      </c>
      <c r="D1596" s="3">
        <f>C1596*AD1596</f>
        <v>4.4380737487022696E-2</v>
      </c>
      <c r="F1596">
        <v>1008.3</v>
      </c>
      <c r="G1596" t="s">
        <v>66</v>
      </c>
      <c r="H1596">
        <v>1000</v>
      </c>
      <c r="I1596" s="22"/>
      <c r="J1596">
        <v>1200000</v>
      </c>
      <c r="K1596" s="22"/>
      <c r="M1596" s="22">
        <v>4.6249999999999999E-2</v>
      </c>
      <c r="N1596" s="21">
        <v>45790</v>
      </c>
      <c r="O1596" s="21">
        <v>47616</v>
      </c>
      <c r="P1596">
        <f>ROUND(YEARFRAC(N1596,O1596),0)</f>
        <v>5</v>
      </c>
      <c r="Q1596" s="6">
        <f>(M1596*H1596)/F1596</f>
        <v>4.5869284935039174E-2</v>
      </c>
      <c r="R1596" s="5">
        <f>IF(S1596="Quarterly",4,IF(S1596="Semi-annual",2,IF(S1596="Annual",1,IF(S1596="Pays at maturity",0,12))))</f>
        <v>2</v>
      </c>
      <c r="S1596" t="s">
        <v>65</v>
      </c>
      <c r="U1596">
        <f>R1596*P1596</f>
        <v>10</v>
      </c>
      <c r="V1596">
        <f>(H1596*M1596)/AD1596</f>
        <v>23.125</v>
      </c>
      <c r="W1596" s="28">
        <f>RATE(U1596,V1596,-F1596,H1596)</f>
        <v>2.2190368743511348E-2</v>
      </c>
      <c r="X1596" s="27">
        <f>W1596*AD1596</f>
        <v>4.4380737487022696E-2</v>
      </c>
      <c r="Y1596" s="5">
        <f>DURATION(N1596,O1596,M1596,D1596,AD1596)</f>
        <v>4.5233153191678426</v>
      </c>
      <c r="Z1596" s="5">
        <f>Y1596/(1+C1596)</f>
        <v>4.4251202686716322</v>
      </c>
      <c r="AA1596" s="5">
        <f>-Z1596*F1596</f>
        <v>-4461.8487669016067</v>
      </c>
      <c r="AB1596" t="s">
        <v>64</v>
      </c>
      <c r="AC1596" t="s">
        <v>62</v>
      </c>
      <c r="AD1596">
        <f>_xlfn.SWITCH(PROPER(TRIM(S1596)),
   "Annual",1,
   "Semi-Annual",2,
   "Quarterly",4,
   "Monthly",12,
   "")</f>
        <v>2</v>
      </c>
    </row>
    <row r="1597" spans="1:30" x14ac:dyDescent="0.35">
      <c r="A1597" t="s">
        <v>462</v>
      </c>
      <c r="B1597" t="s">
        <v>390</v>
      </c>
      <c r="C1597" s="36">
        <f>RATE(U1597,V1597,-F1597,H1597)</f>
        <v>0.12221069413288282</v>
      </c>
      <c r="D1597" s="3">
        <f>C1597*AD1597</f>
        <v>0.12221069413288282</v>
      </c>
      <c r="F1597">
        <v>1010</v>
      </c>
      <c r="G1597" t="s">
        <v>76</v>
      </c>
      <c r="H1597">
        <v>1000</v>
      </c>
      <c r="I1597" s="22"/>
      <c r="J1597">
        <v>195</v>
      </c>
      <c r="K1597" s="22"/>
      <c r="L1597">
        <v>12.1721799509143</v>
      </c>
      <c r="M1597" s="22">
        <v>0.125</v>
      </c>
      <c r="N1597" s="21">
        <v>45793</v>
      </c>
      <c r="O1597" s="21">
        <v>47619</v>
      </c>
      <c r="P1597">
        <f>ROUND(YEARFRAC(N1597,O1597),0)</f>
        <v>5</v>
      </c>
      <c r="Q1597" s="6">
        <f>(M1597*H1597)/F1597</f>
        <v>0.12376237623762376</v>
      </c>
      <c r="R1597" s="5">
        <f>IF(S1597="Quarterly",4,IF(S1597="Semi-annual",2,IF(S1597="Annual",1,IF(S1597="Pays at maturity",0,12))))</f>
        <v>1</v>
      </c>
      <c r="S1597" t="s">
        <v>93</v>
      </c>
      <c r="U1597">
        <f>R1597*P1597</f>
        <v>5</v>
      </c>
      <c r="V1597">
        <f>(H1597*M1597)/AD1597</f>
        <v>125</v>
      </c>
      <c r="W1597" s="28">
        <f>RATE(U1597,V1597,-F1597,H1597)</f>
        <v>0.12221069413288282</v>
      </c>
      <c r="X1597" s="27">
        <f>W1597*AD1597</f>
        <v>0.12221069413288282</v>
      </c>
      <c r="Y1597" s="5">
        <f>DURATION(N1597,O1597,M1597,D1597,AD1597)</f>
        <v>4.0108600801860543</v>
      </c>
      <c r="Z1597" s="5">
        <f>Y1597/(1+C1597)</f>
        <v>3.5740704496540125</v>
      </c>
      <c r="AA1597" s="5">
        <f>-Z1597*F1597</f>
        <v>-3609.8111541505527</v>
      </c>
      <c r="AB1597" t="s">
        <v>64</v>
      </c>
      <c r="AC1597" t="s">
        <v>62</v>
      </c>
      <c r="AD1597">
        <f>_xlfn.SWITCH(PROPER(TRIM(S1597)),
   "Annual",1,
   "Semi-Annual",2,
   "Quarterly",4,
   "Monthly",12,
   "")</f>
        <v>1</v>
      </c>
    </row>
    <row r="1598" spans="1:30" x14ac:dyDescent="0.35">
      <c r="C1598" s="28"/>
      <c r="D1598" s="27"/>
      <c r="I1598" s="22"/>
      <c r="K1598" s="22"/>
      <c r="M1598" s="22"/>
      <c r="N1598" s="21"/>
      <c r="O1598" s="21"/>
      <c r="P1598" s="5"/>
      <c r="Q1598" s="6"/>
      <c r="R1598" s="5"/>
      <c r="W1598" s="28"/>
      <c r="Y1598" s="33"/>
      <c r="Z1598" s="33"/>
      <c r="AA1598" s="33"/>
    </row>
    <row r="1599" spans="1:30" x14ac:dyDescent="0.35">
      <c r="C1599" s="28"/>
      <c r="D1599" s="27"/>
      <c r="I1599" s="22"/>
      <c r="K1599" s="22"/>
      <c r="M1599" s="22"/>
      <c r="N1599" s="21"/>
      <c r="O1599" s="21"/>
      <c r="P1599" s="5"/>
      <c r="Q1599" s="6"/>
      <c r="R1599" s="5"/>
      <c r="W1599" s="28"/>
      <c r="Y1599" s="33"/>
      <c r="Z1599" s="33"/>
      <c r="AA1599" s="33"/>
    </row>
    <row r="1600" spans="1:30" x14ac:dyDescent="0.35">
      <c r="A1600" t="s">
        <v>458</v>
      </c>
      <c r="B1600" t="s">
        <v>241</v>
      </c>
      <c r="C1600" s="36">
        <f>RATE(U1600,V1600,-F1600,H1600)</f>
        <v>9.8967472106592541E-2</v>
      </c>
      <c r="D1600" s="3">
        <f>C1600*AD1600</f>
        <v>9.8967472106592541E-2</v>
      </c>
      <c r="F1600">
        <v>983.02</v>
      </c>
      <c r="G1600" t="s">
        <v>76</v>
      </c>
      <c r="H1600">
        <v>1000</v>
      </c>
      <c r="I1600" s="22"/>
      <c r="J1600">
        <v>15</v>
      </c>
      <c r="K1600" s="22"/>
      <c r="L1600">
        <v>9.9712539707885508</v>
      </c>
      <c r="M1600" s="22">
        <v>9.4499999999999987E-2</v>
      </c>
      <c r="N1600" s="21">
        <v>45796</v>
      </c>
      <c r="O1600" s="21">
        <v>47622</v>
      </c>
      <c r="P1600">
        <f>ROUND(YEARFRAC(N1600,O1600),0)</f>
        <v>5</v>
      </c>
      <c r="Q1600" s="6">
        <f>(M1600*H1600)/F1600</f>
        <v>9.6132326910947877E-2</v>
      </c>
      <c r="R1600" s="5">
        <f>IF(S1600="Quarterly",4,IF(S1600="Semi-annual",2,IF(S1600="Annual",1,IF(S1600="Pays at maturity",0,12))))</f>
        <v>1</v>
      </c>
      <c r="S1600" t="s">
        <v>93</v>
      </c>
      <c r="U1600">
        <f>R1600*P1600</f>
        <v>5</v>
      </c>
      <c r="V1600">
        <f>(H1600*M1600)/AD1600</f>
        <v>94.499999999999986</v>
      </c>
      <c r="W1600" s="28">
        <f>RATE(U1600,V1600,-F1600,H1600)</f>
        <v>9.8967472106592541E-2</v>
      </c>
      <c r="X1600" s="27">
        <f>W1600*AD1600</f>
        <v>9.8967472106592541E-2</v>
      </c>
      <c r="Y1600" s="5">
        <f>DURATION(N1600,O1600,M1600,D1600,AD1600)</f>
        <v>4.2005411721267425</v>
      </c>
      <c r="Z1600" s="5">
        <f>Y1600/(1+C1600)</f>
        <v>3.8222616034984136</v>
      </c>
      <c r="AA1600" s="5">
        <f>-Z1600*F1600</f>
        <v>-3757.3596014710106</v>
      </c>
      <c r="AB1600" t="s">
        <v>64</v>
      </c>
      <c r="AC1600" t="s">
        <v>62</v>
      </c>
      <c r="AD1600">
        <f>_xlfn.SWITCH(PROPER(TRIM(S1600)),
   "Annual",1,
   "Semi-Annual",2,
   "Quarterly",4,
   "Monthly",12,
   "")</f>
        <v>1</v>
      </c>
    </row>
    <row r="1601" spans="1:30" x14ac:dyDescent="0.35">
      <c r="A1601" t="s">
        <v>457</v>
      </c>
      <c r="B1601" t="s">
        <v>241</v>
      </c>
      <c r="C1601" s="36">
        <f>RATE(U1601,V1601,-F1601,H1601)</f>
        <v>0.10164909749802445</v>
      </c>
      <c r="D1601" s="3">
        <f>C1601*AD1601</f>
        <v>0.10164909749802445</v>
      </c>
      <c r="F1601">
        <v>990</v>
      </c>
      <c r="G1601" t="s">
        <v>76</v>
      </c>
      <c r="H1601">
        <v>1000</v>
      </c>
      <c r="I1601" s="22"/>
      <c r="J1601">
        <v>873</v>
      </c>
      <c r="K1601" s="22"/>
      <c r="L1601">
        <v>10.2077109119362</v>
      </c>
      <c r="M1601" s="22">
        <v>9.9000000000000005E-2</v>
      </c>
      <c r="N1601" s="21">
        <v>45796</v>
      </c>
      <c r="O1601" s="21">
        <v>47622</v>
      </c>
      <c r="P1601">
        <f>ROUND(YEARFRAC(N1601,O1601),0)</f>
        <v>5</v>
      </c>
      <c r="Q1601" s="6">
        <f>(M1601*H1601)/F1601</f>
        <v>0.1</v>
      </c>
      <c r="R1601" s="5">
        <f>IF(S1601="Quarterly",4,IF(S1601="Semi-annual",2,IF(S1601="Annual",1,IF(S1601="Pays at maturity",0,12))))</f>
        <v>1</v>
      </c>
      <c r="S1601" t="s">
        <v>93</v>
      </c>
      <c r="U1601">
        <f>R1601*P1601</f>
        <v>5</v>
      </c>
      <c r="V1601">
        <f>(H1601*M1601)/AD1601</f>
        <v>99</v>
      </c>
      <c r="W1601" s="28">
        <f>RATE(U1601,V1601,-F1601,H1601)</f>
        <v>0.10164909749802445</v>
      </c>
      <c r="X1601" s="27">
        <f>W1601*AD1601</f>
        <v>0.10164909749802445</v>
      </c>
      <c r="Y1601" s="5">
        <f>DURATION(N1601,O1601,M1601,D1601,AD1601)</f>
        <v>4.1722333585125844</v>
      </c>
      <c r="Z1601" s="5">
        <f>Y1601/(1+C1601)</f>
        <v>3.787261631664947</v>
      </c>
      <c r="AA1601" s="5">
        <f>-Z1601*F1601</f>
        <v>-3749.3890153482976</v>
      </c>
      <c r="AB1601" t="s">
        <v>64</v>
      </c>
      <c r="AC1601" t="s">
        <v>62</v>
      </c>
      <c r="AD1601">
        <f>_xlfn.SWITCH(PROPER(TRIM(S1601)),
   "Annual",1,
   "Semi-Annual",2,
   "Quarterly",4,
   "Monthly",12,
   "")</f>
        <v>1</v>
      </c>
    </row>
    <row r="1602" spans="1:30" x14ac:dyDescent="0.35">
      <c r="A1602" t="s">
        <v>456</v>
      </c>
      <c r="B1602" t="s">
        <v>249</v>
      </c>
      <c r="C1602" s="36">
        <f>RATE(U1602,V1602,-F1602,H1602)</f>
        <v>2.2074243573211534E-2</v>
      </c>
      <c r="D1602" s="3">
        <f>C1602*AD1602</f>
        <v>8.8296974292846137E-2</v>
      </c>
      <c r="F1602">
        <v>1045000</v>
      </c>
      <c r="G1602" t="s">
        <v>76</v>
      </c>
      <c r="H1602">
        <v>1000000</v>
      </c>
      <c r="I1602" s="22"/>
      <c r="J1602">
        <v>1</v>
      </c>
      <c r="K1602" s="22"/>
      <c r="M1602" s="22">
        <v>9.6199999999999994E-2</v>
      </c>
      <c r="N1602" s="21">
        <v>44726</v>
      </c>
      <c r="O1602" s="21">
        <v>47634</v>
      </c>
      <c r="P1602">
        <f>ROUND(YEARFRAC(N1602,O1602),0)</f>
        <v>8</v>
      </c>
      <c r="Q1602" s="6">
        <f>(M1602*H1602)/F1602</f>
        <v>9.2057416267942588E-2</v>
      </c>
      <c r="R1602" s="5">
        <f>IF(S1602="Quarterly",4,IF(S1602="Semi-annual",2,IF(S1602="Annual",1,IF(S1602="Pays at maturity",0,12))))</f>
        <v>4</v>
      </c>
      <c r="S1602" t="s">
        <v>105</v>
      </c>
      <c r="U1602">
        <f>R1602*P1602</f>
        <v>32</v>
      </c>
      <c r="V1602">
        <f>(H1602*M1602)/AD1602</f>
        <v>24050</v>
      </c>
      <c r="W1602" s="28">
        <f>RATE(U1602,V1602,-F1602,H1602)</f>
        <v>2.2074243573211534E-2</v>
      </c>
      <c r="X1602" s="27">
        <f>W1602*AD1602</f>
        <v>8.8296974292846137E-2</v>
      </c>
      <c r="Y1602" s="5">
        <f>DURATION(N1602,O1602,M1602,D1602,AD1602)</f>
        <v>5.6879687388322537</v>
      </c>
      <c r="Z1602" s="5">
        <f>Y1602/(1+C1602)</f>
        <v>5.5651228612775645</v>
      </c>
      <c r="AA1602" s="5">
        <f>-Z1602*F1602</f>
        <v>-5815553.3900350546</v>
      </c>
      <c r="AB1602" t="s">
        <v>64</v>
      </c>
      <c r="AC1602" t="s">
        <v>62</v>
      </c>
      <c r="AD1602">
        <f>_xlfn.SWITCH(PROPER(TRIM(S1602)),
   "Annual",1,
   "Semi-Annual",2,
   "Quarterly",4,
   "Monthly",12,
   "")</f>
        <v>4</v>
      </c>
    </row>
    <row r="1603" spans="1:30" x14ac:dyDescent="0.35">
      <c r="C1603" s="28"/>
      <c r="D1603" s="27"/>
      <c r="I1603" s="22"/>
      <c r="K1603" s="22"/>
      <c r="M1603" s="22"/>
      <c r="N1603" s="21"/>
      <c r="O1603" s="21"/>
      <c r="P1603" s="5"/>
      <c r="Q1603" s="6"/>
      <c r="R1603" s="5"/>
      <c r="W1603" s="28"/>
      <c r="Y1603" s="33"/>
      <c r="Z1603" s="33"/>
      <c r="AA1603" s="33"/>
    </row>
    <row r="1604" spans="1:30" x14ac:dyDescent="0.35">
      <c r="A1604" t="s">
        <v>454</v>
      </c>
      <c r="B1604" t="s">
        <v>314</v>
      </c>
      <c r="C1604" s="36">
        <f>RATE(U1604,V1604,-F1604,H1604)</f>
        <v>8.0200000000007959E-2</v>
      </c>
      <c r="D1604" s="3">
        <f>C1604*AD1604</f>
        <v>8.0200000000007959E-2</v>
      </c>
      <c r="F1604">
        <v>500000</v>
      </c>
      <c r="G1604" t="s">
        <v>76</v>
      </c>
      <c r="H1604">
        <v>500000</v>
      </c>
      <c r="I1604" s="22"/>
      <c r="J1604">
        <v>2</v>
      </c>
      <c r="K1604" s="22"/>
      <c r="L1604">
        <v>8.02</v>
      </c>
      <c r="M1604" s="22">
        <v>8.0199999999999994E-2</v>
      </c>
      <c r="N1604" s="21">
        <v>43992</v>
      </c>
      <c r="O1604" s="21">
        <v>47644</v>
      </c>
      <c r="P1604">
        <f>ROUND(YEARFRAC(N1604,O1604),0)</f>
        <v>10</v>
      </c>
      <c r="Q1604" s="6">
        <f>(M1604*H1604)/F1604</f>
        <v>8.0199999999999994E-2</v>
      </c>
      <c r="R1604" s="5">
        <f>IF(S1604="Quarterly",4,IF(S1604="Semi-annual",2,IF(S1604="Annual",1,IF(S1604="Pays at maturity",0,12))))</f>
        <v>1</v>
      </c>
      <c r="S1604" t="s">
        <v>93</v>
      </c>
      <c r="U1604">
        <f>R1604*P1604</f>
        <v>10</v>
      </c>
      <c r="V1604">
        <f>(H1604*M1604)/AD1604</f>
        <v>40100</v>
      </c>
      <c r="W1604" s="28">
        <f>RATE(U1604,V1604,-F1604,H1604)</f>
        <v>8.0200000000007959E-2</v>
      </c>
      <c r="X1604" s="27">
        <f>W1604*AD1604</f>
        <v>8.0200000000007959E-2</v>
      </c>
      <c r="Y1604" s="5">
        <f>DURATION(N1604,O1604,M1604,D1604,AD1604)</f>
        <v>7.2416958813196883</v>
      </c>
      <c r="Z1604" s="5">
        <f>Y1604/(1+C1604)</f>
        <v>6.7040324766891635</v>
      </c>
      <c r="AA1604" s="5">
        <f>-Z1604*F1604</f>
        <v>-3352016.2383445818</v>
      </c>
      <c r="AB1604" t="s">
        <v>64</v>
      </c>
      <c r="AC1604" t="s">
        <v>62</v>
      </c>
      <c r="AD1604">
        <f>_xlfn.SWITCH(PROPER(TRIM(S1604)),
   "Annual",1,
   "Semi-Annual",2,
   "Quarterly",4,
   "Monthly",12,
   "")</f>
        <v>1</v>
      </c>
    </row>
    <row r="1605" spans="1:30" x14ac:dyDescent="0.35">
      <c r="A1605" t="s">
        <v>453</v>
      </c>
      <c r="B1605" t="s">
        <v>94</v>
      </c>
      <c r="C1605" s="36">
        <f>RATE(U1605,V1605,-F1605,H1605)</f>
        <v>7.1200578246765137E-2</v>
      </c>
      <c r="D1605" s="3">
        <f>C1605*AD1605</f>
        <v>7.1200578246765137E-2</v>
      </c>
      <c r="F1605">
        <v>1044000</v>
      </c>
      <c r="G1605" t="s">
        <v>76</v>
      </c>
      <c r="H1605">
        <v>1000000</v>
      </c>
      <c r="I1605" s="22"/>
      <c r="J1605">
        <v>1</v>
      </c>
      <c r="K1605" s="22"/>
      <c r="L1605">
        <v>6.6361074836174501</v>
      </c>
      <c r="M1605" s="22">
        <v>7.7499999999999999E-2</v>
      </c>
      <c r="N1605" s="21">
        <v>43993</v>
      </c>
      <c r="O1605" s="21">
        <v>47645</v>
      </c>
      <c r="P1605">
        <f>ROUND(YEARFRAC(N1605,O1605),0)</f>
        <v>10</v>
      </c>
      <c r="Q1605" s="6">
        <f>(M1605*H1605)/F1605</f>
        <v>7.4233716475095787E-2</v>
      </c>
      <c r="R1605" s="5">
        <f>IF(S1605="Quarterly",4,IF(S1605="Semi-annual",2,IF(S1605="Annual",1,IF(S1605="Pays at maturity",0,12))))</f>
        <v>1</v>
      </c>
      <c r="S1605" t="s">
        <v>93</v>
      </c>
      <c r="U1605">
        <f>R1605*P1605</f>
        <v>10</v>
      </c>
      <c r="V1605">
        <f>(H1605*M1605)/AD1605</f>
        <v>77500</v>
      </c>
      <c r="W1605" s="28">
        <f>RATE(U1605,V1605,-F1605,H1605)</f>
        <v>7.1200578246765137E-2</v>
      </c>
      <c r="X1605" s="27">
        <f>W1605*AD1605</f>
        <v>7.1200578246765137E-2</v>
      </c>
      <c r="Y1605" s="5">
        <f>DURATION(N1605,O1605,M1605,D1605,AD1605)</f>
        <v>7.3748247675002983</v>
      </c>
      <c r="Z1605" s="5">
        <f>Y1605/(1+C1605)</f>
        <v>6.8846347894720896</v>
      </c>
      <c r="AA1605" s="5">
        <f>-Z1605*F1605</f>
        <v>-7187558.7202088619</v>
      </c>
      <c r="AB1605" t="s">
        <v>64</v>
      </c>
      <c r="AC1605" t="s">
        <v>62</v>
      </c>
      <c r="AD1605">
        <f>_xlfn.SWITCH(PROPER(TRIM(S1605)),
   "Annual",1,
   "Semi-Annual",2,
   "Quarterly",4,
   "Monthly",12,
   "")</f>
        <v>1</v>
      </c>
    </row>
    <row r="1606" spans="1:30" x14ac:dyDescent="0.35">
      <c r="C1606" s="28"/>
      <c r="D1606" s="27"/>
      <c r="I1606" s="22"/>
      <c r="K1606" s="22"/>
      <c r="M1606" s="22"/>
      <c r="N1606" s="21"/>
      <c r="O1606" s="21"/>
      <c r="P1606" s="5"/>
      <c r="Q1606" s="6"/>
      <c r="R1606" s="5"/>
      <c r="W1606" s="28"/>
      <c r="Y1606" s="33"/>
      <c r="Z1606" s="33"/>
      <c r="AA1606" s="33"/>
    </row>
    <row r="1607" spans="1:30" x14ac:dyDescent="0.35">
      <c r="A1607" t="s">
        <v>451</v>
      </c>
      <c r="B1607" t="s">
        <v>101</v>
      </c>
      <c r="C1607" s="36">
        <f>RATE(U1607,V1607,-F1607,H1607)</f>
        <v>7.5942167641876751E-2</v>
      </c>
      <c r="D1607" s="3">
        <f>C1607*AD1607</f>
        <v>7.5942167641876751E-2</v>
      </c>
      <c r="F1607">
        <v>1025000</v>
      </c>
      <c r="G1607" t="s">
        <v>76</v>
      </c>
      <c r="H1607">
        <v>1000000</v>
      </c>
      <c r="I1607" s="22"/>
      <c r="J1607">
        <v>1</v>
      </c>
      <c r="K1607" s="22"/>
      <c r="L1607">
        <v>7.2915628207960301</v>
      </c>
      <c r="M1607" s="22">
        <v>7.9600000000000004E-2</v>
      </c>
      <c r="N1607" s="21">
        <v>43990</v>
      </c>
      <c r="O1607" s="21">
        <v>47649</v>
      </c>
      <c r="P1607">
        <f>ROUND(YEARFRAC(N1607,O1607),0)</f>
        <v>10</v>
      </c>
      <c r="Q1607" s="6">
        <f>(M1607*H1607)/F1607</f>
        <v>7.7658536585365853E-2</v>
      </c>
      <c r="R1607" s="5">
        <f>IF(S1607="Quarterly",4,IF(S1607="Semi-annual",2,IF(S1607="Annual",1,IF(S1607="Pays at maturity",0,12))))</f>
        <v>1</v>
      </c>
      <c r="S1607" t="s">
        <v>93</v>
      </c>
      <c r="U1607">
        <f>R1607*P1607</f>
        <v>10</v>
      </c>
      <c r="V1607">
        <f>(H1607*M1607)/AD1607</f>
        <v>79600</v>
      </c>
      <c r="W1607" s="28">
        <f>RATE(U1607,V1607,-F1607,H1607)</f>
        <v>7.5942167641876751E-2</v>
      </c>
      <c r="X1607" s="27">
        <f>W1607*AD1607</f>
        <v>7.5942167641876751E-2</v>
      </c>
      <c r="Y1607" s="5">
        <f>DURATION(N1607,O1607,M1607,D1607,AD1607)</f>
        <v>6.7877086139567391</v>
      </c>
      <c r="Z1607" s="5">
        <f>Y1607/(1+C1607)</f>
        <v>6.3086184537531782</v>
      </c>
      <c r="AA1607" s="5">
        <f>-Z1607*F1607</f>
        <v>-6466333.9150970075</v>
      </c>
      <c r="AB1607" t="s">
        <v>64</v>
      </c>
      <c r="AC1607" t="s">
        <v>62</v>
      </c>
      <c r="AD1607">
        <f>_xlfn.SWITCH(PROPER(TRIM(S1607)),
   "Annual",1,
   "Semi-Annual",2,
   "Quarterly",4,
   "Monthly",12,
   "")</f>
        <v>1</v>
      </c>
    </row>
    <row r="1608" spans="1:30" x14ac:dyDescent="0.35">
      <c r="A1608" t="s">
        <v>450</v>
      </c>
      <c r="B1608" t="s">
        <v>449</v>
      </c>
      <c r="C1608" s="36">
        <f>RATE(U1608,V1608,-F1608,H1608)</f>
        <v>2.9090324364857815E-2</v>
      </c>
      <c r="D1608" s="3">
        <f>C1608*AD1608</f>
        <v>5.818064872971563E-2</v>
      </c>
      <c r="F1608">
        <v>910.5</v>
      </c>
      <c r="G1608" t="s">
        <v>66</v>
      </c>
      <c r="H1608">
        <v>1000</v>
      </c>
      <c r="I1608" s="22"/>
      <c r="J1608">
        <v>400000</v>
      </c>
      <c r="K1608" s="22"/>
      <c r="M1608" s="22">
        <v>4.6249999999999999E-2</v>
      </c>
      <c r="N1608" s="21">
        <v>43998</v>
      </c>
      <c r="O1608" s="21">
        <v>47650</v>
      </c>
      <c r="P1608">
        <f>ROUND(YEARFRAC(N1608,O1608),0)</f>
        <v>10</v>
      </c>
      <c r="Q1608" s="6">
        <f>(M1608*H1608)/F1608</f>
        <v>5.0796265788028552E-2</v>
      </c>
      <c r="R1608" s="5">
        <f>IF(S1608="Quarterly",4,IF(S1608="Semi-annual",2,IF(S1608="Annual",1,IF(S1608="Pays at maturity",0,12))))</f>
        <v>2</v>
      </c>
      <c r="S1608" t="s">
        <v>65</v>
      </c>
      <c r="U1608">
        <f>R1608*P1608</f>
        <v>20</v>
      </c>
      <c r="V1608">
        <f>(H1608*M1608)/AD1608</f>
        <v>23.125</v>
      </c>
      <c r="W1608" s="28">
        <f>RATE(U1608,V1608,-F1608,H1608)</f>
        <v>2.9090324364857815E-2</v>
      </c>
      <c r="X1608" s="27">
        <f>W1608*AD1608</f>
        <v>5.818064872971563E-2</v>
      </c>
      <c r="Y1608" s="5">
        <f>DURATION(N1608,O1608,M1608,D1608,AD1608)</f>
        <v>8.0093063754084017</v>
      </c>
      <c r="Z1608" s="5">
        <f>Y1608/(1+C1608)</f>
        <v>7.782899309981997</v>
      </c>
      <c r="AA1608" s="5">
        <f>-Z1608*F1608</f>
        <v>-7086.3298217386082</v>
      </c>
      <c r="AB1608" t="s">
        <v>69</v>
      </c>
      <c r="AC1608" t="s">
        <v>62</v>
      </c>
      <c r="AD1608">
        <f>_xlfn.SWITCH(PROPER(TRIM(S1608)),
   "Annual",1,
   "Semi-Annual",2,
   "Quarterly",4,
   "Monthly",12,
   "")</f>
        <v>2</v>
      </c>
    </row>
    <row r="1609" spans="1:30" x14ac:dyDescent="0.35">
      <c r="A1609" t="s">
        <v>448</v>
      </c>
      <c r="B1609" t="s">
        <v>353</v>
      </c>
      <c r="C1609" s="36">
        <f>RATE(U1609,V1609,-F1609,H1609)</f>
        <v>0.12111269928197026</v>
      </c>
      <c r="D1609" s="3">
        <f>C1609*AD1609</f>
        <v>0.12111269928197026</v>
      </c>
      <c r="F1609">
        <v>996</v>
      </c>
      <c r="G1609" t="s">
        <v>76</v>
      </c>
      <c r="H1609">
        <v>1000</v>
      </c>
      <c r="I1609" s="22"/>
      <c r="J1609">
        <v>1</v>
      </c>
      <c r="K1609" s="22"/>
      <c r="L1609">
        <v>12.129901993704999</v>
      </c>
      <c r="M1609" s="22">
        <v>0.12</v>
      </c>
      <c r="N1609" s="21">
        <v>45828</v>
      </c>
      <c r="O1609" s="21">
        <v>47653</v>
      </c>
      <c r="P1609">
        <f>ROUND(YEARFRAC(N1609,O1609),0)</f>
        <v>5</v>
      </c>
      <c r="Q1609" s="6">
        <f>(M1609*H1609)/F1609</f>
        <v>0.12048192771084337</v>
      </c>
      <c r="R1609" s="5">
        <f>IF(S1609="Quarterly",4,IF(S1609="Semi-annual",2,IF(S1609="Annual",1,IF(S1609="Pays at maturity",0,12))))</f>
        <v>1</v>
      </c>
      <c r="S1609" t="s">
        <v>93</v>
      </c>
      <c r="U1609">
        <f>R1609*P1609</f>
        <v>5</v>
      </c>
      <c r="V1609">
        <f>(H1609*M1609)/AD1609</f>
        <v>120</v>
      </c>
      <c r="W1609" s="28">
        <f>RATE(U1609,V1609,-F1609,H1609)</f>
        <v>0.12111269928197026</v>
      </c>
      <c r="X1609" s="27">
        <f>W1609*AD1609</f>
        <v>0.12111269928197026</v>
      </c>
      <c r="Y1609" s="5">
        <f>DURATION(N1609,O1609,M1609,D1609,AD1609)</f>
        <v>4.0325179365286914</v>
      </c>
      <c r="Z1609" s="5">
        <f>Y1609/(1+C1609)</f>
        <v>3.5968890006431691</v>
      </c>
      <c r="AA1609" s="5">
        <f>-Z1609*F1609</f>
        <v>-3582.5014446405962</v>
      </c>
      <c r="AB1609" t="s">
        <v>64</v>
      </c>
      <c r="AC1609" t="s">
        <v>62</v>
      </c>
      <c r="AD1609">
        <f>_xlfn.SWITCH(PROPER(TRIM(S1609)),
   "Annual",1,
   "Semi-Annual",2,
   "Quarterly",4,
   "Monthly",12,
   "")</f>
        <v>1</v>
      </c>
    </row>
    <row r="1610" spans="1:30" x14ac:dyDescent="0.35">
      <c r="A1610" t="s">
        <v>447</v>
      </c>
      <c r="B1610" t="s">
        <v>446</v>
      </c>
      <c r="C1610" s="36">
        <f>RATE(U1610,V1610,-F1610,H1610)</f>
        <v>8.1203332016483415E-2</v>
      </c>
      <c r="D1610" s="3">
        <f>C1610*AD1610</f>
        <v>8.1203332016483415E-2</v>
      </c>
      <c r="F1610">
        <v>998643</v>
      </c>
      <c r="G1610" t="s">
        <v>76</v>
      </c>
      <c r="H1610">
        <v>1000000</v>
      </c>
      <c r="I1610" s="22"/>
      <c r="J1610">
        <v>1</v>
      </c>
      <c r="K1610" s="22"/>
      <c r="L1610">
        <v>8.1385151242026801</v>
      </c>
      <c r="M1610" s="22">
        <v>8.1000000000000003E-2</v>
      </c>
      <c r="N1610" s="21">
        <v>44012</v>
      </c>
      <c r="O1610" s="21">
        <v>47662</v>
      </c>
      <c r="P1610">
        <f>ROUND(YEARFRAC(N1610,O1610),0)</f>
        <v>10</v>
      </c>
      <c r="Q1610" s="6">
        <f>(M1610*H1610)/F1610</f>
        <v>8.1110066360050595E-2</v>
      </c>
      <c r="R1610" s="5">
        <f>IF(S1610="Quarterly",4,IF(S1610="Semi-annual",2,IF(S1610="Annual",1,IF(S1610="Pays at maturity",0,12))))</f>
        <v>1</v>
      </c>
      <c r="S1610" t="s">
        <v>93</v>
      </c>
      <c r="U1610">
        <f>R1610*P1610</f>
        <v>10</v>
      </c>
      <c r="V1610">
        <f>(H1610*M1610)/AD1610</f>
        <v>81000</v>
      </c>
      <c r="W1610" s="28">
        <f>RATE(U1610,V1610,-F1610,H1610)</f>
        <v>8.1203332016483415E-2</v>
      </c>
      <c r="X1610" s="27">
        <f>W1610*AD1610</f>
        <v>8.1203332016483415E-2</v>
      </c>
      <c r="Y1610" s="5">
        <f>DURATION(N1610,O1610,M1610,D1610,AD1610)</f>
        <v>7.2133919048919575</v>
      </c>
      <c r="Z1610" s="5">
        <f>Y1610/(1+C1610)</f>
        <v>6.6716330696453925</v>
      </c>
      <c r="AA1610" s="5">
        <f>-Z1610*F1610</f>
        <v>-6662579.6635698834</v>
      </c>
      <c r="AB1610" t="s">
        <v>64</v>
      </c>
      <c r="AC1610" t="s">
        <v>62</v>
      </c>
      <c r="AD1610">
        <f>_xlfn.SWITCH(PROPER(TRIM(S1610)),
   "Annual",1,
   "Semi-Annual",2,
   "Quarterly",4,
   "Monthly",12,
   "")</f>
        <v>1</v>
      </c>
    </row>
    <row r="1611" spans="1:30" x14ac:dyDescent="0.35">
      <c r="C1611" s="28"/>
      <c r="D1611" s="27"/>
      <c r="I1611" s="22"/>
      <c r="K1611" s="22"/>
      <c r="M1611" s="22"/>
      <c r="N1611" s="21"/>
      <c r="O1611" s="21"/>
      <c r="P1611" s="5"/>
      <c r="Q1611" s="6"/>
      <c r="R1611" s="5"/>
      <c r="W1611" s="28"/>
      <c r="Y1611" s="33"/>
      <c r="Z1611" s="33"/>
      <c r="AA1611" s="33"/>
    </row>
    <row r="1612" spans="1:30" x14ac:dyDescent="0.35">
      <c r="C1612" s="28"/>
      <c r="D1612" s="27"/>
      <c r="I1612" s="22"/>
      <c r="K1612" s="22"/>
      <c r="M1612" s="22"/>
      <c r="N1612" s="21"/>
      <c r="O1612" s="21"/>
      <c r="P1612" s="5"/>
      <c r="Q1612" s="6"/>
      <c r="R1612" s="5"/>
      <c r="W1612" s="28"/>
      <c r="Y1612" s="33"/>
      <c r="Z1612" s="33"/>
      <c r="AA1612" s="33"/>
    </row>
    <row r="1613" spans="1:30" x14ac:dyDescent="0.35">
      <c r="A1613" t="s">
        <v>442</v>
      </c>
      <c r="B1613" t="s">
        <v>119</v>
      </c>
      <c r="C1613" s="36">
        <f t="shared" ref="C1613:C1618" si="1066">RATE(U1613,V1613,-F1613,H1613)</f>
        <v>0.11210005718442853</v>
      </c>
      <c r="D1613" s="3">
        <f t="shared" ref="D1613:D1618" si="1067">C1613*AD1613</f>
        <v>0.11210005718442853</v>
      </c>
      <c r="F1613">
        <v>950</v>
      </c>
      <c r="G1613" t="s">
        <v>76</v>
      </c>
      <c r="H1613">
        <v>1000</v>
      </c>
      <c r="I1613" s="22"/>
      <c r="J1613">
        <v>2</v>
      </c>
      <c r="K1613" s="22"/>
      <c r="L1613">
        <v>11.429776097702799</v>
      </c>
      <c r="M1613" s="22">
        <v>9.849999999999999E-2</v>
      </c>
      <c r="N1613" s="21">
        <v>45840</v>
      </c>
      <c r="O1613" s="21">
        <v>47666</v>
      </c>
      <c r="P1613">
        <f t="shared" ref="P1613:P1618" si="1068">ROUND(YEARFRAC(N1613,O1613),0)</f>
        <v>5</v>
      </c>
      <c r="Q1613" s="6">
        <f t="shared" ref="Q1613:Q1618" si="1069">(M1613*H1613)/F1613</f>
        <v>0.10368421052631577</v>
      </c>
      <c r="R1613" s="5">
        <f t="shared" ref="R1613:R1618" si="1070">IF(S1613="Quarterly",4,IF(S1613="Semi-annual",2,IF(S1613="Annual",1,IF(S1613="Pays at maturity",0,12))))</f>
        <v>1</v>
      </c>
      <c r="S1613" t="s">
        <v>93</v>
      </c>
      <c r="U1613">
        <f t="shared" ref="U1613:U1618" si="1071">R1613*P1613</f>
        <v>5</v>
      </c>
      <c r="V1613">
        <f t="shared" ref="V1613:V1618" si="1072">(H1613*M1613)/AD1613</f>
        <v>98.499999999999986</v>
      </c>
      <c r="W1613" s="28">
        <f t="shared" ref="W1613:W1618" si="1073">RATE(U1613,V1613,-F1613,H1613)</f>
        <v>0.11210005718442853</v>
      </c>
      <c r="X1613" s="27">
        <f t="shared" ref="X1613:X1618" si="1074">W1613*AD1613</f>
        <v>0.11210005718442853</v>
      </c>
      <c r="Y1613" s="5">
        <f t="shared" ref="Y1613:Y1618" si="1075">DURATION(N1613,O1613,M1613,D1613,AD1613)</f>
        <v>4.1570098394894526</v>
      </c>
      <c r="Z1613" s="5">
        <f t="shared" ref="Z1613:Z1618" si="1076">Y1613/(1+C1613)</f>
        <v>3.737981859306803</v>
      </c>
      <c r="AA1613" s="5">
        <f t="shared" ref="AA1613:AA1618" si="1077">-Z1613*F1613</f>
        <v>-3551.082766341463</v>
      </c>
      <c r="AB1613" t="s">
        <v>64</v>
      </c>
      <c r="AC1613" t="s">
        <v>62</v>
      </c>
      <c r="AD1613">
        <f t="shared" ref="AD1613:AD1618" si="1078">_xlfn.SWITCH(PROPER(TRIM(S1613)),
   "Annual",1,
   "Semi-Annual",2,
   "Quarterly",4,
   "Monthly",12,
   "")</f>
        <v>1</v>
      </c>
    </row>
    <row r="1614" spans="1:30" x14ac:dyDescent="0.35">
      <c r="A1614" t="s">
        <v>441</v>
      </c>
      <c r="B1614" t="s">
        <v>119</v>
      </c>
      <c r="C1614" s="36">
        <f t="shared" si="1066"/>
        <v>0.11393001342338929</v>
      </c>
      <c r="D1614" s="3">
        <f t="shared" si="1067"/>
        <v>0.11393001342338929</v>
      </c>
      <c r="F1614">
        <v>960</v>
      </c>
      <c r="G1614" t="s">
        <v>76</v>
      </c>
      <c r="H1614">
        <v>1000</v>
      </c>
      <c r="I1614" s="22"/>
      <c r="J1614">
        <v>100</v>
      </c>
      <c r="K1614" s="22"/>
      <c r="L1614">
        <v>11.5657086541987</v>
      </c>
      <c r="M1614" s="22">
        <v>0.10300000000000001</v>
      </c>
      <c r="N1614" s="21">
        <v>45840</v>
      </c>
      <c r="O1614" s="21">
        <v>47666</v>
      </c>
      <c r="P1614">
        <f t="shared" si="1068"/>
        <v>5</v>
      </c>
      <c r="Q1614" s="6">
        <f t="shared" si="1069"/>
        <v>0.10729166666666669</v>
      </c>
      <c r="R1614" s="5">
        <f t="shared" si="1070"/>
        <v>1</v>
      </c>
      <c r="S1614" t="s">
        <v>93</v>
      </c>
      <c r="U1614">
        <f t="shared" si="1071"/>
        <v>5</v>
      </c>
      <c r="V1614">
        <f t="shared" si="1072"/>
        <v>103.00000000000001</v>
      </c>
      <c r="W1614" s="28">
        <f t="shared" si="1073"/>
        <v>0.11393001342338929</v>
      </c>
      <c r="X1614" s="27">
        <f t="shared" si="1074"/>
        <v>0.11393001342338929</v>
      </c>
      <c r="Y1614" s="5">
        <f t="shared" si="1075"/>
        <v>4.1303956971327196</v>
      </c>
      <c r="Z1614" s="5">
        <f t="shared" si="1076"/>
        <v>3.7079490159700126</v>
      </c>
      <c r="AA1614" s="5">
        <f t="shared" si="1077"/>
        <v>-3559.6310553312119</v>
      </c>
      <c r="AB1614" t="s">
        <v>64</v>
      </c>
      <c r="AC1614" t="s">
        <v>62</v>
      </c>
      <c r="AD1614">
        <f t="shared" si="1078"/>
        <v>1</v>
      </c>
    </row>
    <row r="1615" spans="1:30" x14ac:dyDescent="0.35">
      <c r="A1615" t="s">
        <v>440</v>
      </c>
      <c r="B1615" t="s">
        <v>417</v>
      </c>
      <c r="C1615" s="36">
        <f t="shared" si="1066"/>
        <v>9.7406766951778107E-2</v>
      </c>
      <c r="D1615" s="3">
        <f t="shared" si="1067"/>
        <v>9.7406766951778107E-2</v>
      </c>
      <c r="F1615">
        <v>1000808</v>
      </c>
      <c r="G1615" t="s">
        <v>76</v>
      </c>
      <c r="H1615">
        <v>1000000</v>
      </c>
      <c r="I1615" s="22"/>
      <c r="J1615">
        <v>1</v>
      </c>
      <c r="K1615" s="22"/>
      <c r="L1615">
        <v>9.7259636923184996</v>
      </c>
      <c r="M1615" s="22">
        <v>9.7500000000000003E-2</v>
      </c>
      <c r="N1615" s="21">
        <v>40372</v>
      </c>
      <c r="O1615" s="21">
        <v>47677</v>
      </c>
      <c r="P1615">
        <f t="shared" si="1068"/>
        <v>20</v>
      </c>
      <c r="Q1615" s="6">
        <f t="shared" si="1069"/>
        <v>9.7421283602848893E-2</v>
      </c>
      <c r="R1615" s="5">
        <f t="shared" si="1070"/>
        <v>1</v>
      </c>
      <c r="S1615" t="s">
        <v>93</v>
      </c>
      <c r="U1615">
        <f t="shared" si="1071"/>
        <v>20</v>
      </c>
      <c r="V1615">
        <f t="shared" si="1072"/>
        <v>97500</v>
      </c>
      <c r="W1615" s="28">
        <f t="shared" si="1073"/>
        <v>9.7406766951778107E-2</v>
      </c>
      <c r="X1615" s="27">
        <f t="shared" si="1074"/>
        <v>9.7406766951778107E-2</v>
      </c>
      <c r="Y1615" s="5">
        <f t="shared" si="1075"/>
        <v>9.5090629188618028</v>
      </c>
      <c r="Z1615" s="5">
        <f t="shared" si="1076"/>
        <v>8.6650303289770463</v>
      </c>
      <c r="AA1615" s="5">
        <f t="shared" si="1077"/>
        <v>-8672031.6734828595</v>
      </c>
      <c r="AB1615" t="s">
        <v>64</v>
      </c>
      <c r="AC1615" t="s">
        <v>62</v>
      </c>
      <c r="AD1615">
        <f t="shared" si="1078"/>
        <v>1</v>
      </c>
    </row>
    <row r="1616" spans="1:30" x14ac:dyDescent="0.35">
      <c r="A1616" t="s">
        <v>439</v>
      </c>
      <c r="B1616" t="s">
        <v>94</v>
      </c>
      <c r="C1616" s="36">
        <f t="shared" si="1066"/>
        <v>6.9005207713299113E-2</v>
      </c>
      <c r="D1616" s="3">
        <f t="shared" si="1067"/>
        <v>6.9005207713299113E-2</v>
      </c>
      <c r="F1616">
        <v>1055000</v>
      </c>
      <c r="G1616" t="s">
        <v>76</v>
      </c>
      <c r="H1616">
        <v>1000000</v>
      </c>
      <c r="I1616" s="22"/>
      <c r="J1616">
        <v>1</v>
      </c>
      <c r="K1616" s="22"/>
      <c r="L1616">
        <v>6.3238983006467402</v>
      </c>
      <c r="M1616" s="22">
        <v>7.6799999999999993E-2</v>
      </c>
      <c r="N1616" s="21">
        <v>43966</v>
      </c>
      <c r="O1616" s="21">
        <v>47679</v>
      </c>
      <c r="P1616">
        <f t="shared" si="1068"/>
        <v>10</v>
      </c>
      <c r="Q1616" s="6">
        <f t="shared" si="1069"/>
        <v>7.2796208530805692E-2</v>
      </c>
      <c r="R1616" s="5">
        <f t="shared" si="1070"/>
        <v>1</v>
      </c>
      <c r="S1616" t="s">
        <v>93</v>
      </c>
      <c r="U1616">
        <f t="shared" si="1071"/>
        <v>10</v>
      </c>
      <c r="V1616">
        <f t="shared" si="1072"/>
        <v>76800</v>
      </c>
      <c r="W1616" s="28">
        <f t="shared" si="1073"/>
        <v>6.9005207713299113E-2</v>
      </c>
      <c r="X1616" s="27">
        <f t="shared" si="1074"/>
        <v>6.9005207713299113E-2</v>
      </c>
      <c r="Y1616" s="5">
        <f t="shared" si="1075"/>
        <v>7.0718970919659672</v>
      </c>
      <c r="Z1616" s="5">
        <f t="shared" si="1076"/>
        <v>6.6154000382218978</v>
      </c>
      <c r="AA1616" s="5">
        <f t="shared" si="1077"/>
        <v>-6979247.0403241022</v>
      </c>
      <c r="AB1616" t="s">
        <v>64</v>
      </c>
      <c r="AC1616" t="s">
        <v>62</v>
      </c>
      <c r="AD1616">
        <f t="shared" si="1078"/>
        <v>1</v>
      </c>
    </row>
    <row r="1617" spans="1:30" x14ac:dyDescent="0.35">
      <c r="A1617" t="s">
        <v>438</v>
      </c>
      <c r="B1617" t="s">
        <v>94</v>
      </c>
      <c r="C1617" s="36">
        <f t="shared" si="1066"/>
        <v>0.11018766258838639</v>
      </c>
      <c r="D1617" s="3">
        <f t="shared" si="1067"/>
        <v>0.11018766258838639</v>
      </c>
      <c r="F1617">
        <v>810000</v>
      </c>
      <c r="G1617" t="s">
        <v>76</v>
      </c>
      <c r="H1617">
        <v>1000000</v>
      </c>
      <c r="I1617" s="22"/>
      <c r="J1617">
        <v>1</v>
      </c>
      <c r="K1617" s="22"/>
      <c r="L1617">
        <v>13.972181404870399</v>
      </c>
      <c r="M1617" s="22">
        <v>7.7899999999999997E-2</v>
      </c>
      <c r="N1617" s="21">
        <v>43973</v>
      </c>
      <c r="O1617" s="21">
        <v>47686</v>
      </c>
      <c r="P1617">
        <f t="shared" si="1068"/>
        <v>10</v>
      </c>
      <c r="Q1617" s="6">
        <f t="shared" si="1069"/>
        <v>9.6172839506172836E-2</v>
      </c>
      <c r="R1617" s="5">
        <f t="shared" si="1070"/>
        <v>1</v>
      </c>
      <c r="S1617" t="s">
        <v>93</v>
      </c>
      <c r="U1617">
        <f t="shared" si="1071"/>
        <v>10</v>
      </c>
      <c r="V1617">
        <f t="shared" si="1072"/>
        <v>77900</v>
      </c>
      <c r="W1617" s="28">
        <f t="shared" si="1073"/>
        <v>0.11018766258838639</v>
      </c>
      <c r="X1617" s="27">
        <f t="shared" si="1074"/>
        <v>0.11018766258838639</v>
      </c>
      <c r="Y1617" s="5">
        <f t="shared" si="1075"/>
        <v>6.5287829456213871</v>
      </c>
      <c r="Z1617" s="5">
        <f t="shared" si="1076"/>
        <v>5.8807921990410383</v>
      </c>
      <c r="AA1617" s="5">
        <f t="shared" si="1077"/>
        <v>-4763441.6812232407</v>
      </c>
      <c r="AB1617" t="s">
        <v>64</v>
      </c>
      <c r="AC1617" t="s">
        <v>62</v>
      </c>
      <c r="AD1617">
        <f t="shared" si="1078"/>
        <v>1</v>
      </c>
    </row>
    <row r="1618" spans="1:30" x14ac:dyDescent="0.35">
      <c r="A1618" t="s">
        <v>437</v>
      </c>
      <c r="B1618" t="s">
        <v>433</v>
      </c>
      <c r="C1618" s="36">
        <f t="shared" si="1066"/>
        <v>0.11197544658005203</v>
      </c>
      <c r="D1618" s="3">
        <f t="shared" si="1067"/>
        <v>0.11197544658005203</v>
      </c>
      <c r="F1618">
        <v>99800</v>
      </c>
      <c r="G1618" t="s">
        <v>76</v>
      </c>
      <c r="H1618">
        <v>100000</v>
      </c>
      <c r="I1618" s="22"/>
      <c r="J1618">
        <v>2</v>
      </c>
      <c r="K1618" s="22"/>
      <c r="L1618">
        <v>11.2113352504582</v>
      </c>
      <c r="M1618" s="22">
        <v>0.1115</v>
      </c>
      <c r="N1618" s="21">
        <v>45687</v>
      </c>
      <c r="O1618" s="21">
        <v>47695</v>
      </c>
      <c r="P1618">
        <f t="shared" si="1068"/>
        <v>6</v>
      </c>
      <c r="Q1618" s="6">
        <f t="shared" si="1069"/>
        <v>0.11172344689378758</v>
      </c>
      <c r="R1618" s="5">
        <f t="shared" si="1070"/>
        <v>1</v>
      </c>
      <c r="S1618" t="s">
        <v>93</v>
      </c>
      <c r="U1618">
        <f t="shared" si="1071"/>
        <v>6</v>
      </c>
      <c r="V1618">
        <f t="shared" si="1072"/>
        <v>11150</v>
      </c>
      <c r="W1618" s="28">
        <f t="shared" si="1073"/>
        <v>0.11197544658005203</v>
      </c>
      <c r="X1618" s="27">
        <f t="shared" si="1074"/>
        <v>0.11197544658005203</v>
      </c>
      <c r="Y1618" s="5">
        <f t="shared" si="1075"/>
        <v>4.1805801835216743</v>
      </c>
      <c r="Z1618" s="5">
        <f t="shared" si="1076"/>
        <v>3.759597566996018</v>
      </c>
      <c r="AA1618" s="5">
        <f t="shared" si="1077"/>
        <v>-375207.83718620258</v>
      </c>
      <c r="AB1618" t="s">
        <v>64</v>
      </c>
      <c r="AC1618" t="s">
        <v>62</v>
      </c>
      <c r="AD1618">
        <f t="shared" si="1078"/>
        <v>1</v>
      </c>
    </row>
    <row r="1619" spans="1:30" x14ac:dyDescent="0.35">
      <c r="C1619" s="28"/>
      <c r="D1619" s="27"/>
      <c r="I1619" s="22"/>
      <c r="K1619" s="22"/>
      <c r="M1619" s="22"/>
      <c r="N1619" s="21"/>
      <c r="O1619" s="21"/>
      <c r="P1619" s="5"/>
      <c r="Q1619" s="6"/>
      <c r="R1619" s="5"/>
      <c r="W1619" s="28"/>
      <c r="Y1619" s="33"/>
      <c r="Z1619" s="33"/>
      <c r="AA1619" s="33"/>
    </row>
    <row r="1620" spans="1:30" x14ac:dyDescent="0.35">
      <c r="A1620" t="s">
        <v>435</v>
      </c>
      <c r="B1620" t="s">
        <v>94</v>
      </c>
      <c r="C1620" s="36">
        <f>RATE(U1620,V1620,-F1620,H1620)</f>
        <v>6.4335348812280091E-2</v>
      </c>
      <c r="D1620" s="3">
        <f>C1620*AD1620</f>
        <v>6.4335348812280091E-2</v>
      </c>
      <c r="F1620">
        <v>1044454.8</v>
      </c>
      <c r="G1620" t="s">
        <v>76</v>
      </c>
      <c r="H1620">
        <v>1000000</v>
      </c>
      <c r="I1620" s="22"/>
      <c r="J1620">
        <v>2</v>
      </c>
      <c r="K1620" s="22"/>
      <c r="L1620">
        <v>6.2420749581604298</v>
      </c>
      <c r="M1620" s="22">
        <v>7.0499999999999993E-2</v>
      </c>
      <c r="N1620" s="21">
        <v>44053</v>
      </c>
      <c r="O1620" s="21">
        <v>47704</v>
      </c>
      <c r="P1620">
        <f>ROUND(YEARFRAC(N1620,O1620),0)</f>
        <v>10</v>
      </c>
      <c r="Q1620" s="6">
        <f>(M1620*H1620)/F1620</f>
        <v>6.749933075131638E-2</v>
      </c>
      <c r="R1620" s="5">
        <f>IF(S1620="Quarterly",4,IF(S1620="Semi-annual",2,IF(S1620="Annual",1,IF(S1620="Pays at maturity",0,12))))</f>
        <v>1</v>
      </c>
      <c r="S1620" t="s">
        <v>93</v>
      </c>
      <c r="U1620">
        <f>R1620*P1620</f>
        <v>10</v>
      </c>
      <c r="V1620">
        <f>(H1620*M1620)/AD1620</f>
        <v>70500</v>
      </c>
      <c r="W1620" s="28">
        <f>RATE(U1620,V1620,-F1620,H1620)</f>
        <v>6.4335348812280091E-2</v>
      </c>
      <c r="X1620" s="27">
        <f>W1620*AD1620</f>
        <v>6.4335348812280091E-2</v>
      </c>
      <c r="Y1620" s="5">
        <f>DURATION(N1620,O1620,M1620,D1620,AD1620)</f>
        <v>7.5580699642300662</v>
      </c>
      <c r="Z1620" s="5">
        <f>Y1620/(1+C1620)</f>
        <v>7.1012110728675086</v>
      </c>
      <c r="AA1620" s="5">
        <f>-Z1620*F1620</f>
        <v>-7416893.9908696199</v>
      </c>
      <c r="AB1620" t="s">
        <v>64</v>
      </c>
      <c r="AC1620" t="s">
        <v>62</v>
      </c>
      <c r="AD1620">
        <f>_xlfn.SWITCH(PROPER(TRIM(S1620)),
   "Annual",1,
   "Semi-Annual",2,
   "Quarterly",4,
   "Monthly",12,
   "")</f>
        <v>1</v>
      </c>
    </row>
    <row r="1621" spans="1:30" x14ac:dyDescent="0.35">
      <c r="A1621" t="s">
        <v>434</v>
      </c>
      <c r="B1621" t="s">
        <v>433</v>
      </c>
      <c r="C1621" s="36">
        <f>RATE(U1621,V1621,-F1621,H1621)</f>
        <v>0.11149999999999999</v>
      </c>
      <c r="D1621" s="3">
        <f>C1621*AD1621</f>
        <v>0.11149999999999999</v>
      </c>
      <c r="F1621">
        <v>100000</v>
      </c>
      <c r="G1621" t="s">
        <v>76</v>
      </c>
      <c r="H1621">
        <v>100000</v>
      </c>
      <c r="I1621" s="22"/>
      <c r="J1621">
        <v>4</v>
      </c>
      <c r="K1621" s="22"/>
      <c r="L1621">
        <v>11.15</v>
      </c>
      <c r="M1621" s="22">
        <v>0.1115</v>
      </c>
      <c r="N1621" s="21">
        <v>45708</v>
      </c>
      <c r="O1621" s="21">
        <v>47715</v>
      </c>
      <c r="P1621">
        <f>ROUND(YEARFRAC(N1621,O1621),0)</f>
        <v>6</v>
      </c>
      <c r="Q1621" s="6">
        <f>(M1621*H1621)/F1621</f>
        <v>0.1115</v>
      </c>
      <c r="R1621" s="5">
        <f>IF(S1621="Quarterly",4,IF(S1621="Semi-annual",2,IF(S1621="Annual",1,IF(S1621="Pays at maturity",0,12))))</f>
        <v>1</v>
      </c>
      <c r="S1621" t="s">
        <v>93</v>
      </c>
      <c r="U1621">
        <f>R1621*P1621</f>
        <v>6</v>
      </c>
      <c r="V1621">
        <f>(H1621*M1621)/AD1621</f>
        <v>11150</v>
      </c>
      <c r="W1621" s="28">
        <f>RATE(U1621,V1621,-F1621,H1621)</f>
        <v>0.11149999999999999</v>
      </c>
      <c r="X1621" s="27">
        <f>W1621*AD1621</f>
        <v>0.11149999999999999</v>
      </c>
      <c r="Y1621" s="5">
        <f>DURATION(N1621,O1621,M1621,D1621,AD1621)</f>
        <v>4.1819934830503067</v>
      </c>
      <c r="Z1621" s="5">
        <f>Y1621/(1+C1621)</f>
        <v>3.7624772677015805</v>
      </c>
      <c r="AA1621" s="5">
        <f>-Z1621*F1621</f>
        <v>-376247.72677015804</v>
      </c>
      <c r="AB1621" t="s">
        <v>64</v>
      </c>
      <c r="AC1621" t="s">
        <v>62</v>
      </c>
      <c r="AD1621">
        <f>_xlfn.SWITCH(PROPER(TRIM(S1621)),
   "Annual",1,
   "Semi-Annual",2,
   "Quarterly",4,
   "Monthly",12,
   "")</f>
        <v>1</v>
      </c>
    </row>
    <row r="1622" spans="1:30" x14ac:dyDescent="0.35">
      <c r="C1622" s="28"/>
      <c r="D1622" s="27"/>
      <c r="I1622" s="22"/>
      <c r="K1622" s="22"/>
      <c r="M1622" s="22"/>
      <c r="N1622" s="21"/>
      <c r="O1622" s="21"/>
      <c r="P1622" s="5"/>
      <c r="Q1622" s="6"/>
      <c r="R1622" s="5"/>
      <c r="W1622" s="28"/>
      <c r="Y1622" s="33"/>
      <c r="Z1622" s="33"/>
      <c r="AA1622" s="33"/>
    </row>
    <row r="1623" spans="1:30" x14ac:dyDescent="0.35">
      <c r="C1623" s="28"/>
      <c r="D1623" s="27"/>
      <c r="I1623" s="22"/>
      <c r="K1623" s="22"/>
      <c r="M1623" s="22"/>
      <c r="N1623" s="21"/>
      <c r="O1623" s="21"/>
      <c r="P1623" s="5"/>
      <c r="Q1623" s="6"/>
      <c r="R1623" s="5"/>
      <c r="W1623" s="28"/>
      <c r="Y1623" s="33"/>
      <c r="Z1623" s="33"/>
      <c r="AA1623" s="33"/>
    </row>
    <row r="1624" spans="1:30" x14ac:dyDescent="0.35">
      <c r="A1624" t="s">
        <v>430</v>
      </c>
      <c r="B1624" t="s">
        <v>241</v>
      </c>
      <c r="C1624" s="36">
        <f>RATE(U1624,V1624,-F1624,H1624)</f>
        <v>8.4551669728872639E-2</v>
      </c>
      <c r="D1624" s="3">
        <f>C1624*AD1624</f>
        <v>8.4551669728872639E-2</v>
      </c>
      <c r="F1624">
        <v>1075</v>
      </c>
      <c r="G1624" t="s">
        <v>76</v>
      </c>
      <c r="H1624">
        <v>1000</v>
      </c>
      <c r="I1624" s="22"/>
      <c r="J1624">
        <v>110</v>
      </c>
      <c r="K1624" s="22"/>
      <c r="L1624">
        <v>8.0501234658902394</v>
      </c>
      <c r="M1624" s="22">
        <v>0.10099999999999999</v>
      </c>
      <c r="N1624" s="21">
        <v>45551</v>
      </c>
      <c r="O1624" s="21">
        <v>47742</v>
      </c>
      <c r="P1624">
        <f>ROUND(YEARFRAC(N1624,O1624),0)</f>
        <v>6</v>
      </c>
      <c r="Q1624" s="6">
        <f>(M1624*H1624)/F1624</f>
        <v>9.3953488372093011E-2</v>
      </c>
      <c r="R1624" s="5">
        <f>IF(S1624="Quarterly",4,IF(S1624="Semi-annual",2,IF(S1624="Annual",1,IF(S1624="Pays at maturity",0,12))))</f>
        <v>1</v>
      </c>
      <c r="S1624" t="s">
        <v>93</v>
      </c>
      <c r="U1624">
        <f>R1624*P1624</f>
        <v>6</v>
      </c>
      <c r="V1624">
        <f>(H1624*M1624)/AD1624</f>
        <v>100.99999999999999</v>
      </c>
      <c r="W1624" s="28">
        <f>RATE(U1624,V1624,-F1624,H1624)</f>
        <v>8.4551669728872639E-2</v>
      </c>
      <c r="X1624" s="27">
        <f>W1624*AD1624</f>
        <v>8.4551669728872639E-2</v>
      </c>
      <c r="Y1624" s="5">
        <f>DURATION(N1624,O1624,M1624,D1624,AD1624)</f>
        <v>4.8279841160167951</v>
      </c>
      <c r="Z1624" s="5">
        <f>Y1624/(1+C1624)</f>
        <v>4.4515943783699532</v>
      </c>
      <c r="AA1624" s="5">
        <f>-Z1624*F1624</f>
        <v>-4785.4639567476997</v>
      </c>
      <c r="AB1624" t="s">
        <v>64</v>
      </c>
      <c r="AC1624" t="s">
        <v>62</v>
      </c>
      <c r="AD1624">
        <f>_xlfn.SWITCH(PROPER(TRIM(S1624)),
   "Annual",1,
   "Semi-Annual",2,
   "Quarterly",4,
   "Monthly",12,
   "")</f>
        <v>1</v>
      </c>
    </row>
    <row r="1625" spans="1:30" x14ac:dyDescent="0.35">
      <c r="C1625" s="28"/>
      <c r="D1625" s="27"/>
      <c r="I1625" s="22"/>
      <c r="K1625" s="22"/>
      <c r="M1625" s="22"/>
      <c r="N1625" s="21"/>
      <c r="O1625" s="21"/>
      <c r="P1625" s="5"/>
      <c r="Q1625" s="6"/>
      <c r="R1625" s="5"/>
      <c r="W1625" s="28"/>
      <c r="Y1625" s="33"/>
      <c r="Z1625" s="33"/>
      <c r="AA1625" s="33"/>
    </row>
    <row r="1626" spans="1:30" x14ac:dyDescent="0.35">
      <c r="A1626" t="s">
        <v>428</v>
      </c>
      <c r="B1626" t="s">
        <v>241</v>
      </c>
      <c r="C1626" s="36">
        <f>RATE(U1626,V1626,-F1626,H1626)</f>
        <v>9.6500000000000044E-2</v>
      </c>
      <c r="D1626" s="3">
        <f>C1626*AD1626</f>
        <v>9.6500000000000044E-2</v>
      </c>
      <c r="F1626">
        <v>1000</v>
      </c>
      <c r="G1626" t="s">
        <v>76</v>
      </c>
      <c r="H1626">
        <v>1000</v>
      </c>
      <c r="I1626" s="22"/>
      <c r="J1626">
        <v>15</v>
      </c>
      <c r="K1626" s="22"/>
      <c r="L1626">
        <v>9.65</v>
      </c>
      <c r="M1626" s="22">
        <v>9.6500000000000002E-2</v>
      </c>
      <c r="N1626" s="21">
        <v>45551</v>
      </c>
      <c r="O1626" s="21">
        <v>47742</v>
      </c>
      <c r="P1626">
        <f>ROUND(YEARFRAC(N1626,O1626),0)</f>
        <v>6</v>
      </c>
      <c r="Q1626" s="6">
        <f>(M1626*H1626)/F1626</f>
        <v>9.6500000000000002E-2</v>
      </c>
      <c r="R1626" s="5">
        <f>IF(S1626="Quarterly",4,IF(S1626="Semi-annual",2,IF(S1626="Annual",1,IF(S1626="Pays at maturity",0,12))))</f>
        <v>1</v>
      </c>
      <c r="S1626" t="s">
        <v>93</v>
      </c>
      <c r="U1626">
        <f>R1626*P1626</f>
        <v>6</v>
      </c>
      <c r="V1626">
        <f>(H1626*M1626)/AD1626</f>
        <v>96.5</v>
      </c>
      <c r="W1626" s="28">
        <f>RATE(U1626,V1626,-F1626,H1626)</f>
        <v>9.6500000000000044E-2</v>
      </c>
      <c r="X1626" s="27">
        <f>W1626*AD1626</f>
        <v>9.6500000000000044E-2</v>
      </c>
      <c r="Y1626" s="5">
        <f>DURATION(N1626,O1626,M1626,D1626,AD1626)</f>
        <v>4.8249262780052913</v>
      </c>
      <c r="Z1626" s="5">
        <f>Y1626/(1+C1626)</f>
        <v>4.4002975631603203</v>
      </c>
      <c r="AA1626" s="5">
        <f>-Z1626*F1626</f>
        <v>-4400.2975631603204</v>
      </c>
      <c r="AB1626" t="s">
        <v>64</v>
      </c>
      <c r="AC1626" t="s">
        <v>62</v>
      </c>
      <c r="AD1626">
        <f>_xlfn.SWITCH(PROPER(TRIM(S1626)),
   "Annual",1,
   "Semi-Annual",2,
   "Quarterly",4,
   "Monthly",12,
   "")</f>
        <v>1</v>
      </c>
    </row>
    <row r="1627" spans="1:30" x14ac:dyDescent="0.35">
      <c r="A1627" t="s">
        <v>427</v>
      </c>
      <c r="B1627" t="s">
        <v>128</v>
      </c>
      <c r="C1627" s="36">
        <f>RATE(U1627,V1627,-F1627,H1627)</f>
        <v>0.12714374427246769</v>
      </c>
      <c r="D1627" s="3">
        <f>C1627*AD1627</f>
        <v>0.12714374427246769</v>
      </c>
      <c r="F1627">
        <v>901.19</v>
      </c>
      <c r="G1627" t="s">
        <v>76</v>
      </c>
      <c r="H1627">
        <v>1000</v>
      </c>
      <c r="I1627" s="22"/>
      <c r="J1627">
        <v>125</v>
      </c>
      <c r="K1627" s="22"/>
      <c r="L1627">
        <v>13.7575784299239</v>
      </c>
      <c r="M1627" s="22">
        <v>0.105</v>
      </c>
      <c r="N1627" s="21">
        <v>45195</v>
      </c>
      <c r="O1627" s="21">
        <v>47752</v>
      </c>
      <c r="P1627">
        <f>ROUND(YEARFRAC(N1627,O1627),0)</f>
        <v>7</v>
      </c>
      <c r="Q1627" s="6">
        <f>(M1627*H1627)/F1627</f>
        <v>0.11651261110309701</v>
      </c>
      <c r="R1627" s="5">
        <f>IF(S1627="Quarterly",4,IF(S1627="Semi-annual",2,IF(S1627="Annual",1,IF(S1627="Pays at maturity",0,12))))</f>
        <v>1</v>
      </c>
      <c r="S1627" t="s">
        <v>93</v>
      </c>
      <c r="U1627">
        <f>R1627*P1627</f>
        <v>7</v>
      </c>
      <c r="V1627">
        <f>(H1627*M1627)/AD1627</f>
        <v>105</v>
      </c>
      <c r="W1627" s="28">
        <f>RATE(U1627,V1627,-F1627,H1627)</f>
        <v>0.12714374427246769</v>
      </c>
      <c r="X1627" s="27">
        <f>W1627*AD1627</f>
        <v>0.12714374427246769</v>
      </c>
      <c r="Y1627" s="5">
        <f>DURATION(N1627,O1627,M1627,D1627,AD1627)</f>
        <v>5.1943094967847641</v>
      </c>
      <c r="Z1627" s="5">
        <f>Y1627/(1+C1627)</f>
        <v>4.6083824917446634</v>
      </c>
      <c r="AA1627" s="5">
        <f>-Z1627*F1627</f>
        <v>-4153.0282177353738</v>
      </c>
      <c r="AB1627" t="s">
        <v>64</v>
      </c>
      <c r="AC1627" t="s">
        <v>62</v>
      </c>
      <c r="AD1627">
        <f>_xlfn.SWITCH(PROPER(TRIM(S1627)),
   "Annual",1,
   "Semi-Annual",2,
   "Quarterly",4,
   "Monthly",12,
   "")</f>
        <v>1</v>
      </c>
    </row>
    <row r="1628" spans="1:30" x14ac:dyDescent="0.35">
      <c r="A1628" t="s">
        <v>426</v>
      </c>
      <c r="B1628" t="s">
        <v>128</v>
      </c>
      <c r="C1628" s="36">
        <f>RATE(U1628,V1628,-F1628,H1628)</f>
        <v>0.13993480791909679</v>
      </c>
      <c r="D1628" s="3">
        <f>C1628*AD1628</f>
        <v>0.13993480791909679</v>
      </c>
      <c r="F1628">
        <v>830</v>
      </c>
      <c r="G1628" t="s">
        <v>76</v>
      </c>
      <c r="H1628">
        <v>1000</v>
      </c>
      <c r="I1628" s="22"/>
      <c r="J1628">
        <v>9</v>
      </c>
      <c r="K1628" s="22"/>
      <c r="L1628">
        <v>15.8543341292552</v>
      </c>
      <c r="M1628" s="22">
        <v>0.1003</v>
      </c>
      <c r="N1628" s="21">
        <v>45233</v>
      </c>
      <c r="O1628" s="21">
        <v>47752</v>
      </c>
      <c r="P1628">
        <f>ROUND(YEARFRAC(N1628,O1628),0)</f>
        <v>7</v>
      </c>
      <c r="Q1628" s="6">
        <f>(M1628*H1628)/F1628</f>
        <v>0.12084337349397591</v>
      </c>
      <c r="R1628" s="5">
        <f>IF(S1628="Quarterly",4,IF(S1628="Semi-annual",2,IF(S1628="Annual",1,IF(S1628="Pays at maturity",0,12))))</f>
        <v>1</v>
      </c>
      <c r="S1628" t="s">
        <v>93</v>
      </c>
      <c r="U1628">
        <f>R1628*P1628</f>
        <v>7</v>
      </c>
      <c r="V1628">
        <f>(H1628*M1628)/AD1628</f>
        <v>100.3</v>
      </c>
      <c r="W1628" s="28">
        <f>RATE(U1628,V1628,-F1628,H1628)</f>
        <v>0.13993480791909679</v>
      </c>
      <c r="X1628" s="27">
        <f>W1628*AD1628</f>
        <v>0.13993480791909679</v>
      </c>
      <c r="Y1628" s="5">
        <f>DURATION(N1628,O1628,M1628,D1628,AD1628)</f>
        <v>5.0745403650638119</v>
      </c>
      <c r="Z1628" s="5">
        <f>Y1628/(1+C1628)</f>
        <v>4.4516057671115181</v>
      </c>
      <c r="AA1628" s="5">
        <f>-Z1628*F1628</f>
        <v>-3694.83278670256</v>
      </c>
      <c r="AB1628" t="s">
        <v>64</v>
      </c>
      <c r="AC1628" t="s">
        <v>62</v>
      </c>
      <c r="AD1628">
        <f>_xlfn.SWITCH(PROPER(TRIM(S1628)),
   "Annual",1,
   "Semi-Annual",2,
   "Quarterly",4,
   "Monthly",12,
   "")</f>
        <v>1</v>
      </c>
    </row>
    <row r="1629" spans="1:30" x14ac:dyDescent="0.35">
      <c r="C1629" s="28"/>
      <c r="D1629" s="27"/>
      <c r="I1629" s="22"/>
      <c r="K1629" s="22"/>
      <c r="M1629" s="22"/>
      <c r="N1629" s="21"/>
      <c r="O1629" s="21"/>
      <c r="P1629" s="5"/>
      <c r="Q1629" s="6"/>
      <c r="R1629" s="5"/>
      <c r="W1629" s="28"/>
      <c r="Y1629" s="33"/>
      <c r="Z1629" s="33"/>
      <c r="AA1629" s="33"/>
    </row>
    <row r="1630" spans="1:30" x14ac:dyDescent="0.35">
      <c r="A1630" t="s">
        <v>424</v>
      </c>
      <c r="B1630" t="s">
        <v>225</v>
      </c>
      <c r="C1630" s="36">
        <f>RATE(U1630,V1630,-F1630,H1630)</f>
        <v>9.5239603898594108E-2</v>
      </c>
      <c r="D1630" s="3">
        <f>C1630*AD1630</f>
        <v>9.5239603898594108E-2</v>
      </c>
      <c r="F1630">
        <v>98790</v>
      </c>
      <c r="G1630" t="s">
        <v>76</v>
      </c>
      <c r="H1630">
        <v>100000</v>
      </c>
      <c r="I1630" s="22"/>
      <c r="J1630">
        <v>10</v>
      </c>
      <c r="K1630" s="22"/>
      <c r="L1630">
        <v>9.5851615967600008</v>
      </c>
      <c r="M1630" s="22">
        <v>9.2499999999999999E-2</v>
      </c>
      <c r="N1630" s="21">
        <v>45716</v>
      </c>
      <c r="O1630" s="21">
        <v>47759</v>
      </c>
      <c r="P1630">
        <f>ROUND(YEARFRAC(N1630,O1630),0)</f>
        <v>6</v>
      </c>
      <c r="Q1630" s="6">
        <f>(M1630*H1630)/F1630</f>
        <v>9.3632958801498134E-2</v>
      </c>
      <c r="R1630" s="5">
        <f>IF(S1630="Quarterly",4,IF(S1630="Semi-annual",2,IF(S1630="Annual",1,IF(S1630="Pays at maturity",0,12))))</f>
        <v>1</v>
      </c>
      <c r="S1630" t="s">
        <v>93</v>
      </c>
      <c r="U1630">
        <f>R1630*P1630</f>
        <v>6</v>
      </c>
      <c r="V1630">
        <f>(H1630*M1630)/AD1630</f>
        <v>9250</v>
      </c>
      <c r="W1630" s="28">
        <f>RATE(U1630,V1630,-F1630,H1630)</f>
        <v>9.5239603898594108E-2</v>
      </c>
      <c r="X1630" s="27">
        <f>W1630*AD1630</f>
        <v>9.5239603898594108E-2</v>
      </c>
      <c r="Y1630" s="5">
        <f>DURATION(N1630,O1630,M1630,D1630,AD1630)</f>
        <v>4.4541770445669409</v>
      </c>
      <c r="Z1630" s="5">
        <f>Y1630/(1+C1630)</f>
        <v>4.0668516995842161</v>
      </c>
      <c r="AA1630" s="5">
        <f>-Z1630*F1630</f>
        <v>-401764.27940192469</v>
      </c>
      <c r="AB1630" t="s">
        <v>64</v>
      </c>
      <c r="AC1630" t="s">
        <v>62</v>
      </c>
      <c r="AD1630">
        <f>_xlfn.SWITCH(PROPER(TRIM(S1630)),
   "Annual",1,
   "Semi-Annual",2,
   "Quarterly",4,
   "Monthly",12,
   "")</f>
        <v>1</v>
      </c>
    </row>
    <row r="1631" spans="1:30" x14ac:dyDescent="0.35">
      <c r="A1631" t="s">
        <v>423</v>
      </c>
      <c r="B1631" t="s">
        <v>114</v>
      </c>
      <c r="C1631" s="36">
        <f>RATE(U1631,V1631,-F1631,H1631)</f>
        <v>6.0234120247382887E-2</v>
      </c>
      <c r="D1631" s="3">
        <f>C1631*AD1631</f>
        <v>6.0234120247382887E-2</v>
      </c>
      <c r="F1631">
        <v>1146.0999999999999</v>
      </c>
      <c r="G1631" t="s">
        <v>76</v>
      </c>
      <c r="H1631">
        <v>1000</v>
      </c>
      <c r="I1631" s="22"/>
      <c r="J1631">
        <v>100</v>
      </c>
      <c r="K1631" s="22"/>
      <c r="L1631">
        <v>4.1492612007912397</v>
      </c>
      <c r="M1631" s="22">
        <v>7.5300000000000006E-2</v>
      </c>
      <c r="N1631" s="21">
        <v>42282</v>
      </c>
      <c r="O1631" s="21">
        <v>47761</v>
      </c>
      <c r="P1631">
        <f>ROUND(YEARFRAC(N1631,O1631),0)</f>
        <v>15</v>
      </c>
      <c r="Q1631" s="6">
        <f>(M1631*H1631)/F1631</f>
        <v>6.5701073204781454E-2</v>
      </c>
      <c r="R1631" s="5">
        <f>IF(S1631="Quarterly",4,IF(S1631="Semi-annual",2,IF(S1631="Annual",1,IF(S1631="Pays at maturity",0,12))))</f>
        <v>1</v>
      </c>
      <c r="S1631" t="s">
        <v>93</v>
      </c>
      <c r="U1631">
        <f>R1631*P1631</f>
        <v>15</v>
      </c>
      <c r="V1631">
        <f>(H1631*M1631)/AD1631</f>
        <v>75.300000000000011</v>
      </c>
      <c r="W1631" s="28">
        <f>RATE(U1631,V1631,-F1631,H1631)</f>
        <v>6.0234120247382887E-2</v>
      </c>
      <c r="X1631" s="27">
        <f>W1631*AD1631</f>
        <v>6.0234120247382887E-2</v>
      </c>
      <c r="Y1631" s="5">
        <f>DURATION(N1631,O1631,M1631,D1631,AD1631)</f>
        <v>9.8532670066572603</v>
      </c>
      <c r="Z1631" s="5">
        <f>Y1631/(1+C1631)</f>
        <v>9.2934822776295984</v>
      </c>
      <c r="AA1631" s="5">
        <f>-Z1631*F1631</f>
        <v>-10651.260038391281</v>
      </c>
      <c r="AB1631" t="s">
        <v>64</v>
      </c>
      <c r="AC1631" t="s">
        <v>62</v>
      </c>
      <c r="AD1631">
        <f>_xlfn.SWITCH(PROPER(TRIM(S1631)),
   "Annual",1,
   "Semi-Annual",2,
   "Quarterly",4,
   "Monthly",12,
   "")</f>
        <v>1</v>
      </c>
    </row>
    <row r="1632" spans="1:30" x14ac:dyDescent="0.35">
      <c r="A1632" t="s">
        <v>422</v>
      </c>
      <c r="B1632" t="s">
        <v>114</v>
      </c>
      <c r="C1632" s="36">
        <f>RATE(U1632,V1632,-F1632,H1632)</f>
        <v>5.8523915509188708E-2</v>
      </c>
      <c r="D1632" s="3">
        <f>C1632*AD1632</f>
        <v>5.8523915509188708E-2</v>
      </c>
      <c r="F1632">
        <v>1140</v>
      </c>
      <c r="G1632" t="s">
        <v>76</v>
      </c>
      <c r="H1632">
        <v>1000</v>
      </c>
      <c r="I1632" s="22"/>
      <c r="J1632">
        <v>40</v>
      </c>
      <c r="K1632" s="22"/>
      <c r="L1632">
        <v>4.05378169669752</v>
      </c>
      <c r="M1632" s="22">
        <v>7.2800000000000004E-2</v>
      </c>
      <c r="N1632" s="21">
        <v>42282</v>
      </c>
      <c r="O1632" s="21">
        <v>47761</v>
      </c>
      <c r="P1632">
        <f>ROUND(YEARFRAC(N1632,O1632),0)</f>
        <v>15</v>
      </c>
      <c r="Q1632" s="6">
        <f>(M1632*H1632)/F1632</f>
        <v>6.3859649122807019E-2</v>
      </c>
      <c r="R1632" s="5">
        <f>IF(S1632="Quarterly",4,IF(S1632="Semi-annual",2,IF(S1632="Annual",1,IF(S1632="Pays at maturity",0,12))))</f>
        <v>1</v>
      </c>
      <c r="S1632" t="s">
        <v>93</v>
      </c>
      <c r="U1632">
        <f>R1632*P1632</f>
        <v>15</v>
      </c>
      <c r="V1632">
        <f>(H1632*M1632)/AD1632</f>
        <v>72.8</v>
      </c>
      <c r="W1632" s="28">
        <f>RATE(U1632,V1632,-F1632,H1632)</f>
        <v>5.8523915509188708E-2</v>
      </c>
      <c r="X1632" s="27">
        <f>W1632*AD1632</f>
        <v>5.8523915509188708E-2</v>
      </c>
      <c r="Y1632" s="5">
        <f>DURATION(N1632,O1632,M1632,D1632,AD1632)</f>
        <v>9.9593662743003186</v>
      </c>
      <c r="Z1632" s="5">
        <f>Y1632/(1+C1632)</f>
        <v>9.4087305240614221</v>
      </c>
      <c r="AA1632" s="5">
        <f>-Z1632*F1632</f>
        <v>-10725.952797430022</v>
      </c>
      <c r="AB1632" t="s">
        <v>64</v>
      </c>
      <c r="AC1632" t="s">
        <v>62</v>
      </c>
      <c r="AD1632">
        <f>_xlfn.SWITCH(PROPER(TRIM(S1632)),
   "Annual",1,
   "Semi-Annual",2,
   "Quarterly",4,
   "Monthly",12,
   "")</f>
        <v>1</v>
      </c>
    </row>
    <row r="1633" spans="1:30" x14ac:dyDescent="0.35">
      <c r="A1633" t="s">
        <v>421</v>
      </c>
      <c r="B1633" t="s">
        <v>252</v>
      </c>
      <c r="C1633" s="36">
        <f>RATE(U1633,V1633,-F1633,H1633)</f>
        <v>3.6275856887716056E-2</v>
      </c>
      <c r="D1633" s="3">
        <f>C1633*AD1633</f>
        <v>7.2551713775432111E-2</v>
      </c>
      <c r="F1633">
        <v>985587</v>
      </c>
      <c r="G1633" t="s">
        <v>76</v>
      </c>
      <c r="H1633">
        <v>1000000</v>
      </c>
      <c r="I1633" s="22"/>
      <c r="J1633">
        <v>1</v>
      </c>
      <c r="K1633" s="22"/>
      <c r="M1633" s="22">
        <v>7.0499999999999993E-2</v>
      </c>
      <c r="N1633" s="21">
        <v>44116</v>
      </c>
      <c r="O1633" s="21">
        <v>47767</v>
      </c>
      <c r="P1633">
        <f>ROUND(YEARFRAC(N1633,O1633),0)</f>
        <v>10</v>
      </c>
      <c r="Q1633" s="6">
        <f>(M1633*H1633)/F1633</f>
        <v>7.1530975956460463E-2</v>
      </c>
      <c r="R1633" s="5">
        <f>IF(S1633="Quarterly",4,IF(S1633="Semi-annual",2,IF(S1633="Annual",1,IF(S1633="Pays at maturity",0,12))))</f>
        <v>2</v>
      </c>
      <c r="S1633" t="s">
        <v>65</v>
      </c>
      <c r="U1633">
        <f>R1633*P1633</f>
        <v>20</v>
      </c>
      <c r="V1633">
        <f>(H1633*M1633)/AD1633</f>
        <v>35250</v>
      </c>
      <c r="W1633" s="28">
        <f>RATE(U1633,V1633,-F1633,H1633)</f>
        <v>3.6275856887716056E-2</v>
      </c>
      <c r="X1633" s="27">
        <f>W1633*AD1633</f>
        <v>7.2551713775432111E-2</v>
      </c>
      <c r="Y1633" s="5">
        <f>DURATION(N1633,O1633,M1633,D1633,AD1633)</f>
        <v>7.3151863187694914</v>
      </c>
      <c r="Z1633" s="5">
        <f>Y1633/(1+C1633)</f>
        <v>7.0591110177356153</v>
      </c>
      <c r="AA1633" s="5">
        <f>-Z1633*F1633</f>
        <v>-6957368.0506369919</v>
      </c>
      <c r="AB1633" t="s">
        <v>64</v>
      </c>
      <c r="AC1633" t="s">
        <v>62</v>
      </c>
      <c r="AD1633">
        <f>_xlfn.SWITCH(PROPER(TRIM(S1633)),
   "Annual",1,
   "Semi-Annual",2,
   "Quarterly",4,
   "Monthly",12,
   "")</f>
        <v>2</v>
      </c>
    </row>
    <row r="1634" spans="1:30" x14ac:dyDescent="0.35">
      <c r="C1634" s="28"/>
      <c r="D1634" s="27"/>
      <c r="I1634" s="22"/>
      <c r="K1634" s="22"/>
      <c r="M1634" s="22"/>
      <c r="N1634" s="21"/>
      <c r="O1634" s="21"/>
      <c r="P1634" s="5"/>
      <c r="Q1634" s="6"/>
      <c r="R1634" s="5"/>
      <c r="W1634" s="28"/>
      <c r="Y1634" s="33"/>
      <c r="Z1634" s="33"/>
      <c r="AA1634" s="33"/>
    </row>
    <row r="1635" spans="1:30" x14ac:dyDescent="0.35">
      <c r="A1635" t="s">
        <v>419</v>
      </c>
      <c r="B1635" t="s">
        <v>94</v>
      </c>
      <c r="C1635" s="36">
        <f>RATE(U1635,V1635,-F1635,H1635)</f>
        <v>6.1937845997275059E-2</v>
      </c>
      <c r="D1635" s="3">
        <f>C1635*AD1635</f>
        <v>6.1937845997275059E-2</v>
      </c>
      <c r="F1635">
        <v>1127.19</v>
      </c>
      <c r="G1635" t="s">
        <v>76</v>
      </c>
      <c r="H1635">
        <v>1000</v>
      </c>
      <c r="I1635" s="22"/>
      <c r="J1635">
        <v>236</v>
      </c>
      <c r="K1635" s="22"/>
      <c r="L1635">
        <v>4.53304022536601</v>
      </c>
      <c r="M1635" s="22">
        <v>7.5199999999999989E-2</v>
      </c>
      <c r="N1635" s="21">
        <v>42294</v>
      </c>
      <c r="O1635" s="21">
        <v>47773</v>
      </c>
      <c r="P1635">
        <f>ROUND(YEARFRAC(N1635,O1635),0)</f>
        <v>15</v>
      </c>
      <c r="Q1635" s="6">
        <f>(M1635*H1635)/F1635</f>
        <v>6.6714573408209785E-2</v>
      </c>
      <c r="R1635" s="5">
        <f>IF(S1635="Quarterly",4,IF(S1635="Semi-annual",2,IF(S1635="Annual",1,IF(S1635="Pays at maturity",0,12))))</f>
        <v>1</v>
      </c>
      <c r="S1635" t="s">
        <v>93</v>
      </c>
      <c r="U1635">
        <f>R1635*P1635</f>
        <v>15</v>
      </c>
      <c r="V1635">
        <f>(H1635*M1635)/AD1635</f>
        <v>75.199999999999989</v>
      </c>
      <c r="W1635" s="28">
        <f>RATE(U1635,V1635,-F1635,H1635)</f>
        <v>6.1937845997275059E-2</v>
      </c>
      <c r="X1635" s="27">
        <f>W1635*AD1635</f>
        <v>6.1937845997275059E-2</v>
      </c>
      <c r="Y1635" s="5">
        <f>DURATION(N1635,O1635,M1635,D1635,AD1635)</f>
        <v>9.8130790901106764</v>
      </c>
      <c r="Z1635" s="5">
        <f>Y1635/(1+C1635)</f>
        <v>9.2407282847096663</v>
      </c>
      <c r="AA1635" s="5">
        <f>-Z1635*F1635</f>
        <v>-10416.056515241889</v>
      </c>
      <c r="AB1635" t="s">
        <v>64</v>
      </c>
      <c r="AC1635" t="s">
        <v>62</v>
      </c>
      <c r="AD1635">
        <f>_xlfn.SWITCH(PROPER(TRIM(S1635)),
   "Annual",1,
   "Semi-Annual",2,
   "Quarterly",4,
   "Monthly",12,
   "")</f>
        <v>1</v>
      </c>
    </row>
    <row r="1636" spans="1:30" x14ac:dyDescent="0.35">
      <c r="A1636" t="s">
        <v>418</v>
      </c>
      <c r="B1636" t="s">
        <v>417</v>
      </c>
      <c r="C1636" s="36">
        <f>RATE(U1636,V1636,-F1636,H1636)</f>
        <v>9.7297972568966995E-2</v>
      </c>
      <c r="D1636" s="3">
        <f>C1636*AD1636</f>
        <v>9.7297972568966995E-2</v>
      </c>
      <c r="F1636">
        <v>1021700</v>
      </c>
      <c r="G1636" t="s">
        <v>76</v>
      </c>
      <c r="H1636">
        <v>1000000</v>
      </c>
      <c r="I1636" s="22"/>
      <c r="J1636">
        <v>1</v>
      </c>
      <c r="K1636" s="22"/>
      <c r="L1636">
        <v>9.4092981016250903</v>
      </c>
      <c r="M1636" s="22">
        <v>9.98E-2</v>
      </c>
      <c r="N1636" s="21">
        <v>40480</v>
      </c>
      <c r="O1636" s="21">
        <v>47785</v>
      </c>
      <c r="P1636">
        <f>ROUND(YEARFRAC(N1636,O1636),0)</f>
        <v>20</v>
      </c>
      <c r="Q1636" s="6">
        <f>(M1636*H1636)/F1636</f>
        <v>9.768033669374572E-2</v>
      </c>
      <c r="R1636" s="5">
        <f>IF(S1636="Quarterly",4,IF(S1636="Semi-annual",2,IF(S1636="Annual",1,IF(S1636="Pays at maturity",0,12))))</f>
        <v>1</v>
      </c>
      <c r="S1636" t="s">
        <v>93</v>
      </c>
      <c r="U1636">
        <f>R1636*P1636</f>
        <v>20</v>
      </c>
      <c r="V1636">
        <f>(H1636*M1636)/AD1636</f>
        <v>99800</v>
      </c>
      <c r="W1636" s="28">
        <f>RATE(U1636,V1636,-F1636,H1636)</f>
        <v>9.7297972568966995E-2</v>
      </c>
      <c r="X1636" s="27">
        <f>W1636*AD1636</f>
        <v>9.7297972568966995E-2</v>
      </c>
      <c r="Y1636" s="5">
        <f>DURATION(N1636,O1636,M1636,D1636,AD1636)</f>
        <v>9.4756314742355787</v>
      </c>
      <c r="Z1636" s="5">
        <f>Y1636/(1+C1636)</f>
        <v>8.6354223839960849</v>
      </c>
      <c r="AA1636" s="5">
        <f>-Z1636*F1636</f>
        <v>-8822811.0497287996</v>
      </c>
      <c r="AB1636" t="s">
        <v>64</v>
      </c>
      <c r="AC1636" t="s">
        <v>62</v>
      </c>
      <c r="AD1636">
        <f>_xlfn.SWITCH(PROPER(TRIM(S1636)),
   "Annual",1,
   "Semi-Annual",2,
   "Quarterly",4,
   "Monthly",12,
   "")</f>
        <v>1</v>
      </c>
    </row>
    <row r="1637" spans="1:30" x14ac:dyDescent="0.35">
      <c r="C1637" s="28"/>
      <c r="D1637" s="27"/>
      <c r="I1637" s="22"/>
      <c r="K1637" s="22"/>
      <c r="M1637" s="22"/>
      <c r="N1637" s="21"/>
      <c r="O1637" s="21"/>
      <c r="P1637" s="5"/>
      <c r="Q1637" s="6"/>
      <c r="R1637" s="5"/>
      <c r="W1637" s="28"/>
      <c r="Y1637" s="33"/>
      <c r="Z1637" s="33"/>
      <c r="AA1637" s="33"/>
    </row>
    <row r="1638" spans="1:30" x14ac:dyDescent="0.35">
      <c r="A1638" t="s">
        <v>415</v>
      </c>
      <c r="B1638" t="s">
        <v>241</v>
      </c>
      <c r="C1638" s="36">
        <f t="shared" ref="C1638:C1643" si="1079">RATE(U1638,V1638,-F1638,H1638)</f>
        <v>9.6500000000000044E-2</v>
      </c>
      <c r="D1638" s="3">
        <f t="shared" ref="D1638:D1643" si="1080">C1638*AD1638</f>
        <v>9.6500000000000044E-2</v>
      </c>
      <c r="F1638">
        <v>1000</v>
      </c>
      <c r="G1638" t="s">
        <v>76</v>
      </c>
      <c r="H1638">
        <v>1000</v>
      </c>
      <c r="I1638" s="22"/>
      <c r="J1638">
        <v>158</v>
      </c>
      <c r="K1638" s="22"/>
      <c r="L1638">
        <v>9.65</v>
      </c>
      <c r="M1638" s="22">
        <v>9.6500000000000002E-2</v>
      </c>
      <c r="N1638" s="21">
        <v>45595</v>
      </c>
      <c r="O1638" s="21">
        <v>47786</v>
      </c>
      <c r="P1638">
        <f t="shared" ref="P1638:P1643" si="1081">ROUND(YEARFRAC(N1638,O1638),0)</f>
        <v>6</v>
      </c>
      <c r="Q1638" s="6">
        <f t="shared" ref="Q1638:Q1643" si="1082">(M1638*H1638)/F1638</f>
        <v>9.6500000000000002E-2</v>
      </c>
      <c r="R1638" s="5">
        <f t="shared" ref="R1638:R1643" si="1083">IF(S1638="Quarterly",4,IF(S1638="Semi-annual",2,IF(S1638="Annual",1,IF(S1638="Pays at maturity",0,12))))</f>
        <v>1</v>
      </c>
      <c r="S1638" t="s">
        <v>93</v>
      </c>
      <c r="U1638">
        <f t="shared" ref="U1638:U1643" si="1084">R1638*P1638</f>
        <v>6</v>
      </c>
      <c r="V1638">
        <f t="shared" ref="V1638:V1643" si="1085">(H1638*M1638)/AD1638</f>
        <v>96.5</v>
      </c>
      <c r="W1638" s="28">
        <f t="shared" ref="W1638:W1643" si="1086">RATE(U1638,V1638,-F1638,H1638)</f>
        <v>9.6500000000000044E-2</v>
      </c>
      <c r="X1638" s="27">
        <f t="shared" ref="X1638:X1643" si="1087">W1638*AD1638</f>
        <v>9.6500000000000044E-2</v>
      </c>
      <c r="Y1638" s="5">
        <f t="shared" ref="Y1638:Y1643" si="1088">DURATION(N1638,O1638,M1638,D1638,AD1638)</f>
        <v>4.8249262780052913</v>
      </c>
      <c r="Z1638" s="5">
        <f t="shared" ref="Z1638:Z1643" si="1089">Y1638/(1+C1638)</f>
        <v>4.4002975631603203</v>
      </c>
      <c r="AA1638" s="5">
        <f t="shared" ref="AA1638:AA1643" si="1090">-Z1638*F1638</f>
        <v>-4400.2975631603204</v>
      </c>
      <c r="AB1638" t="s">
        <v>64</v>
      </c>
      <c r="AC1638" t="s">
        <v>62</v>
      </c>
      <c r="AD1638">
        <f t="shared" ref="AD1638:AD1643" si="1091">_xlfn.SWITCH(PROPER(TRIM(S1638)),
   "Annual",1,
   "Semi-Annual",2,
   "Quarterly",4,
   "Monthly",12,
   "")</f>
        <v>1</v>
      </c>
    </row>
    <row r="1639" spans="1:30" x14ac:dyDescent="0.35">
      <c r="A1639" t="s">
        <v>414</v>
      </c>
      <c r="B1639" t="s">
        <v>241</v>
      </c>
      <c r="C1639" s="36">
        <f t="shared" si="1079"/>
        <v>0.10075377716067156</v>
      </c>
      <c r="D1639" s="3">
        <f t="shared" si="1080"/>
        <v>0.10075377716067156</v>
      </c>
      <c r="F1639">
        <v>1001.07</v>
      </c>
      <c r="G1639" t="s">
        <v>76</v>
      </c>
      <c r="H1639">
        <v>1000</v>
      </c>
      <c r="I1639" s="22"/>
      <c r="J1639">
        <v>10</v>
      </c>
      <c r="K1639" s="22"/>
      <c r="L1639">
        <v>10.069094625451701</v>
      </c>
      <c r="M1639" s="22">
        <v>0.10099999999999999</v>
      </c>
      <c r="N1639" s="21">
        <v>45595</v>
      </c>
      <c r="O1639" s="21">
        <v>47786</v>
      </c>
      <c r="P1639">
        <f t="shared" si="1081"/>
        <v>6</v>
      </c>
      <c r="Q1639" s="6">
        <f t="shared" si="1082"/>
        <v>0.10089204551130289</v>
      </c>
      <c r="R1639" s="5">
        <f t="shared" si="1083"/>
        <v>1</v>
      </c>
      <c r="S1639" t="s">
        <v>93</v>
      </c>
      <c r="U1639">
        <f t="shared" si="1084"/>
        <v>6</v>
      </c>
      <c r="V1639">
        <f t="shared" si="1085"/>
        <v>100.99999999999999</v>
      </c>
      <c r="W1639" s="28">
        <f t="shared" si="1086"/>
        <v>0.10075377716067156</v>
      </c>
      <c r="X1639" s="27">
        <f t="shared" si="1087"/>
        <v>0.10075377716067156</v>
      </c>
      <c r="Y1639" s="5">
        <f t="shared" si="1088"/>
        <v>4.7818288829660274</v>
      </c>
      <c r="Z1639" s="5">
        <f t="shared" si="1089"/>
        <v>4.344140335634795</v>
      </c>
      <c r="AA1639" s="5">
        <f t="shared" si="1090"/>
        <v>-4348.7885657939241</v>
      </c>
      <c r="AB1639" t="s">
        <v>64</v>
      </c>
      <c r="AC1639" t="s">
        <v>62</v>
      </c>
      <c r="AD1639">
        <f t="shared" si="1091"/>
        <v>1</v>
      </c>
    </row>
    <row r="1640" spans="1:30" x14ac:dyDescent="0.35">
      <c r="A1640" t="s">
        <v>413</v>
      </c>
      <c r="B1640" t="s">
        <v>101</v>
      </c>
      <c r="C1640" s="36">
        <f t="shared" si="1079"/>
        <v>6.1543575697066207E-2</v>
      </c>
      <c r="D1640" s="3">
        <f t="shared" si="1080"/>
        <v>6.1543575697066207E-2</v>
      </c>
      <c r="F1640">
        <v>1114</v>
      </c>
      <c r="G1640" t="s">
        <v>76</v>
      </c>
      <c r="H1640">
        <v>1000</v>
      </c>
      <c r="I1640" s="22"/>
      <c r="J1640">
        <v>11</v>
      </c>
      <c r="K1640" s="22"/>
      <c r="L1640">
        <v>4.6545403494156998</v>
      </c>
      <c r="M1640" s="22">
        <v>7.3399999999999993E-2</v>
      </c>
      <c r="N1640" s="21">
        <v>42313</v>
      </c>
      <c r="O1640" s="21">
        <v>47792</v>
      </c>
      <c r="P1640">
        <f t="shared" si="1081"/>
        <v>15</v>
      </c>
      <c r="Q1640" s="6">
        <f t="shared" si="1082"/>
        <v>6.5888689407540391E-2</v>
      </c>
      <c r="R1640" s="5">
        <f t="shared" si="1083"/>
        <v>1</v>
      </c>
      <c r="S1640" t="s">
        <v>93</v>
      </c>
      <c r="U1640">
        <f t="shared" si="1084"/>
        <v>15</v>
      </c>
      <c r="V1640">
        <f t="shared" si="1085"/>
        <v>73.399999999999991</v>
      </c>
      <c r="W1640" s="28">
        <f t="shared" si="1086"/>
        <v>6.1543575697066207E-2</v>
      </c>
      <c r="X1640" s="27">
        <f t="shared" si="1087"/>
        <v>6.1543575697066207E-2</v>
      </c>
      <c r="Y1640" s="5">
        <f t="shared" si="1088"/>
        <v>9.8683727793982303</v>
      </c>
      <c r="Z1640" s="5">
        <f t="shared" si="1089"/>
        <v>9.2962484115813435</v>
      </c>
      <c r="AA1640" s="5">
        <f t="shared" si="1090"/>
        <v>-10356.020730501617</v>
      </c>
      <c r="AB1640" t="s">
        <v>64</v>
      </c>
      <c r="AC1640" t="s">
        <v>62</v>
      </c>
      <c r="AD1640">
        <f t="shared" si="1091"/>
        <v>1</v>
      </c>
    </row>
    <row r="1641" spans="1:30" x14ac:dyDescent="0.35">
      <c r="A1641" t="s">
        <v>412</v>
      </c>
      <c r="B1641" t="s">
        <v>101</v>
      </c>
      <c r="C1641" s="36">
        <f t="shared" si="1079"/>
        <v>6.4130340896434448E-2</v>
      </c>
      <c r="D1641" s="3">
        <f t="shared" si="1080"/>
        <v>6.4130340896434448E-2</v>
      </c>
      <c r="F1641">
        <v>1064.01</v>
      </c>
      <c r="G1641" t="s">
        <v>76</v>
      </c>
      <c r="H1641">
        <v>1000</v>
      </c>
      <c r="I1641" s="22"/>
      <c r="J1641">
        <v>50</v>
      </c>
      <c r="K1641" s="22"/>
      <c r="L1641">
        <v>5.61384829708126</v>
      </c>
      <c r="M1641" s="22">
        <v>7.0900000000000005E-2</v>
      </c>
      <c r="N1641" s="21">
        <v>42313</v>
      </c>
      <c r="O1641" s="21">
        <v>47792</v>
      </c>
      <c r="P1641">
        <f t="shared" si="1081"/>
        <v>15</v>
      </c>
      <c r="Q1641" s="6">
        <f t="shared" si="1082"/>
        <v>6.6634712079773686E-2</v>
      </c>
      <c r="R1641" s="5">
        <f t="shared" si="1083"/>
        <v>1</v>
      </c>
      <c r="S1641" t="s">
        <v>93</v>
      </c>
      <c r="U1641">
        <f t="shared" si="1084"/>
        <v>15</v>
      </c>
      <c r="V1641">
        <f t="shared" si="1085"/>
        <v>70.900000000000006</v>
      </c>
      <c r="W1641" s="28">
        <f t="shared" si="1086"/>
        <v>6.4130340896434448E-2</v>
      </c>
      <c r="X1641" s="27">
        <f t="shared" si="1087"/>
        <v>6.4130340896434448E-2</v>
      </c>
      <c r="Y1641" s="5">
        <f t="shared" si="1088"/>
        <v>9.8689611917015689</v>
      </c>
      <c r="Z1641" s="5">
        <f t="shared" si="1089"/>
        <v>9.2742033681586911</v>
      </c>
      <c r="AA1641" s="5">
        <f t="shared" si="1090"/>
        <v>-9867.8451257545294</v>
      </c>
      <c r="AB1641" t="s">
        <v>64</v>
      </c>
      <c r="AC1641" t="s">
        <v>62</v>
      </c>
      <c r="AD1641">
        <f t="shared" si="1091"/>
        <v>1</v>
      </c>
    </row>
    <row r="1642" spans="1:30" x14ac:dyDescent="0.35">
      <c r="A1642" t="s">
        <v>411</v>
      </c>
      <c r="B1642" t="s">
        <v>314</v>
      </c>
      <c r="C1642" s="36">
        <f t="shared" si="1079"/>
        <v>8.006856986280371E-2</v>
      </c>
      <c r="D1642" s="3">
        <f t="shared" si="1080"/>
        <v>8.006856986280371E-2</v>
      </c>
      <c r="F1642">
        <v>483000</v>
      </c>
      <c r="G1642" t="s">
        <v>76</v>
      </c>
      <c r="H1642">
        <v>500000</v>
      </c>
      <c r="I1642" s="22"/>
      <c r="J1642">
        <v>2</v>
      </c>
      <c r="K1642" s="22"/>
      <c r="L1642">
        <v>8.3921800887889901</v>
      </c>
      <c r="M1642" s="22">
        <v>7.4999999999999997E-2</v>
      </c>
      <c r="N1642" s="21">
        <v>44145</v>
      </c>
      <c r="O1642" s="21">
        <v>47795</v>
      </c>
      <c r="P1642">
        <f t="shared" si="1081"/>
        <v>10</v>
      </c>
      <c r="Q1642" s="6">
        <f t="shared" si="1082"/>
        <v>7.7639751552795025E-2</v>
      </c>
      <c r="R1642" s="5">
        <f t="shared" si="1083"/>
        <v>1</v>
      </c>
      <c r="S1642" t="s">
        <v>93</v>
      </c>
      <c r="U1642">
        <f t="shared" si="1084"/>
        <v>10</v>
      </c>
      <c r="V1642">
        <f t="shared" si="1085"/>
        <v>37500</v>
      </c>
      <c r="W1642" s="28">
        <f t="shared" si="1086"/>
        <v>8.006856986280371E-2</v>
      </c>
      <c r="X1642" s="27">
        <f t="shared" si="1087"/>
        <v>8.006856986280371E-2</v>
      </c>
      <c r="Y1642" s="5">
        <f t="shared" si="1088"/>
        <v>7.3231190719117309</v>
      </c>
      <c r="Z1642" s="5">
        <f t="shared" si="1089"/>
        <v>6.7802353260237496</v>
      </c>
      <c r="AA1642" s="5">
        <f t="shared" si="1090"/>
        <v>-3274853.6624694709</v>
      </c>
      <c r="AB1642" t="s">
        <v>64</v>
      </c>
      <c r="AC1642" t="s">
        <v>62</v>
      </c>
      <c r="AD1642">
        <f t="shared" si="1091"/>
        <v>1</v>
      </c>
    </row>
    <row r="1643" spans="1:30" x14ac:dyDescent="0.35">
      <c r="A1643" t="s">
        <v>410</v>
      </c>
      <c r="B1643" t="s">
        <v>128</v>
      </c>
      <c r="C1643" s="36">
        <f t="shared" si="1079"/>
        <v>0.1477634649419784</v>
      </c>
      <c r="D1643" s="3">
        <f t="shared" si="1080"/>
        <v>0.1477634649419784</v>
      </c>
      <c r="F1643">
        <v>801.2</v>
      </c>
      <c r="G1643" t="s">
        <v>76</v>
      </c>
      <c r="H1643">
        <v>1000</v>
      </c>
      <c r="I1643" s="22"/>
      <c r="J1643">
        <v>1</v>
      </c>
      <c r="K1643" s="22"/>
      <c r="L1643">
        <v>17.116013796564001</v>
      </c>
      <c r="M1643" s="22">
        <v>0.1003</v>
      </c>
      <c r="N1643" s="21">
        <v>45239</v>
      </c>
      <c r="O1643" s="21">
        <v>47796</v>
      </c>
      <c r="P1643">
        <f t="shared" si="1081"/>
        <v>7</v>
      </c>
      <c r="Q1643" s="6">
        <f t="shared" si="1082"/>
        <v>0.12518721917124312</v>
      </c>
      <c r="R1643" s="5">
        <f t="shared" si="1083"/>
        <v>1</v>
      </c>
      <c r="S1643" t="s">
        <v>93</v>
      </c>
      <c r="U1643">
        <f t="shared" si="1084"/>
        <v>7</v>
      </c>
      <c r="V1643">
        <f t="shared" si="1085"/>
        <v>100.3</v>
      </c>
      <c r="W1643" s="28">
        <f t="shared" si="1086"/>
        <v>0.1477634649419784</v>
      </c>
      <c r="X1643" s="27">
        <f t="shared" si="1087"/>
        <v>0.1477634649419784</v>
      </c>
      <c r="Y1643" s="5">
        <f t="shared" si="1088"/>
        <v>5.1423907808433</v>
      </c>
      <c r="Z1643" s="5">
        <f t="shared" si="1089"/>
        <v>4.4803576154109921</v>
      </c>
      <c r="AA1643" s="5">
        <f t="shared" si="1090"/>
        <v>-3589.6625214672872</v>
      </c>
      <c r="AB1643" t="s">
        <v>64</v>
      </c>
      <c r="AC1643" t="s">
        <v>62</v>
      </c>
      <c r="AD1643">
        <f t="shared" si="1091"/>
        <v>1</v>
      </c>
    </row>
    <row r="1644" spans="1:30" x14ac:dyDescent="0.35">
      <c r="C1644" s="28"/>
      <c r="D1644" s="27"/>
      <c r="I1644" s="22"/>
      <c r="K1644" s="22"/>
      <c r="M1644" s="22"/>
      <c r="N1644" s="21"/>
      <c r="O1644" s="21"/>
      <c r="P1644" s="5"/>
      <c r="Q1644" s="6"/>
      <c r="R1644" s="5"/>
      <c r="W1644" s="28"/>
      <c r="Y1644" s="33"/>
      <c r="Z1644" s="33"/>
      <c r="AA1644" s="33"/>
    </row>
    <row r="1645" spans="1:30" x14ac:dyDescent="0.35">
      <c r="A1645" t="s">
        <v>408</v>
      </c>
      <c r="B1645" t="s">
        <v>249</v>
      </c>
      <c r="C1645" s="36">
        <f t="shared" ref="C1645:C1656" si="1092">RATE(U1645,V1645,-F1645,H1645)</f>
        <v>2.2547068027059153E-2</v>
      </c>
      <c r="D1645" s="3">
        <f t="shared" ref="D1645:D1656" si="1093">C1645*AD1645</f>
        <v>9.0188272108236614E-2</v>
      </c>
      <c r="F1645">
        <v>1034000</v>
      </c>
      <c r="G1645" t="s">
        <v>76</v>
      </c>
      <c r="H1645">
        <v>1000000</v>
      </c>
      <c r="I1645" s="22"/>
      <c r="J1645">
        <v>1</v>
      </c>
      <c r="K1645" s="22"/>
      <c r="M1645" s="22">
        <v>9.6199999999999994E-2</v>
      </c>
      <c r="N1645" s="21">
        <v>44916</v>
      </c>
      <c r="O1645" s="21">
        <v>47816</v>
      </c>
      <c r="P1645">
        <f t="shared" ref="P1645:P1656" si="1094">ROUND(YEARFRAC(N1645,O1645),0)</f>
        <v>8</v>
      </c>
      <c r="Q1645" s="6">
        <f t="shared" ref="Q1645:Q1656" si="1095">(M1645*H1645)/F1645</f>
        <v>9.3036750483559E-2</v>
      </c>
      <c r="R1645" s="5">
        <f t="shared" ref="R1645:R1656" si="1096">IF(S1645="Quarterly",4,IF(S1645="Semi-annual",2,IF(S1645="Annual",1,IF(S1645="Pays at maturity",0,12))))</f>
        <v>4</v>
      </c>
      <c r="S1645" t="s">
        <v>105</v>
      </c>
      <c r="U1645">
        <f t="shared" ref="U1645:U1656" si="1097">R1645*P1645</f>
        <v>32</v>
      </c>
      <c r="V1645">
        <f t="shared" ref="V1645:V1656" si="1098">(H1645*M1645)/AD1645</f>
        <v>24050</v>
      </c>
      <c r="W1645" s="28">
        <f t="shared" ref="W1645:W1656" si="1099">RATE(U1645,V1645,-F1645,H1645)</f>
        <v>2.2547068027059153E-2</v>
      </c>
      <c r="X1645" s="27">
        <f t="shared" ref="X1645:X1656" si="1100">W1645*AD1645</f>
        <v>9.0188272108236614E-2</v>
      </c>
      <c r="Y1645" s="5">
        <f t="shared" ref="Y1645:Y1656" si="1101">DURATION(N1645,O1645,M1645,D1645,AD1645)</f>
        <v>5.6520013359111756</v>
      </c>
      <c r="Z1645" s="5">
        <f t="shared" ref="Z1645:Z1656" si="1102">Y1645/(1+C1645)</f>
        <v>5.5273752305762898</v>
      </c>
      <c r="AA1645" s="5">
        <f t="shared" ref="AA1645:AA1656" si="1103">-Z1645*F1645</f>
        <v>-5715305.9884158839</v>
      </c>
      <c r="AB1645" t="s">
        <v>64</v>
      </c>
      <c r="AC1645" t="s">
        <v>62</v>
      </c>
      <c r="AD1645">
        <f t="shared" ref="AD1645:AD1656" si="1104">_xlfn.SWITCH(PROPER(TRIM(S1645)),
   "Annual",1,
   "Semi-Annual",2,
   "Quarterly",4,
   "Monthly",12,
   "")</f>
        <v>4</v>
      </c>
    </row>
    <row r="1646" spans="1:30" x14ac:dyDescent="0.35">
      <c r="A1646" t="s">
        <v>407</v>
      </c>
      <c r="B1646" t="s">
        <v>236</v>
      </c>
      <c r="C1646" s="36">
        <f t="shared" si="1092"/>
        <v>2.5515846033788106E-2</v>
      </c>
      <c r="D1646" s="3">
        <f t="shared" si="1093"/>
        <v>0.10206338413515242</v>
      </c>
      <c r="F1646">
        <v>1050000</v>
      </c>
      <c r="G1646" t="s">
        <v>76</v>
      </c>
      <c r="H1646">
        <v>1000000</v>
      </c>
      <c r="I1646" s="22"/>
      <c r="J1646">
        <v>1</v>
      </c>
      <c r="K1646" s="22"/>
      <c r="M1646" s="22">
        <v>0.1101</v>
      </c>
      <c r="N1646" s="21">
        <v>44186</v>
      </c>
      <c r="O1646" s="21">
        <v>47837</v>
      </c>
      <c r="P1646">
        <f t="shared" si="1094"/>
        <v>10</v>
      </c>
      <c r="Q1646" s="6">
        <f t="shared" si="1095"/>
        <v>0.10485714285714286</v>
      </c>
      <c r="R1646" s="5">
        <f t="shared" si="1096"/>
        <v>4</v>
      </c>
      <c r="S1646" t="s">
        <v>105</v>
      </c>
      <c r="U1646">
        <f t="shared" si="1097"/>
        <v>40</v>
      </c>
      <c r="V1646">
        <f t="shared" si="1098"/>
        <v>27525</v>
      </c>
      <c r="W1646" s="28">
        <f t="shared" si="1099"/>
        <v>2.5515846033788106E-2</v>
      </c>
      <c r="X1646" s="27">
        <f t="shared" si="1100"/>
        <v>0.10206338413515242</v>
      </c>
      <c r="Y1646" s="5">
        <f t="shared" si="1101"/>
        <v>6.2784118306721952</v>
      </c>
      <c r="Z1646" s="5">
        <f t="shared" si="1102"/>
        <v>6.1221987499794688</v>
      </c>
      <c r="AA1646" s="5">
        <f t="shared" si="1103"/>
        <v>-6428308.6874784427</v>
      </c>
      <c r="AB1646" t="s">
        <v>64</v>
      </c>
      <c r="AC1646" t="s">
        <v>62</v>
      </c>
      <c r="AD1646">
        <f t="shared" si="1104"/>
        <v>4</v>
      </c>
    </row>
    <row r="1647" spans="1:30" x14ac:dyDescent="0.35">
      <c r="A1647" t="s">
        <v>406</v>
      </c>
      <c r="B1647" t="s">
        <v>72</v>
      </c>
      <c r="C1647" s="36">
        <f t="shared" si="1092"/>
        <v>6.0808927217841861E-2</v>
      </c>
      <c r="D1647" s="3">
        <f t="shared" si="1093"/>
        <v>6.0808927217841861E-2</v>
      </c>
      <c r="F1647">
        <v>1140</v>
      </c>
      <c r="G1647" t="s">
        <v>76</v>
      </c>
      <c r="H1647">
        <v>1000</v>
      </c>
      <c r="I1647" s="22"/>
      <c r="J1647">
        <v>396</v>
      </c>
      <c r="K1647" s="22"/>
      <c r="L1647">
        <v>4.3402524755547196</v>
      </c>
      <c r="M1647" s="22">
        <v>7.5300000000000006E-2</v>
      </c>
      <c r="N1647" s="21">
        <v>42359</v>
      </c>
      <c r="O1647" s="21">
        <v>47838</v>
      </c>
      <c r="P1647">
        <f t="shared" si="1094"/>
        <v>15</v>
      </c>
      <c r="Q1647" s="6">
        <f t="shared" si="1095"/>
        <v>6.6052631578947377E-2</v>
      </c>
      <c r="R1647" s="5">
        <f t="shared" si="1096"/>
        <v>1</v>
      </c>
      <c r="S1647" t="s">
        <v>93</v>
      </c>
      <c r="U1647">
        <f t="shared" si="1097"/>
        <v>15</v>
      </c>
      <c r="V1647">
        <f t="shared" si="1098"/>
        <v>75.300000000000011</v>
      </c>
      <c r="W1647" s="28">
        <f t="shared" si="1099"/>
        <v>6.0808927217841861E-2</v>
      </c>
      <c r="X1647" s="27">
        <f t="shared" si="1100"/>
        <v>6.0808927217841861E-2</v>
      </c>
      <c r="Y1647" s="5">
        <f t="shared" si="1101"/>
        <v>9.8388781085202641</v>
      </c>
      <c r="Z1647" s="5">
        <f t="shared" si="1102"/>
        <v>9.2748824562821639</v>
      </c>
      <c r="AA1647" s="5">
        <f t="shared" si="1103"/>
        <v>-10573.366000161666</v>
      </c>
      <c r="AB1647" t="s">
        <v>64</v>
      </c>
      <c r="AC1647" t="s">
        <v>62</v>
      </c>
      <c r="AD1647">
        <f t="shared" si="1104"/>
        <v>1</v>
      </c>
    </row>
    <row r="1648" spans="1:30" x14ac:dyDescent="0.35">
      <c r="A1648" t="s">
        <v>405</v>
      </c>
      <c r="B1648" t="s">
        <v>72</v>
      </c>
      <c r="C1648" s="36">
        <f t="shared" si="1092"/>
        <v>5.9059976846572354E-2</v>
      </c>
      <c r="D1648" s="3">
        <f t="shared" si="1093"/>
        <v>5.9059976846572354E-2</v>
      </c>
      <c r="F1648">
        <v>1134.27</v>
      </c>
      <c r="G1648" t="s">
        <v>76</v>
      </c>
      <c r="H1648">
        <v>1000</v>
      </c>
      <c r="I1648" s="22"/>
      <c r="J1648">
        <v>10</v>
      </c>
      <c r="K1648" s="22"/>
      <c r="L1648">
        <v>4.2918898581896796</v>
      </c>
      <c r="M1648" s="22">
        <v>7.2800000000000004E-2</v>
      </c>
      <c r="N1648" s="21">
        <v>42359</v>
      </c>
      <c r="O1648" s="21">
        <v>47838</v>
      </c>
      <c r="P1648">
        <f t="shared" si="1094"/>
        <v>15</v>
      </c>
      <c r="Q1648" s="6">
        <f t="shared" si="1095"/>
        <v>6.4182249376250805E-2</v>
      </c>
      <c r="R1648" s="5">
        <f t="shared" si="1096"/>
        <v>1</v>
      </c>
      <c r="S1648" t="s">
        <v>93</v>
      </c>
      <c r="U1648">
        <f t="shared" si="1097"/>
        <v>15</v>
      </c>
      <c r="V1648">
        <f t="shared" si="1098"/>
        <v>72.8</v>
      </c>
      <c r="W1648" s="28">
        <f t="shared" si="1099"/>
        <v>5.9059976846572354E-2</v>
      </c>
      <c r="X1648" s="27">
        <f t="shared" si="1100"/>
        <v>5.9059976846572354E-2</v>
      </c>
      <c r="Y1648" s="5">
        <f t="shared" si="1101"/>
        <v>9.9459733200721292</v>
      </c>
      <c r="Z1648" s="5">
        <f t="shared" si="1102"/>
        <v>9.3913220568366533</v>
      </c>
      <c r="AA1648" s="5">
        <f t="shared" si="1103"/>
        <v>-10652.294869408111</v>
      </c>
      <c r="AB1648" t="s">
        <v>64</v>
      </c>
      <c r="AC1648" t="s">
        <v>62</v>
      </c>
      <c r="AD1648">
        <f t="shared" si="1104"/>
        <v>1</v>
      </c>
    </row>
    <row r="1649" spans="1:30" x14ac:dyDescent="0.35">
      <c r="A1649" t="s">
        <v>404</v>
      </c>
      <c r="B1649" t="s">
        <v>230</v>
      </c>
      <c r="C1649" s="36">
        <f t="shared" si="1092"/>
        <v>6.9422083920061578E-2</v>
      </c>
      <c r="D1649" s="3">
        <f t="shared" si="1093"/>
        <v>6.9422083920061578E-2</v>
      </c>
      <c r="F1649">
        <v>998436</v>
      </c>
      <c r="G1649" t="s">
        <v>76</v>
      </c>
      <c r="H1649">
        <v>1000000</v>
      </c>
      <c r="I1649" s="22"/>
      <c r="J1649">
        <v>1</v>
      </c>
      <c r="K1649" s="22"/>
      <c r="L1649">
        <v>6.9589082784483196</v>
      </c>
      <c r="M1649" s="22">
        <v>6.9199999999999998E-2</v>
      </c>
      <c r="N1649" s="21">
        <v>44189</v>
      </c>
      <c r="O1649" s="21">
        <v>47841</v>
      </c>
      <c r="P1649">
        <f t="shared" si="1094"/>
        <v>10</v>
      </c>
      <c r="Q1649" s="6">
        <f t="shared" si="1095"/>
        <v>6.9308398334995927E-2</v>
      </c>
      <c r="R1649" s="5">
        <f t="shared" si="1096"/>
        <v>1</v>
      </c>
      <c r="S1649" t="s">
        <v>93</v>
      </c>
      <c r="U1649">
        <f t="shared" si="1097"/>
        <v>10</v>
      </c>
      <c r="V1649">
        <f t="shared" si="1098"/>
        <v>69200</v>
      </c>
      <c r="W1649" s="28">
        <f t="shared" si="1099"/>
        <v>6.9422083920061578E-2</v>
      </c>
      <c r="X1649" s="27">
        <f t="shared" si="1100"/>
        <v>6.9422083920061578E-2</v>
      </c>
      <c r="Y1649" s="5">
        <f t="shared" si="1101"/>
        <v>7.5353225673510442</v>
      </c>
      <c r="Z1649" s="5">
        <f t="shared" si="1102"/>
        <v>7.0461632321352949</v>
      </c>
      <c r="AA1649" s="5">
        <f t="shared" si="1103"/>
        <v>-7035143.0328402352</v>
      </c>
      <c r="AB1649" t="s">
        <v>64</v>
      </c>
      <c r="AC1649" t="s">
        <v>62</v>
      </c>
      <c r="AD1649">
        <f t="shared" si="1104"/>
        <v>1</v>
      </c>
    </row>
    <row r="1650" spans="1:30" x14ac:dyDescent="0.35">
      <c r="A1650" t="s">
        <v>403</v>
      </c>
      <c r="B1650" t="s">
        <v>241</v>
      </c>
      <c r="C1650" s="36">
        <f t="shared" si="1092"/>
        <v>0.10133222517942857</v>
      </c>
      <c r="D1650" s="3">
        <f t="shared" si="1093"/>
        <v>0.10133222517942857</v>
      </c>
      <c r="F1650">
        <v>10055</v>
      </c>
      <c r="G1650" t="s">
        <v>76</v>
      </c>
      <c r="H1650">
        <v>10000</v>
      </c>
      <c r="I1650" s="22"/>
      <c r="J1650">
        <v>80</v>
      </c>
      <c r="K1650" s="22"/>
      <c r="L1650">
        <v>10.1030443670921</v>
      </c>
      <c r="M1650" s="22">
        <v>0.1026</v>
      </c>
      <c r="N1650" s="21">
        <v>45741</v>
      </c>
      <c r="O1650" s="21">
        <v>47841</v>
      </c>
      <c r="P1650">
        <f t="shared" si="1094"/>
        <v>6</v>
      </c>
      <c r="Q1650" s="6">
        <f t="shared" si="1095"/>
        <v>0.10203878667329687</v>
      </c>
      <c r="R1650" s="5">
        <f t="shared" si="1096"/>
        <v>1</v>
      </c>
      <c r="S1650" t="s">
        <v>93</v>
      </c>
      <c r="U1650">
        <f t="shared" si="1097"/>
        <v>6</v>
      </c>
      <c r="V1650">
        <f t="shared" si="1098"/>
        <v>1026</v>
      </c>
      <c r="W1650" s="28">
        <f t="shared" si="1099"/>
        <v>0.10133222517942857</v>
      </c>
      <c r="X1650" s="27">
        <f t="shared" si="1100"/>
        <v>0.10133222517942857</v>
      </c>
      <c r="Y1650" s="5">
        <f t="shared" si="1101"/>
        <v>4.5166214519414751</v>
      </c>
      <c r="Z1650" s="5">
        <f t="shared" si="1102"/>
        <v>4.1010526602956965</v>
      </c>
      <c r="AA1650" s="5">
        <f t="shared" si="1103"/>
        <v>-41236.084499273231</v>
      </c>
      <c r="AB1650" t="s">
        <v>64</v>
      </c>
      <c r="AC1650" t="s">
        <v>62</v>
      </c>
      <c r="AD1650">
        <f t="shared" si="1104"/>
        <v>1</v>
      </c>
    </row>
    <row r="1651" spans="1:30" x14ac:dyDescent="0.35">
      <c r="A1651" t="s">
        <v>402</v>
      </c>
      <c r="B1651" t="s">
        <v>401</v>
      </c>
      <c r="C1651" s="36">
        <f t="shared" si="1092"/>
        <v>0.10308556680811432</v>
      </c>
      <c r="D1651" s="3">
        <f t="shared" si="1093"/>
        <v>0.10308556680811432</v>
      </c>
      <c r="F1651">
        <v>99747.26</v>
      </c>
      <c r="G1651" t="s">
        <v>76</v>
      </c>
      <c r="H1651">
        <v>100000</v>
      </c>
      <c r="I1651" s="22"/>
      <c r="J1651">
        <v>26</v>
      </c>
      <c r="K1651" s="22"/>
      <c r="L1651">
        <v>10.322633369086599</v>
      </c>
      <c r="M1651" s="22">
        <v>0.10249999999999999</v>
      </c>
      <c r="N1651" s="21">
        <v>45834</v>
      </c>
      <c r="O1651" s="21">
        <v>47843</v>
      </c>
      <c r="P1651">
        <f t="shared" si="1094"/>
        <v>6</v>
      </c>
      <c r="Q1651" s="6">
        <f t="shared" si="1095"/>
        <v>0.10275971490344697</v>
      </c>
      <c r="R1651" s="5">
        <f t="shared" si="1096"/>
        <v>1</v>
      </c>
      <c r="S1651" t="s">
        <v>93</v>
      </c>
      <c r="U1651">
        <f t="shared" si="1097"/>
        <v>6</v>
      </c>
      <c r="V1651">
        <f t="shared" si="1098"/>
        <v>10250</v>
      </c>
      <c r="W1651" s="28">
        <f t="shared" si="1099"/>
        <v>0.10308556680811432</v>
      </c>
      <c r="X1651" s="27">
        <f t="shared" si="1100"/>
        <v>0.10308556680811432</v>
      </c>
      <c r="Y1651" s="5">
        <f t="shared" si="1101"/>
        <v>4.2650098988347027</v>
      </c>
      <c r="Z1651" s="5">
        <f t="shared" si="1102"/>
        <v>3.8664361380195782</v>
      </c>
      <c r="AA1651" s="5">
        <f t="shared" si="1103"/>
        <v>-385666.41073243471</v>
      </c>
      <c r="AB1651" t="s">
        <v>64</v>
      </c>
      <c r="AC1651" t="s">
        <v>62</v>
      </c>
      <c r="AD1651">
        <f t="shared" si="1104"/>
        <v>1</v>
      </c>
    </row>
    <row r="1652" spans="1:30" x14ac:dyDescent="0.35">
      <c r="A1652" t="s">
        <v>400</v>
      </c>
      <c r="B1652" t="s">
        <v>128</v>
      </c>
      <c r="C1652" s="36">
        <f t="shared" si="1092"/>
        <v>0.1098143982401663</v>
      </c>
      <c r="D1652" s="3">
        <f t="shared" si="1093"/>
        <v>0.1098143982401663</v>
      </c>
      <c r="F1652">
        <v>977.3</v>
      </c>
      <c r="G1652" t="s">
        <v>76</v>
      </c>
      <c r="H1652">
        <v>1000</v>
      </c>
      <c r="I1652" s="22"/>
      <c r="J1652">
        <v>3</v>
      </c>
      <c r="K1652" s="22"/>
      <c r="L1652">
        <v>11.1147501476875</v>
      </c>
      <c r="M1652" s="22">
        <v>0.105</v>
      </c>
      <c r="N1652" s="21">
        <v>45287</v>
      </c>
      <c r="O1652" s="21">
        <v>47844</v>
      </c>
      <c r="P1652">
        <f t="shared" si="1094"/>
        <v>7</v>
      </c>
      <c r="Q1652" s="6">
        <f t="shared" si="1095"/>
        <v>0.10743886217128824</v>
      </c>
      <c r="R1652" s="5">
        <f t="shared" si="1096"/>
        <v>1</v>
      </c>
      <c r="S1652" t="s">
        <v>93</v>
      </c>
      <c r="U1652">
        <f t="shared" si="1097"/>
        <v>7</v>
      </c>
      <c r="V1652">
        <f t="shared" si="1098"/>
        <v>105</v>
      </c>
      <c r="W1652" s="28">
        <f t="shared" si="1099"/>
        <v>0.1098143982401663</v>
      </c>
      <c r="X1652" s="27">
        <f t="shared" si="1100"/>
        <v>0.1098143982401663</v>
      </c>
      <c r="Y1652" s="5">
        <f t="shared" si="1101"/>
        <v>5.2710293275643156</v>
      </c>
      <c r="Z1652" s="5">
        <f t="shared" si="1102"/>
        <v>4.7494692228922171</v>
      </c>
      <c r="AA1652" s="5">
        <f t="shared" si="1103"/>
        <v>-4641.6562715325636</v>
      </c>
      <c r="AB1652" t="s">
        <v>64</v>
      </c>
      <c r="AC1652" t="s">
        <v>62</v>
      </c>
      <c r="AD1652">
        <f t="shared" si="1104"/>
        <v>1</v>
      </c>
    </row>
    <row r="1653" spans="1:30" x14ac:dyDescent="0.35">
      <c r="A1653" t="s">
        <v>399</v>
      </c>
      <c r="B1653" t="s">
        <v>128</v>
      </c>
      <c r="C1653" s="36">
        <f t="shared" si="1092"/>
        <v>0.10032056223355712</v>
      </c>
      <c r="D1653" s="3">
        <f t="shared" si="1093"/>
        <v>0.10032056223355712</v>
      </c>
      <c r="F1653">
        <v>999.9</v>
      </c>
      <c r="G1653" t="s">
        <v>76</v>
      </c>
      <c r="H1653">
        <v>1000</v>
      </c>
      <c r="I1653" s="22"/>
      <c r="J1653">
        <v>94</v>
      </c>
      <c r="K1653" s="22"/>
      <c r="L1653">
        <v>10.032775982794901</v>
      </c>
      <c r="M1653" s="22">
        <v>0.1003</v>
      </c>
      <c r="N1653" s="21">
        <v>45287</v>
      </c>
      <c r="O1653" s="21">
        <v>47844</v>
      </c>
      <c r="P1653">
        <f t="shared" si="1094"/>
        <v>7</v>
      </c>
      <c r="Q1653" s="6">
        <f t="shared" si="1095"/>
        <v>0.10031003100310031</v>
      </c>
      <c r="R1653" s="5">
        <f t="shared" si="1096"/>
        <v>1</v>
      </c>
      <c r="S1653" t="s">
        <v>93</v>
      </c>
      <c r="U1653">
        <f t="shared" si="1097"/>
        <v>7</v>
      </c>
      <c r="V1653">
        <f t="shared" si="1098"/>
        <v>100.3</v>
      </c>
      <c r="W1653" s="28">
        <f t="shared" si="1099"/>
        <v>0.10032056223355712</v>
      </c>
      <c r="X1653" s="27">
        <f t="shared" si="1100"/>
        <v>0.10032056223355712</v>
      </c>
      <c r="Y1653" s="5">
        <f t="shared" si="1101"/>
        <v>5.3513454586219762</v>
      </c>
      <c r="Z1653" s="5">
        <f t="shared" si="1102"/>
        <v>4.8634422024788853</v>
      </c>
      <c r="AA1653" s="5">
        <f t="shared" si="1103"/>
        <v>-4862.9558582586369</v>
      </c>
      <c r="AB1653" t="s">
        <v>64</v>
      </c>
      <c r="AC1653" t="s">
        <v>62</v>
      </c>
      <c r="AD1653">
        <f t="shared" si="1104"/>
        <v>1</v>
      </c>
    </row>
    <row r="1654" spans="1:30" x14ac:dyDescent="0.35">
      <c r="A1654" t="s">
        <v>398</v>
      </c>
      <c r="B1654" t="s">
        <v>361</v>
      </c>
      <c r="C1654" s="36">
        <f t="shared" si="1092"/>
        <v>3.4886923274707833E-2</v>
      </c>
      <c r="D1654" s="3">
        <f t="shared" si="1093"/>
        <v>6.9773846549415666E-2</v>
      </c>
      <c r="F1654">
        <v>965330</v>
      </c>
      <c r="G1654" t="s">
        <v>76</v>
      </c>
      <c r="H1654">
        <v>1000000</v>
      </c>
      <c r="I1654" s="22"/>
      <c r="J1654">
        <v>50</v>
      </c>
      <c r="K1654" s="22"/>
      <c r="M1654" s="22">
        <v>6.4899999999999999E-2</v>
      </c>
      <c r="N1654" s="21">
        <v>44195</v>
      </c>
      <c r="O1654" s="21">
        <v>47847</v>
      </c>
      <c r="P1654">
        <f t="shared" si="1094"/>
        <v>10</v>
      </c>
      <c r="Q1654" s="6">
        <f t="shared" si="1095"/>
        <v>6.7230895134306398E-2</v>
      </c>
      <c r="R1654" s="5">
        <f t="shared" si="1096"/>
        <v>2</v>
      </c>
      <c r="S1654" t="s">
        <v>65</v>
      </c>
      <c r="U1654">
        <f t="shared" si="1097"/>
        <v>20</v>
      </c>
      <c r="V1654">
        <f t="shared" si="1098"/>
        <v>32450</v>
      </c>
      <c r="W1654" s="28">
        <f t="shared" si="1099"/>
        <v>3.4886923274707833E-2</v>
      </c>
      <c r="X1654" s="27">
        <f t="shared" si="1100"/>
        <v>6.9773846549415666E-2</v>
      </c>
      <c r="Y1654" s="5">
        <f t="shared" si="1101"/>
        <v>7.4578018019418995</v>
      </c>
      <c r="Z1654" s="5">
        <f t="shared" si="1102"/>
        <v>7.2063929248840717</v>
      </c>
      <c r="AA1654" s="5">
        <f t="shared" si="1103"/>
        <v>-6956547.2821783405</v>
      </c>
      <c r="AB1654" t="s">
        <v>64</v>
      </c>
      <c r="AC1654" t="s">
        <v>62</v>
      </c>
      <c r="AD1654">
        <f t="shared" si="1104"/>
        <v>2</v>
      </c>
    </row>
    <row r="1655" spans="1:30" x14ac:dyDescent="0.35">
      <c r="A1655" t="s">
        <v>397</v>
      </c>
      <c r="B1655" t="s">
        <v>122</v>
      </c>
      <c r="C1655" s="36">
        <f t="shared" si="1092"/>
        <v>0.10331309015924087</v>
      </c>
      <c r="D1655" s="3">
        <f t="shared" si="1093"/>
        <v>0.10331309015924087</v>
      </c>
      <c r="F1655">
        <v>976.9</v>
      </c>
      <c r="G1655" t="s">
        <v>76</v>
      </c>
      <c r="H1655">
        <v>1000</v>
      </c>
      <c r="I1655" s="22"/>
      <c r="J1655">
        <v>63</v>
      </c>
      <c r="K1655" s="22"/>
      <c r="L1655">
        <v>10.615318490922</v>
      </c>
      <c r="M1655" s="22">
        <v>9.9499999999999991E-2</v>
      </c>
      <c r="N1655" s="21">
        <v>44204</v>
      </c>
      <c r="O1655" s="21">
        <v>47856</v>
      </c>
      <c r="P1655">
        <f t="shared" si="1094"/>
        <v>10</v>
      </c>
      <c r="Q1655" s="6">
        <f t="shared" si="1095"/>
        <v>0.1018527996724332</v>
      </c>
      <c r="R1655" s="5">
        <f t="shared" si="1096"/>
        <v>1</v>
      </c>
      <c r="S1655" t="s">
        <v>93</v>
      </c>
      <c r="U1655">
        <f t="shared" si="1097"/>
        <v>10</v>
      </c>
      <c r="V1655">
        <f t="shared" si="1098"/>
        <v>99.499999999999986</v>
      </c>
      <c r="W1655" s="28">
        <f t="shared" si="1099"/>
        <v>0.10331309015924087</v>
      </c>
      <c r="X1655" s="27">
        <f t="shared" si="1100"/>
        <v>0.10331309015924087</v>
      </c>
      <c r="Y1655" s="5">
        <f t="shared" si="1101"/>
        <v>6.7308284275718346</v>
      </c>
      <c r="Z1655" s="5">
        <f t="shared" si="1102"/>
        <v>6.1005606546373663</v>
      </c>
      <c r="AA1655" s="5">
        <f t="shared" si="1103"/>
        <v>-5959.6377035152427</v>
      </c>
      <c r="AB1655" t="s">
        <v>64</v>
      </c>
      <c r="AC1655" t="s">
        <v>62</v>
      </c>
      <c r="AD1655">
        <f t="shared" si="1104"/>
        <v>1</v>
      </c>
    </row>
    <row r="1656" spans="1:30" x14ac:dyDescent="0.35">
      <c r="A1656" t="s">
        <v>396</v>
      </c>
      <c r="B1656" t="s">
        <v>122</v>
      </c>
      <c r="C1656" s="36">
        <f t="shared" si="1092"/>
        <v>0.10018626934123444</v>
      </c>
      <c r="D1656" s="3">
        <f t="shared" si="1093"/>
        <v>0.10018626934123444</v>
      </c>
      <c r="F1656">
        <v>970</v>
      </c>
      <c r="G1656" t="s">
        <v>76</v>
      </c>
      <c r="H1656">
        <v>1000</v>
      </c>
      <c r="I1656" s="22"/>
      <c r="J1656">
        <v>21</v>
      </c>
      <c r="K1656" s="22"/>
      <c r="L1656">
        <v>10.3891752577319</v>
      </c>
      <c r="M1656" s="22">
        <v>9.5299999999999996E-2</v>
      </c>
      <c r="N1656" s="21">
        <v>44204</v>
      </c>
      <c r="O1656" s="21">
        <v>47856</v>
      </c>
      <c r="P1656">
        <f t="shared" si="1094"/>
        <v>10</v>
      </c>
      <c r="Q1656" s="6">
        <f t="shared" si="1095"/>
        <v>9.8247422680412366E-2</v>
      </c>
      <c r="R1656" s="5">
        <f t="shared" si="1096"/>
        <v>1</v>
      </c>
      <c r="S1656" t="s">
        <v>93</v>
      </c>
      <c r="U1656">
        <f t="shared" si="1097"/>
        <v>10</v>
      </c>
      <c r="V1656">
        <f t="shared" si="1098"/>
        <v>95.3</v>
      </c>
      <c r="W1656" s="28">
        <f t="shared" si="1099"/>
        <v>0.10018626934123444</v>
      </c>
      <c r="X1656" s="27">
        <f t="shared" si="1100"/>
        <v>0.10018626934123444</v>
      </c>
      <c r="Y1656" s="5">
        <f t="shared" si="1101"/>
        <v>6.8175655290220201</v>
      </c>
      <c r="Z1656" s="5">
        <f t="shared" si="1102"/>
        <v>6.196737515279314</v>
      </c>
      <c r="AA1656" s="5">
        <f t="shared" si="1103"/>
        <v>-6010.8353898209343</v>
      </c>
      <c r="AB1656" t="s">
        <v>64</v>
      </c>
      <c r="AC1656" t="s">
        <v>62</v>
      </c>
      <c r="AD1656">
        <f t="shared" si="1104"/>
        <v>1</v>
      </c>
    </row>
    <row r="1657" spans="1:30" x14ac:dyDescent="0.35">
      <c r="C1657" s="28"/>
      <c r="D1657" s="27"/>
      <c r="I1657" s="22"/>
      <c r="K1657" s="22"/>
      <c r="M1657" s="22"/>
      <c r="N1657" s="21"/>
      <c r="O1657" s="21"/>
      <c r="P1657" s="5"/>
      <c r="Q1657" s="6"/>
      <c r="R1657" s="5"/>
      <c r="W1657" s="28"/>
      <c r="Y1657" s="33"/>
      <c r="Z1657" s="33"/>
      <c r="AA1657" s="33"/>
    </row>
    <row r="1658" spans="1:30" x14ac:dyDescent="0.35">
      <c r="A1658" t="s">
        <v>394</v>
      </c>
      <c r="B1658" t="s">
        <v>236</v>
      </c>
      <c r="C1658" s="36">
        <f>RATE(U1658,V1658,-F1658,H1658)</f>
        <v>2.3829442824177899E-2</v>
      </c>
      <c r="D1658" s="3">
        <f>C1658*AD1658</f>
        <v>9.5317771296711595E-2</v>
      </c>
      <c r="F1658">
        <v>1094624.5900000001</v>
      </c>
      <c r="G1658" t="s">
        <v>76</v>
      </c>
      <c r="H1658">
        <v>1000000</v>
      </c>
      <c r="I1658" s="22"/>
      <c r="J1658">
        <v>6</v>
      </c>
      <c r="K1658" s="22"/>
      <c r="M1658" s="22">
        <v>0.1101</v>
      </c>
      <c r="N1658" s="21">
        <v>44207</v>
      </c>
      <c r="O1658" s="21">
        <v>47858</v>
      </c>
      <c r="P1658">
        <f>ROUND(YEARFRAC(N1658,O1658),0)</f>
        <v>10</v>
      </c>
      <c r="Q1658" s="6">
        <f>(M1658*H1658)/F1658</f>
        <v>0.10058242890377604</v>
      </c>
      <c r="R1658" s="5">
        <f>IF(S1658="Quarterly",4,IF(S1658="Semi-annual",2,IF(S1658="Annual",1,IF(S1658="Pays at maturity",0,12))))</f>
        <v>4</v>
      </c>
      <c r="S1658" t="s">
        <v>105</v>
      </c>
      <c r="U1658">
        <f>R1658*P1658</f>
        <v>40</v>
      </c>
      <c r="V1658">
        <f>(H1658*M1658)/AD1658</f>
        <v>27525</v>
      </c>
      <c r="W1658" s="28">
        <f>RATE(U1658,V1658,-F1658,H1658)</f>
        <v>2.3829442824177899E-2</v>
      </c>
      <c r="X1658" s="27">
        <f>W1658*AD1658</f>
        <v>9.5317771296711595E-2</v>
      </c>
      <c r="Y1658" s="5">
        <f>DURATION(N1658,O1658,M1658,D1658,AD1658)</f>
        <v>6.3606557995370743</v>
      </c>
      <c r="Z1658" s="5">
        <f>Y1658/(1+C1658)</f>
        <v>6.2126127004040352</v>
      </c>
      <c r="AA1658" s="5">
        <f>-Z1658*F1658</f>
        <v>-6800478.6300085606</v>
      </c>
      <c r="AB1658" t="s">
        <v>64</v>
      </c>
      <c r="AC1658" t="s">
        <v>62</v>
      </c>
      <c r="AD1658">
        <f>_xlfn.SWITCH(PROPER(TRIM(S1658)),
   "Annual",1,
   "Semi-Annual",2,
   "Quarterly",4,
   "Monthly",12,
   "")</f>
        <v>4</v>
      </c>
    </row>
    <row r="1659" spans="1:30" x14ac:dyDescent="0.35">
      <c r="A1659" t="s">
        <v>393</v>
      </c>
      <c r="B1659" t="s">
        <v>241</v>
      </c>
      <c r="C1659" s="36">
        <f>RATE(U1659,V1659,-F1659,H1659)</f>
        <v>9.6500000000000044E-2</v>
      </c>
      <c r="D1659" s="3">
        <f>C1659*AD1659</f>
        <v>9.6500000000000044E-2</v>
      </c>
      <c r="F1659">
        <v>1000</v>
      </c>
      <c r="G1659" t="s">
        <v>76</v>
      </c>
      <c r="H1659">
        <v>1000</v>
      </c>
      <c r="I1659" s="22"/>
      <c r="J1659">
        <v>49</v>
      </c>
      <c r="K1659" s="22"/>
      <c r="L1659">
        <v>9.65</v>
      </c>
      <c r="M1659" s="22">
        <v>9.6500000000000002E-2</v>
      </c>
      <c r="N1659" s="21">
        <v>45667</v>
      </c>
      <c r="O1659" s="21">
        <v>47858</v>
      </c>
      <c r="P1659">
        <f>ROUND(YEARFRAC(N1659,O1659),0)</f>
        <v>6</v>
      </c>
      <c r="Q1659" s="6">
        <f>(M1659*H1659)/F1659</f>
        <v>9.6500000000000002E-2</v>
      </c>
      <c r="R1659" s="5">
        <f>IF(S1659="Quarterly",4,IF(S1659="Semi-annual",2,IF(S1659="Annual",1,IF(S1659="Pays at maturity",0,12))))</f>
        <v>1</v>
      </c>
      <c r="S1659" t="s">
        <v>93</v>
      </c>
      <c r="U1659">
        <f>R1659*P1659</f>
        <v>6</v>
      </c>
      <c r="V1659">
        <f>(H1659*M1659)/AD1659</f>
        <v>96.5</v>
      </c>
      <c r="W1659" s="28">
        <f>RATE(U1659,V1659,-F1659,H1659)</f>
        <v>9.6500000000000044E-2</v>
      </c>
      <c r="X1659" s="27">
        <f>W1659*AD1659</f>
        <v>9.6500000000000044E-2</v>
      </c>
      <c r="Y1659" s="5">
        <f>DURATION(N1659,O1659,M1659,D1659,AD1659)</f>
        <v>4.8249262780052913</v>
      </c>
      <c r="Z1659" s="5">
        <f>Y1659/(1+C1659)</f>
        <v>4.4002975631603203</v>
      </c>
      <c r="AA1659" s="5">
        <f>-Z1659*F1659</f>
        <v>-4400.2975631603204</v>
      </c>
      <c r="AB1659" t="s">
        <v>64</v>
      </c>
      <c r="AC1659" t="s">
        <v>62</v>
      </c>
      <c r="AD1659">
        <f>_xlfn.SWITCH(PROPER(TRIM(S1659)),
   "Annual",1,
   "Semi-Annual",2,
   "Quarterly",4,
   "Monthly",12,
   "")</f>
        <v>1</v>
      </c>
    </row>
    <row r="1660" spans="1:30" x14ac:dyDescent="0.35">
      <c r="A1660" t="s">
        <v>392</v>
      </c>
      <c r="B1660" t="s">
        <v>241</v>
      </c>
      <c r="C1660" s="36">
        <f>RATE(U1660,V1660,-F1660,H1660)</f>
        <v>9.8599012200467157E-2</v>
      </c>
      <c r="D1660" s="3">
        <f>C1660*AD1660</f>
        <v>9.8599012200467157E-2</v>
      </c>
      <c r="F1660">
        <v>1010.5</v>
      </c>
      <c r="G1660" t="s">
        <v>76</v>
      </c>
      <c r="H1660">
        <v>1000</v>
      </c>
      <c r="I1660" s="22"/>
      <c r="J1660">
        <v>75</v>
      </c>
      <c r="K1660" s="22"/>
      <c r="L1660">
        <v>9.8062676392650694</v>
      </c>
      <c r="M1660" s="22">
        <v>0.10099999999999999</v>
      </c>
      <c r="N1660" s="21">
        <v>45667</v>
      </c>
      <c r="O1660" s="21">
        <v>47858</v>
      </c>
      <c r="P1660">
        <f>ROUND(YEARFRAC(N1660,O1660),0)</f>
        <v>6</v>
      </c>
      <c r="Q1660" s="6">
        <f>(M1660*H1660)/F1660</f>
        <v>9.9950519544779792E-2</v>
      </c>
      <c r="R1660" s="5">
        <f>IF(S1660="Quarterly",4,IF(S1660="Semi-annual",2,IF(S1660="Annual",1,IF(S1660="Pays at maturity",0,12))))</f>
        <v>1</v>
      </c>
      <c r="S1660" t="s">
        <v>93</v>
      </c>
      <c r="U1660">
        <f>R1660*P1660</f>
        <v>6</v>
      </c>
      <c r="V1660">
        <f>(H1660*M1660)/AD1660</f>
        <v>100.99999999999999</v>
      </c>
      <c r="W1660" s="28">
        <f>RATE(U1660,V1660,-F1660,H1660)</f>
        <v>9.8599012200467157E-2</v>
      </c>
      <c r="X1660" s="27">
        <f>W1660*AD1660</f>
        <v>9.8599012200467157E-2</v>
      </c>
      <c r="Y1660" s="5">
        <f>DURATION(N1660,O1660,M1660,D1660,AD1660)</f>
        <v>4.7880049578827952</v>
      </c>
      <c r="Z1660" s="5">
        <f>Y1660/(1+C1660)</f>
        <v>4.3582825987550615</v>
      </c>
      <c r="AA1660" s="5">
        <f>-Z1660*F1660</f>
        <v>-4404.04456604199</v>
      </c>
      <c r="AB1660" t="s">
        <v>64</v>
      </c>
      <c r="AC1660" t="s">
        <v>62</v>
      </c>
      <c r="AD1660">
        <f>_xlfn.SWITCH(PROPER(TRIM(S1660)),
   "Annual",1,
   "Semi-Annual",2,
   "Quarterly",4,
   "Monthly",12,
   "")</f>
        <v>1</v>
      </c>
    </row>
    <row r="1661" spans="1:30" x14ac:dyDescent="0.35">
      <c r="C1661" s="28"/>
      <c r="D1661" s="27"/>
      <c r="I1661" s="22"/>
      <c r="K1661" s="22"/>
      <c r="M1661" s="22"/>
      <c r="N1661" s="21"/>
      <c r="O1661" s="21"/>
      <c r="P1661" s="5"/>
      <c r="Q1661" s="6"/>
      <c r="R1661" s="5"/>
      <c r="W1661" s="28"/>
      <c r="Y1661" s="33"/>
      <c r="Z1661" s="33"/>
      <c r="AA1661" s="33"/>
    </row>
    <row r="1662" spans="1:30" x14ac:dyDescent="0.35">
      <c r="A1662" t="s">
        <v>389</v>
      </c>
      <c r="B1662" t="s">
        <v>388</v>
      </c>
      <c r="C1662" s="36">
        <f>RATE(U1662,V1662,-F1662,H1662)</f>
        <v>7.4265505697544754E-2</v>
      </c>
      <c r="D1662" s="3">
        <f>C1662*AD1662</f>
        <v>7.4265505697544754E-2</v>
      </c>
      <c r="F1662">
        <v>1001615</v>
      </c>
      <c r="G1662" t="s">
        <v>76</v>
      </c>
      <c r="H1662">
        <v>1000000</v>
      </c>
      <c r="I1662" s="22"/>
      <c r="J1662">
        <v>4</v>
      </c>
      <c r="K1662" s="22"/>
      <c r="L1662">
        <v>7.4135877936899703</v>
      </c>
      <c r="M1662" s="22">
        <v>7.4499999999999997E-2</v>
      </c>
      <c r="N1662" s="21">
        <v>44216</v>
      </c>
      <c r="O1662" s="21">
        <v>47868</v>
      </c>
      <c r="P1662">
        <f>ROUND(YEARFRAC(N1662,O1662),0)</f>
        <v>10</v>
      </c>
      <c r="Q1662" s="6">
        <f>(M1662*H1662)/F1662</f>
        <v>7.4379876499453379E-2</v>
      </c>
      <c r="R1662" s="5">
        <f>IF(S1662="Quarterly",4,IF(S1662="Semi-annual",2,IF(S1662="Annual",1,IF(S1662="Pays at maturity",0,12))))</f>
        <v>1</v>
      </c>
      <c r="S1662" t="s">
        <v>93</v>
      </c>
      <c r="U1662">
        <f>R1662*P1662</f>
        <v>10</v>
      </c>
      <c r="V1662">
        <f>(H1662*M1662)/AD1662</f>
        <v>74500</v>
      </c>
      <c r="W1662" s="28">
        <f>RATE(U1662,V1662,-F1662,H1662)</f>
        <v>7.4265505697544754E-2</v>
      </c>
      <c r="X1662" s="27">
        <f>W1662*AD1662</f>
        <v>7.4265505697544754E-2</v>
      </c>
      <c r="Y1662" s="5">
        <f>DURATION(N1662,O1662,M1662,D1662,AD1662)</f>
        <v>7.3946332649916071</v>
      </c>
      <c r="Z1662" s="5">
        <f>Y1662/(1+C1662)</f>
        <v>6.8834317268616996</v>
      </c>
      <c r="AA1662" s="5">
        <f>-Z1662*F1662</f>
        <v>-6894548.4691005815</v>
      </c>
      <c r="AB1662" t="s">
        <v>64</v>
      </c>
      <c r="AC1662" t="s">
        <v>62</v>
      </c>
      <c r="AD1662">
        <f>_xlfn.SWITCH(PROPER(TRIM(S1662)),
   "Annual",1,
   "Semi-Annual",2,
   "Quarterly",4,
   "Monthly",12,
   "")</f>
        <v>1</v>
      </c>
    </row>
    <row r="1663" spans="1:30" x14ac:dyDescent="0.35">
      <c r="A1663" t="s">
        <v>387</v>
      </c>
      <c r="B1663" t="s">
        <v>94</v>
      </c>
      <c r="C1663" s="36">
        <f>RATE(U1663,V1663,-F1663,H1663)</f>
        <v>2.0191513100250077E-2</v>
      </c>
      <c r="D1663" s="3">
        <f>C1663*AD1663</f>
        <v>8.0766052401000307E-2</v>
      </c>
      <c r="F1663">
        <v>901.40002000000004</v>
      </c>
      <c r="G1663" t="s">
        <v>76</v>
      </c>
      <c r="H1663">
        <v>1000</v>
      </c>
      <c r="I1663" s="22"/>
      <c r="J1663">
        <v>2192</v>
      </c>
      <c r="K1663" s="22"/>
      <c r="M1663" s="22">
        <v>6.6299999999999998E-2</v>
      </c>
      <c r="N1663" s="21">
        <v>44218</v>
      </c>
      <c r="O1663" s="21">
        <v>47870</v>
      </c>
      <c r="P1663">
        <f>ROUND(YEARFRAC(N1663,O1663),0)</f>
        <v>10</v>
      </c>
      <c r="Q1663" s="6">
        <f>(M1663*H1663)/F1663</f>
        <v>7.3552250420407125E-2</v>
      </c>
      <c r="R1663" s="5">
        <f>IF(S1663="Quarterly",4,IF(S1663="Semi-annual",2,IF(S1663="Annual",1,IF(S1663="Pays at maturity",0,12))))</f>
        <v>4</v>
      </c>
      <c r="S1663" t="s">
        <v>105</v>
      </c>
      <c r="U1663">
        <f>R1663*P1663</f>
        <v>40</v>
      </c>
      <c r="V1663">
        <f>(H1663*M1663)/AD1663</f>
        <v>16.574999999999999</v>
      </c>
      <c r="W1663" s="28">
        <f>RATE(U1663,V1663,-F1663,H1663)</f>
        <v>2.0191513100250077E-2</v>
      </c>
      <c r="X1663" s="27">
        <f>W1663*AD1663</f>
        <v>8.0766052401000307E-2</v>
      </c>
      <c r="Y1663" s="5">
        <f>DURATION(N1663,O1663,M1663,D1663,AD1663)</f>
        <v>7.2256785054850674</v>
      </c>
      <c r="Z1663" s="5">
        <f>Y1663/(1+C1663)</f>
        <v>7.0826687074929913</v>
      </c>
      <c r="AA1663" s="5">
        <f>-Z1663*F1663</f>
        <v>-6384.317714587557</v>
      </c>
      <c r="AB1663" t="s">
        <v>64</v>
      </c>
      <c r="AC1663" t="s">
        <v>62</v>
      </c>
      <c r="AD1663">
        <f>_xlfn.SWITCH(PROPER(TRIM(S1663)),
   "Annual",1,
   "Semi-Annual",2,
   "Quarterly",4,
   "Monthly",12,
   "")</f>
        <v>4</v>
      </c>
    </row>
    <row r="1664" spans="1:30" x14ac:dyDescent="0.35">
      <c r="A1664" t="s">
        <v>386</v>
      </c>
      <c r="B1664" t="s">
        <v>94</v>
      </c>
      <c r="C1664" s="36">
        <f>RATE(U1664,V1664,-F1664,H1664)</f>
        <v>6.6497964083039582E-2</v>
      </c>
      <c r="D1664" s="3">
        <f>C1664*AD1664</f>
        <v>6.6497964083039582E-2</v>
      </c>
      <c r="F1664">
        <v>1025</v>
      </c>
      <c r="G1664" t="s">
        <v>76</v>
      </c>
      <c r="H1664">
        <v>1000</v>
      </c>
      <c r="I1664" s="22"/>
      <c r="J1664">
        <v>40</v>
      </c>
      <c r="K1664" s="22"/>
      <c r="L1664">
        <v>6.3861404169044098</v>
      </c>
      <c r="M1664" s="22">
        <v>7.0000000000000007E-2</v>
      </c>
      <c r="N1664" s="21">
        <v>44218</v>
      </c>
      <c r="O1664" s="21">
        <v>47870</v>
      </c>
      <c r="P1664">
        <f>ROUND(YEARFRAC(N1664,O1664),0)</f>
        <v>10</v>
      </c>
      <c r="Q1664" s="6">
        <f>(M1664*H1664)/F1664</f>
        <v>6.8292682926829273E-2</v>
      </c>
      <c r="R1664" s="5">
        <f>IF(S1664="Quarterly",4,IF(S1664="Semi-annual",2,IF(S1664="Annual",1,IF(S1664="Pays at maturity",0,12))))</f>
        <v>1</v>
      </c>
      <c r="S1664" t="s">
        <v>93</v>
      </c>
      <c r="U1664">
        <f>R1664*P1664</f>
        <v>10</v>
      </c>
      <c r="V1664">
        <f>(H1664*M1664)/AD1664</f>
        <v>70</v>
      </c>
      <c r="W1664" s="28">
        <f>RATE(U1664,V1664,-F1664,H1664)</f>
        <v>6.6497964083039582E-2</v>
      </c>
      <c r="X1664" s="27">
        <f>W1664*AD1664</f>
        <v>6.6497964083039582E-2</v>
      </c>
      <c r="Y1664" s="5">
        <f>DURATION(N1664,O1664,M1664,D1664,AD1664)</f>
        <v>7.5490021792288342</v>
      </c>
      <c r="Z1664" s="5">
        <f>Y1664/(1+C1664)</f>
        <v>7.078309038985708</v>
      </c>
      <c r="AA1664" s="5">
        <f>-Z1664*F1664</f>
        <v>-7255.2667649603509</v>
      </c>
      <c r="AB1664" t="s">
        <v>64</v>
      </c>
      <c r="AC1664" t="s">
        <v>62</v>
      </c>
      <c r="AD1664">
        <f>_xlfn.SWITCH(PROPER(TRIM(S1664)),
   "Annual",1,
   "Semi-Annual",2,
   "Quarterly",4,
   "Monthly",12,
   "")</f>
        <v>1</v>
      </c>
    </row>
    <row r="1665" spans="1:30" x14ac:dyDescent="0.35">
      <c r="A1665" t="s">
        <v>385</v>
      </c>
      <c r="B1665" t="s">
        <v>94</v>
      </c>
      <c r="C1665" s="36">
        <f>RATE(U1665,V1665,-F1665,H1665)</f>
        <v>1.7223998060928686E-2</v>
      </c>
      <c r="D1665" s="3">
        <f>C1665*AD1665</f>
        <v>6.8895992243714746E-2</v>
      </c>
      <c r="F1665">
        <v>995</v>
      </c>
      <c r="G1665" t="s">
        <v>76</v>
      </c>
      <c r="H1665">
        <v>1000</v>
      </c>
      <c r="I1665" s="22"/>
      <c r="J1665">
        <v>100</v>
      </c>
      <c r="K1665" s="22"/>
      <c r="M1665" s="22">
        <v>6.8199999999999997E-2</v>
      </c>
      <c r="N1665" s="21">
        <v>44218</v>
      </c>
      <c r="O1665" s="21">
        <v>47870</v>
      </c>
      <c r="P1665">
        <f>ROUND(YEARFRAC(N1665,O1665),0)</f>
        <v>10</v>
      </c>
      <c r="Q1665" s="6">
        <f>(M1665*H1665)/F1665</f>
        <v>6.8542713567839197E-2</v>
      </c>
      <c r="R1665" s="5">
        <f>IF(S1665="Quarterly",4,IF(S1665="Semi-annual",2,IF(S1665="Annual",1,IF(S1665="Pays at maturity",0,12))))</f>
        <v>4</v>
      </c>
      <c r="S1665" t="s">
        <v>105</v>
      </c>
      <c r="U1665">
        <f>R1665*P1665</f>
        <v>40</v>
      </c>
      <c r="V1665">
        <f>(H1665*M1665)/AD1665</f>
        <v>17.05</v>
      </c>
      <c r="W1665" s="28">
        <f>RATE(U1665,V1665,-F1665,H1665)</f>
        <v>1.7223998060928686E-2</v>
      </c>
      <c r="X1665" s="27">
        <f>W1665*AD1665</f>
        <v>6.8895992243714746E-2</v>
      </c>
      <c r="Y1665" s="5">
        <f>DURATION(N1665,O1665,M1665,D1665,AD1665)</f>
        <v>7.3215303073725249</v>
      </c>
      <c r="Z1665" s="5">
        <f>Y1665/(1+C1665)</f>
        <v>7.1975595555444087</v>
      </c>
      <c r="AA1665" s="5">
        <f>-Z1665*F1665</f>
        <v>-7161.5717577666865</v>
      </c>
      <c r="AB1665" t="s">
        <v>64</v>
      </c>
      <c r="AC1665" t="s">
        <v>62</v>
      </c>
      <c r="AD1665">
        <f>_xlfn.SWITCH(PROPER(TRIM(S1665)),
   "Annual",1,
   "Semi-Annual",2,
   "Quarterly",4,
   "Monthly",12,
   "")</f>
        <v>4</v>
      </c>
    </row>
    <row r="1666" spans="1:30" x14ac:dyDescent="0.35">
      <c r="C1666" s="28"/>
      <c r="D1666" s="27"/>
      <c r="I1666" s="22"/>
      <c r="K1666" s="22"/>
      <c r="M1666" s="22"/>
      <c r="N1666" s="21"/>
      <c r="O1666" s="21"/>
      <c r="P1666" s="5"/>
      <c r="Q1666" s="6"/>
      <c r="R1666" s="5"/>
      <c r="W1666" s="28"/>
      <c r="Y1666" s="33"/>
      <c r="Z1666" s="33"/>
      <c r="AA1666" s="33"/>
    </row>
    <row r="1667" spans="1:30" x14ac:dyDescent="0.35">
      <c r="A1667" t="s">
        <v>383</v>
      </c>
      <c r="B1667" t="s">
        <v>225</v>
      </c>
      <c r="C1667" s="36">
        <f t="shared" ref="C1667:C1678" si="1105">RATE(U1667,V1667,-F1667,H1667)</f>
        <v>8.6202470385949692E-2</v>
      </c>
      <c r="D1667" s="3">
        <f t="shared" ref="D1667:D1678" si="1106">C1667*AD1667</f>
        <v>8.6202470385949692E-2</v>
      </c>
      <c r="F1667">
        <v>103974.97</v>
      </c>
      <c r="G1667" t="s">
        <v>76</v>
      </c>
      <c r="H1667">
        <v>100000</v>
      </c>
      <c r="I1667" s="22"/>
      <c r="J1667">
        <v>10</v>
      </c>
      <c r="K1667" s="22"/>
      <c r="L1667">
        <v>8.4272758726831594</v>
      </c>
      <c r="M1667" s="22">
        <v>9.4E-2</v>
      </c>
      <c r="N1667" s="21">
        <v>45260</v>
      </c>
      <c r="O1667" s="21">
        <v>47878</v>
      </c>
      <c r="P1667">
        <f t="shared" ref="P1667:P1678" si="1107">ROUND(YEARFRAC(N1667,O1667),0)</f>
        <v>7</v>
      </c>
      <c r="Q1667" s="6">
        <f t="shared" ref="Q1667:Q1678" si="1108">(M1667*H1667)/F1667</f>
        <v>9.0406373764762807E-2</v>
      </c>
      <c r="R1667" s="5">
        <f t="shared" ref="R1667:R1678" si="1109">IF(S1667="Quarterly",4,IF(S1667="Semi-annual",2,IF(S1667="Annual",1,IF(S1667="Pays at maturity",0,12))))</f>
        <v>1</v>
      </c>
      <c r="S1667" t="s">
        <v>93</v>
      </c>
      <c r="U1667">
        <f t="shared" ref="U1667:U1678" si="1110">R1667*P1667</f>
        <v>7</v>
      </c>
      <c r="V1667">
        <f t="shared" ref="V1667:V1678" si="1111">(H1667*M1667)/AD1667</f>
        <v>9400</v>
      </c>
      <c r="W1667" s="28">
        <f t="shared" ref="W1667:W1678" si="1112">RATE(U1667,V1667,-F1667,H1667)</f>
        <v>8.6202470385949692E-2</v>
      </c>
      <c r="X1667" s="27">
        <f t="shared" ref="X1667:X1678" si="1113">W1667*AD1667</f>
        <v>8.6202470385949692E-2</v>
      </c>
      <c r="Y1667" s="5">
        <f t="shared" ref="Y1667:Y1678" si="1114">DURATION(N1667,O1667,M1667,D1667,AD1667)</f>
        <v>5.1793186751813254</v>
      </c>
      <c r="Z1667" s="5">
        <f t="shared" ref="Z1667:Z1678" si="1115">Y1667/(1+C1667)</f>
        <v>4.7682810676549181</v>
      </c>
      <c r="AA1667" s="5">
        <f t="shared" ref="AA1667:AA1678" si="1116">-Z1667*F1667</f>
        <v>-495781.88096098811</v>
      </c>
      <c r="AB1667" t="s">
        <v>64</v>
      </c>
      <c r="AC1667" t="s">
        <v>62</v>
      </c>
      <c r="AD1667">
        <f t="shared" ref="AD1667:AD1678" si="1117">_xlfn.SWITCH(PROPER(TRIM(S1667)),
   "Annual",1,
   "Semi-Annual",2,
   "Quarterly",4,
   "Monthly",12,
   "")</f>
        <v>1</v>
      </c>
    </row>
    <row r="1668" spans="1:30" x14ac:dyDescent="0.35">
      <c r="A1668" t="s">
        <v>382</v>
      </c>
      <c r="B1668" t="s">
        <v>85</v>
      </c>
      <c r="C1668" s="36">
        <f t="shared" si="1105"/>
        <v>2.540346837133085E-2</v>
      </c>
      <c r="D1668" s="3">
        <f t="shared" si="1106"/>
        <v>5.08069367426617E-2</v>
      </c>
      <c r="F1668">
        <v>846.2</v>
      </c>
      <c r="G1668" t="s">
        <v>66</v>
      </c>
      <c r="H1668">
        <v>1000</v>
      </c>
      <c r="I1668" s="22"/>
      <c r="J1668">
        <v>0</v>
      </c>
      <c r="K1668" s="22"/>
      <c r="M1668" s="22">
        <v>3.1E-2</v>
      </c>
      <c r="N1668" s="21">
        <v>44229</v>
      </c>
      <c r="O1668" s="21">
        <v>47881</v>
      </c>
      <c r="P1668">
        <f t="shared" si="1107"/>
        <v>10</v>
      </c>
      <c r="Q1668" s="6">
        <f t="shared" si="1108"/>
        <v>3.6634365398251004E-2</v>
      </c>
      <c r="R1668" s="5">
        <f t="shared" si="1109"/>
        <v>2</v>
      </c>
      <c r="S1668" t="s">
        <v>65</v>
      </c>
      <c r="U1668">
        <f t="shared" si="1110"/>
        <v>20</v>
      </c>
      <c r="V1668">
        <f t="shared" si="1111"/>
        <v>15.5</v>
      </c>
      <c r="W1668" s="28">
        <f t="shared" si="1112"/>
        <v>2.540346837133085E-2</v>
      </c>
      <c r="X1668" s="27">
        <f t="shared" si="1113"/>
        <v>5.08069367426617E-2</v>
      </c>
      <c r="Y1668" s="5">
        <f t="shared" si="1114"/>
        <v>8.5306528880528205</v>
      </c>
      <c r="Z1668" s="5">
        <f t="shared" si="1115"/>
        <v>8.3193134714106538</v>
      </c>
      <c r="AA1668" s="5">
        <f t="shared" si="1116"/>
        <v>-7039.8030595076953</v>
      </c>
      <c r="AB1668" t="s">
        <v>69</v>
      </c>
      <c r="AC1668" t="s">
        <v>62</v>
      </c>
      <c r="AD1668">
        <f t="shared" si="1117"/>
        <v>2</v>
      </c>
    </row>
    <row r="1669" spans="1:30" x14ac:dyDescent="0.35">
      <c r="A1669" t="s">
        <v>381</v>
      </c>
      <c r="B1669" t="s">
        <v>85</v>
      </c>
      <c r="C1669" s="36">
        <f t="shared" si="1105"/>
        <v>2.4957942983600222E-2</v>
      </c>
      <c r="D1669" s="3">
        <f t="shared" si="1106"/>
        <v>4.9915885967200445E-2</v>
      </c>
      <c r="F1669">
        <v>852.5</v>
      </c>
      <c r="G1669" t="s">
        <v>66</v>
      </c>
      <c r="H1669">
        <v>1000</v>
      </c>
      <c r="I1669" s="22"/>
      <c r="J1669">
        <v>810000</v>
      </c>
      <c r="K1669" s="22"/>
      <c r="M1669" s="22">
        <v>3.1E-2</v>
      </c>
      <c r="N1669" s="21">
        <v>44229</v>
      </c>
      <c r="O1669" s="21">
        <v>47881</v>
      </c>
      <c r="P1669">
        <f t="shared" si="1107"/>
        <v>10</v>
      </c>
      <c r="Q1669" s="6">
        <f t="shared" si="1108"/>
        <v>3.6363636363636362E-2</v>
      </c>
      <c r="R1669" s="5">
        <f t="shared" si="1109"/>
        <v>2</v>
      </c>
      <c r="S1669" t="s">
        <v>65</v>
      </c>
      <c r="U1669">
        <f t="shared" si="1110"/>
        <v>20</v>
      </c>
      <c r="V1669">
        <f t="shared" si="1111"/>
        <v>15.5</v>
      </c>
      <c r="W1669" s="28">
        <f t="shared" si="1112"/>
        <v>2.4957942983600222E-2</v>
      </c>
      <c r="X1669" s="27">
        <f t="shared" si="1113"/>
        <v>4.9915885967200445E-2</v>
      </c>
      <c r="Y1669" s="5">
        <f t="shared" si="1114"/>
        <v>8.5373886852054888</v>
      </c>
      <c r="Z1669" s="5">
        <f t="shared" si="1115"/>
        <v>8.3295014626196142</v>
      </c>
      <c r="AA1669" s="5">
        <f t="shared" si="1116"/>
        <v>-7100.8999968832213</v>
      </c>
      <c r="AB1669" t="s">
        <v>69</v>
      </c>
      <c r="AC1669" t="s">
        <v>62</v>
      </c>
      <c r="AD1669">
        <f t="shared" si="1117"/>
        <v>2</v>
      </c>
    </row>
    <row r="1670" spans="1:30" x14ac:dyDescent="0.35">
      <c r="A1670" t="s">
        <v>380</v>
      </c>
      <c r="B1670" t="s">
        <v>72</v>
      </c>
      <c r="C1670" s="36">
        <f t="shared" si="1105"/>
        <v>2.0442785131999881E-2</v>
      </c>
      <c r="D1670" s="3">
        <f t="shared" si="1106"/>
        <v>4.0885570263999763E-2</v>
      </c>
      <c r="F1670">
        <v>895.1</v>
      </c>
      <c r="G1670" t="s">
        <v>66</v>
      </c>
      <c r="H1670">
        <v>1000</v>
      </c>
      <c r="I1670" s="22"/>
      <c r="J1670">
        <v>0</v>
      </c>
      <c r="K1670" s="22"/>
      <c r="M1670" s="22">
        <v>2.7999999999999997E-2</v>
      </c>
      <c r="N1670" s="21">
        <v>44237</v>
      </c>
      <c r="O1670" s="21">
        <v>47889</v>
      </c>
      <c r="P1670">
        <f t="shared" si="1107"/>
        <v>10</v>
      </c>
      <c r="Q1670" s="6">
        <f t="shared" si="1108"/>
        <v>3.1281421070271473E-2</v>
      </c>
      <c r="R1670" s="5">
        <f t="shared" si="1109"/>
        <v>2</v>
      </c>
      <c r="S1670" t="s">
        <v>65</v>
      </c>
      <c r="U1670">
        <f t="shared" si="1110"/>
        <v>20</v>
      </c>
      <c r="V1670">
        <f t="shared" si="1111"/>
        <v>13.999999999999998</v>
      </c>
      <c r="W1670" s="28">
        <f t="shared" si="1112"/>
        <v>2.0442785131999881E-2</v>
      </c>
      <c r="X1670" s="27">
        <f t="shared" si="1113"/>
        <v>4.0885570263999763E-2</v>
      </c>
      <c r="Y1670" s="5">
        <f t="shared" si="1114"/>
        <v>8.704929484522701</v>
      </c>
      <c r="Z1670" s="5">
        <f t="shared" si="1115"/>
        <v>8.5305414584284307</v>
      </c>
      <c r="AA1670" s="5">
        <f t="shared" si="1116"/>
        <v>-7635.6876594392888</v>
      </c>
      <c r="AB1670" t="s">
        <v>64</v>
      </c>
      <c r="AC1670" t="s">
        <v>62</v>
      </c>
      <c r="AD1670">
        <f t="shared" si="1117"/>
        <v>2</v>
      </c>
    </row>
    <row r="1671" spans="1:30" x14ac:dyDescent="0.35">
      <c r="A1671" t="s">
        <v>379</v>
      </c>
      <c r="B1671" t="s">
        <v>72</v>
      </c>
      <c r="C1671" s="36">
        <f t="shared" si="1105"/>
        <v>2.0350539056850404E-2</v>
      </c>
      <c r="D1671" s="3">
        <f t="shared" si="1106"/>
        <v>4.0701078113700807E-2</v>
      </c>
      <c r="F1671">
        <v>896.51</v>
      </c>
      <c r="G1671" t="s">
        <v>66</v>
      </c>
      <c r="H1671">
        <v>1000</v>
      </c>
      <c r="I1671" s="22"/>
      <c r="J1671">
        <v>200000</v>
      </c>
      <c r="K1671" s="22"/>
      <c r="M1671" s="22">
        <v>2.7999999999999997E-2</v>
      </c>
      <c r="N1671" s="21">
        <v>44237</v>
      </c>
      <c r="O1671" s="21">
        <v>47889</v>
      </c>
      <c r="P1671">
        <f t="shared" si="1107"/>
        <v>10</v>
      </c>
      <c r="Q1671" s="6">
        <f t="shared" si="1108"/>
        <v>3.1232222730365525E-2</v>
      </c>
      <c r="R1671" s="5">
        <f t="shared" si="1109"/>
        <v>2</v>
      </c>
      <c r="S1671" t="s">
        <v>65</v>
      </c>
      <c r="U1671">
        <f t="shared" si="1110"/>
        <v>20</v>
      </c>
      <c r="V1671">
        <f t="shared" si="1111"/>
        <v>13.999999999999998</v>
      </c>
      <c r="W1671" s="28">
        <f t="shared" si="1112"/>
        <v>2.0350539056850404E-2</v>
      </c>
      <c r="X1671" s="27">
        <f t="shared" si="1113"/>
        <v>4.0701078113700807E-2</v>
      </c>
      <c r="Y1671" s="5">
        <f t="shared" si="1114"/>
        <v>8.7061960709126058</v>
      </c>
      <c r="Z1671" s="5">
        <f t="shared" si="1115"/>
        <v>8.5325539975311635</v>
      </c>
      <c r="AA1671" s="5">
        <f t="shared" si="1116"/>
        <v>-7649.5199843266637</v>
      </c>
      <c r="AB1671" t="s">
        <v>64</v>
      </c>
      <c r="AC1671" t="s">
        <v>62</v>
      </c>
      <c r="AD1671">
        <f t="shared" si="1117"/>
        <v>2</v>
      </c>
    </row>
    <row r="1672" spans="1:30" x14ac:dyDescent="0.35">
      <c r="A1672" t="s">
        <v>378</v>
      </c>
      <c r="B1672" t="s">
        <v>72</v>
      </c>
      <c r="C1672" s="36">
        <f t="shared" si="1105"/>
        <v>2.5985774538394898E-2</v>
      </c>
      <c r="D1672" s="3">
        <f t="shared" si="1106"/>
        <v>5.1971549076789796E-2</v>
      </c>
      <c r="F1672">
        <v>814.879989999999</v>
      </c>
      <c r="G1672" t="s">
        <v>66</v>
      </c>
      <c r="H1672">
        <v>1000</v>
      </c>
      <c r="I1672" s="22"/>
      <c r="J1672">
        <v>0</v>
      </c>
      <c r="K1672" s="22"/>
      <c r="M1672" s="22">
        <v>2.7999999999999997E-2</v>
      </c>
      <c r="N1672" s="21">
        <v>44237</v>
      </c>
      <c r="O1672" s="21">
        <v>47889</v>
      </c>
      <c r="P1672">
        <f t="shared" si="1107"/>
        <v>10</v>
      </c>
      <c r="Q1672" s="6">
        <f t="shared" si="1108"/>
        <v>3.4360887914305062E-2</v>
      </c>
      <c r="R1672" s="5">
        <f t="shared" si="1109"/>
        <v>2</v>
      </c>
      <c r="S1672" t="s">
        <v>65</v>
      </c>
      <c r="U1672">
        <f t="shared" si="1110"/>
        <v>20</v>
      </c>
      <c r="V1672">
        <f t="shared" si="1111"/>
        <v>13.999999999999998</v>
      </c>
      <c r="W1672" s="28">
        <f t="shared" si="1112"/>
        <v>2.5985774538394898E-2</v>
      </c>
      <c r="X1672" s="27">
        <f t="shared" si="1113"/>
        <v>5.1971549076789796E-2</v>
      </c>
      <c r="Y1672" s="5">
        <f t="shared" si="1114"/>
        <v>8.6269034532664453</v>
      </c>
      <c r="Z1672" s="5">
        <f t="shared" si="1115"/>
        <v>8.4084045484429915</v>
      </c>
      <c r="AA1672" s="5">
        <f t="shared" si="1116"/>
        <v>-6851.8406143511711</v>
      </c>
      <c r="AB1672" t="s">
        <v>64</v>
      </c>
      <c r="AC1672" t="s">
        <v>62</v>
      </c>
      <c r="AD1672">
        <f t="shared" si="1117"/>
        <v>2</v>
      </c>
    </row>
    <row r="1673" spans="1:30" x14ac:dyDescent="0.35">
      <c r="A1673" t="s">
        <v>377</v>
      </c>
      <c r="B1673" t="s">
        <v>374</v>
      </c>
      <c r="C1673" s="36">
        <f t="shared" si="1105"/>
        <v>2.0758071636211791E-2</v>
      </c>
      <c r="D1673" s="3">
        <f t="shared" si="1106"/>
        <v>4.1516143272423582E-2</v>
      </c>
      <c r="F1673">
        <v>890.3</v>
      </c>
      <c r="G1673" t="s">
        <v>66</v>
      </c>
      <c r="H1673">
        <v>1000</v>
      </c>
      <c r="I1673" s="22"/>
      <c r="J1673">
        <v>0</v>
      </c>
      <c r="K1673" s="22"/>
      <c r="M1673" s="22">
        <v>2.7999999999999997E-2</v>
      </c>
      <c r="N1673" s="21">
        <v>44243</v>
      </c>
      <c r="O1673" s="21">
        <v>47895</v>
      </c>
      <c r="P1673">
        <f t="shared" si="1107"/>
        <v>10</v>
      </c>
      <c r="Q1673" s="6">
        <f t="shared" si="1108"/>
        <v>3.1450073009098058E-2</v>
      </c>
      <c r="R1673" s="5">
        <f t="shared" si="1109"/>
        <v>2</v>
      </c>
      <c r="S1673" t="s">
        <v>65</v>
      </c>
      <c r="U1673">
        <f t="shared" si="1110"/>
        <v>20</v>
      </c>
      <c r="V1673">
        <f t="shared" si="1111"/>
        <v>13.999999999999998</v>
      </c>
      <c r="W1673" s="28">
        <f t="shared" si="1112"/>
        <v>2.0758071636211791E-2</v>
      </c>
      <c r="X1673" s="27">
        <f t="shared" si="1113"/>
        <v>4.1516143272423582E-2</v>
      </c>
      <c r="Y1673" s="5">
        <f t="shared" si="1114"/>
        <v>8.7005925944462508</v>
      </c>
      <c r="Z1673" s="5">
        <f t="shared" si="1115"/>
        <v>8.5236578932946792</v>
      </c>
      <c r="AA1673" s="5">
        <f t="shared" si="1116"/>
        <v>-7588.6126224002528</v>
      </c>
      <c r="AB1673" t="s">
        <v>69</v>
      </c>
      <c r="AC1673" t="s">
        <v>62</v>
      </c>
      <c r="AD1673">
        <f t="shared" si="1117"/>
        <v>2</v>
      </c>
    </row>
    <row r="1674" spans="1:30" x14ac:dyDescent="0.35">
      <c r="A1674" t="s">
        <v>376</v>
      </c>
      <c r="B1674" t="s">
        <v>372</v>
      </c>
      <c r="C1674" s="36">
        <f t="shared" si="1105"/>
        <v>2.5634957060746592E-2</v>
      </c>
      <c r="D1674" s="3">
        <f t="shared" si="1106"/>
        <v>5.1269914121493183E-2</v>
      </c>
      <c r="F1674">
        <v>835.2</v>
      </c>
      <c r="G1674" t="s">
        <v>66</v>
      </c>
      <c r="H1674">
        <v>1000</v>
      </c>
      <c r="I1674" s="22"/>
      <c r="J1674">
        <v>240000</v>
      </c>
      <c r="K1674" s="22"/>
      <c r="M1674" s="22">
        <v>0.03</v>
      </c>
      <c r="N1674" s="21">
        <v>44186</v>
      </c>
      <c r="O1674" s="21">
        <v>47895</v>
      </c>
      <c r="P1674">
        <f t="shared" si="1107"/>
        <v>10</v>
      </c>
      <c r="Q1674" s="6">
        <f t="shared" si="1108"/>
        <v>3.5919540229885055E-2</v>
      </c>
      <c r="R1674" s="5">
        <f t="shared" si="1109"/>
        <v>2</v>
      </c>
      <c r="S1674" t="s">
        <v>65</v>
      </c>
      <c r="U1674">
        <f t="shared" si="1110"/>
        <v>20</v>
      </c>
      <c r="V1674">
        <f t="shared" si="1111"/>
        <v>15</v>
      </c>
      <c r="W1674" s="28">
        <f t="shared" si="1112"/>
        <v>2.5634957060746592E-2</v>
      </c>
      <c r="X1674" s="27">
        <f t="shared" si="1113"/>
        <v>5.1269914121493183E-2</v>
      </c>
      <c r="Y1674" s="5">
        <f t="shared" si="1114"/>
        <v>8.5631612511262301</v>
      </c>
      <c r="Z1674" s="5">
        <f t="shared" si="1115"/>
        <v>8.3491316205391861</v>
      </c>
      <c r="AA1674" s="5">
        <f t="shared" si="1116"/>
        <v>-6973.1947294743286</v>
      </c>
      <c r="AB1674" t="s">
        <v>69</v>
      </c>
      <c r="AC1674" t="s">
        <v>62</v>
      </c>
      <c r="AD1674">
        <f t="shared" si="1117"/>
        <v>2</v>
      </c>
    </row>
    <row r="1675" spans="1:30" x14ac:dyDescent="0.35">
      <c r="A1675" t="s">
        <v>375</v>
      </c>
      <c r="B1675" t="s">
        <v>374</v>
      </c>
      <c r="C1675" s="36">
        <f t="shared" si="1105"/>
        <v>2.0503719787367536E-2</v>
      </c>
      <c r="D1675" s="3">
        <f t="shared" si="1106"/>
        <v>4.1007439574735072E-2</v>
      </c>
      <c r="F1675">
        <v>894.17</v>
      </c>
      <c r="G1675" t="s">
        <v>66</v>
      </c>
      <c r="H1675">
        <v>1000</v>
      </c>
      <c r="I1675" s="22"/>
      <c r="J1675">
        <v>200000</v>
      </c>
      <c r="K1675" s="22"/>
      <c r="M1675" s="22">
        <v>2.7999999999999997E-2</v>
      </c>
      <c r="N1675" s="21">
        <v>44243</v>
      </c>
      <c r="O1675" s="21">
        <v>47895</v>
      </c>
      <c r="P1675">
        <f t="shared" si="1107"/>
        <v>10</v>
      </c>
      <c r="Q1675" s="6">
        <f t="shared" si="1108"/>
        <v>3.1313955959157654E-2</v>
      </c>
      <c r="R1675" s="5">
        <f t="shared" si="1109"/>
        <v>2</v>
      </c>
      <c r="S1675" t="s">
        <v>65</v>
      </c>
      <c r="U1675">
        <f t="shared" si="1110"/>
        <v>20</v>
      </c>
      <c r="V1675">
        <f t="shared" si="1111"/>
        <v>13.999999999999998</v>
      </c>
      <c r="W1675" s="28">
        <f t="shared" si="1112"/>
        <v>2.0503719787367536E-2</v>
      </c>
      <c r="X1675" s="27">
        <f t="shared" si="1113"/>
        <v>4.1007439574735072E-2</v>
      </c>
      <c r="Y1675" s="5">
        <f t="shared" si="1114"/>
        <v>8.7040922505614073</v>
      </c>
      <c r="Z1675" s="5">
        <f t="shared" si="1115"/>
        <v>8.5292116841818011</v>
      </c>
      <c r="AA1675" s="5">
        <f t="shared" si="1116"/>
        <v>-7626.5652116448409</v>
      </c>
      <c r="AB1675" t="s">
        <v>69</v>
      </c>
      <c r="AC1675" t="s">
        <v>62</v>
      </c>
      <c r="AD1675">
        <f t="shared" si="1117"/>
        <v>2</v>
      </c>
    </row>
    <row r="1676" spans="1:30" x14ac:dyDescent="0.35">
      <c r="A1676" t="s">
        <v>373</v>
      </c>
      <c r="B1676" t="s">
        <v>372</v>
      </c>
      <c r="C1676" s="36">
        <f t="shared" si="1105"/>
        <v>2.2208812680193028E-2</v>
      </c>
      <c r="D1676" s="3">
        <f t="shared" si="1106"/>
        <v>4.4417625360386057E-2</v>
      </c>
      <c r="F1676">
        <v>884.6</v>
      </c>
      <c r="G1676" t="s">
        <v>66</v>
      </c>
      <c r="H1676">
        <v>1000</v>
      </c>
      <c r="I1676" s="22"/>
      <c r="J1676">
        <v>0</v>
      </c>
      <c r="K1676" s="22"/>
      <c r="M1676" s="22">
        <v>0.03</v>
      </c>
      <c r="N1676" s="21">
        <v>44186</v>
      </c>
      <c r="O1676" s="21">
        <v>47895</v>
      </c>
      <c r="P1676">
        <f t="shared" si="1107"/>
        <v>10</v>
      </c>
      <c r="Q1676" s="6">
        <f t="shared" si="1108"/>
        <v>3.3913633280578795E-2</v>
      </c>
      <c r="R1676" s="5">
        <f t="shared" si="1109"/>
        <v>2</v>
      </c>
      <c r="S1676" t="s">
        <v>65</v>
      </c>
      <c r="U1676">
        <f t="shared" si="1110"/>
        <v>20</v>
      </c>
      <c r="V1676">
        <f t="shared" si="1111"/>
        <v>15</v>
      </c>
      <c r="W1676" s="28">
        <f t="shared" si="1112"/>
        <v>2.2208812680193028E-2</v>
      </c>
      <c r="X1676" s="27">
        <f t="shared" si="1113"/>
        <v>4.4417625360386057E-2</v>
      </c>
      <c r="Y1676" s="5">
        <f t="shared" si="1114"/>
        <v>8.6209970257544875</v>
      </c>
      <c r="Z1676" s="5">
        <f t="shared" si="1115"/>
        <v>8.4336946803956412</v>
      </c>
      <c r="AA1676" s="5">
        <f t="shared" si="1116"/>
        <v>-7460.4463142779841</v>
      </c>
      <c r="AB1676" t="s">
        <v>69</v>
      </c>
      <c r="AC1676" t="s">
        <v>62</v>
      </c>
      <c r="AD1676">
        <f t="shared" si="1117"/>
        <v>2</v>
      </c>
    </row>
    <row r="1677" spans="1:30" x14ac:dyDescent="0.35">
      <c r="A1677" t="s">
        <v>371</v>
      </c>
      <c r="B1677" t="s">
        <v>236</v>
      </c>
      <c r="C1677" s="36">
        <f t="shared" si="1105"/>
        <v>2.9547318344428003E-2</v>
      </c>
      <c r="D1677" s="3">
        <f t="shared" si="1106"/>
        <v>0.11818927337771201</v>
      </c>
      <c r="F1677">
        <v>950000</v>
      </c>
      <c r="G1677" t="s">
        <v>76</v>
      </c>
      <c r="H1677">
        <v>1000000</v>
      </c>
      <c r="I1677" s="22"/>
      <c r="J1677">
        <v>1</v>
      </c>
      <c r="K1677" s="22"/>
      <c r="M1677" s="22">
        <v>0.1096</v>
      </c>
      <c r="N1677" s="21">
        <v>44245</v>
      </c>
      <c r="O1677" s="21">
        <v>47896</v>
      </c>
      <c r="P1677">
        <f t="shared" si="1107"/>
        <v>10</v>
      </c>
      <c r="Q1677" s="6">
        <f t="shared" si="1108"/>
        <v>0.11536842105263158</v>
      </c>
      <c r="R1677" s="5">
        <f t="shared" si="1109"/>
        <v>4</v>
      </c>
      <c r="S1677" t="s">
        <v>105</v>
      </c>
      <c r="U1677">
        <f t="shared" si="1110"/>
        <v>40</v>
      </c>
      <c r="V1677">
        <f t="shared" si="1111"/>
        <v>27400</v>
      </c>
      <c r="W1677" s="28">
        <f t="shared" si="1112"/>
        <v>2.9547318344428003E-2</v>
      </c>
      <c r="X1677" s="27">
        <f t="shared" si="1113"/>
        <v>0.11818927337771201</v>
      </c>
      <c r="Y1677" s="5">
        <f t="shared" si="1114"/>
        <v>6.0860685807366863</v>
      </c>
      <c r="Z1677" s="5">
        <f t="shared" si="1115"/>
        <v>5.9114024895168873</v>
      </c>
      <c r="AA1677" s="5">
        <f t="shared" si="1116"/>
        <v>-5615832.3650410427</v>
      </c>
      <c r="AB1677" t="s">
        <v>64</v>
      </c>
      <c r="AC1677" t="s">
        <v>62</v>
      </c>
      <c r="AD1677">
        <f t="shared" si="1117"/>
        <v>4</v>
      </c>
    </row>
    <row r="1678" spans="1:30" x14ac:dyDescent="0.35">
      <c r="A1678" t="s">
        <v>370</v>
      </c>
      <c r="B1678" t="s">
        <v>241</v>
      </c>
      <c r="C1678" s="36">
        <f t="shared" si="1105"/>
        <v>9.8712582027074836E-2</v>
      </c>
      <c r="D1678" s="3">
        <f t="shared" si="1106"/>
        <v>9.8712582027074836E-2</v>
      </c>
      <c r="F1678">
        <v>1010</v>
      </c>
      <c r="G1678" t="s">
        <v>76</v>
      </c>
      <c r="H1678">
        <v>1000</v>
      </c>
      <c r="I1678" s="22"/>
      <c r="J1678">
        <v>11</v>
      </c>
      <c r="K1678" s="22"/>
      <c r="L1678">
        <v>9.8230234384848796</v>
      </c>
      <c r="M1678" s="22">
        <v>0.10099999999999999</v>
      </c>
      <c r="N1678" s="21">
        <v>45712</v>
      </c>
      <c r="O1678" s="21">
        <v>47903</v>
      </c>
      <c r="P1678">
        <f t="shared" si="1107"/>
        <v>6</v>
      </c>
      <c r="Q1678" s="6">
        <f t="shared" si="1108"/>
        <v>9.9999999999999992E-2</v>
      </c>
      <c r="R1678" s="5">
        <f t="shared" si="1109"/>
        <v>1</v>
      </c>
      <c r="S1678" t="s">
        <v>93</v>
      </c>
      <c r="U1678">
        <f t="shared" si="1110"/>
        <v>6</v>
      </c>
      <c r="V1678">
        <f t="shared" si="1111"/>
        <v>100.99999999999999</v>
      </c>
      <c r="W1678" s="28">
        <f t="shared" si="1112"/>
        <v>9.8712582027074836E-2</v>
      </c>
      <c r="X1678" s="27">
        <f t="shared" si="1113"/>
        <v>9.8712582027074836E-2</v>
      </c>
      <c r="Y1678" s="5">
        <f t="shared" si="1114"/>
        <v>4.7876797221100746</v>
      </c>
      <c r="Z1678" s="5">
        <f t="shared" si="1115"/>
        <v>4.3575360839838773</v>
      </c>
      <c r="AA1678" s="5">
        <f t="shared" si="1116"/>
        <v>-4401.1114448237158</v>
      </c>
      <c r="AB1678" t="s">
        <v>64</v>
      </c>
      <c r="AC1678" t="s">
        <v>62</v>
      </c>
      <c r="AD1678">
        <f t="shared" si="1117"/>
        <v>1</v>
      </c>
    </row>
    <row r="1679" spans="1:30" x14ac:dyDescent="0.35">
      <c r="C1679" s="28"/>
      <c r="D1679" s="27"/>
      <c r="I1679" s="22"/>
      <c r="K1679" s="22"/>
      <c r="M1679" s="22"/>
      <c r="N1679" s="21"/>
      <c r="O1679" s="21"/>
      <c r="P1679" s="5"/>
      <c r="Q1679" s="6"/>
      <c r="R1679" s="5"/>
      <c r="W1679" s="28"/>
      <c r="Y1679" s="33"/>
      <c r="Z1679" s="33"/>
      <c r="AA1679" s="33"/>
    </row>
    <row r="1680" spans="1:30" x14ac:dyDescent="0.35">
      <c r="A1680" t="s">
        <v>368</v>
      </c>
      <c r="B1680" t="s">
        <v>241</v>
      </c>
      <c r="C1680" s="36">
        <f>RATE(U1680,V1680,-F1680,H1680)</f>
        <v>9.5661226026697979E-2</v>
      </c>
      <c r="D1680" s="3">
        <f>C1680*AD1680</f>
        <v>9.5661226026697979E-2</v>
      </c>
      <c r="F1680">
        <v>1003.7</v>
      </c>
      <c r="G1680" t="s">
        <v>76</v>
      </c>
      <c r="H1680">
        <v>1000</v>
      </c>
      <c r="I1680" s="22"/>
      <c r="J1680">
        <v>50</v>
      </c>
      <c r="K1680" s="22"/>
      <c r="L1680">
        <v>9.5487593901587999</v>
      </c>
      <c r="M1680" s="22">
        <v>9.6500000000000002E-2</v>
      </c>
      <c r="N1680" s="21">
        <v>45712</v>
      </c>
      <c r="O1680" s="21">
        <v>47903</v>
      </c>
      <c r="P1680">
        <f>ROUND(YEARFRAC(N1680,O1680),0)</f>
        <v>6</v>
      </c>
      <c r="Q1680" s="6">
        <f>(M1680*H1680)/F1680</f>
        <v>9.6144266215004479E-2</v>
      </c>
      <c r="R1680" s="5">
        <f>IF(S1680="Quarterly",4,IF(S1680="Semi-annual",2,IF(S1680="Annual",1,IF(S1680="Pays at maturity",0,12))))</f>
        <v>1</v>
      </c>
      <c r="S1680" t="s">
        <v>93</v>
      </c>
      <c r="U1680">
        <f>R1680*P1680</f>
        <v>6</v>
      </c>
      <c r="V1680">
        <f>(H1680*M1680)/AD1680</f>
        <v>96.5</v>
      </c>
      <c r="W1680" s="28">
        <f>RATE(U1680,V1680,-F1680,H1680)</f>
        <v>9.5661226026697979E-2</v>
      </c>
      <c r="X1680" s="27">
        <f>W1680*AD1680</f>
        <v>9.5661226026697979E-2</v>
      </c>
      <c r="Y1680" s="5">
        <f>DURATION(N1680,O1680,M1680,D1680,AD1680)</f>
        <v>4.8272892878633993</v>
      </c>
      <c r="Z1680" s="5">
        <f>Y1680/(1+C1680)</f>
        <v>4.405822870422333</v>
      </c>
      <c r="AA1680" s="5">
        <f>-Z1680*F1680</f>
        <v>-4422.1244150428956</v>
      </c>
      <c r="AB1680" t="s">
        <v>64</v>
      </c>
      <c r="AC1680" t="s">
        <v>62</v>
      </c>
      <c r="AD1680">
        <f>_xlfn.SWITCH(PROPER(TRIM(S1680)),
   "Annual",1,
   "Semi-Annual",2,
   "Quarterly",4,
   "Monthly",12,
   "")</f>
        <v>1</v>
      </c>
    </row>
    <row r="1681" spans="1:30" x14ac:dyDescent="0.35">
      <c r="C1681" s="28"/>
      <c r="D1681" s="27"/>
      <c r="I1681" s="22"/>
      <c r="K1681" s="22"/>
      <c r="M1681" s="22"/>
      <c r="N1681" s="21"/>
      <c r="O1681" s="21"/>
      <c r="P1681" s="5"/>
      <c r="Q1681" s="6"/>
      <c r="R1681" s="5"/>
      <c r="W1681" s="28"/>
      <c r="Y1681" s="33"/>
      <c r="Z1681" s="33"/>
      <c r="AA1681" s="33"/>
    </row>
    <row r="1682" spans="1:30" x14ac:dyDescent="0.35">
      <c r="C1682" s="28"/>
      <c r="D1682" s="27"/>
      <c r="I1682" s="22"/>
      <c r="K1682" s="22"/>
      <c r="M1682" s="22"/>
      <c r="N1682" s="21"/>
      <c r="O1682" s="21"/>
      <c r="P1682" s="5"/>
      <c r="Q1682" s="6"/>
      <c r="R1682" s="5"/>
      <c r="W1682" s="28"/>
      <c r="Y1682" s="33"/>
      <c r="Z1682" s="33"/>
      <c r="AA1682" s="33"/>
    </row>
    <row r="1683" spans="1:30" x14ac:dyDescent="0.35">
      <c r="A1683" t="s">
        <v>365</v>
      </c>
      <c r="B1683" t="s">
        <v>72</v>
      </c>
      <c r="C1683" s="36">
        <f t="shared" ref="C1683:C1688" si="1118">RATE(U1683,V1683,-F1683,H1683)</f>
        <v>6.2412230696171786E-2</v>
      </c>
      <c r="D1683" s="3">
        <f t="shared" ref="D1683:D1688" si="1119">C1683*AD1683</f>
        <v>6.2412230696171786E-2</v>
      </c>
      <c r="F1683">
        <v>1106.01</v>
      </c>
      <c r="G1683" t="s">
        <v>76</v>
      </c>
      <c r="H1683">
        <v>1000</v>
      </c>
      <c r="I1683" s="22"/>
      <c r="J1683">
        <v>100</v>
      </c>
      <c r="K1683" s="22"/>
      <c r="L1683">
        <v>5.0596119513608002</v>
      </c>
      <c r="M1683" s="22">
        <v>7.3499999999999996E-2</v>
      </c>
      <c r="N1683" s="21">
        <v>42451</v>
      </c>
      <c r="O1683" s="21">
        <v>47929</v>
      </c>
      <c r="P1683">
        <f t="shared" ref="P1683:P1688" si="1120">ROUND(YEARFRAC(N1683,O1683),0)</f>
        <v>15</v>
      </c>
      <c r="Q1683" s="6">
        <f t="shared" ref="Q1683:Q1688" si="1121">(M1683*H1683)/F1683</f>
        <v>6.6455095342718415E-2</v>
      </c>
      <c r="R1683" s="5">
        <f t="shared" ref="R1683:R1688" si="1122">IF(S1683="Quarterly",4,IF(S1683="Semi-annual",2,IF(S1683="Annual",1,IF(S1683="Pays at maturity",0,12))))</f>
        <v>1</v>
      </c>
      <c r="S1683" t="s">
        <v>93</v>
      </c>
      <c r="U1683">
        <f t="shared" ref="U1683:U1688" si="1123">R1683*P1683</f>
        <v>15</v>
      </c>
      <c r="V1683">
        <f t="shared" ref="V1683:V1688" si="1124">(H1683*M1683)/AD1683</f>
        <v>73.5</v>
      </c>
      <c r="W1683" s="28">
        <f t="shared" ref="W1683:W1688" si="1125">RATE(U1683,V1683,-F1683,H1683)</f>
        <v>6.2412230696171786E-2</v>
      </c>
      <c r="X1683" s="27">
        <f t="shared" ref="X1683:X1688" si="1126">W1683*AD1683</f>
        <v>6.2412230696171786E-2</v>
      </c>
      <c r="Y1683" s="5">
        <f t="shared" ref="Y1683:Y1688" si="1127">DURATION(N1683,O1683,M1683,D1683,AD1683)</f>
        <v>9.8440395858602141</v>
      </c>
      <c r="Z1683" s="5">
        <f t="shared" ref="Z1683:Z1688" si="1128">Y1683/(1+C1683)</f>
        <v>9.2657438435264101</v>
      </c>
      <c r="AA1683" s="5">
        <f t="shared" ref="AA1683:AA1688" si="1129">-Z1683*F1683</f>
        <v>-10248.005348378645</v>
      </c>
      <c r="AB1683" t="s">
        <v>64</v>
      </c>
      <c r="AC1683" t="s">
        <v>62</v>
      </c>
      <c r="AD1683">
        <f t="shared" ref="AD1683:AD1688" si="1130">_xlfn.SWITCH(PROPER(TRIM(S1683)),
   "Annual",1,
   "Semi-Annual",2,
   "Quarterly",4,
   "Monthly",12,
   "")</f>
        <v>1</v>
      </c>
    </row>
    <row r="1684" spans="1:30" x14ac:dyDescent="0.35">
      <c r="A1684" t="s">
        <v>364</v>
      </c>
      <c r="B1684" t="s">
        <v>72</v>
      </c>
      <c r="C1684" s="36">
        <f t="shared" si="1118"/>
        <v>6.0296373865222443E-2</v>
      </c>
      <c r="D1684" s="3">
        <f t="shared" si="1119"/>
        <v>6.0296373865222443E-2</v>
      </c>
      <c r="F1684">
        <v>1156.0999999999999</v>
      </c>
      <c r="G1684" t="s">
        <v>76</v>
      </c>
      <c r="H1684">
        <v>1000</v>
      </c>
      <c r="I1684" s="22"/>
      <c r="J1684">
        <v>45</v>
      </c>
      <c r="K1684" s="22"/>
      <c r="L1684">
        <v>4.2264351961806899</v>
      </c>
      <c r="M1684" s="22">
        <v>7.6399999999999996E-2</v>
      </c>
      <c r="N1684" s="21">
        <v>42451</v>
      </c>
      <c r="O1684" s="21">
        <v>47929</v>
      </c>
      <c r="P1684">
        <f t="shared" si="1120"/>
        <v>15</v>
      </c>
      <c r="Q1684" s="6">
        <f t="shared" si="1121"/>
        <v>6.6084248767407663E-2</v>
      </c>
      <c r="R1684" s="5">
        <f t="shared" si="1122"/>
        <v>1</v>
      </c>
      <c r="S1684" t="s">
        <v>93</v>
      </c>
      <c r="U1684">
        <f t="shared" si="1123"/>
        <v>15</v>
      </c>
      <c r="V1684">
        <f t="shared" si="1124"/>
        <v>76.399999999999991</v>
      </c>
      <c r="W1684" s="28">
        <f t="shared" si="1125"/>
        <v>6.0296373865222443E-2</v>
      </c>
      <c r="X1684" s="27">
        <f t="shared" si="1126"/>
        <v>6.0296373865222443E-2</v>
      </c>
      <c r="Y1684" s="5">
        <f t="shared" si="1127"/>
        <v>9.8246783676720693</v>
      </c>
      <c r="Z1684" s="5">
        <f t="shared" si="1128"/>
        <v>9.2659737502044077</v>
      </c>
      <c r="AA1684" s="5">
        <f t="shared" si="1129"/>
        <v>-10712.392252611315</v>
      </c>
      <c r="AB1684" t="s">
        <v>64</v>
      </c>
      <c r="AC1684" t="s">
        <v>62</v>
      </c>
      <c r="AD1684">
        <f t="shared" si="1130"/>
        <v>1</v>
      </c>
    </row>
    <row r="1685" spans="1:30" x14ac:dyDescent="0.35">
      <c r="A1685" t="s">
        <v>363</v>
      </c>
      <c r="B1685" t="s">
        <v>361</v>
      </c>
      <c r="C1685" s="36">
        <f t="shared" si="1118"/>
        <v>6.1539860774173748E-2</v>
      </c>
      <c r="D1685" s="3">
        <f t="shared" si="1119"/>
        <v>6.1539860774173748E-2</v>
      </c>
      <c r="F1685">
        <v>1115</v>
      </c>
      <c r="G1685" t="s">
        <v>76</v>
      </c>
      <c r="H1685">
        <v>1000</v>
      </c>
      <c r="I1685" s="22"/>
      <c r="J1685">
        <v>70</v>
      </c>
      <c r="K1685" s="22"/>
      <c r="L1685">
        <v>4.7846435698770096</v>
      </c>
      <c r="M1685" s="22">
        <v>7.3499999999999996E-2</v>
      </c>
      <c r="N1685" s="21">
        <v>42452</v>
      </c>
      <c r="O1685" s="21">
        <v>47930</v>
      </c>
      <c r="P1685">
        <f t="shared" si="1120"/>
        <v>15</v>
      </c>
      <c r="Q1685" s="6">
        <f t="shared" si="1121"/>
        <v>6.5919282511210764E-2</v>
      </c>
      <c r="R1685" s="5">
        <f t="shared" si="1122"/>
        <v>1</v>
      </c>
      <c r="S1685" t="s">
        <v>93</v>
      </c>
      <c r="U1685">
        <f t="shared" si="1123"/>
        <v>15</v>
      </c>
      <c r="V1685">
        <f t="shared" si="1124"/>
        <v>73.5</v>
      </c>
      <c r="W1685" s="28">
        <f t="shared" si="1125"/>
        <v>6.1539860774173748E-2</v>
      </c>
      <c r="X1685" s="27">
        <f t="shared" si="1126"/>
        <v>6.1539860774173748E-2</v>
      </c>
      <c r="Y1685" s="5">
        <f t="shared" si="1127"/>
        <v>9.8659059062153194</v>
      </c>
      <c r="Z1685" s="5">
        <f t="shared" si="1128"/>
        <v>9.2939570813856971</v>
      </c>
      <c r="AA1685" s="5">
        <f t="shared" si="1129"/>
        <v>-10362.762145745051</v>
      </c>
      <c r="AB1685" t="s">
        <v>64</v>
      </c>
      <c r="AC1685" t="s">
        <v>62</v>
      </c>
      <c r="AD1685">
        <f t="shared" si="1130"/>
        <v>1</v>
      </c>
    </row>
    <row r="1686" spans="1:30" x14ac:dyDescent="0.35">
      <c r="A1686" t="s">
        <v>362</v>
      </c>
      <c r="B1686" t="s">
        <v>361</v>
      </c>
      <c r="C1686" s="36">
        <f t="shared" si="1118"/>
        <v>6.2578969138540802E-2</v>
      </c>
      <c r="D1686" s="3">
        <f t="shared" si="1119"/>
        <v>6.2578969138540802E-2</v>
      </c>
      <c r="F1686">
        <v>1132</v>
      </c>
      <c r="G1686" t="s">
        <v>76</v>
      </c>
      <c r="H1686">
        <v>1000</v>
      </c>
      <c r="I1686" s="22"/>
      <c r="J1686">
        <v>1000</v>
      </c>
      <c r="K1686" s="22"/>
      <c r="L1686">
        <v>4.6929891944487103</v>
      </c>
      <c r="M1686" s="22">
        <v>7.6399999999999996E-2</v>
      </c>
      <c r="N1686" s="21">
        <v>42452</v>
      </c>
      <c r="O1686" s="21">
        <v>47930</v>
      </c>
      <c r="P1686">
        <f t="shared" si="1120"/>
        <v>15</v>
      </c>
      <c r="Q1686" s="6">
        <f t="shared" si="1121"/>
        <v>6.7491166077738515E-2</v>
      </c>
      <c r="R1686" s="5">
        <f t="shared" si="1122"/>
        <v>1</v>
      </c>
      <c r="S1686" t="s">
        <v>93</v>
      </c>
      <c r="U1686">
        <f t="shared" si="1123"/>
        <v>15</v>
      </c>
      <c r="V1686">
        <f t="shared" si="1124"/>
        <v>76.399999999999991</v>
      </c>
      <c r="W1686" s="28">
        <f t="shared" si="1125"/>
        <v>6.2578969138540802E-2</v>
      </c>
      <c r="X1686" s="27">
        <f t="shared" si="1126"/>
        <v>6.2578969138540802E-2</v>
      </c>
      <c r="Y1686" s="5">
        <f t="shared" si="1127"/>
        <v>9.7674967149946337</v>
      </c>
      <c r="Z1686" s="5">
        <f t="shared" si="1128"/>
        <v>9.192254880513385</v>
      </c>
      <c r="AA1686" s="5">
        <f t="shared" si="1129"/>
        <v>-10405.632524741151</v>
      </c>
      <c r="AB1686" t="s">
        <v>64</v>
      </c>
      <c r="AC1686" t="s">
        <v>62</v>
      </c>
      <c r="AD1686">
        <f t="shared" si="1130"/>
        <v>1</v>
      </c>
    </row>
    <row r="1687" spans="1:30" x14ac:dyDescent="0.35">
      <c r="A1687" t="s">
        <v>360</v>
      </c>
      <c r="B1687" t="s">
        <v>128</v>
      </c>
      <c r="C1687" s="36">
        <f t="shared" si="1118"/>
        <v>0.11105337016764759</v>
      </c>
      <c r="D1687" s="3">
        <f t="shared" si="1119"/>
        <v>0.11105337016764759</v>
      </c>
      <c r="F1687">
        <v>949.5</v>
      </c>
      <c r="G1687" t="s">
        <v>76</v>
      </c>
      <c r="H1687">
        <v>1000</v>
      </c>
      <c r="I1687" s="22"/>
      <c r="J1687">
        <v>20</v>
      </c>
      <c r="K1687" s="22"/>
      <c r="L1687">
        <v>11.470173219809601</v>
      </c>
      <c r="M1687" s="22">
        <v>0.1003</v>
      </c>
      <c r="N1687" s="21">
        <v>45377</v>
      </c>
      <c r="O1687" s="21">
        <v>47933</v>
      </c>
      <c r="P1687">
        <f t="shared" si="1120"/>
        <v>7</v>
      </c>
      <c r="Q1687" s="6">
        <f t="shared" si="1121"/>
        <v>0.10563454449710373</v>
      </c>
      <c r="R1687" s="5">
        <f t="shared" si="1122"/>
        <v>1</v>
      </c>
      <c r="S1687" t="s">
        <v>93</v>
      </c>
      <c r="U1687">
        <f t="shared" si="1123"/>
        <v>7</v>
      </c>
      <c r="V1687">
        <f t="shared" si="1124"/>
        <v>100.3</v>
      </c>
      <c r="W1687" s="28">
        <f t="shared" si="1125"/>
        <v>0.11105337016764759</v>
      </c>
      <c r="X1687" s="27">
        <f t="shared" si="1126"/>
        <v>0.11105337016764759</v>
      </c>
      <c r="Y1687" s="5">
        <f t="shared" si="1127"/>
        <v>5.3046966435028517</v>
      </c>
      <c r="Z1687" s="5">
        <f t="shared" si="1128"/>
        <v>4.7744750935793689</v>
      </c>
      <c r="AA1687" s="5">
        <f t="shared" si="1129"/>
        <v>-4533.3641013536107</v>
      </c>
      <c r="AB1687" t="s">
        <v>64</v>
      </c>
      <c r="AC1687" t="s">
        <v>62</v>
      </c>
      <c r="AD1687">
        <f t="shared" si="1130"/>
        <v>1</v>
      </c>
    </row>
    <row r="1688" spans="1:30" x14ac:dyDescent="0.35">
      <c r="A1688" t="s">
        <v>359</v>
      </c>
      <c r="B1688" t="s">
        <v>128</v>
      </c>
      <c r="C1688" s="36">
        <f t="shared" si="1118"/>
        <v>0.12479917626064729</v>
      </c>
      <c r="D1688" s="3">
        <f t="shared" si="1119"/>
        <v>0.12479917626064729</v>
      </c>
      <c r="F1688">
        <v>911</v>
      </c>
      <c r="G1688" t="s">
        <v>76</v>
      </c>
      <c r="H1688">
        <v>1000</v>
      </c>
      <c r="I1688" s="22"/>
      <c r="J1688">
        <v>2</v>
      </c>
      <c r="K1688" s="22"/>
      <c r="L1688">
        <v>13.108512957232699</v>
      </c>
      <c r="M1688" s="22">
        <v>0.105</v>
      </c>
      <c r="N1688" s="21">
        <v>45377</v>
      </c>
      <c r="O1688" s="21">
        <v>47933</v>
      </c>
      <c r="P1688">
        <f t="shared" si="1120"/>
        <v>7</v>
      </c>
      <c r="Q1688" s="6">
        <f t="shared" si="1121"/>
        <v>0.11525795828759605</v>
      </c>
      <c r="R1688" s="5">
        <f t="shared" si="1122"/>
        <v>1</v>
      </c>
      <c r="S1688" t="s">
        <v>93</v>
      </c>
      <c r="U1688">
        <f t="shared" si="1123"/>
        <v>7</v>
      </c>
      <c r="V1688">
        <f t="shared" si="1124"/>
        <v>105</v>
      </c>
      <c r="W1688" s="28">
        <f t="shared" si="1125"/>
        <v>0.12479917626064729</v>
      </c>
      <c r="X1688" s="27">
        <f t="shared" si="1126"/>
        <v>0.12479917626064729</v>
      </c>
      <c r="Y1688" s="5">
        <f t="shared" si="1127"/>
        <v>5.2047400179235623</v>
      </c>
      <c r="Z1688" s="5">
        <f t="shared" si="1128"/>
        <v>4.6272615839091609</v>
      </c>
      <c r="AA1688" s="5">
        <f t="shared" si="1129"/>
        <v>-4215.4353029412459</v>
      </c>
      <c r="AB1688" t="s">
        <v>64</v>
      </c>
      <c r="AC1688" t="s">
        <v>62</v>
      </c>
      <c r="AD1688">
        <f t="shared" si="1130"/>
        <v>1</v>
      </c>
    </row>
    <row r="1689" spans="1:30" x14ac:dyDescent="0.35">
      <c r="C1689" s="28"/>
      <c r="D1689" s="27"/>
      <c r="I1689" s="22"/>
      <c r="K1689" s="22"/>
      <c r="M1689" s="22"/>
      <c r="N1689" s="21"/>
      <c r="O1689" s="21"/>
      <c r="P1689" s="5"/>
      <c r="Q1689" s="6"/>
      <c r="R1689" s="5"/>
      <c r="W1689" s="28"/>
      <c r="Y1689" s="33"/>
      <c r="Z1689" s="33"/>
      <c r="AA1689" s="33"/>
    </row>
    <row r="1690" spans="1:30" x14ac:dyDescent="0.35">
      <c r="A1690" t="s">
        <v>356</v>
      </c>
      <c r="B1690" t="s">
        <v>283</v>
      </c>
      <c r="C1690" s="36">
        <f>RATE(U1690,V1690,-F1690,H1690)</f>
        <v>2.2472858684997762E-2</v>
      </c>
      <c r="D1690" s="3">
        <f>C1690*AD1690</f>
        <v>8.9891434739991047E-2</v>
      </c>
      <c r="F1690">
        <v>1054400</v>
      </c>
      <c r="G1690" t="s">
        <v>76</v>
      </c>
      <c r="H1690">
        <v>1000000</v>
      </c>
      <c r="I1690" s="22"/>
      <c r="J1690">
        <v>2</v>
      </c>
      <c r="K1690" s="22"/>
      <c r="M1690" s="22">
        <v>9.9499999999999991E-2</v>
      </c>
      <c r="N1690" s="21">
        <v>44841</v>
      </c>
      <c r="O1690" s="21">
        <v>47938</v>
      </c>
      <c r="P1690">
        <f>ROUND(YEARFRAC(N1690,O1690),0)</f>
        <v>8</v>
      </c>
      <c r="Q1690" s="6">
        <f>(M1690*H1690)/F1690</f>
        <v>9.4366464339908945E-2</v>
      </c>
      <c r="R1690" s="5">
        <f>IF(S1690="Quarterly",4,IF(S1690="Semi-annual",2,IF(S1690="Annual",1,IF(S1690="Pays at maturity",0,12))))</f>
        <v>4</v>
      </c>
      <c r="S1690" t="s">
        <v>105</v>
      </c>
      <c r="U1690">
        <f>R1690*P1690</f>
        <v>32</v>
      </c>
      <c r="V1690">
        <f>(H1690*M1690)/AD1690</f>
        <v>24874.999999999996</v>
      </c>
      <c r="W1690" s="28">
        <f>RATE(U1690,V1690,-F1690,H1690)</f>
        <v>2.2472858684997762E-2</v>
      </c>
      <c r="X1690" s="27">
        <f>W1690*AD1690</f>
        <v>8.9891434739991047E-2</v>
      </c>
      <c r="Y1690" s="5">
        <f>DURATION(N1690,O1690,M1690,D1690,AD1690)</f>
        <v>5.8949566729341205</v>
      </c>
      <c r="Z1690" s="5">
        <f>Y1690/(1+C1690)</f>
        <v>5.7653918369193908</v>
      </c>
      <c r="AA1690" s="5">
        <f>-Z1690*F1690</f>
        <v>-6079029.152847806</v>
      </c>
      <c r="AB1690" t="s">
        <v>64</v>
      </c>
      <c r="AC1690" t="s">
        <v>62</v>
      </c>
      <c r="AD1690">
        <f>_xlfn.SWITCH(PROPER(TRIM(S1690)),
   "Annual",1,
   "Semi-Annual",2,
   "Quarterly",4,
   "Monthly",12,
   "")</f>
        <v>4</v>
      </c>
    </row>
    <row r="1691" spans="1:30" x14ac:dyDescent="0.35">
      <c r="A1691" t="s">
        <v>355</v>
      </c>
      <c r="B1691" t="s">
        <v>281</v>
      </c>
      <c r="C1691" s="36">
        <f>RATE(U1691,V1691,-F1691,H1691)</f>
        <v>2.1904323725835447E-2</v>
      </c>
      <c r="D1691" s="3">
        <f>C1691*AD1691</f>
        <v>8.7617294903341789E-2</v>
      </c>
      <c r="F1691">
        <v>1058000</v>
      </c>
      <c r="G1691" t="s">
        <v>76</v>
      </c>
      <c r="H1691">
        <v>1000000</v>
      </c>
      <c r="I1691" s="22"/>
      <c r="J1691">
        <v>1</v>
      </c>
      <c r="K1691" s="22"/>
      <c r="M1691" s="22">
        <v>9.6999999999999989E-2</v>
      </c>
      <c r="N1691" s="21">
        <v>44650</v>
      </c>
      <c r="O1691" s="21">
        <v>47938</v>
      </c>
      <c r="P1691">
        <f>ROUND(YEARFRAC(N1691,O1691),0)</f>
        <v>9</v>
      </c>
      <c r="Q1691" s="6">
        <f>(M1691*H1691)/F1691</f>
        <v>9.1682419659735337E-2</v>
      </c>
      <c r="R1691" s="5">
        <f>IF(S1691="Quarterly",4,IF(S1691="Semi-annual",2,IF(S1691="Annual",1,IF(S1691="Pays at maturity",0,12))))</f>
        <v>4</v>
      </c>
      <c r="S1691" t="s">
        <v>105</v>
      </c>
      <c r="U1691">
        <f>R1691*P1691</f>
        <v>36</v>
      </c>
      <c r="V1691">
        <f>(H1691*M1691)/AD1691</f>
        <v>24249.999999999996</v>
      </c>
      <c r="W1691" s="28">
        <f>RATE(U1691,V1691,-F1691,H1691)</f>
        <v>2.1904323725835447E-2</v>
      </c>
      <c r="X1691" s="27">
        <f>W1691*AD1691</f>
        <v>8.7617294903341789E-2</v>
      </c>
      <c r="Y1691" s="5">
        <f>DURATION(N1691,O1691,M1691,D1691,AD1691)</f>
        <v>6.0537520176743813</v>
      </c>
      <c r="Z1691" s="5">
        <f>Y1691/(1+C1691)</f>
        <v>5.9239910010386945</v>
      </c>
      <c r="AA1691" s="5">
        <f>-Z1691*F1691</f>
        <v>-6267582.4790989384</v>
      </c>
      <c r="AB1691" t="s">
        <v>64</v>
      </c>
      <c r="AC1691" t="s">
        <v>62</v>
      </c>
      <c r="AD1691">
        <f>_xlfn.SWITCH(PROPER(TRIM(S1691)),
   "Annual",1,
   "Semi-Annual",2,
   "Quarterly",4,
   "Monthly",12,
   "")</f>
        <v>4</v>
      </c>
    </row>
    <row r="1692" spans="1:30" x14ac:dyDescent="0.35">
      <c r="C1692" s="28"/>
      <c r="D1692" s="27"/>
      <c r="I1692" s="22"/>
      <c r="K1692" s="22"/>
      <c r="M1692" s="22"/>
      <c r="N1692" s="21"/>
      <c r="O1692" s="21"/>
      <c r="P1692" s="5"/>
      <c r="Q1692" s="6"/>
      <c r="R1692" s="5"/>
      <c r="W1692" s="28"/>
      <c r="Y1692" s="33"/>
      <c r="Z1692" s="33"/>
      <c r="AA1692" s="33"/>
    </row>
    <row r="1693" spans="1:30" x14ac:dyDescent="0.35">
      <c r="A1693" t="s">
        <v>352</v>
      </c>
      <c r="B1693" t="s">
        <v>272</v>
      </c>
      <c r="C1693" s="36">
        <f t="shared" ref="C1693:C1698" si="1131">RATE(U1693,V1693,-F1693,H1693)</f>
        <v>8.3404839745247483E-2</v>
      </c>
      <c r="D1693" s="3">
        <f t="shared" ref="D1693:D1698" si="1132">C1693*AD1693</f>
        <v>8.3404839745247483E-2</v>
      </c>
      <c r="F1693">
        <v>977.5</v>
      </c>
      <c r="G1693" t="s">
        <v>76</v>
      </c>
      <c r="H1693">
        <v>1000</v>
      </c>
      <c r="I1693" s="22"/>
      <c r="J1693">
        <v>206</v>
      </c>
      <c r="K1693" s="22"/>
      <c r="L1693">
        <v>8.5847886458184703</v>
      </c>
      <c r="M1693" s="22">
        <v>0.08</v>
      </c>
      <c r="N1693" s="21">
        <v>44306</v>
      </c>
      <c r="O1693" s="21">
        <v>47958</v>
      </c>
      <c r="P1693">
        <f t="shared" ref="P1693:P1698" si="1133">ROUND(YEARFRAC(N1693,O1693),0)</f>
        <v>10</v>
      </c>
      <c r="Q1693" s="6">
        <f t="shared" ref="Q1693:Q1698" si="1134">(M1693*H1693)/F1693</f>
        <v>8.1841432225063945E-2</v>
      </c>
      <c r="R1693" s="5">
        <f t="shared" ref="R1693:R1698" si="1135">IF(S1693="Quarterly",4,IF(S1693="Semi-annual",2,IF(S1693="Annual",1,IF(S1693="Pays at maturity",0,12))))</f>
        <v>1</v>
      </c>
      <c r="S1693" t="s">
        <v>93</v>
      </c>
      <c r="U1693">
        <f t="shared" ref="U1693:U1698" si="1136">R1693*P1693</f>
        <v>10</v>
      </c>
      <c r="V1693">
        <f t="shared" ref="V1693:V1698" si="1137">(H1693*M1693)/AD1693</f>
        <v>80</v>
      </c>
      <c r="W1693" s="28">
        <f t="shared" ref="W1693:W1698" si="1138">RATE(U1693,V1693,-F1693,H1693)</f>
        <v>8.3404839745247483E-2</v>
      </c>
      <c r="X1693" s="27">
        <f t="shared" ref="X1693:X1698" si="1139">W1693*AD1693</f>
        <v>8.3404839745247483E-2</v>
      </c>
      <c r="Y1693" s="5">
        <f t="shared" ref="Y1693:Y1698" si="1140">DURATION(N1693,O1693,M1693,D1693,AD1693)</f>
        <v>7.2126462710601622</v>
      </c>
      <c r="Z1693" s="5">
        <f t="shared" ref="Z1693:Z1698" si="1141">Y1693/(1+C1693)</f>
        <v>6.6573879001280343</v>
      </c>
      <c r="AA1693" s="5">
        <f t="shared" ref="AA1693:AA1698" si="1142">-Z1693*F1693</f>
        <v>-6507.5966723751535</v>
      </c>
      <c r="AB1693" t="s">
        <v>64</v>
      </c>
      <c r="AC1693" t="s">
        <v>62</v>
      </c>
      <c r="AD1693">
        <f t="shared" ref="AD1693:AD1698" si="1143">_xlfn.SWITCH(PROPER(TRIM(S1693)),
   "Annual",1,
   "Semi-Annual",2,
   "Quarterly",4,
   "Monthly",12,
   "")</f>
        <v>1</v>
      </c>
    </row>
    <row r="1694" spans="1:30" x14ac:dyDescent="0.35">
      <c r="A1694" t="s">
        <v>351</v>
      </c>
      <c r="B1694" t="s">
        <v>182</v>
      </c>
      <c r="C1694" s="36">
        <f t="shared" si="1131"/>
        <v>5.2371866463724728E-2</v>
      </c>
      <c r="D1694" s="3">
        <f t="shared" si="1132"/>
        <v>0.10474373292744946</v>
      </c>
      <c r="F1694">
        <v>103050</v>
      </c>
      <c r="G1694" t="s">
        <v>76</v>
      </c>
      <c r="H1694">
        <v>100000</v>
      </c>
      <c r="I1694" s="22"/>
      <c r="J1694">
        <v>1</v>
      </c>
      <c r="K1694" s="22"/>
      <c r="M1694" s="22">
        <v>0.111</v>
      </c>
      <c r="N1694" s="21">
        <v>45371</v>
      </c>
      <c r="O1694" s="21">
        <v>47958</v>
      </c>
      <c r="P1694">
        <f t="shared" si="1133"/>
        <v>7</v>
      </c>
      <c r="Q1694" s="6">
        <f t="shared" si="1134"/>
        <v>0.10771470160116449</v>
      </c>
      <c r="R1694" s="5">
        <f t="shared" si="1135"/>
        <v>2</v>
      </c>
      <c r="S1694" t="s">
        <v>65</v>
      </c>
      <c r="U1694">
        <f t="shared" si="1136"/>
        <v>14</v>
      </c>
      <c r="V1694">
        <f t="shared" si="1137"/>
        <v>5550</v>
      </c>
      <c r="W1694" s="28">
        <f t="shared" si="1138"/>
        <v>5.2371866463724728E-2</v>
      </c>
      <c r="X1694" s="27">
        <f t="shared" si="1139"/>
        <v>0.10474373292744946</v>
      </c>
      <c r="Y1694" s="5">
        <f t="shared" si="1140"/>
        <v>4.9012543477264874</v>
      </c>
      <c r="Z1694" s="5">
        <f t="shared" si="1141"/>
        <v>4.6573407213897937</v>
      </c>
      <c r="AA1694" s="5">
        <f t="shared" si="1142"/>
        <v>-479938.96133921825</v>
      </c>
      <c r="AB1694" t="s">
        <v>64</v>
      </c>
      <c r="AC1694" t="s">
        <v>62</v>
      </c>
      <c r="AD1694">
        <f t="shared" si="1143"/>
        <v>2</v>
      </c>
    </row>
    <row r="1695" spans="1:30" x14ac:dyDescent="0.35">
      <c r="A1695" t="s">
        <v>350</v>
      </c>
      <c r="B1695" t="s">
        <v>122</v>
      </c>
      <c r="C1695" s="36">
        <f t="shared" si="1131"/>
        <v>0.10343789994416382</v>
      </c>
      <c r="D1695" s="3">
        <f t="shared" si="1132"/>
        <v>0.10343789994416382</v>
      </c>
      <c r="F1695">
        <v>936.8</v>
      </c>
      <c r="G1695" t="s">
        <v>76</v>
      </c>
      <c r="H1695">
        <v>1000</v>
      </c>
      <c r="I1695" s="22"/>
      <c r="J1695">
        <v>51</v>
      </c>
      <c r="K1695" s="22"/>
      <c r="L1695">
        <v>11.0966552398377</v>
      </c>
      <c r="M1695" s="22">
        <v>9.3000000000000013E-2</v>
      </c>
      <c r="N1695" s="21">
        <v>44315</v>
      </c>
      <c r="O1695" s="21">
        <v>47967</v>
      </c>
      <c r="P1695">
        <f t="shared" si="1133"/>
        <v>10</v>
      </c>
      <c r="Q1695" s="6">
        <f t="shared" si="1134"/>
        <v>9.9274124679760906E-2</v>
      </c>
      <c r="R1695" s="5">
        <f t="shared" si="1135"/>
        <v>1</v>
      </c>
      <c r="S1695" t="s">
        <v>93</v>
      </c>
      <c r="U1695">
        <f t="shared" si="1136"/>
        <v>10</v>
      </c>
      <c r="V1695">
        <f t="shared" si="1137"/>
        <v>93.000000000000014</v>
      </c>
      <c r="W1695" s="28">
        <f t="shared" si="1138"/>
        <v>0.10343789994416382</v>
      </c>
      <c r="X1695" s="27">
        <f t="shared" si="1139"/>
        <v>0.10343789994416382</v>
      </c>
      <c r="Y1695" s="5">
        <f t="shared" si="1140"/>
        <v>6.8147557407441441</v>
      </c>
      <c r="Z1695" s="5">
        <f t="shared" si="1141"/>
        <v>6.1759304634080303</v>
      </c>
      <c r="AA1695" s="5">
        <f t="shared" si="1142"/>
        <v>-5785.6116581206425</v>
      </c>
      <c r="AB1695" t="s">
        <v>64</v>
      </c>
      <c r="AC1695" t="s">
        <v>62</v>
      </c>
      <c r="AD1695">
        <f t="shared" si="1143"/>
        <v>1</v>
      </c>
    </row>
    <row r="1696" spans="1:30" x14ac:dyDescent="0.35">
      <c r="A1696" t="s">
        <v>349</v>
      </c>
      <c r="B1696" t="s">
        <v>122</v>
      </c>
      <c r="C1696" s="36">
        <f t="shared" si="1131"/>
        <v>0.10025852362198652</v>
      </c>
      <c r="D1696" s="3">
        <f t="shared" si="1132"/>
        <v>0.10025852362198652</v>
      </c>
      <c r="F1696">
        <v>980</v>
      </c>
      <c r="G1696" t="s">
        <v>76</v>
      </c>
      <c r="H1696">
        <v>1000</v>
      </c>
      <c r="I1696" s="22"/>
      <c r="J1696">
        <v>51</v>
      </c>
      <c r="K1696" s="22"/>
      <c r="L1696">
        <v>10.2513263369864</v>
      </c>
      <c r="M1696" s="22">
        <v>9.6999999999999989E-2</v>
      </c>
      <c r="N1696" s="21">
        <v>44315</v>
      </c>
      <c r="O1696" s="21">
        <v>47967</v>
      </c>
      <c r="P1696">
        <f t="shared" si="1133"/>
        <v>10</v>
      </c>
      <c r="Q1696" s="6">
        <f t="shared" si="1134"/>
        <v>9.8979591836734673E-2</v>
      </c>
      <c r="R1696" s="5">
        <f t="shared" si="1135"/>
        <v>1</v>
      </c>
      <c r="S1696" t="s">
        <v>93</v>
      </c>
      <c r="U1696">
        <f t="shared" si="1136"/>
        <v>10</v>
      </c>
      <c r="V1696">
        <f t="shared" si="1137"/>
        <v>96.999999999999986</v>
      </c>
      <c r="W1696" s="28">
        <f t="shared" si="1138"/>
        <v>0.10025852362198652</v>
      </c>
      <c r="X1696" s="27">
        <f t="shared" si="1139"/>
        <v>0.10025852362198652</v>
      </c>
      <c r="Y1696" s="5">
        <f t="shared" si="1140"/>
        <v>6.7945290423331022</v>
      </c>
      <c r="Z1696" s="5">
        <f t="shared" si="1141"/>
        <v>6.1753932339155257</v>
      </c>
      <c r="AA1696" s="5">
        <f t="shared" si="1142"/>
        <v>-6051.8853692372149</v>
      </c>
      <c r="AB1696" t="s">
        <v>64</v>
      </c>
      <c r="AC1696" t="s">
        <v>62</v>
      </c>
      <c r="AD1696">
        <f t="shared" si="1143"/>
        <v>1</v>
      </c>
    </row>
    <row r="1697" spans="1:30" x14ac:dyDescent="0.35">
      <c r="A1697" t="s">
        <v>348</v>
      </c>
      <c r="B1697" t="s">
        <v>330</v>
      </c>
      <c r="C1697" s="36">
        <f t="shared" si="1131"/>
        <v>1.9706791809225181E-2</v>
      </c>
      <c r="D1697" s="3">
        <f t="shared" si="1132"/>
        <v>7.8827167236900725E-2</v>
      </c>
      <c r="F1697">
        <v>1006</v>
      </c>
      <c r="G1697" t="s">
        <v>76</v>
      </c>
      <c r="H1697">
        <v>1000</v>
      </c>
      <c r="I1697" s="22"/>
      <c r="J1697">
        <v>125</v>
      </c>
      <c r="K1697" s="22"/>
      <c r="M1697" s="22">
        <v>7.9699999999999993E-2</v>
      </c>
      <c r="N1697" s="21">
        <v>44322</v>
      </c>
      <c r="O1697" s="21">
        <v>47974</v>
      </c>
      <c r="P1697">
        <f t="shared" si="1133"/>
        <v>10</v>
      </c>
      <c r="Q1697" s="6">
        <f t="shared" si="1134"/>
        <v>7.9224652087475131E-2</v>
      </c>
      <c r="R1697" s="5">
        <f t="shared" si="1135"/>
        <v>4</v>
      </c>
      <c r="S1697" t="s">
        <v>105</v>
      </c>
      <c r="U1697">
        <f t="shared" si="1136"/>
        <v>40</v>
      </c>
      <c r="V1697">
        <f t="shared" si="1137"/>
        <v>19.924999999999997</v>
      </c>
      <c r="W1697" s="28">
        <f t="shared" si="1138"/>
        <v>1.9706791809225181E-2</v>
      </c>
      <c r="X1697" s="27">
        <f t="shared" si="1139"/>
        <v>7.8827167236900725E-2</v>
      </c>
      <c r="Y1697" s="5">
        <f t="shared" si="1140"/>
        <v>6.9945580455051966</v>
      </c>
      <c r="Z1697" s="5">
        <f t="shared" si="1141"/>
        <v>6.8593816395937024</v>
      </c>
      <c r="AA1697" s="5">
        <f t="shared" si="1142"/>
        <v>-6900.5379294312643</v>
      </c>
      <c r="AB1697" t="s">
        <v>64</v>
      </c>
      <c r="AC1697" t="s">
        <v>62</v>
      </c>
      <c r="AD1697">
        <f t="shared" si="1143"/>
        <v>4</v>
      </c>
    </row>
    <row r="1698" spans="1:30" x14ac:dyDescent="0.35">
      <c r="A1698" t="s">
        <v>347</v>
      </c>
      <c r="B1698" t="s">
        <v>330</v>
      </c>
      <c r="C1698" s="36">
        <f t="shared" si="1131"/>
        <v>7.8739960805111447E-2</v>
      </c>
      <c r="D1698" s="3">
        <f t="shared" si="1132"/>
        <v>7.8739960805111447E-2</v>
      </c>
      <c r="F1698">
        <v>1022</v>
      </c>
      <c r="G1698" t="s">
        <v>76</v>
      </c>
      <c r="H1698">
        <v>1000</v>
      </c>
      <c r="I1698" s="22"/>
      <c r="J1698">
        <v>507</v>
      </c>
      <c r="K1698" s="22"/>
      <c r="L1698">
        <v>7.6519872497721497</v>
      </c>
      <c r="M1698" s="22">
        <v>8.199999999999999E-2</v>
      </c>
      <c r="N1698" s="21">
        <v>44322</v>
      </c>
      <c r="O1698" s="21">
        <v>47974</v>
      </c>
      <c r="P1698">
        <f t="shared" si="1133"/>
        <v>10</v>
      </c>
      <c r="Q1698" s="6">
        <f t="shared" si="1134"/>
        <v>8.0234833659491175E-2</v>
      </c>
      <c r="R1698" s="5">
        <f t="shared" si="1135"/>
        <v>1</v>
      </c>
      <c r="S1698" t="s">
        <v>93</v>
      </c>
      <c r="U1698">
        <f t="shared" si="1136"/>
        <v>10</v>
      </c>
      <c r="V1698">
        <f t="shared" si="1137"/>
        <v>81.999999999999986</v>
      </c>
      <c r="W1698" s="28">
        <f t="shared" si="1138"/>
        <v>7.8739960805111447E-2</v>
      </c>
      <c r="X1698" s="27">
        <f t="shared" si="1139"/>
        <v>7.8739960805111447E-2</v>
      </c>
      <c r="Y1698" s="5">
        <f t="shared" si="1140"/>
        <v>7.228108990185139</v>
      </c>
      <c r="Z1698" s="5">
        <f t="shared" si="1141"/>
        <v>6.7005110154540688</v>
      </c>
      <c r="AA1698" s="5">
        <f t="shared" si="1142"/>
        <v>-6847.9222577940582</v>
      </c>
      <c r="AB1698" t="s">
        <v>64</v>
      </c>
      <c r="AC1698" t="s">
        <v>62</v>
      </c>
      <c r="AD1698">
        <f t="shared" si="1143"/>
        <v>1</v>
      </c>
    </row>
    <row r="1699" spans="1:30" x14ac:dyDescent="0.35">
      <c r="C1699" s="28"/>
      <c r="D1699" s="27"/>
      <c r="I1699" s="22"/>
      <c r="K1699" s="22"/>
      <c r="M1699" s="22"/>
      <c r="N1699" s="21"/>
      <c r="O1699" s="21"/>
      <c r="P1699" s="5"/>
      <c r="Q1699" s="6"/>
      <c r="R1699" s="5"/>
      <c r="W1699" s="28"/>
      <c r="Y1699" s="33"/>
      <c r="Z1699" s="33"/>
      <c r="AA1699" s="33"/>
    </row>
    <row r="1700" spans="1:30" x14ac:dyDescent="0.35">
      <c r="A1700" t="s">
        <v>345</v>
      </c>
      <c r="B1700" t="s">
        <v>343</v>
      </c>
      <c r="C1700" s="36">
        <f>RATE(U1700,V1700,-F1700,H1700)</f>
        <v>2.5945081772481445E-2</v>
      </c>
      <c r="D1700" s="3">
        <f>C1700*AD1700</f>
        <v>5.189016354496289E-2</v>
      </c>
      <c r="F1700">
        <v>917.8</v>
      </c>
      <c r="G1700" t="s">
        <v>66</v>
      </c>
      <c r="H1700">
        <v>1000</v>
      </c>
      <c r="I1700" s="22"/>
      <c r="J1700">
        <v>0</v>
      </c>
      <c r="K1700" s="22"/>
      <c r="M1700" s="22">
        <v>4.1250000000000002E-2</v>
      </c>
      <c r="N1700" s="21">
        <v>44334</v>
      </c>
      <c r="O1700" s="21">
        <v>47986</v>
      </c>
      <c r="P1700">
        <f>ROUND(YEARFRAC(N1700,O1700),0)</f>
        <v>10</v>
      </c>
      <c r="Q1700" s="6">
        <f>(M1700*H1700)/F1700</f>
        <v>4.4944432338200044E-2</v>
      </c>
      <c r="R1700" s="5">
        <f>IF(S1700="Quarterly",4,IF(S1700="Semi-annual",2,IF(S1700="Annual",1,IF(S1700="Pays at maturity",0,12))))</f>
        <v>2</v>
      </c>
      <c r="S1700" t="s">
        <v>65</v>
      </c>
      <c r="U1700">
        <f>R1700*P1700</f>
        <v>20</v>
      </c>
      <c r="V1700">
        <f>(H1700*M1700)/AD1700</f>
        <v>20.625</v>
      </c>
      <c r="W1700" s="28">
        <f>RATE(U1700,V1700,-F1700,H1700)</f>
        <v>2.5945081772481445E-2</v>
      </c>
      <c r="X1700" s="27">
        <f>W1700*AD1700</f>
        <v>5.189016354496289E-2</v>
      </c>
      <c r="Y1700" s="5">
        <f>DURATION(N1700,O1700,M1700,D1700,AD1700)</f>
        <v>8.2035124075842045</v>
      </c>
      <c r="Z1700" s="5">
        <f>Y1700/(1+C1700)</f>
        <v>7.9960541293412586</v>
      </c>
      <c r="AA1700" s="5">
        <f>-Z1700*F1700</f>
        <v>-7338.778479909407</v>
      </c>
      <c r="AB1700" t="s">
        <v>69</v>
      </c>
      <c r="AC1700" t="s">
        <v>62</v>
      </c>
      <c r="AD1700">
        <f>_xlfn.SWITCH(PROPER(TRIM(S1700)),
   "Annual",1,
   "Semi-Annual",2,
   "Quarterly",4,
   "Monthly",12,
   "")</f>
        <v>2</v>
      </c>
    </row>
    <row r="1701" spans="1:30" x14ac:dyDescent="0.35">
      <c r="A1701" t="s">
        <v>344</v>
      </c>
      <c r="B1701" t="s">
        <v>343</v>
      </c>
      <c r="C1701" s="36">
        <f>RATE(U1701,V1701,-F1701,H1701)</f>
        <v>2.5625839700873895E-2</v>
      </c>
      <c r="D1701" s="3">
        <f>C1701*AD1701</f>
        <v>5.1251679401747789E-2</v>
      </c>
      <c r="F1701">
        <v>922.5</v>
      </c>
      <c r="G1701" t="s">
        <v>66</v>
      </c>
      <c r="H1701">
        <v>1000</v>
      </c>
      <c r="I1701" s="22"/>
      <c r="J1701">
        <v>2000000</v>
      </c>
      <c r="K1701" s="22"/>
      <c r="M1701" s="22">
        <v>4.1250000000000002E-2</v>
      </c>
      <c r="N1701" s="21">
        <v>44334</v>
      </c>
      <c r="O1701" s="21">
        <v>47986</v>
      </c>
      <c r="P1701">
        <f>ROUND(YEARFRAC(N1701,O1701),0)</f>
        <v>10</v>
      </c>
      <c r="Q1701" s="6">
        <f>(M1701*H1701)/F1701</f>
        <v>4.4715447154471545E-2</v>
      </c>
      <c r="R1701" s="5">
        <f>IF(S1701="Quarterly",4,IF(S1701="Semi-annual",2,IF(S1701="Annual",1,IF(S1701="Pays at maturity",0,12))))</f>
        <v>2</v>
      </c>
      <c r="S1701" t="s">
        <v>65</v>
      </c>
      <c r="U1701">
        <f>R1701*P1701</f>
        <v>20</v>
      </c>
      <c r="V1701">
        <f>(H1701*M1701)/AD1701</f>
        <v>20.625</v>
      </c>
      <c r="W1701" s="28">
        <f>RATE(U1701,V1701,-F1701,H1701)</f>
        <v>2.5625839700873895E-2</v>
      </c>
      <c r="X1701" s="27">
        <f>W1701*AD1701</f>
        <v>5.1251679401747789E-2</v>
      </c>
      <c r="Y1701" s="5">
        <f>DURATION(N1701,O1701,M1701,D1701,AD1701)</f>
        <v>8.20905503991799</v>
      </c>
      <c r="Z1701" s="5">
        <f>Y1701/(1+C1701)</f>
        <v>8.003947172696213</v>
      </c>
      <c r="AA1701" s="5">
        <f>-Z1701*F1701</f>
        <v>-7383.6412668122566</v>
      </c>
      <c r="AB1701" t="s">
        <v>69</v>
      </c>
      <c r="AC1701" t="s">
        <v>62</v>
      </c>
      <c r="AD1701">
        <f>_xlfn.SWITCH(PROPER(TRIM(S1701)),
   "Annual",1,
   "Semi-Annual",2,
   "Quarterly",4,
   "Monthly",12,
   "")</f>
        <v>2</v>
      </c>
    </row>
    <row r="1702" spans="1:30" x14ac:dyDescent="0.35">
      <c r="C1702" s="28"/>
      <c r="D1702" s="27"/>
      <c r="I1702" s="22"/>
      <c r="K1702" s="22"/>
      <c r="M1702" s="22"/>
      <c r="N1702" s="21"/>
      <c r="O1702" s="21"/>
      <c r="P1702" s="5"/>
      <c r="Q1702" s="6"/>
      <c r="R1702" s="5"/>
      <c r="W1702" s="28"/>
      <c r="Y1702" s="33"/>
      <c r="Z1702" s="33"/>
      <c r="AA1702" s="33"/>
    </row>
    <row r="1703" spans="1:30" x14ac:dyDescent="0.35">
      <c r="A1703" t="s">
        <v>341</v>
      </c>
      <c r="B1703" t="s">
        <v>241</v>
      </c>
      <c r="C1703" s="36">
        <f>RATE(U1703,V1703,-F1703,H1703)</f>
        <v>9.5500000000000293E-2</v>
      </c>
      <c r="D1703" s="3">
        <f>C1703*AD1703</f>
        <v>9.5500000000000293E-2</v>
      </c>
      <c r="F1703">
        <v>1000</v>
      </c>
      <c r="G1703" t="s">
        <v>76</v>
      </c>
      <c r="H1703">
        <v>1000</v>
      </c>
      <c r="I1703" s="22"/>
      <c r="J1703">
        <v>142</v>
      </c>
      <c r="K1703" s="22"/>
      <c r="L1703">
        <v>9.5500000000000007</v>
      </c>
      <c r="M1703" s="22">
        <v>9.5500000000000002E-2</v>
      </c>
      <c r="N1703" s="21">
        <v>45796</v>
      </c>
      <c r="O1703" s="21">
        <v>47987</v>
      </c>
      <c r="P1703">
        <f>ROUND(YEARFRAC(N1703,O1703),0)</f>
        <v>6</v>
      </c>
      <c r="Q1703" s="6">
        <f>(M1703*H1703)/F1703</f>
        <v>9.5500000000000002E-2</v>
      </c>
      <c r="R1703" s="5">
        <f>IF(S1703="Quarterly",4,IF(S1703="Semi-annual",2,IF(S1703="Annual",1,IF(S1703="Pays at maturity",0,12))))</f>
        <v>1</v>
      </c>
      <c r="S1703" t="s">
        <v>93</v>
      </c>
      <c r="U1703">
        <f>R1703*P1703</f>
        <v>6</v>
      </c>
      <c r="V1703">
        <f>(H1703*M1703)/AD1703</f>
        <v>95.5</v>
      </c>
      <c r="W1703" s="28">
        <f>RATE(U1703,V1703,-F1703,H1703)</f>
        <v>9.5500000000000293E-2</v>
      </c>
      <c r="X1703" s="27">
        <f>W1703*AD1703</f>
        <v>9.5500000000000293E-2</v>
      </c>
      <c r="Y1703" s="5">
        <f>DURATION(N1703,O1703,M1703,D1703,AD1703)</f>
        <v>4.8347711162883069</v>
      </c>
      <c r="Z1703" s="5">
        <f>Y1703/(1+C1703)</f>
        <v>4.4133008820523099</v>
      </c>
      <c r="AA1703" s="5">
        <f>-Z1703*F1703</f>
        <v>-4413.30088205231</v>
      </c>
      <c r="AB1703" t="s">
        <v>64</v>
      </c>
      <c r="AC1703" t="s">
        <v>62</v>
      </c>
      <c r="AD1703">
        <f>_xlfn.SWITCH(PROPER(TRIM(S1703)),
   "Annual",1,
   "Semi-Annual",2,
   "Quarterly",4,
   "Monthly",12,
   "")</f>
        <v>1</v>
      </c>
    </row>
    <row r="1704" spans="1:30" x14ac:dyDescent="0.35">
      <c r="A1704" t="s">
        <v>340</v>
      </c>
      <c r="B1704" t="s">
        <v>241</v>
      </c>
      <c r="C1704" s="36">
        <f>RATE(U1704,V1704,-F1704,H1704)</f>
        <v>9.4487775690710041E-2</v>
      </c>
      <c r="D1704" s="3">
        <f>C1704*AD1704</f>
        <v>9.4487775690710041E-2</v>
      </c>
      <c r="F1704">
        <v>1024.4000000000001</v>
      </c>
      <c r="G1704" t="s">
        <v>76</v>
      </c>
      <c r="H1704">
        <v>1000</v>
      </c>
      <c r="I1704" s="22"/>
      <c r="J1704">
        <v>121</v>
      </c>
      <c r="K1704" s="22"/>
      <c r="L1704">
        <v>9.3553662765045207</v>
      </c>
      <c r="M1704" s="22">
        <v>0.1</v>
      </c>
      <c r="N1704" s="21">
        <v>45796</v>
      </c>
      <c r="O1704" s="21">
        <v>47987</v>
      </c>
      <c r="P1704">
        <f>ROUND(YEARFRAC(N1704,O1704),0)</f>
        <v>6</v>
      </c>
      <c r="Q1704" s="6">
        <f>(M1704*H1704)/F1704</f>
        <v>9.7618117922686445E-2</v>
      </c>
      <c r="R1704" s="5">
        <f>IF(S1704="Quarterly",4,IF(S1704="Semi-annual",2,IF(S1704="Annual",1,IF(S1704="Pays at maturity",0,12))))</f>
        <v>1</v>
      </c>
      <c r="S1704" t="s">
        <v>93</v>
      </c>
      <c r="U1704">
        <f>R1704*P1704</f>
        <v>6</v>
      </c>
      <c r="V1704">
        <f>(H1704*M1704)/AD1704</f>
        <v>100</v>
      </c>
      <c r="W1704" s="28">
        <f>RATE(U1704,V1704,-F1704,H1704)</f>
        <v>9.4487775690710041E-2</v>
      </c>
      <c r="X1704" s="27">
        <f>W1704*AD1704</f>
        <v>9.4487775690710041E-2</v>
      </c>
      <c r="Y1704" s="5">
        <f>DURATION(N1704,O1704,M1704,D1704,AD1704)</f>
        <v>4.8065057062534304</v>
      </c>
      <c r="Z1704" s="5">
        <f>Y1704/(1+C1704)</f>
        <v>4.3915572316192728</v>
      </c>
      <c r="AA1704" s="5">
        <f>-Z1704*F1704</f>
        <v>-4498.7112280707834</v>
      </c>
      <c r="AB1704" t="s">
        <v>64</v>
      </c>
      <c r="AC1704" t="s">
        <v>62</v>
      </c>
      <c r="AD1704">
        <f>_xlfn.SWITCH(PROPER(TRIM(S1704)),
   "Annual",1,
   "Semi-Annual",2,
   "Quarterly",4,
   "Monthly",12,
   "")</f>
        <v>1</v>
      </c>
    </row>
    <row r="1705" spans="1:30" x14ac:dyDescent="0.35">
      <c r="C1705" s="28"/>
      <c r="D1705" s="27"/>
      <c r="I1705" s="22"/>
      <c r="K1705" s="22"/>
      <c r="M1705" s="22"/>
      <c r="N1705" s="21"/>
      <c r="O1705" s="21"/>
      <c r="P1705" s="5"/>
      <c r="Q1705" s="6"/>
      <c r="R1705" s="5"/>
      <c r="W1705" s="28"/>
      <c r="Y1705" s="33"/>
      <c r="Z1705" s="33"/>
      <c r="AA1705" s="33"/>
    </row>
    <row r="1706" spans="1:30" x14ac:dyDescent="0.35">
      <c r="A1706" t="s">
        <v>337</v>
      </c>
      <c r="B1706" t="s">
        <v>249</v>
      </c>
      <c r="C1706" s="36">
        <f t="shared" ref="C1706:C1712" si="1144">RATE(U1706,V1706,-F1706,H1706)</f>
        <v>2.2260468752597757E-2</v>
      </c>
      <c r="D1706" s="3">
        <f t="shared" ref="D1706:D1712" si="1145">C1706*AD1706</f>
        <v>8.9041875010391028E-2</v>
      </c>
      <c r="F1706">
        <v>1044000</v>
      </c>
      <c r="G1706" t="s">
        <v>76</v>
      </c>
      <c r="H1706">
        <v>1000000</v>
      </c>
      <c r="I1706" s="22"/>
      <c r="J1706">
        <v>2</v>
      </c>
      <c r="K1706" s="22"/>
      <c r="M1706" s="22">
        <v>9.6199999999999994E-2</v>
      </c>
      <c r="N1706" s="21">
        <v>44726</v>
      </c>
      <c r="O1706" s="21">
        <v>47998</v>
      </c>
      <c r="P1706">
        <f t="shared" ref="P1706:P1712" si="1146">ROUND(YEARFRAC(N1706,O1706),0)</f>
        <v>9</v>
      </c>
      <c r="Q1706" s="6">
        <f t="shared" ref="Q1706:Q1712" si="1147">(M1706*H1706)/F1706</f>
        <v>9.2145593869731798E-2</v>
      </c>
      <c r="R1706" s="5">
        <f t="shared" ref="R1706:R1712" si="1148">IF(S1706="Quarterly",4,IF(S1706="Semi-annual",2,IF(S1706="Annual",1,IF(S1706="Pays at maturity",0,12))))</f>
        <v>4</v>
      </c>
      <c r="S1706" t="s">
        <v>105</v>
      </c>
      <c r="U1706">
        <f t="shared" ref="U1706:U1712" si="1149">R1706*P1706</f>
        <v>36</v>
      </c>
      <c r="V1706">
        <f t="shared" ref="V1706:V1712" si="1150">(H1706*M1706)/AD1706</f>
        <v>24050</v>
      </c>
      <c r="W1706" s="28">
        <f t="shared" ref="W1706:W1712" si="1151">RATE(U1706,V1706,-F1706,H1706)</f>
        <v>2.2260468752597757E-2</v>
      </c>
      <c r="X1706" s="27">
        <f t="shared" ref="X1706:X1712" si="1152">W1706*AD1706</f>
        <v>8.9041875010391028E-2</v>
      </c>
      <c r="Y1706" s="5">
        <f t="shared" ref="Y1706:Y1712" si="1153">DURATION(N1706,O1706,M1706,D1706,AD1706)</f>
        <v>6.1501223245482421</v>
      </c>
      <c r="Z1706" s="5">
        <f t="shared" ref="Z1706:Z1712" si="1154">Y1706/(1+C1706)</f>
        <v>6.0161989165568164</v>
      </c>
      <c r="AA1706" s="5">
        <f t="shared" ref="AA1706:AA1712" si="1155">-Z1706*F1706</f>
        <v>-6280911.6688853167</v>
      </c>
      <c r="AB1706" t="s">
        <v>64</v>
      </c>
      <c r="AC1706" t="s">
        <v>62</v>
      </c>
      <c r="AD1706">
        <f t="shared" ref="AD1706:AD1712" si="1156">_xlfn.SWITCH(PROPER(TRIM(S1706)),
   "Annual",1,
   "Semi-Annual",2,
   "Quarterly",4,
   "Monthly",12,
   "")</f>
        <v>4</v>
      </c>
    </row>
    <row r="1707" spans="1:30" x14ac:dyDescent="0.35">
      <c r="A1707" t="s">
        <v>336</v>
      </c>
      <c r="B1707" t="s">
        <v>128</v>
      </c>
      <c r="C1707" s="36">
        <f t="shared" si="1144"/>
        <v>0.11809610548565952</v>
      </c>
      <c r="D1707" s="3">
        <f t="shared" si="1145"/>
        <v>0.11809610548565952</v>
      </c>
      <c r="F1707">
        <v>939.87</v>
      </c>
      <c r="G1707" t="s">
        <v>76</v>
      </c>
      <c r="H1707">
        <v>1000</v>
      </c>
      <c r="I1707" s="22"/>
      <c r="J1707">
        <v>6</v>
      </c>
      <c r="K1707" s="22"/>
      <c r="L1707">
        <v>12.235611123750299</v>
      </c>
      <c r="M1707" s="22">
        <v>0.105</v>
      </c>
      <c r="N1707" s="21">
        <v>45443</v>
      </c>
      <c r="O1707" s="21">
        <v>47999</v>
      </c>
      <c r="P1707">
        <f t="shared" si="1146"/>
        <v>7</v>
      </c>
      <c r="Q1707" s="6">
        <f t="shared" si="1147"/>
        <v>0.11171757796290976</v>
      </c>
      <c r="R1707" s="5">
        <f t="shared" si="1148"/>
        <v>1</v>
      </c>
      <c r="S1707" t="s">
        <v>93</v>
      </c>
      <c r="U1707">
        <f t="shared" si="1149"/>
        <v>7</v>
      </c>
      <c r="V1707">
        <f t="shared" si="1150"/>
        <v>105</v>
      </c>
      <c r="W1707" s="28">
        <f t="shared" si="1151"/>
        <v>0.11809610548565952</v>
      </c>
      <c r="X1707" s="27">
        <f t="shared" si="1152"/>
        <v>0.11809610548565952</v>
      </c>
      <c r="Y1707" s="5">
        <f t="shared" si="1153"/>
        <v>5.2344754886659359</v>
      </c>
      <c r="Z1707" s="5">
        <f t="shared" si="1154"/>
        <v>4.6815971033118604</v>
      </c>
      <c r="AA1707" s="5">
        <f t="shared" si="1155"/>
        <v>-4400.092669489718</v>
      </c>
      <c r="AB1707" t="s">
        <v>64</v>
      </c>
      <c r="AC1707" t="s">
        <v>62</v>
      </c>
      <c r="AD1707">
        <f t="shared" si="1156"/>
        <v>1</v>
      </c>
    </row>
    <row r="1708" spans="1:30" x14ac:dyDescent="0.35">
      <c r="A1708" t="s">
        <v>335</v>
      </c>
      <c r="B1708" t="s">
        <v>128</v>
      </c>
      <c r="C1708" s="36">
        <f t="shared" si="1144"/>
        <v>0.10897194599177563</v>
      </c>
      <c r="D1708" s="3">
        <f t="shared" si="1145"/>
        <v>0.10897194599177563</v>
      </c>
      <c r="F1708">
        <v>959</v>
      </c>
      <c r="G1708" t="s">
        <v>76</v>
      </c>
      <c r="H1708">
        <v>1000</v>
      </c>
      <c r="I1708" s="22"/>
      <c r="J1708">
        <v>18</v>
      </c>
      <c r="K1708" s="22"/>
      <c r="L1708">
        <v>11.1585779282417</v>
      </c>
      <c r="M1708" s="22">
        <v>0.1003</v>
      </c>
      <c r="N1708" s="21">
        <v>45443</v>
      </c>
      <c r="O1708" s="21">
        <v>47999</v>
      </c>
      <c r="P1708">
        <f t="shared" si="1146"/>
        <v>7</v>
      </c>
      <c r="Q1708" s="6">
        <f t="shared" si="1147"/>
        <v>0.1045881126173097</v>
      </c>
      <c r="R1708" s="5">
        <f t="shared" si="1148"/>
        <v>1</v>
      </c>
      <c r="S1708" t="s">
        <v>93</v>
      </c>
      <c r="U1708">
        <f t="shared" si="1149"/>
        <v>7</v>
      </c>
      <c r="V1708">
        <f t="shared" si="1150"/>
        <v>100.3</v>
      </c>
      <c r="W1708" s="28">
        <f t="shared" si="1151"/>
        <v>0.10897194599177563</v>
      </c>
      <c r="X1708" s="27">
        <f t="shared" si="1152"/>
        <v>0.10897194599177563</v>
      </c>
      <c r="Y1708" s="5">
        <f t="shared" si="1153"/>
        <v>5.3137749984280447</v>
      </c>
      <c r="Z1708" s="5">
        <f t="shared" si="1154"/>
        <v>4.7916225632523366</v>
      </c>
      <c r="AA1708" s="5">
        <f t="shared" si="1155"/>
        <v>-4595.1660381589909</v>
      </c>
      <c r="AB1708" t="s">
        <v>64</v>
      </c>
      <c r="AC1708" t="s">
        <v>62</v>
      </c>
      <c r="AD1708">
        <f t="shared" si="1156"/>
        <v>1</v>
      </c>
    </row>
    <row r="1709" spans="1:30" x14ac:dyDescent="0.35">
      <c r="A1709" t="s">
        <v>334</v>
      </c>
      <c r="B1709" t="s">
        <v>332</v>
      </c>
      <c r="C1709" s="36">
        <f t="shared" si="1144"/>
        <v>2.1147410008751293E-2</v>
      </c>
      <c r="D1709" s="3">
        <f t="shared" si="1145"/>
        <v>4.2294820017502587E-2</v>
      </c>
      <c r="F1709">
        <v>920.8</v>
      </c>
      <c r="G1709" t="s">
        <v>66</v>
      </c>
      <c r="H1709">
        <v>1000</v>
      </c>
      <c r="I1709" s="22"/>
      <c r="J1709">
        <v>0</v>
      </c>
      <c r="K1709" s="22"/>
      <c r="M1709" s="22">
        <v>3.2500000000000001E-2</v>
      </c>
      <c r="N1709" s="21">
        <v>44258</v>
      </c>
      <c r="O1709" s="21">
        <v>48002</v>
      </c>
      <c r="P1709">
        <f t="shared" si="1146"/>
        <v>10</v>
      </c>
      <c r="Q1709" s="6">
        <f t="shared" si="1147"/>
        <v>3.5295395308427457E-2</v>
      </c>
      <c r="R1709" s="5">
        <f t="shared" si="1148"/>
        <v>2</v>
      </c>
      <c r="S1709" t="s">
        <v>65</v>
      </c>
      <c r="U1709">
        <f t="shared" si="1149"/>
        <v>20</v>
      </c>
      <c r="V1709">
        <f t="shared" si="1150"/>
        <v>16.25</v>
      </c>
      <c r="W1709" s="28">
        <f t="shared" si="1151"/>
        <v>2.1147410008751293E-2</v>
      </c>
      <c r="X1709" s="27">
        <f t="shared" si="1152"/>
        <v>4.2294820017502587E-2</v>
      </c>
      <c r="Y1709" s="5">
        <f t="shared" si="1153"/>
        <v>8.6471791742478317</v>
      </c>
      <c r="Z1709" s="5">
        <f t="shared" si="1154"/>
        <v>8.4681007751600976</v>
      </c>
      <c r="AA1709" s="5">
        <f t="shared" si="1155"/>
        <v>-7797.4271937674175</v>
      </c>
      <c r="AB1709" t="s">
        <v>69</v>
      </c>
      <c r="AC1709" t="s">
        <v>62</v>
      </c>
      <c r="AD1709">
        <f t="shared" si="1156"/>
        <v>2</v>
      </c>
    </row>
    <row r="1710" spans="1:30" x14ac:dyDescent="0.35">
      <c r="A1710" t="s">
        <v>333</v>
      </c>
      <c r="B1710" t="s">
        <v>332</v>
      </c>
      <c r="C1710" s="36">
        <f t="shared" si="1144"/>
        <v>2.1284505808781912E-2</v>
      </c>
      <c r="D1710" s="3">
        <f t="shared" si="1145"/>
        <v>4.2569011617563823E-2</v>
      </c>
      <c r="F1710">
        <v>918.69</v>
      </c>
      <c r="G1710" t="s">
        <v>66</v>
      </c>
      <c r="H1710">
        <v>1000</v>
      </c>
      <c r="I1710" s="22"/>
      <c r="J1710">
        <v>200000</v>
      </c>
      <c r="K1710" s="22"/>
      <c r="M1710" s="22">
        <v>3.2500000000000001E-2</v>
      </c>
      <c r="N1710" s="21">
        <v>44258</v>
      </c>
      <c r="O1710" s="21">
        <v>48002</v>
      </c>
      <c r="P1710">
        <f t="shared" si="1146"/>
        <v>10</v>
      </c>
      <c r="Q1710" s="6">
        <f t="shared" si="1147"/>
        <v>3.5376459959289855E-2</v>
      </c>
      <c r="R1710" s="5">
        <f t="shared" si="1148"/>
        <v>2</v>
      </c>
      <c r="S1710" t="s">
        <v>65</v>
      </c>
      <c r="U1710">
        <f t="shared" si="1149"/>
        <v>20</v>
      </c>
      <c r="V1710">
        <f t="shared" si="1150"/>
        <v>16.25</v>
      </c>
      <c r="W1710" s="28">
        <f t="shared" si="1151"/>
        <v>2.1284505808781912E-2</v>
      </c>
      <c r="X1710" s="27">
        <f t="shared" si="1152"/>
        <v>4.2569011617563823E-2</v>
      </c>
      <c r="Y1710" s="5">
        <f t="shared" si="1153"/>
        <v>8.644825208159439</v>
      </c>
      <c r="Z1710" s="5">
        <f t="shared" si="1154"/>
        <v>8.4646591219097918</v>
      </c>
      <c r="AA1710" s="5">
        <f t="shared" si="1155"/>
        <v>-7776.3976887073068</v>
      </c>
      <c r="AB1710" t="s">
        <v>69</v>
      </c>
      <c r="AC1710" t="s">
        <v>62</v>
      </c>
      <c r="AD1710">
        <f t="shared" si="1156"/>
        <v>2</v>
      </c>
    </row>
    <row r="1711" spans="1:30" x14ac:dyDescent="0.35">
      <c r="A1711" t="s">
        <v>331</v>
      </c>
      <c r="B1711" t="s">
        <v>330</v>
      </c>
      <c r="C1711" s="36">
        <f t="shared" si="1144"/>
        <v>2.0390808034075118E-2</v>
      </c>
      <c r="D1711" s="3">
        <f t="shared" si="1145"/>
        <v>8.156323213630047E-2</v>
      </c>
      <c r="F1711">
        <v>943195</v>
      </c>
      <c r="G1711" t="s">
        <v>76</v>
      </c>
      <c r="H1711">
        <v>1000000</v>
      </c>
      <c r="I1711" s="22"/>
      <c r="J1711">
        <v>1</v>
      </c>
      <c r="K1711" s="22"/>
      <c r="M1711" s="22">
        <v>7.3200000000000001E-2</v>
      </c>
      <c r="N1711" s="21">
        <v>44375</v>
      </c>
      <c r="O1711" s="21">
        <v>48026</v>
      </c>
      <c r="P1711">
        <f t="shared" si="1146"/>
        <v>10</v>
      </c>
      <c r="Q1711" s="6">
        <f t="shared" si="1147"/>
        <v>7.7608553904547836E-2</v>
      </c>
      <c r="R1711" s="5">
        <f t="shared" si="1148"/>
        <v>4</v>
      </c>
      <c r="S1711" t="s">
        <v>105</v>
      </c>
      <c r="U1711">
        <f t="shared" si="1149"/>
        <v>40</v>
      </c>
      <c r="V1711">
        <f t="shared" si="1150"/>
        <v>18300</v>
      </c>
      <c r="W1711" s="28">
        <f t="shared" si="1151"/>
        <v>2.0390808034075118E-2</v>
      </c>
      <c r="X1711" s="27">
        <f t="shared" si="1152"/>
        <v>8.156323213630047E-2</v>
      </c>
      <c r="Y1711" s="5">
        <f t="shared" si="1153"/>
        <v>7.0767685171739618</v>
      </c>
      <c r="Z1711" s="5">
        <f t="shared" si="1154"/>
        <v>6.9353511041601221</v>
      </c>
      <c r="AA1711" s="5">
        <f t="shared" si="1155"/>
        <v>-6541388.4846883062</v>
      </c>
      <c r="AB1711" t="s">
        <v>64</v>
      </c>
      <c r="AC1711" t="s">
        <v>62</v>
      </c>
      <c r="AD1711">
        <f t="shared" si="1156"/>
        <v>4</v>
      </c>
    </row>
    <row r="1712" spans="1:30" x14ac:dyDescent="0.35">
      <c r="A1712" t="s">
        <v>329</v>
      </c>
      <c r="B1712" t="s">
        <v>328</v>
      </c>
      <c r="C1712" s="36">
        <f t="shared" si="1144"/>
        <v>2.5484250804752039E-2</v>
      </c>
      <c r="D1712" s="3">
        <f t="shared" si="1145"/>
        <v>0.10193700321900816</v>
      </c>
      <c r="F1712">
        <v>104000</v>
      </c>
      <c r="G1712" t="s">
        <v>76</v>
      </c>
      <c r="H1712">
        <v>100000</v>
      </c>
      <c r="I1712" s="22"/>
      <c r="J1712">
        <v>1</v>
      </c>
      <c r="K1712" s="22"/>
      <c r="M1712" s="22">
        <v>0.11</v>
      </c>
      <c r="N1712" s="21">
        <v>45471</v>
      </c>
      <c r="O1712" s="21">
        <v>48027</v>
      </c>
      <c r="P1712">
        <f t="shared" si="1146"/>
        <v>7</v>
      </c>
      <c r="Q1712" s="6">
        <f t="shared" si="1147"/>
        <v>0.10576923076923077</v>
      </c>
      <c r="R1712" s="5">
        <f t="shared" si="1148"/>
        <v>4</v>
      </c>
      <c r="S1712" t="s">
        <v>105</v>
      </c>
      <c r="U1712">
        <f t="shared" si="1149"/>
        <v>28</v>
      </c>
      <c r="V1712">
        <f t="shared" si="1150"/>
        <v>2750</v>
      </c>
      <c r="W1712" s="28">
        <f t="shared" si="1151"/>
        <v>2.5484250804752039E-2</v>
      </c>
      <c r="X1712" s="27">
        <f t="shared" si="1152"/>
        <v>0.10193700321900816</v>
      </c>
      <c r="Y1712" s="5">
        <f t="shared" si="1153"/>
        <v>5.015456415638476</v>
      </c>
      <c r="Z1712" s="5">
        <f t="shared" si="1154"/>
        <v>4.8908175934467835</v>
      </c>
      <c r="AA1712" s="5">
        <f t="shared" si="1155"/>
        <v>-508645.02971846546</v>
      </c>
      <c r="AB1712" t="s">
        <v>69</v>
      </c>
      <c r="AC1712" t="s">
        <v>62</v>
      </c>
      <c r="AD1712">
        <f t="shared" si="1156"/>
        <v>4</v>
      </c>
    </row>
    <row r="1713" spans="1:30" x14ac:dyDescent="0.35">
      <c r="C1713" s="28"/>
      <c r="D1713" s="27"/>
      <c r="I1713" s="22"/>
      <c r="K1713" s="22"/>
      <c r="M1713" s="22"/>
      <c r="N1713" s="21"/>
      <c r="O1713" s="21"/>
      <c r="P1713" s="5"/>
      <c r="Q1713" s="6"/>
      <c r="R1713" s="5"/>
      <c r="W1713" s="28"/>
      <c r="Y1713" s="33"/>
      <c r="Z1713" s="33"/>
      <c r="AA1713" s="33"/>
    </row>
    <row r="1714" spans="1:30" x14ac:dyDescent="0.35">
      <c r="A1714" t="s">
        <v>325</v>
      </c>
      <c r="B1714" t="s">
        <v>324</v>
      </c>
      <c r="C1714" s="36">
        <f>RATE(U1714,V1714,-F1714,H1714)</f>
        <v>7.1058761007433413E-2</v>
      </c>
      <c r="D1714" s="3">
        <f>C1714*AD1714</f>
        <v>7.1058761007433413E-2</v>
      </c>
      <c r="F1714">
        <v>1097440</v>
      </c>
      <c r="G1714" t="s">
        <v>76</v>
      </c>
      <c r="H1714">
        <v>1000000</v>
      </c>
      <c r="I1714" s="22"/>
      <c r="J1714">
        <v>2</v>
      </c>
      <c r="K1714" s="22"/>
      <c r="L1714">
        <v>6.3405393538166397</v>
      </c>
      <c r="M1714" s="22">
        <v>8.5000000000000006E-2</v>
      </c>
      <c r="N1714" s="21">
        <v>44396</v>
      </c>
      <c r="O1714" s="21">
        <v>48047</v>
      </c>
      <c r="P1714">
        <f>ROUND(YEARFRAC(N1714,O1714),0)</f>
        <v>10</v>
      </c>
      <c r="Q1714" s="6">
        <f>(M1714*H1714)/F1714</f>
        <v>7.7452981484181366E-2</v>
      </c>
      <c r="R1714" s="5">
        <f>IF(S1714="Quarterly",4,IF(S1714="Semi-annual",2,IF(S1714="Annual",1,IF(S1714="Pays at maturity",0,12))))</f>
        <v>1</v>
      </c>
      <c r="S1714" t="s">
        <v>93</v>
      </c>
      <c r="U1714">
        <f>R1714*P1714</f>
        <v>10</v>
      </c>
      <c r="V1714">
        <f>(H1714*M1714)/AD1714</f>
        <v>85000</v>
      </c>
      <c r="W1714" s="28">
        <f>RATE(U1714,V1714,-F1714,H1714)</f>
        <v>7.1058761007433413E-2</v>
      </c>
      <c r="X1714" s="27">
        <f>W1714*AD1714</f>
        <v>7.1058761007433413E-2</v>
      </c>
      <c r="Y1714" s="5">
        <f>DURATION(N1714,O1714,M1714,D1714,AD1714)</f>
        <v>7.2569883249289413</v>
      </c>
      <c r="Z1714" s="5">
        <f>Y1714/(1+C1714)</f>
        <v>6.7755277199759316</v>
      </c>
      <c r="AA1714" s="5">
        <f>-Z1714*F1714</f>
        <v>-7435735.1410103859</v>
      </c>
      <c r="AB1714" t="s">
        <v>64</v>
      </c>
      <c r="AC1714" t="s">
        <v>62</v>
      </c>
      <c r="AD1714">
        <f>_xlfn.SWITCH(PROPER(TRIM(S1714)),
   "Annual",1,
   "Semi-Annual",2,
   "Quarterly",4,
   "Monthly",12,
   "")</f>
        <v>1</v>
      </c>
    </row>
    <row r="1715" spans="1:30" x14ac:dyDescent="0.35">
      <c r="A1715" t="s">
        <v>323</v>
      </c>
      <c r="B1715" t="s">
        <v>321</v>
      </c>
      <c r="C1715" s="36">
        <f>RATE(U1715,V1715,-F1715,H1715)</f>
        <v>2.8206433377185442E-2</v>
      </c>
      <c r="D1715" s="3">
        <f>C1715*AD1715</f>
        <v>5.6412866754370884E-2</v>
      </c>
      <c r="F1715">
        <v>865.8</v>
      </c>
      <c r="G1715" t="s">
        <v>66</v>
      </c>
      <c r="H1715">
        <v>1000</v>
      </c>
      <c r="I1715" s="22"/>
      <c r="J1715">
        <v>0</v>
      </c>
      <c r="K1715" s="22"/>
      <c r="M1715" s="22">
        <v>3.8670000000000003E-2</v>
      </c>
      <c r="N1715" s="21">
        <v>44399</v>
      </c>
      <c r="O1715" s="21">
        <v>48051</v>
      </c>
      <c r="P1715">
        <f>ROUND(YEARFRAC(N1715,O1715),0)</f>
        <v>10</v>
      </c>
      <c r="Q1715" s="6">
        <f>(M1715*H1715)/F1715</f>
        <v>4.4663894663894671E-2</v>
      </c>
      <c r="R1715" s="5">
        <f>IF(S1715="Quarterly",4,IF(S1715="Semi-annual",2,IF(S1715="Annual",1,IF(S1715="Pays at maturity",0,12))))</f>
        <v>2</v>
      </c>
      <c r="S1715" t="s">
        <v>65</v>
      </c>
      <c r="U1715">
        <f>R1715*P1715</f>
        <v>20</v>
      </c>
      <c r="V1715">
        <f>(H1715*M1715)/AD1715</f>
        <v>19.335000000000001</v>
      </c>
      <c r="W1715" s="28">
        <f>RATE(U1715,V1715,-F1715,H1715)</f>
        <v>2.8206433377185442E-2</v>
      </c>
      <c r="X1715" s="27">
        <f>W1715*AD1715</f>
        <v>5.6412866754370884E-2</v>
      </c>
      <c r="Y1715" s="5">
        <f>DURATION(N1715,O1715,M1715,D1715,AD1715)</f>
        <v>8.239935517959859</v>
      </c>
      <c r="Z1715" s="5">
        <f>Y1715/(1+C1715)</f>
        <v>8.01389220148668</v>
      </c>
      <c r="AA1715" s="5">
        <f>-Z1715*F1715</f>
        <v>-6938.4278680471671</v>
      </c>
      <c r="AB1715" t="s">
        <v>69</v>
      </c>
      <c r="AC1715" t="s">
        <v>62</v>
      </c>
      <c r="AD1715">
        <f>_xlfn.SWITCH(PROPER(TRIM(S1715)),
   "Annual",1,
   "Semi-Annual",2,
   "Quarterly",4,
   "Monthly",12,
   "")</f>
        <v>2</v>
      </c>
    </row>
    <row r="1716" spans="1:30" x14ac:dyDescent="0.35">
      <c r="A1716" t="s">
        <v>322</v>
      </c>
      <c r="B1716" t="s">
        <v>321</v>
      </c>
      <c r="C1716" s="36">
        <f>RATE(U1716,V1716,-F1716,H1716)</f>
        <v>2.9967267263030308E-2</v>
      </c>
      <c r="D1716" s="3">
        <f>C1716*AD1716</f>
        <v>5.9934534526060616E-2</v>
      </c>
      <c r="F1716">
        <v>841.77082999999902</v>
      </c>
      <c r="G1716" t="s">
        <v>66</v>
      </c>
      <c r="H1716">
        <v>1000</v>
      </c>
      <c r="I1716" s="22"/>
      <c r="J1716">
        <v>610000</v>
      </c>
      <c r="K1716" s="22"/>
      <c r="M1716" s="22">
        <v>3.8670000000000003E-2</v>
      </c>
      <c r="N1716" s="21">
        <v>44399</v>
      </c>
      <c r="O1716" s="21">
        <v>48051</v>
      </c>
      <c r="P1716">
        <f>ROUND(YEARFRAC(N1716,O1716),0)</f>
        <v>10</v>
      </c>
      <c r="Q1716" s="6">
        <f>(M1716*H1716)/F1716</f>
        <v>4.5938869133776053E-2</v>
      </c>
      <c r="R1716" s="5">
        <f>IF(S1716="Quarterly",4,IF(S1716="Semi-annual",2,IF(S1716="Annual",1,IF(S1716="Pays at maturity",0,12))))</f>
        <v>2</v>
      </c>
      <c r="S1716" t="s">
        <v>65</v>
      </c>
      <c r="U1716">
        <f>R1716*P1716</f>
        <v>20</v>
      </c>
      <c r="V1716">
        <f>(H1716*M1716)/AD1716</f>
        <v>19.335000000000001</v>
      </c>
      <c r="W1716" s="28">
        <f>RATE(U1716,V1716,-F1716,H1716)</f>
        <v>2.9967267263030308E-2</v>
      </c>
      <c r="X1716" s="27">
        <f>W1716*AD1716</f>
        <v>5.9934534526060616E-2</v>
      </c>
      <c r="Y1716" s="5">
        <f>DURATION(N1716,O1716,M1716,D1716,AD1716)</f>
        <v>8.2094741007272205</v>
      </c>
      <c r="Z1716" s="5">
        <f>Y1716/(1+C1716)</f>
        <v>7.9706165056512495</v>
      </c>
      <c r="AA1716" s="5">
        <f>-Z1716*F1716</f>
        <v>-6709.4324715737439</v>
      </c>
      <c r="AB1716" t="s">
        <v>69</v>
      </c>
      <c r="AC1716" t="s">
        <v>62</v>
      </c>
      <c r="AD1716">
        <f>_xlfn.SWITCH(PROPER(TRIM(S1716)),
   "Annual",1,
   "Semi-Annual",2,
   "Quarterly",4,
   "Monthly",12,
   "")</f>
        <v>2</v>
      </c>
    </row>
    <row r="1717" spans="1:30" x14ac:dyDescent="0.35">
      <c r="A1717" t="s">
        <v>320</v>
      </c>
      <c r="B1717" t="s">
        <v>304</v>
      </c>
      <c r="C1717" s="36">
        <f>RATE(U1717,V1717,-F1717,H1717)</f>
        <v>9.0844559032646433E-2</v>
      </c>
      <c r="D1717" s="3">
        <f>C1717*AD1717</f>
        <v>9.0844559032646433E-2</v>
      </c>
      <c r="F1717">
        <v>994.6</v>
      </c>
      <c r="G1717" t="s">
        <v>76</v>
      </c>
      <c r="H1717">
        <v>1000</v>
      </c>
      <c r="I1717" s="22"/>
      <c r="J1717">
        <v>42</v>
      </c>
      <c r="K1717" s="22"/>
      <c r="L1717">
        <v>9.1392699408924898</v>
      </c>
      <c r="M1717" s="22">
        <v>0.09</v>
      </c>
      <c r="N1717" s="21">
        <v>44400</v>
      </c>
      <c r="O1717" s="21">
        <v>48052</v>
      </c>
      <c r="P1717">
        <f>ROUND(YEARFRAC(N1717,O1717),0)</f>
        <v>10</v>
      </c>
      <c r="Q1717" s="6">
        <f>(M1717*H1717)/F1717</f>
        <v>9.048863864870299E-2</v>
      </c>
      <c r="R1717" s="5">
        <f>IF(S1717="Quarterly",4,IF(S1717="Semi-annual",2,IF(S1717="Annual",1,IF(S1717="Pays at maturity",0,12))))</f>
        <v>1</v>
      </c>
      <c r="S1717" t="s">
        <v>93</v>
      </c>
      <c r="U1717">
        <f>R1717*P1717</f>
        <v>10</v>
      </c>
      <c r="V1717">
        <f>(H1717*M1717)/AD1717</f>
        <v>90</v>
      </c>
      <c r="W1717" s="28">
        <f>RATE(U1717,V1717,-F1717,H1717)</f>
        <v>9.0844559032646433E-2</v>
      </c>
      <c r="X1717" s="27">
        <f>W1717*AD1717</f>
        <v>9.0844559032646433E-2</v>
      </c>
      <c r="Y1717" s="5">
        <f>DURATION(N1717,O1717,M1717,D1717,AD1717)</f>
        <v>6.986570248457511</v>
      </c>
      <c r="Z1717" s="5">
        <f>Y1717/(1+C1717)</f>
        <v>6.4047349281855093</v>
      </c>
      <c r="AA1717" s="5">
        <f>-Z1717*F1717</f>
        <v>-6370.1493595733073</v>
      </c>
      <c r="AB1717" t="s">
        <v>64</v>
      </c>
      <c r="AC1717" t="s">
        <v>62</v>
      </c>
      <c r="AD1717">
        <f>_xlfn.SWITCH(PROPER(TRIM(S1717)),
   "Annual",1,
   "Semi-Annual",2,
   "Quarterly",4,
   "Monthly",12,
   "")</f>
        <v>1</v>
      </c>
    </row>
    <row r="1718" spans="1:30" x14ac:dyDescent="0.35">
      <c r="A1718" t="s">
        <v>319</v>
      </c>
      <c r="B1718" t="s">
        <v>318</v>
      </c>
      <c r="C1718" s="36">
        <f>RATE(U1718,V1718,-F1718,H1718)</f>
        <v>4.130310286096258E-2</v>
      </c>
      <c r="D1718" s="3">
        <f>C1718*AD1718</f>
        <v>8.2606205721925161E-2</v>
      </c>
      <c r="F1718">
        <v>975.88</v>
      </c>
      <c r="G1718" t="s">
        <v>66</v>
      </c>
      <c r="H1718">
        <v>1000</v>
      </c>
      <c r="I1718" s="22"/>
      <c r="J1718">
        <v>582750</v>
      </c>
      <c r="K1718" s="22"/>
      <c r="M1718" s="22">
        <v>7.8E-2</v>
      </c>
      <c r="N1718" s="21">
        <v>45504</v>
      </c>
      <c r="O1718" s="21">
        <v>48060</v>
      </c>
      <c r="P1718">
        <f>ROUND(YEARFRAC(N1718,O1718),0)</f>
        <v>7</v>
      </c>
      <c r="Q1718" s="6">
        <f>(M1718*H1718)/F1718</f>
        <v>7.9927859982784774E-2</v>
      </c>
      <c r="R1718" s="5">
        <f>IF(S1718="Quarterly",4,IF(S1718="Semi-annual",2,IF(S1718="Annual",1,IF(S1718="Pays at maturity",0,12))))</f>
        <v>2</v>
      </c>
      <c r="S1718" t="s">
        <v>65</v>
      </c>
      <c r="U1718">
        <f>R1718*P1718</f>
        <v>14</v>
      </c>
      <c r="V1718">
        <f>(H1718*M1718)/AD1718</f>
        <v>39</v>
      </c>
      <c r="W1718" s="28">
        <f>RATE(U1718,V1718,-F1718,H1718)</f>
        <v>4.130310286096258E-2</v>
      </c>
      <c r="X1718" s="27">
        <f>W1718*AD1718</f>
        <v>8.2606205721925161E-2</v>
      </c>
      <c r="Y1718" s="5">
        <f>DURATION(N1718,O1718,M1718,D1718,AD1718)</f>
        <v>5.5028625041301318</v>
      </c>
      <c r="Z1718" s="5">
        <f>Y1718/(1+C1718)</f>
        <v>5.2845924390421111</v>
      </c>
      <c r="AA1718" s="5">
        <f>-Z1718*F1718</f>
        <v>-5157.1280694124152</v>
      </c>
      <c r="AB1718" t="s">
        <v>69</v>
      </c>
      <c r="AC1718" t="s">
        <v>62</v>
      </c>
      <c r="AD1718">
        <f>_xlfn.SWITCH(PROPER(TRIM(S1718)),
   "Annual",1,
   "Semi-Annual",2,
   "Quarterly",4,
   "Monthly",12,
   "")</f>
        <v>2</v>
      </c>
    </row>
    <row r="1719" spans="1:30" x14ac:dyDescent="0.35">
      <c r="C1719" s="28"/>
      <c r="D1719" s="27"/>
      <c r="I1719" s="22"/>
      <c r="K1719" s="22"/>
      <c r="M1719" s="22"/>
      <c r="N1719" s="21"/>
      <c r="O1719" s="21"/>
      <c r="P1719" s="5"/>
      <c r="Q1719" s="6"/>
      <c r="R1719" s="5"/>
      <c r="W1719" s="28"/>
      <c r="Y1719" s="33"/>
      <c r="Z1719" s="33"/>
      <c r="AA1719" s="33"/>
    </row>
    <row r="1720" spans="1:30" x14ac:dyDescent="0.35">
      <c r="A1720" t="s">
        <v>315</v>
      </c>
      <c r="B1720" t="s">
        <v>314</v>
      </c>
      <c r="C1720" s="36">
        <f t="shared" ref="C1720:C1725" si="1157">RATE(U1720,V1720,-F1720,H1720)</f>
        <v>7.2500000000000009E-2</v>
      </c>
      <c r="D1720" s="3">
        <f t="shared" ref="D1720:D1725" si="1158">C1720*AD1720</f>
        <v>7.2500000000000009E-2</v>
      </c>
      <c r="F1720">
        <v>1000000</v>
      </c>
      <c r="G1720" t="s">
        <v>76</v>
      </c>
      <c r="H1720">
        <v>1000000</v>
      </c>
      <c r="I1720" s="22"/>
      <c r="J1720">
        <v>1</v>
      </c>
      <c r="K1720" s="22"/>
      <c r="L1720">
        <v>7.2499999999999902</v>
      </c>
      <c r="M1720" s="22">
        <v>7.2499999999999995E-2</v>
      </c>
      <c r="N1720" s="21">
        <v>44420</v>
      </c>
      <c r="O1720" s="21">
        <v>48072</v>
      </c>
      <c r="P1720">
        <f t="shared" ref="P1720:P1725" si="1159">ROUND(YEARFRAC(N1720,O1720),0)</f>
        <v>10</v>
      </c>
      <c r="Q1720" s="6">
        <f t="shared" ref="Q1720:Q1725" si="1160">(M1720*H1720)/F1720</f>
        <v>7.2499999999999995E-2</v>
      </c>
      <c r="R1720" s="5">
        <f t="shared" ref="R1720:R1725" si="1161">IF(S1720="Quarterly",4,IF(S1720="Semi-annual",2,IF(S1720="Annual",1,IF(S1720="Pays at maturity",0,12))))</f>
        <v>1</v>
      </c>
      <c r="S1720" t="s">
        <v>93</v>
      </c>
      <c r="U1720">
        <f t="shared" ref="U1720:U1725" si="1162">R1720*P1720</f>
        <v>10</v>
      </c>
      <c r="V1720">
        <f t="shared" ref="V1720:V1725" si="1163">(H1720*M1720)/AD1720</f>
        <v>72500</v>
      </c>
      <c r="W1720" s="28">
        <f t="shared" ref="W1720:W1725" si="1164">RATE(U1720,V1720,-F1720,H1720)</f>
        <v>7.2500000000000009E-2</v>
      </c>
      <c r="X1720" s="27">
        <f t="shared" ref="X1720:X1725" si="1165">W1720*AD1720</f>
        <v>7.2500000000000009E-2</v>
      </c>
      <c r="Y1720" s="5">
        <f t="shared" ref="Y1720:Y1725" si="1166">DURATION(N1720,O1720,M1720,D1720,AD1720)</f>
        <v>7.4465052880411404</v>
      </c>
      <c r="Z1720" s="5">
        <f t="shared" ref="Z1720:Z1725" si="1167">Y1720/(1+C1720)</f>
        <v>6.9431284736980325</v>
      </c>
      <c r="AA1720" s="5">
        <f t="shared" ref="AA1720:AA1725" si="1168">-Z1720*F1720</f>
        <v>-6943128.4736980321</v>
      </c>
      <c r="AB1720" t="s">
        <v>64</v>
      </c>
      <c r="AC1720" t="s">
        <v>62</v>
      </c>
      <c r="AD1720">
        <f t="shared" ref="AD1720:AD1725" si="1169">_xlfn.SWITCH(PROPER(TRIM(S1720)),
   "Annual",1,
   "Semi-Annual",2,
   "Quarterly",4,
   "Monthly",12,
   "")</f>
        <v>1</v>
      </c>
    </row>
    <row r="1721" spans="1:30" x14ac:dyDescent="0.35">
      <c r="A1721" t="s">
        <v>313</v>
      </c>
      <c r="B1721" t="s">
        <v>311</v>
      </c>
      <c r="C1721" s="36">
        <f t="shared" si="1157"/>
        <v>2.1501000502312444E-2</v>
      </c>
      <c r="D1721" s="3">
        <f t="shared" si="1158"/>
        <v>4.3002001004624889E-2</v>
      </c>
      <c r="F1721">
        <v>885.15</v>
      </c>
      <c r="G1721" t="s">
        <v>66</v>
      </c>
      <c r="H1721">
        <v>1000</v>
      </c>
      <c r="I1721" s="22"/>
      <c r="J1721">
        <v>1940000</v>
      </c>
      <c r="K1721" s="22"/>
      <c r="M1721" s="22">
        <v>2.8750000000000001E-2</v>
      </c>
      <c r="N1721" s="21">
        <v>44420</v>
      </c>
      <c r="O1721" s="21">
        <v>48072</v>
      </c>
      <c r="P1721">
        <f t="shared" si="1159"/>
        <v>10</v>
      </c>
      <c r="Q1721" s="6">
        <f t="shared" si="1160"/>
        <v>3.2480370558662375E-2</v>
      </c>
      <c r="R1721" s="5">
        <f t="shared" si="1161"/>
        <v>2</v>
      </c>
      <c r="S1721" t="s">
        <v>65</v>
      </c>
      <c r="U1721">
        <f t="shared" si="1162"/>
        <v>20</v>
      </c>
      <c r="V1721">
        <f t="shared" si="1163"/>
        <v>14.375</v>
      </c>
      <c r="W1721" s="28">
        <f t="shared" si="1164"/>
        <v>2.1501000502312444E-2</v>
      </c>
      <c r="X1721" s="27">
        <f t="shared" si="1165"/>
        <v>4.3002001004624889E-2</v>
      </c>
      <c r="Y1721" s="5">
        <f t="shared" si="1166"/>
        <v>8.6644268051994455</v>
      </c>
      <c r="Z1721" s="5">
        <f t="shared" si="1167"/>
        <v>8.4820541545615757</v>
      </c>
      <c r="AA1721" s="5">
        <f t="shared" si="1168"/>
        <v>-7507.8902349101782</v>
      </c>
      <c r="AB1721" t="s">
        <v>69</v>
      </c>
      <c r="AC1721" t="s">
        <v>62</v>
      </c>
      <c r="AD1721">
        <f t="shared" si="1169"/>
        <v>2</v>
      </c>
    </row>
    <row r="1722" spans="1:30" x14ac:dyDescent="0.35">
      <c r="A1722" t="s">
        <v>312</v>
      </c>
      <c r="B1722" t="s">
        <v>311</v>
      </c>
      <c r="C1722" s="36">
        <f t="shared" si="1157"/>
        <v>2.2046664790872143E-2</v>
      </c>
      <c r="D1722" s="3">
        <f t="shared" si="1158"/>
        <v>4.4093329581744285E-2</v>
      </c>
      <c r="F1722">
        <v>877</v>
      </c>
      <c r="G1722" t="s">
        <v>66</v>
      </c>
      <c r="H1722">
        <v>1000</v>
      </c>
      <c r="I1722" s="22"/>
      <c r="J1722">
        <v>0</v>
      </c>
      <c r="K1722" s="22"/>
      <c r="M1722" s="22">
        <v>2.8750000000000001E-2</v>
      </c>
      <c r="N1722" s="21">
        <v>44420</v>
      </c>
      <c r="O1722" s="21">
        <v>48072</v>
      </c>
      <c r="P1722">
        <f t="shared" si="1159"/>
        <v>10</v>
      </c>
      <c r="Q1722" s="6">
        <f t="shared" si="1160"/>
        <v>3.2782212086659067E-2</v>
      </c>
      <c r="R1722" s="5">
        <f t="shared" si="1161"/>
        <v>2</v>
      </c>
      <c r="S1722" t="s">
        <v>65</v>
      </c>
      <c r="U1722">
        <f t="shared" si="1162"/>
        <v>20</v>
      </c>
      <c r="V1722">
        <f t="shared" si="1163"/>
        <v>14.375</v>
      </c>
      <c r="W1722" s="28">
        <f t="shared" si="1164"/>
        <v>2.2046664790872143E-2</v>
      </c>
      <c r="X1722" s="27">
        <f t="shared" si="1165"/>
        <v>4.4093329581744285E-2</v>
      </c>
      <c r="Y1722" s="5">
        <f t="shared" si="1166"/>
        <v>8.6567298894470746</v>
      </c>
      <c r="Z1722" s="5">
        <f t="shared" si="1167"/>
        <v>8.4699947543181757</v>
      </c>
      <c r="AA1722" s="5">
        <f t="shared" si="1168"/>
        <v>-7428.1853995370402</v>
      </c>
      <c r="AB1722" t="s">
        <v>69</v>
      </c>
      <c r="AC1722" t="s">
        <v>62</v>
      </c>
      <c r="AD1722">
        <f t="shared" si="1169"/>
        <v>2</v>
      </c>
    </row>
    <row r="1723" spans="1:30" x14ac:dyDescent="0.35">
      <c r="A1723" t="s">
        <v>310</v>
      </c>
      <c r="B1723" t="s">
        <v>309</v>
      </c>
      <c r="C1723" s="36">
        <f t="shared" si="1157"/>
        <v>2.5926899540280084E-2</v>
      </c>
      <c r="D1723" s="3">
        <f t="shared" si="1158"/>
        <v>5.1853799080560169E-2</v>
      </c>
      <c r="F1723">
        <v>898.75</v>
      </c>
      <c r="G1723" t="s">
        <v>66</v>
      </c>
      <c r="H1723">
        <v>1000</v>
      </c>
      <c r="I1723" s="22"/>
      <c r="J1723">
        <v>900000</v>
      </c>
      <c r="K1723" s="22"/>
      <c r="M1723" s="22">
        <v>3.875E-2</v>
      </c>
      <c r="N1723" s="21">
        <v>44419</v>
      </c>
      <c r="O1723" s="21">
        <v>48075</v>
      </c>
      <c r="P1723">
        <f t="shared" si="1159"/>
        <v>10</v>
      </c>
      <c r="Q1723" s="6">
        <f t="shared" si="1160"/>
        <v>4.3115438108484005E-2</v>
      </c>
      <c r="R1723" s="5">
        <f t="shared" si="1161"/>
        <v>2</v>
      </c>
      <c r="S1723" t="s">
        <v>65</v>
      </c>
      <c r="U1723">
        <f t="shared" si="1162"/>
        <v>20</v>
      </c>
      <c r="V1723">
        <f t="shared" si="1163"/>
        <v>19.375</v>
      </c>
      <c r="W1723" s="28">
        <f t="shared" si="1164"/>
        <v>2.5926899540280084E-2</v>
      </c>
      <c r="X1723" s="27">
        <f t="shared" si="1165"/>
        <v>5.1853799080560169E-2</v>
      </c>
      <c r="Y1723" s="5">
        <f t="shared" si="1166"/>
        <v>8.112877251435842</v>
      </c>
      <c r="Z1723" s="5">
        <f t="shared" si="1167"/>
        <v>7.9078511881024252</v>
      </c>
      <c r="AA1723" s="5">
        <f t="shared" si="1168"/>
        <v>-7107.1812553070549</v>
      </c>
      <c r="AB1723" t="s">
        <v>69</v>
      </c>
      <c r="AC1723" t="s">
        <v>62</v>
      </c>
      <c r="AD1723">
        <f t="shared" si="1169"/>
        <v>2</v>
      </c>
    </row>
    <row r="1724" spans="1:30" x14ac:dyDescent="0.35">
      <c r="A1724" t="s">
        <v>308</v>
      </c>
      <c r="B1724" t="s">
        <v>122</v>
      </c>
      <c r="C1724" s="36">
        <f t="shared" si="1157"/>
        <v>9.6112731147777117E-2</v>
      </c>
      <c r="D1724" s="3">
        <f t="shared" si="1158"/>
        <v>9.6112731147777117E-2</v>
      </c>
      <c r="F1724">
        <v>980.55</v>
      </c>
      <c r="G1724" t="s">
        <v>76</v>
      </c>
      <c r="H1724">
        <v>1000</v>
      </c>
      <c r="I1724" s="22"/>
      <c r="J1724">
        <v>25</v>
      </c>
      <c r="K1724" s="22"/>
      <c r="L1724">
        <v>9.8076903814914402</v>
      </c>
      <c r="M1724" s="22">
        <v>9.3000000000000013E-2</v>
      </c>
      <c r="N1724" s="21">
        <v>44449</v>
      </c>
      <c r="O1724" s="21">
        <v>48101</v>
      </c>
      <c r="P1724">
        <f t="shared" si="1159"/>
        <v>10</v>
      </c>
      <c r="Q1724" s="6">
        <f t="shared" si="1160"/>
        <v>9.4844729998470267E-2</v>
      </c>
      <c r="R1724" s="5">
        <f t="shared" si="1161"/>
        <v>1</v>
      </c>
      <c r="S1724" t="s">
        <v>93</v>
      </c>
      <c r="U1724">
        <f t="shared" si="1162"/>
        <v>10</v>
      </c>
      <c r="V1724">
        <f t="shared" si="1163"/>
        <v>93.000000000000014</v>
      </c>
      <c r="W1724" s="28">
        <f t="shared" si="1164"/>
        <v>9.6112731147777117E-2</v>
      </c>
      <c r="X1724" s="27">
        <f t="shared" si="1165"/>
        <v>9.6112731147777117E-2</v>
      </c>
      <c r="Y1724" s="5">
        <f t="shared" si="1166"/>
        <v>6.890664832885002</v>
      </c>
      <c r="Z1724" s="5">
        <f t="shared" si="1167"/>
        <v>6.2864563443848978</v>
      </c>
      <c r="AA1724" s="5">
        <f t="shared" si="1168"/>
        <v>-6164.1847684866116</v>
      </c>
      <c r="AB1724" t="s">
        <v>64</v>
      </c>
      <c r="AC1724" t="s">
        <v>62</v>
      </c>
      <c r="AD1724">
        <f t="shared" si="1169"/>
        <v>1</v>
      </c>
    </row>
    <row r="1725" spans="1:30" x14ac:dyDescent="0.35">
      <c r="A1725" t="s">
        <v>307</v>
      </c>
      <c r="B1725" t="s">
        <v>122</v>
      </c>
      <c r="C1725" s="36">
        <f t="shared" si="1157"/>
        <v>9.7000000000001502E-2</v>
      </c>
      <c r="D1725" s="3">
        <f t="shared" si="1158"/>
        <v>9.7000000000001502E-2</v>
      </c>
      <c r="F1725">
        <v>1000</v>
      </c>
      <c r="G1725" t="s">
        <v>76</v>
      </c>
      <c r="H1725">
        <v>1000</v>
      </c>
      <c r="I1725" s="22"/>
      <c r="J1725">
        <v>2</v>
      </c>
      <c r="K1725" s="22"/>
      <c r="L1725">
        <v>9.6999999999999993</v>
      </c>
      <c r="M1725" s="22">
        <v>9.6999999999999989E-2</v>
      </c>
      <c r="N1725" s="21">
        <v>44449</v>
      </c>
      <c r="O1725" s="21">
        <v>48101</v>
      </c>
      <c r="P1725">
        <f t="shared" si="1159"/>
        <v>10</v>
      </c>
      <c r="Q1725" s="6">
        <f t="shared" si="1160"/>
        <v>9.6999999999999989E-2</v>
      </c>
      <c r="R1725" s="5">
        <f t="shared" si="1161"/>
        <v>1</v>
      </c>
      <c r="S1725" t="s">
        <v>93</v>
      </c>
      <c r="U1725">
        <f t="shared" si="1162"/>
        <v>10</v>
      </c>
      <c r="V1725">
        <f t="shared" si="1163"/>
        <v>96.999999999999986</v>
      </c>
      <c r="W1725" s="28">
        <f t="shared" si="1164"/>
        <v>9.7000000000001502E-2</v>
      </c>
      <c r="X1725" s="27">
        <f t="shared" si="1165"/>
        <v>9.7000000000001502E-2</v>
      </c>
      <c r="Y1725" s="5">
        <f t="shared" si="1166"/>
        <v>6.8283436246016329</v>
      </c>
      <c r="Z1725" s="5">
        <f t="shared" si="1167"/>
        <v>6.2245611892448709</v>
      </c>
      <c r="AA1725" s="5">
        <f t="shared" si="1168"/>
        <v>-6224.5611892448705</v>
      </c>
      <c r="AB1725" t="s">
        <v>64</v>
      </c>
      <c r="AC1725" t="s">
        <v>62</v>
      </c>
      <c r="AD1725">
        <f t="shared" si="1169"/>
        <v>1</v>
      </c>
    </row>
    <row r="1726" spans="1:30" x14ac:dyDescent="0.35">
      <c r="C1726" s="28"/>
      <c r="D1726" s="27"/>
      <c r="I1726" s="22"/>
      <c r="K1726" s="22"/>
      <c r="M1726" s="22"/>
      <c r="N1726" s="21"/>
      <c r="O1726" s="21"/>
      <c r="P1726" s="5"/>
      <c r="Q1726" s="6"/>
      <c r="R1726" s="5"/>
      <c r="W1726" s="28"/>
      <c r="Y1726" s="33"/>
      <c r="Z1726" s="33"/>
      <c r="AA1726" s="33"/>
    </row>
    <row r="1727" spans="1:30" x14ac:dyDescent="0.35">
      <c r="A1727" t="s">
        <v>305</v>
      </c>
      <c r="B1727" t="s">
        <v>304</v>
      </c>
      <c r="C1727" s="36">
        <f>RATE(U1727,V1727,-F1727,H1727)</f>
        <v>5.12694473052413E-2</v>
      </c>
      <c r="D1727" s="3">
        <f>C1727*AD1727</f>
        <v>0.1025388946104826</v>
      </c>
      <c r="F1727">
        <v>784</v>
      </c>
      <c r="G1727" t="s">
        <v>76</v>
      </c>
      <c r="H1727">
        <v>1000</v>
      </c>
      <c r="I1727" s="22"/>
      <c r="J1727">
        <v>628</v>
      </c>
      <c r="K1727" s="22"/>
      <c r="M1727" s="22">
        <v>6.7500000000000004E-2</v>
      </c>
      <c r="N1727" s="21">
        <v>44467</v>
      </c>
      <c r="O1727" s="21">
        <v>48117</v>
      </c>
      <c r="P1727">
        <f>ROUND(YEARFRAC(N1727,O1727),0)</f>
        <v>10</v>
      </c>
      <c r="Q1727" s="6">
        <f>(M1727*H1727)/F1727</f>
        <v>8.6096938775510209E-2</v>
      </c>
      <c r="R1727" s="5">
        <f>IF(S1727="Quarterly",4,IF(S1727="Semi-annual",2,IF(S1727="Annual",1,IF(S1727="Pays at maturity",0,12))))</f>
        <v>2</v>
      </c>
      <c r="S1727" t="s">
        <v>65</v>
      </c>
      <c r="U1727">
        <f>R1727*P1727</f>
        <v>20</v>
      </c>
      <c r="V1727">
        <f>(H1727*M1727)/AD1727</f>
        <v>33.75</v>
      </c>
      <c r="W1727" s="28">
        <f>RATE(U1727,V1727,-F1727,H1727)</f>
        <v>5.12694473052413E-2</v>
      </c>
      <c r="X1727" s="27">
        <f>W1727*AD1727</f>
        <v>0.1025388946104826</v>
      </c>
      <c r="Y1727" s="5">
        <f>DURATION(N1727,O1727,M1727,D1727,AD1727)</f>
        <v>7.0394022062212152</v>
      </c>
      <c r="Z1727" s="5">
        <f>Y1727/(1+C1727)</f>
        <v>6.6960970132496298</v>
      </c>
      <c r="AA1727" s="5">
        <f>-Z1727*F1727</f>
        <v>-5249.7400583877097</v>
      </c>
      <c r="AB1727" t="s">
        <v>69</v>
      </c>
      <c r="AC1727" t="s">
        <v>62</v>
      </c>
      <c r="AD1727">
        <f>_xlfn.SWITCH(PROPER(TRIM(S1727)),
   "Annual",1,
   "Semi-Annual",2,
   "Quarterly",4,
   "Monthly",12,
   "")</f>
        <v>2</v>
      </c>
    </row>
    <row r="1728" spans="1:30" x14ac:dyDescent="0.35">
      <c r="C1728" s="28"/>
      <c r="D1728" s="27"/>
      <c r="I1728" s="22"/>
      <c r="K1728" s="22"/>
      <c r="M1728" s="22"/>
      <c r="N1728" s="21"/>
      <c r="O1728" s="21"/>
      <c r="P1728" s="5"/>
      <c r="Q1728" s="6"/>
      <c r="R1728" s="5"/>
      <c r="W1728" s="28"/>
      <c r="Y1728" s="33"/>
      <c r="Z1728" s="33"/>
      <c r="AA1728" s="33"/>
    </row>
    <row r="1729" spans="1:30" x14ac:dyDescent="0.35">
      <c r="A1729" t="s">
        <v>302</v>
      </c>
      <c r="B1729" t="s">
        <v>145</v>
      </c>
      <c r="C1729" s="36">
        <f t="shared" ref="C1729:C1737" si="1170">RATE(U1729,V1729,-F1729,H1729)</f>
        <v>6.8835516909824729E-2</v>
      </c>
      <c r="D1729" s="3">
        <f t="shared" ref="D1729:D1737" si="1171">C1729*AD1729</f>
        <v>6.8835516909824729E-2</v>
      </c>
      <c r="F1729">
        <v>1040000</v>
      </c>
      <c r="G1729" t="s">
        <v>76</v>
      </c>
      <c r="H1729">
        <v>1000000</v>
      </c>
      <c r="I1729" s="22"/>
      <c r="J1729">
        <v>1</v>
      </c>
      <c r="K1729" s="22"/>
      <c r="L1729">
        <v>6.5609524595576101</v>
      </c>
      <c r="M1729" s="22">
        <v>7.4499999999999997E-2</v>
      </c>
      <c r="N1729" s="21">
        <v>44517</v>
      </c>
      <c r="O1729" s="21">
        <v>48169</v>
      </c>
      <c r="P1729">
        <f t="shared" ref="P1729:P1737" si="1172">ROUND(YEARFRAC(N1729,O1729),0)</f>
        <v>10</v>
      </c>
      <c r="Q1729" s="6">
        <f t="shared" ref="Q1729:Q1737" si="1173">(M1729*H1729)/F1729</f>
        <v>7.163461538461538E-2</v>
      </c>
      <c r="R1729" s="5">
        <f t="shared" ref="R1729:R1737" si="1174">IF(S1729="Quarterly",4,IF(S1729="Semi-annual",2,IF(S1729="Annual",1,IF(S1729="Pays at maturity",0,12))))</f>
        <v>1</v>
      </c>
      <c r="S1729" t="s">
        <v>93</v>
      </c>
      <c r="U1729">
        <f t="shared" ref="U1729:U1737" si="1175">R1729*P1729</f>
        <v>10</v>
      </c>
      <c r="V1729">
        <f t="shared" ref="V1729:V1737" si="1176">(H1729*M1729)/AD1729</f>
        <v>74500</v>
      </c>
      <c r="W1729" s="28">
        <f t="shared" ref="W1729:W1737" si="1177">RATE(U1729,V1729,-F1729,H1729)</f>
        <v>6.8835516909824729E-2</v>
      </c>
      <c r="X1729" s="27">
        <f t="shared" ref="X1729:X1737" si="1178">W1729*AD1729</f>
        <v>6.8835516909824729E-2</v>
      </c>
      <c r="Y1729" s="5">
        <f t="shared" ref="Y1729:Y1737" si="1179">DURATION(N1729,O1729,M1729,D1729,AD1729)</f>
        <v>7.4479075228366289</v>
      </c>
      <c r="Z1729" s="5">
        <f t="shared" ref="Z1729:Z1737" si="1180">Y1729/(1+C1729)</f>
        <v>6.9682447907136611</v>
      </c>
      <c r="AA1729" s="5">
        <f t="shared" ref="AA1729:AA1737" si="1181">-Z1729*F1729</f>
        <v>-7246974.5823422074</v>
      </c>
      <c r="AB1729" t="s">
        <v>64</v>
      </c>
      <c r="AC1729" t="s">
        <v>62</v>
      </c>
      <c r="AD1729">
        <f t="shared" ref="AD1729:AD1737" si="1182">_xlfn.SWITCH(PROPER(TRIM(S1729)),
   "Annual",1,
   "Semi-Annual",2,
   "Quarterly",4,
   "Monthly",12,
   "")</f>
        <v>1</v>
      </c>
    </row>
    <row r="1730" spans="1:30" x14ac:dyDescent="0.35">
      <c r="A1730" t="s">
        <v>301</v>
      </c>
      <c r="B1730" t="s">
        <v>249</v>
      </c>
      <c r="C1730" s="36">
        <f t="shared" si="1170"/>
        <v>2.2515524684704254E-2</v>
      </c>
      <c r="D1730" s="3">
        <f t="shared" si="1171"/>
        <v>9.0062098738817015E-2</v>
      </c>
      <c r="F1730">
        <v>1037577.26</v>
      </c>
      <c r="G1730" t="s">
        <v>76</v>
      </c>
      <c r="H1730">
        <v>1000000</v>
      </c>
      <c r="I1730" s="22"/>
      <c r="J1730">
        <v>15</v>
      </c>
      <c r="K1730" s="22"/>
      <c r="M1730" s="22">
        <v>9.6199999999999994E-2</v>
      </c>
      <c r="N1730" s="21">
        <v>44916</v>
      </c>
      <c r="O1730" s="21">
        <v>48180</v>
      </c>
      <c r="P1730">
        <f t="shared" si="1172"/>
        <v>9</v>
      </c>
      <c r="Q1730" s="6">
        <f t="shared" si="1173"/>
        <v>9.2715987241277817E-2</v>
      </c>
      <c r="R1730" s="5">
        <f t="shared" si="1174"/>
        <v>4</v>
      </c>
      <c r="S1730" t="s">
        <v>105</v>
      </c>
      <c r="U1730">
        <f t="shared" si="1175"/>
        <v>36</v>
      </c>
      <c r="V1730">
        <f t="shared" si="1176"/>
        <v>24050</v>
      </c>
      <c r="W1730" s="28">
        <f t="shared" si="1177"/>
        <v>2.2515524684704254E-2</v>
      </c>
      <c r="X1730" s="27">
        <f t="shared" si="1178"/>
        <v>9.0062098738817015E-2</v>
      </c>
      <c r="Y1730" s="5">
        <f t="shared" si="1179"/>
        <v>6.1153823719325446</v>
      </c>
      <c r="Z1730" s="5">
        <f t="shared" si="1180"/>
        <v>5.9807232499655605</v>
      </c>
      <c r="AA1730" s="5">
        <f t="shared" si="1181"/>
        <v>-6205462.4425175618</v>
      </c>
      <c r="AB1730" t="s">
        <v>64</v>
      </c>
      <c r="AC1730" t="s">
        <v>62</v>
      </c>
      <c r="AD1730">
        <f t="shared" si="1182"/>
        <v>4</v>
      </c>
    </row>
    <row r="1731" spans="1:30" x14ac:dyDescent="0.35">
      <c r="A1731" t="s">
        <v>300</v>
      </c>
      <c r="B1731" t="s">
        <v>232</v>
      </c>
      <c r="C1731" s="36">
        <f t="shared" si="1170"/>
        <v>6.9273701298922893E-2</v>
      </c>
      <c r="D1731" s="3">
        <f t="shared" si="1171"/>
        <v>6.9273701298922893E-2</v>
      </c>
      <c r="F1731">
        <v>1008642</v>
      </c>
      <c r="G1731" t="s">
        <v>76</v>
      </c>
      <c r="H1731">
        <v>1000000</v>
      </c>
      <c r="I1731" s="22"/>
      <c r="J1731">
        <v>1</v>
      </c>
      <c r="K1731" s="22"/>
      <c r="L1731">
        <v>6.8554344432207897</v>
      </c>
      <c r="M1731" s="22">
        <v>7.0499999999999993E-2</v>
      </c>
      <c r="N1731" s="21">
        <v>44531</v>
      </c>
      <c r="O1731" s="21">
        <v>48183</v>
      </c>
      <c r="P1731">
        <f t="shared" si="1172"/>
        <v>10</v>
      </c>
      <c r="Q1731" s="6">
        <f t="shared" si="1173"/>
        <v>6.9895959121273957E-2</v>
      </c>
      <c r="R1731" s="5">
        <f t="shared" si="1174"/>
        <v>1</v>
      </c>
      <c r="S1731" t="s">
        <v>93</v>
      </c>
      <c r="U1731">
        <f t="shared" si="1175"/>
        <v>10</v>
      </c>
      <c r="V1731">
        <f t="shared" si="1176"/>
        <v>70500</v>
      </c>
      <c r="W1731" s="28">
        <f t="shared" si="1177"/>
        <v>6.9273701298922893E-2</v>
      </c>
      <c r="X1731" s="27">
        <f t="shared" si="1178"/>
        <v>6.9273701298922893E-2</v>
      </c>
      <c r="Y1731" s="5">
        <f t="shared" si="1179"/>
        <v>7.5132714397769096</v>
      </c>
      <c r="Z1731" s="5">
        <f t="shared" si="1180"/>
        <v>7.0265184962933294</v>
      </c>
      <c r="AA1731" s="5">
        <f t="shared" si="1181"/>
        <v>-7087241.6691382965</v>
      </c>
      <c r="AB1731" t="s">
        <v>64</v>
      </c>
      <c r="AC1731" t="s">
        <v>62</v>
      </c>
      <c r="AD1731">
        <f t="shared" si="1182"/>
        <v>1</v>
      </c>
    </row>
    <row r="1732" spans="1:30" x14ac:dyDescent="0.35">
      <c r="A1732" t="s">
        <v>299</v>
      </c>
      <c r="B1732" t="s">
        <v>298</v>
      </c>
      <c r="C1732" s="36">
        <f t="shared" si="1170"/>
        <v>6.4964277963604447E-2</v>
      </c>
      <c r="D1732" s="3">
        <f t="shared" si="1171"/>
        <v>6.4964277963604447E-2</v>
      </c>
      <c r="F1732">
        <v>1035488</v>
      </c>
      <c r="G1732" t="s">
        <v>76</v>
      </c>
      <c r="H1732">
        <v>1000000</v>
      </c>
      <c r="I1732" s="22"/>
      <c r="J1732">
        <v>100</v>
      </c>
      <c r="K1732" s="22"/>
      <c r="L1732">
        <v>6.2197151394576098</v>
      </c>
      <c r="M1732" s="22">
        <v>6.9900000000000004E-2</v>
      </c>
      <c r="N1732" s="21">
        <v>44552</v>
      </c>
      <c r="O1732" s="21">
        <v>48204</v>
      </c>
      <c r="P1732">
        <f t="shared" si="1172"/>
        <v>10</v>
      </c>
      <c r="Q1732" s="6">
        <f t="shared" si="1173"/>
        <v>6.750440372075775E-2</v>
      </c>
      <c r="R1732" s="5">
        <f t="shared" si="1174"/>
        <v>1</v>
      </c>
      <c r="S1732" t="s">
        <v>93</v>
      </c>
      <c r="U1732">
        <f t="shared" si="1175"/>
        <v>10</v>
      </c>
      <c r="V1732">
        <f t="shared" si="1176"/>
        <v>69900</v>
      </c>
      <c r="W1732" s="28">
        <f t="shared" si="1177"/>
        <v>6.4964277963604447E-2</v>
      </c>
      <c r="X1732" s="27">
        <f t="shared" si="1178"/>
        <v>6.4964277963604447E-2</v>
      </c>
      <c r="Y1732" s="5">
        <f t="shared" si="1179"/>
        <v>7.5655202392948082</v>
      </c>
      <c r="Z1732" s="5">
        <f t="shared" si="1180"/>
        <v>7.1040131540950737</v>
      </c>
      <c r="AA1732" s="5">
        <f t="shared" si="1181"/>
        <v>-7356120.3729075994</v>
      </c>
      <c r="AB1732" t="s">
        <v>64</v>
      </c>
      <c r="AC1732" t="s">
        <v>62</v>
      </c>
      <c r="AD1732">
        <f t="shared" si="1182"/>
        <v>1</v>
      </c>
    </row>
    <row r="1733" spans="1:30" x14ac:dyDescent="0.35">
      <c r="A1733" t="s">
        <v>297</v>
      </c>
      <c r="B1733" t="s">
        <v>122</v>
      </c>
      <c r="C1733" s="36">
        <f t="shared" si="1170"/>
        <v>0.10088813059705316</v>
      </c>
      <c r="D1733" s="3">
        <f t="shared" si="1171"/>
        <v>0.10088813059705316</v>
      </c>
      <c r="F1733">
        <v>976.2</v>
      </c>
      <c r="G1733" t="s">
        <v>76</v>
      </c>
      <c r="H1733">
        <v>1000</v>
      </c>
      <c r="I1733" s="22"/>
      <c r="J1733">
        <v>40</v>
      </c>
      <c r="K1733" s="22"/>
      <c r="L1733">
        <v>10.3149993233251</v>
      </c>
      <c r="M1733" s="22">
        <v>9.6999999999999989E-2</v>
      </c>
      <c r="N1733" s="21">
        <v>44558</v>
      </c>
      <c r="O1733" s="21">
        <v>48210</v>
      </c>
      <c r="P1733">
        <f t="shared" si="1172"/>
        <v>10</v>
      </c>
      <c r="Q1733" s="6">
        <f t="shared" si="1173"/>
        <v>9.9364884245031732E-2</v>
      </c>
      <c r="R1733" s="5">
        <f t="shared" si="1174"/>
        <v>1</v>
      </c>
      <c r="S1733" t="s">
        <v>93</v>
      </c>
      <c r="U1733">
        <f t="shared" si="1175"/>
        <v>10</v>
      </c>
      <c r="V1733">
        <f t="shared" si="1176"/>
        <v>96.999999999999986</v>
      </c>
      <c r="W1733" s="28">
        <f t="shared" si="1177"/>
        <v>0.10088813059705316</v>
      </c>
      <c r="X1733" s="27">
        <f t="shared" si="1178"/>
        <v>0.10088813059705316</v>
      </c>
      <c r="Y1733" s="5">
        <f t="shared" si="1179"/>
        <v>6.7879889087603109</v>
      </c>
      <c r="Z1733" s="5">
        <f t="shared" si="1180"/>
        <v>6.1659206963008382</v>
      </c>
      <c r="AA1733" s="5">
        <f t="shared" si="1181"/>
        <v>-6019.1717837288788</v>
      </c>
      <c r="AB1733" t="s">
        <v>64</v>
      </c>
      <c r="AC1733" t="s">
        <v>62</v>
      </c>
      <c r="AD1733">
        <f t="shared" si="1182"/>
        <v>1</v>
      </c>
    </row>
    <row r="1734" spans="1:30" x14ac:dyDescent="0.35">
      <c r="A1734" t="s">
        <v>296</v>
      </c>
      <c r="B1734" t="s">
        <v>122</v>
      </c>
      <c r="C1734" s="36">
        <f t="shared" si="1170"/>
        <v>0.10500573324921829</v>
      </c>
      <c r="D1734" s="3">
        <f t="shared" si="1171"/>
        <v>0.10500573324921829</v>
      </c>
      <c r="F1734">
        <v>927.79</v>
      </c>
      <c r="G1734" t="s">
        <v>76</v>
      </c>
      <c r="H1734">
        <v>1000</v>
      </c>
      <c r="I1734" s="22"/>
      <c r="J1734">
        <v>15</v>
      </c>
      <c r="K1734" s="22"/>
      <c r="L1734">
        <v>11.2306166059115</v>
      </c>
      <c r="M1734" s="22">
        <v>9.3000000000000013E-2</v>
      </c>
      <c r="N1734" s="21">
        <v>44558</v>
      </c>
      <c r="O1734" s="21">
        <v>48210</v>
      </c>
      <c r="P1734">
        <f t="shared" si="1172"/>
        <v>10</v>
      </c>
      <c r="Q1734" s="6">
        <f t="shared" si="1173"/>
        <v>0.10023820045484433</v>
      </c>
      <c r="R1734" s="5">
        <f t="shared" si="1174"/>
        <v>1</v>
      </c>
      <c r="S1734" t="s">
        <v>93</v>
      </c>
      <c r="U1734">
        <f t="shared" si="1175"/>
        <v>10</v>
      </c>
      <c r="V1734">
        <f t="shared" si="1176"/>
        <v>93.000000000000014</v>
      </c>
      <c r="W1734" s="28">
        <f t="shared" si="1177"/>
        <v>0.10500573324921829</v>
      </c>
      <c r="X1734" s="27">
        <f t="shared" si="1178"/>
        <v>0.10500573324921829</v>
      </c>
      <c r="Y1734" s="5">
        <f t="shared" si="1179"/>
        <v>6.7984680174617766</v>
      </c>
      <c r="Z1734" s="5">
        <f t="shared" si="1180"/>
        <v>6.1524278226785265</v>
      </c>
      <c r="AA1734" s="5">
        <f t="shared" si="1181"/>
        <v>-5708.1610096029099</v>
      </c>
      <c r="AB1734" t="s">
        <v>64</v>
      </c>
      <c r="AC1734" t="s">
        <v>62</v>
      </c>
      <c r="AD1734">
        <f t="shared" si="1182"/>
        <v>1</v>
      </c>
    </row>
    <row r="1735" spans="1:30" x14ac:dyDescent="0.35">
      <c r="A1735" t="s">
        <v>295</v>
      </c>
      <c r="B1735" t="s">
        <v>67</v>
      </c>
      <c r="C1735" s="36">
        <f t="shared" si="1170"/>
        <v>2.1268442376432103E-2</v>
      </c>
      <c r="D1735" s="3">
        <f t="shared" si="1171"/>
        <v>4.2536884752864206E-2</v>
      </c>
      <c r="F1735">
        <v>888.65</v>
      </c>
      <c r="G1735" t="s">
        <v>66</v>
      </c>
      <c r="H1735">
        <v>1000</v>
      </c>
      <c r="I1735" s="22"/>
      <c r="J1735">
        <v>1960000</v>
      </c>
      <c r="K1735" s="22"/>
      <c r="M1735" s="22">
        <v>2.8750000000000001E-2</v>
      </c>
      <c r="N1735" s="21">
        <v>44573</v>
      </c>
      <c r="O1735" s="21">
        <v>48225</v>
      </c>
      <c r="P1735">
        <f t="shared" si="1172"/>
        <v>10</v>
      </c>
      <c r="Q1735" s="6">
        <f t="shared" si="1173"/>
        <v>3.235244471951837E-2</v>
      </c>
      <c r="R1735" s="5">
        <f t="shared" si="1174"/>
        <v>2</v>
      </c>
      <c r="S1735" t="s">
        <v>65</v>
      </c>
      <c r="U1735">
        <f t="shared" si="1175"/>
        <v>20</v>
      </c>
      <c r="V1735">
        <f t="shared" si="1176"/>
        <v>14.375</v>
      </c>
      <c r="W1735" s="28">
        <f t="shared" si="1177"/>
        <v>2.1268442376432103E-2</v>
      </c>
      <c r="X1735" s="27">
        <f t="shared" si="1178"/>
        <v>4.2536884752864206E-2</v>
      </c>
      <c r="Y1735" s="5">
        <f t="shared" si="1179"/>
        <v>8.6676960386284332</v>
      </c>
      <c r="Z1735" s="5">
        <f t="shared" si="1180"/>
        <v>8.4871867953338604</v>
      </c>
      <c r="AA1735" s="5">
        <f t="shared" si="1181"/>
        <v>-7542.1385456734351</v>
      </c>
      <c r="AB1735" t="s">
        <v>69</v>
      </c>
      <c r="AC1735" t="s">
        <v>62</v>
      </c>
      <c r="AD1735">
        <f t="shared" si="1182"/>
        <v>2</v>
      </c>
    </row>
    <row r="1736" spans="1:30" x14ac:dyDescent="0.35">
      <c r="A1736" t="s">
        <v>294</v>
      </c>
      <c r="B1736" t="s">
        <v>72</v>
      </c>
      <c r="C1736" s="36">
        <f t="shared" si="1170"/>
        <v>2.3071401469409919E-2</v>
      </c>
      <c r="D1736" s="3">
        <f t="shared" si="1171"/>
        <v>4.6142802938819838E-2</v>
      </c>
      <c r="F1736">
        <v>917.1</v>
      </c>
      <c r="G1736" t="s">
        <v>66</v>
      </c>
      <c r="H1736">
        <v>1000</v>
      </c>
      <c r="I1736" s="22"/>
      <c r="J1736">
        <v>0</v>
      </c>
      <c r="K1736" s="22"/>
      <c r="M1736" s="22">
        <v>3.5699999999999996E-2</v>
      </c>
      <c r="N1736" s="21">
        <v>44582</v>
      </c>
      <c r="O1736" s="21">
        <v>48234</v>
      </c>
      <c r="P1736">
        <f t="shared" si="1172"/>
        <v>10</v>
      </c>
      <c r="Q1736" s="6">
        <f t="shared" si="1173"/>
        <v>3.8927052666012422E-2</v>
      </c>
      <c r="R1736" s="5">
        <f t="shared" si="1174"/>
        <v>2</v>
      </c>
      <c r="S1736" t="s">
        <v>65</v>
      </c>
      <c r="U1736">
        <f t="shared" si="1175"/>
        <v>20</v>
      </c>
      <c r="V1736">
        <f t="shared" si="1176"/>
        <v>17.849999999999998</v>
      </c>
      <c r="W1736" s="28">
        <f t="shared" si="1177"/>
        <v>2.3071401469409919E-2</v>
      </c>
      <c r="X1736" s="27">
        <f t="shared" si="1178"/>
        <v>4.6142802938819838E-2</v>
      </c>
      <c r="Y1736" s="5">
        <f t="shared" si="1179"/>
        <v>8.4153700406792034</v>
      </c>
      <c r="Z1736" s="5">
        <f t="shared" si="1180"/>
        <v>8.225594057846239</v>
      </c>
      <c r="AA1736" s="5">
        <f t="shared" si="1181"/>
        <v>-7543.692310450786</v>
      </c>
      <c r="AB1736" t="s">
        <v>64</v>
      </c>
      <c r="AC1736" t="s">
        <v>62</v>
      </c>
      <c r="AD1736">
        <f t="shared" si="1182"/>
        <v>2</v>
      </c>
    </row>
    <row r="1737" spans="1:30" x14ac:dyDescent="0.35">
      <c r="A1737" t="s">
        <v>293</v>
      </c>
      <c r="B1737" t="s">
        <v>72</v>
      </c>
      <c r="C1737" s="36">
        <f t="shared" si="1170"/>
        <v>2.2846536935504373E-2</v>
      </c>
      <c r="D1737" s="3">
        <f t="shared" si="1171"/>
        <v>4.5693073871008745E-2</v>
      </c>
      <c r="F1737">
        <v>920.5</v>
      </c>
      <c r="G1737" t="s">
        <v>66</v>
      </c>
      <c r="H1737">
        <v>1000</v>
      </c>
      <c r="I1737" s="22"/>
      <c r="J1737">
        <v>1605000</v>
      </c>
      <c r="K1737" s="22"/>
      <c r="M1737" s="22">
        <v>3.5699999999999996E-2</v>
      </c>
      <c r="N1737" s="21">
        <v>44582</v>
      </c>
      <c r="O1737" s="21">
        <v>48234</v>
      </c>
      <c r="P1737">
        <f t="shared" si="1172"/>
        <v>10</v>
      </c>
      <c r="Q1737" s="6">
        <f t="shared" si="1173"/>
        <v>3.8783269961977181E-2</v>
      </c>
      <c r="R1737" s="5">
        <f t="shared" si="1174"/>
        <v>2</v>
      </c>
      <c r="S1737" t="s">
        <v>65</v>
      </c>
      <c r="U1737">
        <f t="shared" si="1175"/>
        <v>20</v>
      </c>
      <c r="V1737">
        <f t="shared" si="1176"/>
        <v>17.849999999999998</v>
      </c>
      <c r="W1737" s="28">
        <f t="shared" si="1177"/>
        <v>2.2846536935504373E-2</v>
      </c>
      <c r="X1737" s="27">
        <f t="shared" si="1178"/>
        <v>4.5693073871008745E-2</v>
      </c>
      <c r="Y1737" s="5">
        <f t="shared" si="1179"/>
        <v>8.4189525536115113</v>
      </c>
      <c r="Z1737" s="5">
        <f t="shared" si="1180"/>
        <v>8.2309048812298702</v>
      </c>
      <c r="AA1737" s="5">
        <f t="shared" si="1181"/>
        <v>-7576.5479431720951</v>
      </c>
      <c r="AB1737" t="s">
        <v>64</v>
      </c>
      <c r="AC1737" t="s">
        <v>62</v>
      </c>
      <c r="AD1737">
        <f t="shared" si="1182"/>
        <v>2</v>
      </c>
    </row>
    <row r="1738" spans="1:30" x14ac:dyDescent="0.35">
      <c r="C1738" s="28"/>
      <c r="D1738" s="27"/>
      <c r="I1738" s="22"/>
      <c r="K1738" s="22"/>
      <c r="M1738" s="22"/>
      <c r="N1738" s="21"/>
      <c r="O1738" s="21"/>
      <c r="P1738" s="5"/>
      <c r="Q1738" s="6"/>
      <c r="R1738" s="5"/>
      <c r="W1738" s="28"/>
      <c r="Y1738" s="33"/>
      <c r="Z1738" s="33"/>
      <c r="AA1738" s="33"/>
    </row>
    <row r="1739" spans="1:30" x14ac:dyDescent="0.35">
      <c r="A1739" t="s">
        <v>291</v>
      </c>
      <c r="B1739" t="s">
        <v>85</v>
      </c>
      <c r="C1739" s="36">
        <f>RATE(U1739,V1739,-F1739,H1739)</f>
        <v>2.8979739109509368E-2</v>
      </c>
      <c r="D1739" s="3">
        <f>C1739*AD1739</f>
        <v>5.7959478219018735E-2</v>
      </c>
      <c r="F1739">
        <v>841.57</v>
      </c>
      <c r="G1739" t="s">
        <v>66</v>
      </c>
      <c r="H1739">
        <v>1000</v>
      </c>
      <c r="I1739" s="22"/>
      <c r="J1739">
        <v>3000000</v>
      </c>
      <c r="K1739" s="22"/>
      <c r="M1739" s="22">
        <v>3.8280000000000002E-2</v>
      </c>
      <c r="N1739" s="21">
        <v>44410</v>
      </c>
      <c r="O1739" s="21">
        <v>48246</v>
      </c>
      <c r="P1739">
        <f>ROUND(YEARFRAC(N1739,O1739),0)</f>
        <v>11</v>
      </c>
      <c r="Q1739" s="6">
        <f>(M1739*H1739)/F1739</f>
        <v>4.5486412300818707E-2</v>
      </c>
      <c r="R1739" s="5">
        <f>IF(S1739="Quarterly",4,IF(S1739="Semi-annual",2,IF(S1739="Annual",1,IF(S1739="Pays at maturity",0,12))))</f>
        <v>2</v>
      </c>
      <c r="S1739" t="s">
        <v>65</v>
      </c>
      <c r="U1739">
        <f>R1739*P1739</f>
        <v>22</v>
      </c>
      <c r="V1739">
        <f>(H1739*M1739)/AD1739</f>
        <v>19.14</v>
      </c>
      <c r="W1739" s="28">
        <f>RATE(U1739,V1739,-F1739,H1739)</f>
        <v>2.8979739109509368E-2</v>
      </c>
      <c r="X1739" s="27">
        <f>W1739*AD1739</f>
        <v>5.7959478219018735E-2</v>
      </c>
      <c r="Y1739" s="5">
        <f>DURATION(N1739,O1739,M1739,D1739,AD1739)</f>
        <v>8.5574943826790051</v>
      </c>
      <c r="Z1739" s="5">
        <f>Y1739/(1+C1739)</f>
        <v>8.3164848222227938</v>
      </c>
      <c r="AA1739" s="5">
        <f>-Z1739*F1739</f>
        <v>-6998.9041318380368</v>
      </c>
      <c r="AB1739" t="s">
        <v>69</v>
      </c>
      <c r="AC1739" t="s">
        <v>62</v>
      </c>
      <c r="AD1739">
        <f>_xlfn.SWITCH(PROPER(TRIM(S1739)),
   "Annual",1,
   "Semi-Annual",2,
   "Quarterly",4,
   "Monthly",12,
   "")</f>
        <v>2</v>
      </c>
    </row>
    <row r="1740" spans="1:30" x14ac:dyDescent="0.35">
      <c r="A1740" t="s">
        <v>290</v>
      </c>
      <c r="B1740" t="s">
        <v>85</v>
      </c>
      <c r="C1740" s="36">
        <f>RATE(U1740,V1740,-F1740,H1740)</f>
        <v>2.8076237221754115E-2</v>
      </c>
      <c r="D1740" s="3">
        <f>C1740*AD1740</f>
        <v>5.6152474443508231E-2</v>
      </c>
      <c r="F1740">
        <v>854.8</v>
      </c>
      <c r="G1740" t="s">
        <v>66</v>
      </c>
      <c r="H1740">
        <v>1000</v>
      </c>
      <c r="I1740" s="22"/>
      <c r="J1740">
        <v>0</v>
      </c>
      <c r="K1740" s="22"/>
      <c r="M1740" s="22">
        <v>3.8280000000000002E-2</v>
      </c>
      <c r="N1740" s="21">
        <v>44410</v>
      </c>
      <c r="O1740" s="21">
        <v>48246</v>
      </c>
      <c r="P1740">
        <f>ROUND(YEARFRAC(N1740,O1740),0)</f>
        <v>11</v>
      </c>
      <c r="Q1740" s="6">
        <f>(M1740*H1740)/F1740</f>
        <v>4.478240524099205E-2</v>
      </c>
      <c r="R1740" s="5">
        <f>IF(S1740="Quarterly",4,IF(S1740="Semi-annual",2,IF(S1740="Annual",1,IF(S1740="Pays at maturity",0,12))))</f>
        <v>2</v>
      </c>
      <c r="S1740" t="s">
        <v>65</v>
      </c>
      <c r="U1740">
        <f>R1740*P1740</f>
        <v>22</v>
      </c>
      <c r="V1740">
        <f>(H1740*M1740)/AD1740</f>
        <v>19.14</v>
      </c>
      <c r="W1740" s="28">
        <f>RATE(U1740,V1740,-F1740,H1740)</f>
        <v>2.8076237221754115E-2</v>
      </c>
      <c r="X1740" s="27">
        <f>W1740*AD1740</f>
        <v>5.6152474443508231E-2</v>
      </c>
      <c r="Y1740" s="5">
        <f>DURATION(N1740,O1740,M1740,D1740,AD1740)</f>
        <v>8.57520458531671</v>
      </c>
      <c r="Z1740" s="5">
        <f>Y1740/(1+C1740)</f>
        <v>8.3410201255989698</v>
      </c>
      <c r="AA1740" s="5">
        <f>-Z1740*F1740</f>
        <v>-7129.9040033619985</v>
      </c>
      <c r="AB1740" t="s">
        <v>69</v>
      </c>
      <c r="AC1740" t="s">
        <v>62</v>
      </c>
      <c r="AD1740">
        <f>_xlfn.SWITCH(PROPER(TRIM(S1740)),
   "Annual",1,
   "Semi-Annual",2,
   "Quarterly",4,
   "Monthly",12,
   "")</f>
        <v>2</v>
      </c>
    </row>
    <row r="1741" spans="1:30" x14ac:dyDescent="0.35">
      <c r="C1741" s="28"/>
      <c r="D1741" s="27"/>
      <c r="I1741" s="22"/>
      <c r="K1741" s="22"/>
      <c r="M1741" s="22"/>
      <c r="N1741" s="21"/>
      <c r="O1741" s="21"/>
      <c r="P1741" s="5"/>
      <c r="Q1741" s="6"/>
      <c r="R1741" s="5"/>
      <c r="W1741" s="28"/>
      <c r="Y1741" s="33"/>
      <c r="Z1741" s="33"/>
      <c r="AA1741" s="33"/>
    </row>
    <row r="1742" spans="1:30" x14ac:dyDescent="0.35">
      <c r="A1742" t="s">
        <v>288</v>
      </c>
      <c r="B1742" t="s">
        <v>287</v>
      </c>
      <c r="C1742" s="36">
        <f t="shared" ref="C1742:C1752" si="1183">RATE(U1742,V1742,-F1742,H1742)</f>
        <v>3.5239374227053151E-2</v>
      </c>
      <c r="D1742" s="3">
        <f t="shared" ref="D1742:D1752" si="1184">C1742*AD1742</f>
        <v>7.0478748454106302E-2</v>
      </c>
      <c r="F1742">
        <v>1003.75</v>
      </c>
      <c r="G1742" t="s">
        <v>66</v>
      </c>
      <c r="H1742">
        <v>1000</v>
      </c>
      <c r="I1742" s="22"/>
      <c r="J1742">
        <v>2360000</v>
      </c>
      <c r="K1742" s="22"/>
      <c r="M1742" s="22">
        <v>7.1099999999999997E-2</v>
      </c>
      <c r="N1742" s="21">
        <v>45362</v>
      </c>
      <c r="O1742" s="21">
        <v>48284</v>
      </c>
      <c r="P1742">
        <f t="shared" ref="P1742:P1752" si="1185">ROUND(YEARFRAC(N1742,O1742),0)</f>
        <v>8</v>
      </c>
      <c r="Q1742" s="6">
        <f t="shared" ref="Q1742:Q1752" si="1186">(M1742*H1742)/F1742</f>
        <v>7.0834371108343702E-2</v>
      </c>
      <c r="R1742" s="5">
        <f t="shared" ref="R1742:R1752" si="1187">IF(S1742="Quarterly",4,IF(S1742="Semi-annual",2,IF(S1742="Annual",1,IF(S1742="Pays at maturity",0,12))))</f>
        <v>2</v>
      </c>
      <c r="S1742" t="s">
        <v>65</v>
      </c>
      <c r="U1742">
        <f t="shared" ref="U1742:U1752" si="1188">R1742*P1742</f>
        <v>16</v>
      </c>
      <c r="V1742">
        <f t="shared" ref="V1742:V1752" si="1189">(H1742*M1742)/AD1742</f>
        <v>35.549999999999997</v>
      </c>
      <c r="W1742" s="28">
        <f t="shared" ref="W1742:W1752" si="1190">RATE(U1742,V1742,-F1742,H1742)</f>
        <v>3.5239374227053151E-2</v>
      </c>
      <c r="X1742" s="27">
        <f t="shared" ref="X1742:X1752" si="1191">W1742*AD1742</f>
        <v>7.0478748454106302E-2</v>
      </c>
      <c r="Y1742" s="5">
        <f t="shared" ref="Y1742:Y1752" si="1192">DURATION(N1742,O1742,M1742,D1742,AD1742)</f>
        <v>6.2400786216344635</v>
      </c>
      <c r="Z1742" s="5">
        <f t="shared" ref="Z1742:Z1752" si="1193">Y1742/(1+C1742)</f>
        <v>6.0276673945999493</v>
      </c>
      <c r="AA1742" s="5">
        <f t="shared" ref="AA1742:AA1752" si="1194">-Z1742*F1742</f>
        <v>-6050.2711473296995</v>
      </c>
      <c r="AB1742" t="s">
        <v>69</v>
      </c>
      <c r="AC1742" t="s">
        <v>62</v>
      </c>
      <c r="AD1742">
        <f t="shared" ref="AD1742:AD1752" si="1195">_xlfn.SWITCH(PROPER(TRIM(S1742)),
   "Annual",1,
   "Semi-Annual",2,
   "Quarterly",4,
   "Monthly",12,
   "")</f>
        <v>2</v>
      </c>
    </row>
    <row r="1743" spans="1:30" x14ac:dyDescent="0.35">
      <c r="A1743" t="s">
        <v>286</v>
      </c>
      <c r="B1743" t="s">
        <v>239</v>
      </c>
      <c r="C1743" s="36">
        <f t="shared" si="1183"/>
        <v>2.2225000000000002E-2</v>
      </c>
      <c r="D1743" s="3">
        <f t="shared" si="1184"/>
        <v>8.8900000000000007E-2</v>
      </c>
      <c r="F1743">
        <v>100000</v>
      </c>
      <c r="G1743" t="s">
        <v>76</v>
      </c>
      <c r="H1743">
        <v>100000</v>
      </c>
      <c r="I1743" s="22"/>
      <c r="J1743">
        <v>1</v>
      </c>
      <c r="K1743" s="22"/>
      <c r="M1743" s="22">
        <v>8.8900000000000007E-2</v>
      </c>
      <c r="N1743" s="21">
        <v>45364</v>
      </c>
      <c r="O1743" s="21">
        <v>48286</v>
      </c>
      <c r="P1743">
        <f t="shared" si="1185"/>
        <v>8</v>
      </c>
      <c r="Q1743" s="6">
        <f t="shared" si="1186"/>
        <v>8.8900000000000007E-2</v>
      </c>
      <c r="R1743" s="5">
        <f t="shared" si="1187"/>
        <v>4</v>
      </c>
      <c r="S1743" t="s">
        <v>105</v>
      </c>
      <c r="U1743">
        <f t="shared" si="1188"/>
        <v>32</v>
      </c>
      <c r="V1743">
        <f t="shared" si="1189"/>
        <v>2222.5</v>
      </c>
      <c r="W1743" s="28">
        <f t="shared" si="1190"/>
        <v>2.2225000000000002E-2</v>
      </c>
      <c r="X1743" s="27">
        <f t="shared" si="1191"/>
        <v>8.8900000000000007E-2</v>
      </c>
      <c r="Y1743" s="5">
        <f t="shared" si="1192"/>
        <v>5.8080104374059562</v>
      </c>
      <c r="Z1743" s="5">
        <f t="shared" si="1193"/>
        <v>5.6817339014463126</v>
      </c>
      <c r="AA1743" s="5">
        <f t="shared" si="1194"/>
        <v>-568173.39014463127</v>
      </c>
      <c r="AB1743" t="s">
        <v>79</v>
      </c>
      <c r="AC1743" t="s">
        <v>62</v>
      </c>
      <c r="AD1743">
        <f t="shared" si="1195"/>
        <v>4</v>
      </c>
    </row>
    <row r="1744" spans="1:30" x14ac:dyDescent="0.35">
      <c r="A1744" t="s">
        <v>285</v>
      </c>
      <c r="B1744" t="s">
        <v>128</v>
      </c>
      <c r="C1744" s="36">
        <f t="shared" si="1183"/>
        <v>0.10029999999998229</v>
      </c>
      <c r="D1744" s="3">
        <f t="shared" si="1184"/>
        <v>0.10029999999998229</v>
      </c>
      <c r="F1744">
        <v>1000</v>
      </c>
      <c r="G1744" t="s">
        <v>76</v>
      </c>
      <c r="H1744">
        <v>1000</v>
      </c>
      <c r="I1744" s="22"/>
      <c r="J1744">
        <v>20</v>
      </c>
      <c r="K1744" s="22"/>
      <c r="L1744">
        <v>10.029999999999999</v>
      </c>
      <c r="M1744" s="22">
        <v>0.1003</v>
      </c>
      <c r="N1744" s="21">
        <v>45735</v>
      </c>
      <c r="O1744" s="21">
        <v>48292</v>
      </c>
      <c r="P1744">
        <f t="shared" si="1185"/>
        <v>7</v>
      </c>
      <c r="Q1744" s="6">
        <f t="shared" si="1186"/>
        <v>0.1003</v>
      </c>
      <c r="R1744" s="5">
        <f t="shared" si="1187"/>
        <v>1</v>
      </c>
      <c r="S1744" t="s">
        <v>93</v>
      </c>
      <c r="U1744">
        <f t="shared" si="1188"/>
        <v>7</v>
      </c>
      <c r="V1744">
        <f t="shared" si="1189"/>
        <v>100.3</v>
      </c>
      <c r="W1744" s="28">
        <f t="shared" si="1190"/>
        <v>0.10029999999998229</v>
      </c>
      <c r="X1744" s="27">
        <f t="shared" si="1191"/>
        <v>0.10029999999998229</v>
      </c>
      <c r="Y1744" s="5">
        <f t="shared" si="1192"/>
        <v>5.3514344317142495</v>
      </c>
      <c r="Z1744" s="5">
        <f t="shared" si="1193"/>
        <v>4.8636139522987687</v>
      </c>
      <c r="AA1744" s="5">
        <f t="shared" si="1194"/>
        <v>-4863.6139522987687</v>
      </c>
      <c r="AB1744" t="s">
        <v>64</v>
      </c>
      <c r="AC1744" t="s">
        <v>62</v>
      </c>
      <c r="AD1744">
        <f t="shared" si="1195"/>
        <v>1</v>
      </c>
    </row>
    <row r="1745" spans="1:30" x14ac:dyDescent="0.35">
      <c r="A1745" t="s">
        <v>284</v>
      </c>
      <c r="B1745" t="s">
        <v>283</v>
      </c>
      <c r="C1745" s="36">
        <f t="shared" si="1183"/>
        <v>2.2038013641002691E-2</v>
      </c>
      <c r="D1745" s="3">
        <f t="shared" si="1184"/>
        <v>8.8152054564010762E-2</v>
      </c>
      <c r="F1745">
        <v>1070000</v>
      </c>
      <c r="G1745" t="s">
        <v>76</v>
      </c>
      <c r="H1745">
        <v>1000000</v>
      </c>
      <c r="I1745" s="22"/>
      <c r="J1745">
        <v>1</v>
      </c>
      <c r="K1745" s="22"/>
      <c r="M1745" s="22">
        <v>9.9499999999999991E-2</v>
      </c>
      <c r="N1745" s="21">
        <v>44841</v>
      </c>
      <c r="O1745" s="21">
        <v>48295</v>
      </c>
      <c r="P1745">
        <f t="shared" si="1185"/>
        <v>9</v>
      </c>
      <c r="Q1745" s="6">
        <f t="shared" si="1186"/>
        <v>9.2990654205607468E-2</v>
      </c>
      <c r="R1745" s="5">
        <f t="shared" si="1187"/>
        <v>4</v>
      </c>
      <c r="S1745" t="s">
        <v>105</v>
      </c>
      <c r="U1745">
        <f t="shared" si="1188"/>
        <v>36</v>
      </c>
      <c r="V1745">
        <f t="shared" si="1189"/>
        <v>24874.999999999996</v>
      </c>
      <c r="W1745" s="28">
        <f t="shared" si="1190"/>
        <v>2.2038013641002691E-2</v>
      </c>
      <c r="X1745" s="27">
        <f t="shared" si="1191"/>
        <v>8.8152054564010762E-2</v>
      </c>
      <c r="Y1745" s="5">
        <f t="shared" si="1192"/>
        <v>6.3327537637091291</v>
      </c>
      <c r="Z1745" s="5">
        <f t="shared" si="1193"/>
        <v>6.1962017842650896</v>
      </c>
      <c r="AA1745" s="5">
        <f t="shared" si="1194"/>
        <v>-6629935.9091636455</v>
      </c>
      <c r="AB1745" t="s">
        <v>64</v>
      </c>
      <c r="AC1745" t="s">
        <v>62</v>
      </c>
      <c r="AD1745">
        <f t="shared" si="1195"/>
        <v>4</v>
      </c>
    </row>
    <row r="1746" spans="1:30" x14ac:dyDescent="0.35">
      <c r="A1746" t="s">
        <v>282</v>
      </c>
      <c r="B1746" t="s">
        <v>281</v>
      </c>
      <c r="C1746" s="36">
        <f t="shared" si="1183"/>
        <v>2.2052700189338567E-2</v>
      </c>
      <c r="D1746" s="3">
        <f t="shared" si="1184"/>
        <v>8.8210800757354269E-2</v>
      </c>
      <c r="F1746">
        <v>1058000</v>
      </c>
      <c r="G1746" t="s">
        <v>76</v>
      </c>
      <c r="H1746">
        <v>1000000</v>
      </c>
      <c r="I1746" s="22"/>
      <c r="J1746">
        <v>1</v>
      </c>
      <c r="K1746" s="22"/>
      <c r="M1746" s="22">
        <v>9.6999999999999989E-2</v>
      </c>
      <c r="N1746" s="21">
        <v>44650</v>
      </c>
      <c r="O1746" s="21">
        <v>48295</v>
      </c>
      <c r="P1746">
        <f t="shared" si="1185"/>
        <v>10</v>
      </c>
      <c r="Q1746" s="6">
        <f t="shared" si="1186"/>
        <v>9.1682419659735337E-2</v>
      </c>
      <c r="R1746" s="5">
        <f t="shared" si="1187"/>
        <v>4</v>
      </c>
      <c r="S1746" t="s">
        <v>105</v>
      </c>
      <c r="U1746">
        <f t="shared" si="1188"/>
        <v>40</v>
      </c>
      <c r="V1746">
        <f t="shared" si="1189"/>
        <v>24249.999999999996</v>
      </c>
      <c r="W1746" s="28">
        <f t="shared" si="1190"/>
        <v>2.2052700189338567E-2</v>
      </c>
      <c r="X1746" s="27">
        <f t="shared" si="1191"/>
        <v>8.8210800757354269E-2</v>
      </c>
      <c r="Y1746" s="5">
        <f t="shared" si="1192"/>
        <v>6.5941902684009053</v>
      </c>
      <c r="Z1746" s="5">
        <f t="shared" si="1193"/>
        <v>6.4519082696805272</v>
      </c>
      <c r="AA1746" s="5">
        <f t="shared" si="1194"/>
        <v>-6826118.9493219974</v>
      </c>
      <c r="AB1746" t="s">
        <v>64</v>
      </c>
      <c r="AC1746" t="s">
        <v>62</v>
      </c>
      <c r="AD1746">
        <f t="shared" si="1195"/>
        <v>4</v>
      </c>
    </row>
    <row r="1747" spans="1:30" x14ac:dyDescent="0.35">
      <c r="A1747" t="s">
        <v>280</v>
      </c>
      <c r="B1747" t="s">
        <v>278</v>
      </c>
      <c r="C1747" s="36">
        <f t="shared" si="1183"/>
        <v>2.9593190518955422E-2</v>
      </c>
      <c r="D1747" s="3">
        <f t="shared" si="1184"/>
        <v>5.9186381037910844E-2</v>
      </c>
      <c r="F1747">
        <v>930.5</v>
      </c>
      <c r="G1747" t="s">
        <v>66</v>
      </c>
      <c r="H1747">
        <v>1000</v>
      </c>
      <c r="I1747" s="22"/>
      <c r="J1747">
        <v>1000000</v>
      </c>
      <c r="K1747" s="22"/>
      <c r="M1747" s="22">
        <v>5.0499999999999996E-2</v>
      </c>
      <c r="N1747" s="21">
        <v>44462</v>
      </c>
      <c r="O1747" s="21">
        <v>48309</v>
      </c>
      <c r="P1747">
        <f t="shared" si="1185"/>
        <v>11</v>
      </c>
      <c r="Q1747" s="6">
        <f t="shared" si="1186"/>
        <v>5.4271896829661465E-2</v>
      </c>
      <c r="R1747" s="5">
        <f t="shared" si="1187"/>
        <v>2</v>
      </c>
      <c r="S1747" t="s">
        <v>65</v>
      </c>
      <c r="U1747">
        <f t="shared" si="1188"/>
        <v>22</v>
      </c>
      <c r="V1747">
        <f t="shared" si="1189"/>
        <v>25.249999999999996</v>
      </c>
      <c r="W1747" s="28">
        <f t="shared" si="1190"/>
        <v>2.9593190518955422E-2</v>
      </c>
      <c r="X1747" s="27">
        <f t="shared" si="1191"/>
        <v>5.9186381037910844E-2</v>
      </c>
      <c r="Y1747" s="5">
        <f t="shared" si="1192"/>
        <v>8.0004959728918124</v>
      </c>
      <c r="Z1747" s="5">
        <f t="shared" si="1193"/>
        <v>7.7705408763040165</v>
      </c>
      <c r="AA1747" s="5">
        <f t="shared" si="1194"/>
        <v>-7230.4882854008874</v>
      </c>
      <c r="AB1747" t="s">
        <v>69</v>
      </c>
      <c r="AC1747" t="s">
        <v>62</v>
      </c>
      <c r="AD1747">
        <f t="shared" si="1195"/>
        <v>2</v>
      </c>
    </row>
    <row r="1748" spans="1:30" x14ac:dyDescent="0.35">
      <c r="A1748" t="s">
        <v>279</v>
      </c>
      <c r="B1748" t="s">
        <v>278</v>
      </c>
      <c r="C1748" s="36">
        <f t="shared" si="1183"/>
        <v>2.9365029093165143E-2</v>
      </c>
      <c r="D1748" s="3">
        <f t="shared" si="1184"/>
        <v>5.8730058186330286E-2</v>
      </c>
      <c r="F1748">
        <v>934</v>
      </c>
      <c r="G1748" t="s">
        <v>66</v>
      </c>
      <c r="H1748">
        <v>1000</v>
      </c>
      <c r="I1748" s="22"/>
      <c r="J1748">
        <v>0</v>
      </c>
      <c r="K1748" s="22"/>
      <c r="M1748" s="22">
        <v>5.0499999999999996E-2</v>
      </c>
      <c r="N1748" s="21">
        <v>44462</v>
      </c>
      <c r="O1748" s="21">
        <v>48309</v>
      </c>
      <c r="P1748">
        <f t="shared" si="1185"/>
        <v>11</v>
      </c>
      <c r="Q1748" s="6">
        <f t="shared" si="1186"/>
        <v>5.4068522483940035E-2</v>
      </c>
      <c r="R1748" s="5">
        <f t="shared" si="1187"/>
        <v>2</v>
      </c>
      <c r="S1748" t="s">
        <v>65</v>
      </c>
      <c r="U1748">
        <f t="shared" si="1188"/>
        <v>22</v>
      </c>
      <c r="V1748">
        <f t="shared" si="1189"/>
        <v>25.249999999999996</v>
      </c>
      <c r="W1748" s="28">
        <f t="shared" si="1190"/>
        <v>2.9365029093165143E-2</v>
      </c>
      <c r="X1748" s="27">
        <f t="shared" si="1191"/>
        <v>5.8730058186330286E-2</v>
      </c>
      <c r="Y1748" s="5">
        <f t="shared" si="1192"/>
        <v>8.0060939474238975</v>
      </c>
      <c r="Z1748" s="5">
        <f t="shared" si="1193"/>
        <v>7.7777015161249343</v>
      </c>
      <c r="AA1748" s="5">
        <f t="shared" si="1194"/>
        <v>-7264.3732160606887</v>
      </c>
      <c r="AB1748" t="s">
        <v>69</v>
      </c>
      <c r="AC1748" t="s">
        <v>62</v>
      </c>
      <c r="AD1748">
        <f t="shared" si="1195"/>
        <v>2</v>
      </c>
    </row>
    <row r="1749" spans="1:30" x14ac:dyDescent="0.35">
      <c r="A1749" t="s">
        <v>277</v>
      </c>
      <c r="B1749" t="s">
        <v>276</v>
      </c>
      <c r="C1749" s="36">
        <f t="shared" si="1183"/>
        <v>7.7784286398845923E-2</v>
      </c>
      <c r="D1749" s="3">
        <f t="shared" si="1184"/>
        <v>7.7784286398845923E-2</v>
      </c>
      <c r="F1749">
        <v>1002139.8</v>
      </c>
      <c r="G1749" t="s">
        <v>76</v>
      </c>
      <c r="H1749">
        <v>1000000</v>
      </c>
      <c r="I1749" s="22"/>
      <c r="J1749">
        <v>1</v>
      </c>
      <c r="K1749" s="22"/>
      <c r="L1749">
        <v>7.7715357738735102</v>
      </c>
      <c r="M1749" s="22">
        <v>7.8100000000000003E-2</v>
      </c>
      <c r="N1749" s="21">
        <v>44732</v>
      </c>
      <c r="O1749" s="21">
        <v>48317</v>
      </c>
      <c r="P1749">
        <f t="shared" si="1185"/>
        <v>10</v>
      </c>
      <c r="Q1749" s="6">
        <f t="shared" si="1186"/>
        <v>7.7933238456351098E-2</v>
      </c>
      <c r="R1749" s="5">
        <f t="shared" si="1187"/>
        <v>1</v>
      </c>
      <c r="S1749" t="s">
        <v>93</v>
      </c>
      <c r="U1749">
        <f t="shared" si="1188"/>
        <v>10</v>
      </c>
      <c r="V1749">
        <f t="shared" si="1189"/>
        <v>78100</v>
      </c>
      <c r="W1749" s="28">
        <f t="shared" si="1190"/>
        <v>7.7784286398845923E-2</v>
      </c>
      <c r="X1749" s="27">
        <f t="shared" si="1191"/>
        <v>7.7784286398845923E-2</v>
      </c>
      <c r="Y1749" s="5">
        <f t="shared" si="1192"/>
        <v>7.1135851965795931</v>
      </c>
      <c r="Z1749" s="5">
        <f t="shared" si="1193"/>
        <v>6.6001938294609106</v>
      </c>
      <c r="AA1749" s="5">
        <f t="shared" si="1194"/>
        <v>-6614316.9242171915</v>
      </c>
      <c r="AB1749" t="s">
        <v>64</v>
      </c>
      <c r="AC1749" t="s">
        <v>62</v>
      </c>
      <c r="AD1749">
        <f t="shared" si="1195"/>
        <v>1</v>
      </c>
    </row>
    <row r="1750" spans="1:30" x14ac:dyDescent="0.35">
      <c r="A1750" t="s">
        <v>275</v>
      </c>
      <c r="B1750" t="s">
        <v>119</v>
      </c>
      <c r="C1750" s="36">
        <f t="shared" si="1183"/>
        <v>0.1030599900296085</v>
      </c>
      <c r="D1750" s="3">
        <f t="shared" si="1184"/>
        <v>0.1030599900296085</v>
      </c>
      <c r="F1750">
        <v>938.99</v>
      </c>
      <c r="G1750" t="s">
        <v>76</v>
      </c>
      <c r="H1750">
        <v>1000</v>
      </c>
      <c r="I1750" s="22"/>
      <c r="J1750">
        <v>22</v>
      </c>
      <c r="K1750" s="22"/>
      <c r="L1750">
        <v>10.8632371886257</v>
      </c>
      <c r="M1750" s="22">
        <v>9.3000000000000013E-2</v>
      </c>
      <c r="N1750" s="21">
        <v>44680</v>
      </c>
      <c r="O1750" s="21">
        <v>48333</v>
      </c>
      <c r="P1750">
        <f t="shared" si="1185"/>
        <v>10</v>
      </c>
      <c r="Q1750" s="6">
        <f t="shared" si="1186"/>
        <v>9.9042588312974592E-2</v>
      </c>
      <c r="R1750" s="5">
        <f t="shared" si="1187"/>
        <v>1</v>
      </c>
      <c r="S1750" t="s">
        <v>93</v>
      </c>
      <c r="U1750">
        <f t="shared" si="1188"/>
        <v>10</v>
      </c>
      <c r="V1750">
        <f t="shared" si="1189"/>
        <v>93.000000000000014</v>
      </c>
      <c r="W1750" s="28">
        <f t="shared" si="1190"/>
        <v>0.1030599900296085</v>
      </c>
      <c r="X1750" s="27">
        <f t="shared" si="1191"/>
        <v>0.1030599900296085</v>
      </c>
      <c r="Y1750" s="5">
        <f t="shared" si="1192"/>
        <v>6.8186797195273305</v>
      </c>
      <c r="Z1750" s="5">
        <f t="shared" si="1193"/>
        <v>6.1816037034797198</v>
      </c>
      <c r="AA1750" s="5">
        <f t="shared" si="1194"/>
        <v>-5804.4640615304224</v>
      </c>
      <c r="AB1750" t="s">
        <v>64</v>
      </c>
      <c r="AC1750" t="s">
        <v>62</v>
      </c>
      <c r="AD1750">
        <f t="shared" si="1195"/>
        <v>1</v>
      </c>
    </row>
    <row r="1751" spans="1:30" x14ac:dyDescent="0.35">
      <c r="A1751" t="s">
        <v>274</v>
      </c>
      <c r="B1751" t="s">
        <v>119</v>
      </c>
      <c r="C1751" s="36">
        <f t="shared" si="1183"/>
        <v>0.10361114232710472</v>
      </c>
      <c r="D1751" s="3">
        <f t="shared" si="1184"/>
        <v>0.10361114232710472</v>
      </c>
      <c r="F1751">
        <v>960</v>
      </c>
      <c r="G1751" t="s">
        <v>76</v>
      </c>
      <c r="H1751">
        <v>1000</v>
      </c>
      <c r="I1751" s="22"/>
      <c r="J1751">
        <v>110</v>
      </c>
      <c r="K1751" s="22"/>
      <c r="L1751">
        <v>10.719141730691399</v>
      </c>
      <c r="M1751" s="22">
        <v>9.6999999999999989E-2</v>
      </c>
      <c r="N1751" s="21">
        <v>44680</v>
      </c>
      <c r="O1751" s="21">
        <v>48333</v>
      </c>
      <c r="P1751">
        <f t="shared" si="1185"/>
        <v>10</v>
      </c>
      <c r="Q1751" s="6">
        <f t="shared" si="1186"/>
        <v>0.10104166666666665</v>
      </c>
      <c r="R1751" s="5">
        <f t="shared" si="1187"/>
        <v>1</v>
      </c>
      <c r="S1751" t="s">
        <v>93</v>
      </c>
      <c r="U1751">
        <f t="shared" si="1188"/>
        <v>10</v>
      </c>
      <c r="V1751">
        <f t="shared" si="1189"/>
        <v>96.999999999999986</v>
      </c>
      <c r="W1751" s="28">
        <f t="shared" si="1190"/>
        <v>0.10361114232710472</v>
      </c>
      <c r="X1751" s="27">
        <f t="shared" si="1191"/>
        <v>0.10361114232710472</v>
      </c>
      <c r="Y1751" s="5">
        <f t="shared" si="1192"/>
        <v>6.7596804641230479</v>
      </c>
      <c r="Z1751" s="5">
        <f t="shared" si="1193"/>
        <v>6.1250563761701429</v>
      </c>
      <c r="AA1751" s="5">
        <f t="shared" si="1194"/>
        <v>-5880.0541211233376</v>
      </c>
      <c r="AB1751" t="s">
        <v>64</v>
      </c>
      <c r="AC1751" t="s">
        <v>62</v>
      </c>
      <c r="AD1751">
        <f t="shared" si="1195"/>
        <v>1</v>
      </c>
    </row>
    <row r="1752" spans="1:30" x14ac:dyDescent="0.35">
      <c r="A1752" t="s">
        <v>273</v>
      </c>
      <c r="B1752" t="s">
        <v>272</v>
      </c>
      <c r="C1752" s="36">
        <f t="shared" si="1183"/>
        <v>8.8959655929145523E-2</v>
      </c>
      <c r="D1752" s="3">
        <f t="shared" si="1184"/>
        <v>8.8959655929145523E-2</v>
      </c>
      <c r="F1752">
        <v>910</v>
      </c>
      <c r="G1752" t="s">
        <v>76</v>
      </c>
      <c r="H1752">
        <v>1000</v>
      </c>
      <c r="I1752" s="22"/>
      <c r="J1752">
        <v>300</v>
      </c>
      <c r="K1752" s="22"/>
      <c r="L1752">
        <v>9.6956004124751605</v>
      </c>
      <c r="M1752" s="22">
        <v>7.4999999999999997E-2</v>
      </c>
      <c r="N1752" s="21">
        <v>44686</v>
      </c>
      <c r="O1752" s="21">
        <v>48339</v>
      </c>
      <c r="P1752">
        <f t="shared" si="1185"/>
        <v>10</v>
      </c>
      <c r="Q1752" s="6">
        <f t="shared" si="1186"/>
        <v>8.2417582417582416E-2</v>
      </c>
      <c r="R1752" s="5">
        <f t="shared" si="1187"/>
        <v>1</v>
      </c>
      <c r="S1752" t="s">
        <v>93</v>
      </c>
      <c r="U1752">
        <f t="shared" si="1188"/>
        <v>10</v>
      </c>
      <c r="V1752">
        <f t="shared" si="1189"/>
        <v>75</v>
      </c>
      <c r="W1752" s="28">
        <f t="shared" si="1190"/>
        <v>8.8959655929145523E-2</v>
      </c>
      <c r="X1752" s="27">
        <f t="shared" si="1191"/>
        <v>8.8959655929145523E-2</v>
      </c>
      <c r="Y1752" s="5">
        <f t="shared" si="1192"/>
        <v>7.2397846323439747</v>
      </c>
      <c r="Z1752" s="5">
        <f t="shared" si="1193"/>
        <v>6.6483497280408343</v>
      </c>
      <c r="AA1752" s="5">
        <f t="shared" si="1194"/>
        <v>-6049.998252517159</v>
      </c>
      <c r="AB1752" t="s">
        <v>64</v>
      </c>
      <c r="AC1752" t="s">
        <v>62</v>
      </c>
      <c r="AD1752">
        <f t="shared" si="1195"/>
        <v>1</v>
      </c>
    </row>
    <row r="1753" spans="1:30" x14ac:dyDescent="0.35">
      <c r="C1753" s="28"/>
      <c r="D1753" s="27"/>
      <c r="I1753" s="22"/>
      <c r="K1753" s="22"/>
      <c r="M1753" s="22"/>
      <c r="N1753" s="21"/>
      <c r="O1753" s="21"/>
      <c r="P1753" s="5"/>
      <c r="Q1753" s="6"/>
      <c r="R1753" s="5"/>
      <c r="W1753" s="28"/>
      <c r="Y1753" s="33"/>
      <c r="Z1753" s="33"/>
      <c r="AA1753" s="33"/>
    </row>
    <row r="1754" spans="1:30" x14ac:dyDescent="0.35">
      <c r="A1754" t="s">
        <v>270</v>
      </c>
      <c r="B1754" t="s">
        <v>249</v>
      </c>
      <c r="C1754" s="36">
        <f>RATE(U1754,V1754,-F1754,H1754)</f>
        <v>2.2708987770638997E-2</v>
      </c>
      <c r="D1754" s="3">
        <f>C1754*AD1754</f>
        <v>9.0835951082555988E-2</v>
      </c>
      <c r="F1754">
        <v>1035000</v>
      </c>
      <c r="G1754" t="s">
        <v>76</v>
      </c>
      <c r="H1754">
        <v>1000000</v>
      </c>
      <c r="I1754" s="22"/>
      <c r="J1754">
        <v>1</v>
      </c>
      <c r="K1754" s="22"/>
      <c r="M1754" s="22">
        <v>9.6199999999999994E-2</v>
      </c>
      <c r="N1754" s="21">
        <v>44726</v>
      </c>
      <c r="O1754" s="21">
        <v>48365</v>
      </c>
      <c r="P1754">
        <f>ROUND(YEARFRAC(N1754,O1754),0)</f>
        <v>10</v>
      </c>
      <c r="Q1754" s="6">
        <f>(M1754*H1754)/F1754</f>
        <v>9.294685990338164E-2</v>
      </c>
      <c r="R1754" s="5">
        <f>IF(S1754="Quarterly",4,IF(S1754="Semi-annual",2,IF(S1754="Annual",1,IF(S1754="Pays at maturity",0,12))))</f>
        <v>4</v>
      </c>
      <c r="S1754" t="s">
        <v>105</v>
      </c>
      <c r="U1754">
        <f>R1754*P1754</f>
        <v>40</v>
      </c>
      <c r="V1754">
        <f>(H1754*M1754)/AD1754</f>
        <v>24050</v>
      </c>
      <c r="W1754" s="28">
        <f>RATE(U1754,V1754,-F1754,H1754)</f>
        <v>2.2708987770638997E-2</v>
      </c>
      <c r="X1754" s="27">
        <f>W1754*AD1754</f>
        <v>9.0835951082555988E-2</v>
      </c>
      <c r="Y1754" s="5">
        <f>DURATION(N1754,O1754,M1754,D1754,AD1754)</f>
        <v>6.5568944373112501</v>
      </c>
      <c r="Z1754" s="5">
        <f>Y1754/(1+C1754)</f>
        <v>6.4113002972667257</v>
      </c>
      <c r="AA1754" s="5">
        <f>-Z1754*F1754</f>
        <v>-6635695.8076710608</v>
      </c>
      <c r="AB1754" t="s">
        <v>64</v>
      </c>
      <c r="AC1754" t="s">
        <v>62</v>
      </c>
      <c r="AD1754">
        <f>_xlfn.SWITCH(PROPER(TRIM(S1754)),
   "Annual",1,
   "Semi-Annual",2,
   "Quarterly",4,
   "Monthly",12,
   "")</f>
        <v>4</v>
      </c>
    </row>
    <row r="1755" spans="1:30" x14ac:dyDescent="0.35">
      <c r="C1755" s="28"/>
      <c r="D1755" s="27"/>
      <c r="I1755" s="22"/>
      <c r="K1755" s="22"/>
      <c r="M1755" s="22"/>
      <c r="N1755" s="21"/>
      <c r="O1755" s="21"/>
      <c r="P1755" s="5"/>
      <c r="Q1755" s="6"/>
      <c r="R1755" s="5"/>
      <c r="W1755" s="28"/>
      <c r="Y1755" s="33"/>
      <c r="Z1755" s="33"/>
      <c r="AA1755" s="33"/>
    </row>
    <row r="1756" spans="1:30" x14ac:dyDescent="0.35">
      <c r="A1756" t="s">
        <v>268</v>
      </c>
      <c r="B1756" t="s">
        <v>186</v>
      </c>
      <c r="C1756" s="36">
        <f t="shared" ref="C1756:C1762" si="1196">RATE(U1756,V1756,-F1756,H1756)</f>
        <v>8.4541164816376274E-2</v>
      </c>
      <c r="D1756" s="3">
        <f t="shared" ref="D1756:D1762" si="1197">C1756*AD1756</f>
        <v>8.4541164816376274E-2</v>
      </c>
      <c r="F1756">
        <v>980005</v>
      </c>
      <c r="G1756" t="s">
        <v>76</v>
      </c>
      <c r="H1756">
        <v>1000000</v>
      </c>
      <c r="I1756" s="22"/>
      <c r="J1756">
        <v>2</v>
      </c>
      <c r="K1756" s="22"/>
      <c r="L1756">
        <v>8.6056034227216998</v>
      </c>
      <c r="M1756" s="22">
        <v>8.1500000000000003E-2</v>
      </c>
      <c r="N1756" s="21">
        <v>44749</v>
      </c>
      <c r="O1756" s="21">
        <v>48402</v>
      </c>
      <c r="P1756">
        <f t="shared" ref="P1756:P1762" si="1198">ROUND(YEARFRAC(N1756,O1756),0)</f>
        <v>10</v>
      </c>
      <c r="Q1756" s="6">
        <f t="shared" ref="Q1756:Q1762" si="1199">(M1756*H1756)/F1756</f>
        <v>8.3162841005913229E-2</v>
      </c>
      <c r="R1756" s="5">
        <f t="shared" ref="R1756:R1762" si="1200">IF(S1756="Quarterly",4,IF(S1756="Semi-annual",2,IF(S1756="Annual",1,IF(S1756="Pays at maturity",0,12))))</f>
        <v>1</v>
      </c>
      <c r="S1756" t="s">
        <v>93</v>
      </c>
      <c r="U1756">
        <f t="shared" ref="U1756:U1762" si="1201">R1756*P1756</f>
        <v>10</v>
      </c>
      <c r="V1756">
        <f t="shared" ref="V1756:V1762" si="1202">(H1756*M1756)/AD1756</f>
        <v>81500</v>
      </c>
      <c r="W1756" s="28">
        <f t="shared" ref="W1756:W1762" si="1203">RATE(U1756,V1756,-F1756,H1756)</f>
        <v>8.4541164816376274E-2</v>
      </c>
      <c r="X1756" s="27">
        <f t="shared" ref="X1756:X1762" si="1204">W1756*AD1756</f>
        <v>8.4541164816376274E-2</v>
      </c>
      <c r="Y1756" s="5">
        <f t="shared" ref="Y1756:Y1762" si="1205">DURATION(N1756,O1756,M1756,D1756,AD1756)</f>
        <v>7.1774043832061372</v>
      </c>
      <c r="Z1756" s="5">
        <f t="shared" ref="Z1756:Z1762" si="1206">Y1756/(1+C1756)</f>
        <v>6.6179178956488425</v>
      </c>
      <c r="AA1756" s="5">
        <f t="shared" ref="AA1756:AA1762" si="1207">-Z1756*F1756</f>
        <v>-6485592.6273253439</v>
      </c>
      <c r="AB1756" t="s">
        <v>64</v>
      </c>
      <c r="AC1756" t="s">
        <v>62</v>
      </c>
      <c r="AD1756">
        <f t="shared" ref="AD1756:AD1762" si="1208">_xlfn.SWITCH(PROPER(TRIM(S1756)),
   "Annual",1,
   "Semi-Annual",2,
   "Quarterly",4,
   "Monthly",12,
   "")</f>
        <v>1</v>
      </c>
    </row>
    <row r="1757" spans="1:30" x14ac:dyDescent="0.35">
      <c r="A1757" t="s">
        <v>267</v>
      </c>
      <c r="B1757" t="s">
        <v>265</v>
      </c>
      <c r="C1757" s="36">
        <f t="shared" si="1196"/>
        <v>9.3897246231696749E-2</v>
      </c>
      <c r="D1757" s="3">
        <f t="shared" si="1197"/>
        <v>9.3897246231696749E-2</v>
      </c>
      <c r="F1757">
        <v>1008.85</v>
      </c>
      <c r="G1757" t="s">
        <v>76</v>
      </c>
      <c r="H1757">
        <v>1000</v>
      </c>
      <c r="I1757" s="22"/>
      <c r="J1757">
        <v>100</v>
      </c>
      <c r="K1757" s="22"/>
      <c r="L1757">
        <v>9.3208341472089593</v>
      </c>
      <c r="M1757" s="22">
        <v>9.5299999999999996E-2</v>
      </c>
      <c r="N1757" s="21">
        <v>44757</v>
      </c>
      <c r="O1757" s="21">
        <v>48410</v>
      </c>
      <c r="P1757">
        <f t="shared" si="1198"/>
        <v>10</v>
      </c>
      <c r="Q1757" s="6">
        <f t="shared" si="1199"/>
        <v>9.4463993656143122E-2</v>
      </c>
      <c r="R1757" s="5">
        <f t="shared" si="1200"/>
        <v>1</v>
      </c>
      <c r="S1757" t="s">
        <v>93</v>
      </c>
      <c r="U1757">
        <f t="shared" si="1201"/>
        <v>10</v>
      </c>
      <c r="V1757">
        <f t="shared" si="1202"/>
        <v>95.3</v>
      </c>
      <c r="W1757" s="28">
        <f t="shared" si="1203"/>
        <v>9.3897246231696749E-2</v>
      </c>
      <c r="X1757" s="27">
        <f t="shared" si="1204"/>
        <v>9.3897246231696749E-2</v>
      </c>
      <c r="Y1757" s="5">
        <f t="shared" si="1205"/>
        <v>6.8827158727641837</v>
      </c>
      <c r="Z1757" s="5">
        <f t="shared" si="1206"/>
        <v>6.2919217471970548</v>
      </c>
      <c r="AA1757" s="5">
        <f t="shared" si="1207"/>
        <v>-6347.6052546597484</v>
      </c>
      <c r="AB1757" t="s">
        <v>64</v>
      </c>
      <c r="AC1757" t="s">
        <v>62</v>
      </c>
      <c r="AD1757">
        <f t="shared" si="1208"/>
        <v>1</v>
      </c>
    </row>
    <row r="1758" spans="1:30" x14ac:dyDescent="0.35">
      <c r="A1758" t="s">
        <v>266</v>
      </c>
      <c r="B1758" t="s">
        <v>265</v>
      </c>
      <c r="C1758" s="36">
        <f t="shared" si="1196"/>
        <v>0.10275232283440842</v>
      </c>
      <c r="D1758" s="3">
        <f t="shared" si="1197"/>
        <v>0.10275232283440842</v>
      </c>
      <c r="F1758">
        <v>980.25</v>
      </c>
      <c r="G1758" t="s">
        <v>76</v>
      </c>
      <c r="H1758">
        <v>1000</v>
      </c>
      <c r="I1758" s="22"/>
      <c r="J1758">
        <v>1870</v>
      </c>
      <c r="K1758" s="22"/>
      <c r="L1758">
        <v>10.438299267679501</v>
      </c>
      <c r="M1758" s="22">
        <v>9.9499999999999991E-2</v>
      </c>
      <c r="N1758" s="21">
        <v>44757</v>
      </c>
      <c r="O1758" s="21">
        <v>48410</v>
      </c>
      <c r="P1758">
        <f t="shared" si="1198"/>
        <v>10</v>
      </c>
      <c r="Q1758" s="6">
        <f t="shared" si="1199"/>
        <v>0.10150471818413669</v>
      </c>
      <c r="R1758" s="5">
        <f t="shared" si="1200"/>
        <v>1</v>
      </c>
      <c r="S1758" t="s">
        <v>93</v>
      </c>
      <c r="U1758">
        <f t="shared" si="1201"/>
        <v>10</v>
      </c>
      <c r="V1758">
        <f t="shared" si="1202"/>
        <v>99.499999999999986</v>
      </c>
      <c r="W1758" s="28">
        <f t="shared" si="1203"/>
        <v>0.10275232283440842</v>
      </c>
      <c r="X1758" s="27">
        <f t="shared" si="1204"/>
        <v>0.10275232283440842</v>
      </c>
      <c r="Y1758" s="5">
        <f t="shared" si="1205"/>
        <v>6.7366648673020739</v>
      </c>
      <c r="Z1758" s="5">
        <f t="shared" si="1206"/>
        <v>6.1089554996237041</v>
      </c>
      <c r="AA1758" s="5">
        <f t="shared" si="1207"/>
        <v>-5988.3036285061362</v>
      </c>
      <c r="AB1758" t="s">
        <v>64</v>
      </c>
      <c r="AC1758" t="s">
        <v>62</v>
      </c>
      <c r="AD1758">
        <f t="shared" si="1208"/>
        <v>1</v>
      </c>
    </row>
    <row r="1759" spans="1:30" x14ac:dyDescent="0.35">
      <c r="A1759" t="s">
        <v>264</v>
      </c>
      <c r="B1759" t="s">
        <v>145</v>
      </c>
      <c r="C1759" s="36">
        <f t="shared" si="1196"/>
        <v>7.9347988087311624E-2</v>
      </c>
      <c r="D1759" s="3">
        <f t="shared" si="1197"/>
        <v>7.9347988087311624E-2</v>
      </c>
      <c r="F1759">
        <v>1009.9</v>
      </c>
      <c r="G1759" t="s">
        <v>76</v>
      </c>
      <c r="H1759">
        <v>1000</v>
      </c>
      <c r="I1759" s="22"/>
      <c r="J1759">
        <v>10</v>
      </c>
      <c r="K1759" s="22"/>
      <c r="L1759">
        <v>7.8312083322720296</v>
      </c>
      <c r="M1759" s="22">
        <v>8.0500000000000002E-2</v>
      </c>
      <c r="N1759" s="21">
        <v>42940</v>
      </c>
      <c r="O1759" s="21">
        <v>48419</v>
      </c>
      <c r="P1759">
        <f t="shared" si="1198"/>
        <v>15</v>
      </c>
      <c r="Q1759" s="6">
        <f t="shared" si="1199"/>
        <v>7.9710862461629867E-2</v>
      </c>
      <c r="R1759" s="5">
        <f t="shared" si="1200"/>
        <v>1</v>
      </c>
      <c r="S1759" t="s">
        <v>93</v>
      </c>
      <c r="U1759">
        <f t="shared" si="1201"/>
        <v>15</v>
      </c>
      <c r="V1759">
        <f t="shared" si="1202"/>
        <v>80.5</v>
      </c>
      <c r="W1759" s="28">
        <f t="shared" si="1203"/>
        <v>7.9347988087311624E-2</v>
      </c>
      <c r="X1759" s="27">
        <f t="shared" si="1204"/>
        <v>7.9347988087311624E-2</v>
      </c>
      <c r="Y1759" s="5">
        <f t="shared" si="1205"/>
        <v>9.2493717647569511</v>
      </c>
      <c r="Z1759" s="5">
        <f t="shared" si="1206"/>
        <v>8.5694065925369962</v>
      </c>
      <c r="AA1759" s="5">
        <f t="shared" si="1207"/>
        <v>-8654.2437178031123</v>
      </c>
      <c r="AB1759" t="s">
        <v>69</v>
      </c>
      <c r="AC1759" t="s">
        <v>62</v>
      </c>
      <c r="AD1759">
        <f t="shared" si="1208"/>
        <v>1</v>
      </c>
    </row>
    <row r="1760" spans="1:30" x14ac:dyDescent="0.35">
      <c r="A1760" t="s">
        <v>263</v>
      </c>
      <c r="B1760" t="s">
        <v>145</v>
      </c>
      <c r="C1760" s="36">
        <f t="shared" si="1196"/>
        <v>9.2983742081054407E-2</v>
      </c>
      <c r="D1760" s="3">
        <f t="shared" si="1197"/>
        <v>9.2983742081054407E-2</v>
      </c>
      <c r="F1760">
        <v>893.20001000000002</v>
      </c>
      <c r="G1760" t="s">
        <v>76</v>
      </c>
      <c r="H1760">
        <v>1000</v>
      </c>
      <c r="I1760" s="22"/>
      <c r="J1760">
        <v>400</v>
      </c>
      <c r="K1760" s="22"/>
      <c r="L1760">
        <v>9.9542536480617603</v>
      </c>
      <c r="M1760" s="22">
        <v>7.9500000000000001E-2</v>
      </c>
      <c r="N1760" s="21">
        <v>42940</v>
      </c>
      <c r="O1760" s="21">
        <v>48419</v>
      </c>
      <c r="P1760">
        <f t="shared" si="1198"/>
        <v>15</v>
      </c>
      <c r="Q1760" s="6">
        <f t="shared" si="1199"/>
        <v>8.9005820767959903E-2</v>
      </c>
      <c r="R1760" s="5">
        <f t="shared" si="1200"/>
        <v>1</v>
      </c>
      <c r="S1760" t="s">
        <v>93</v>
      </c>
      <c r="U1760">
        <f t="shared" si="1201"/>
        <v>15</v>
      </c>
      <c r="V1760">
        <f t="shared" si="1202"/>
        <v>79.5</v>
      </c>
      <c r="W1760" s="28">
        <f t="shared" si="1203"/>
        <v>9.2983742081054407E-2</v>
      </c>
      <c r="X1760" s="27">
        <f t="shared" si="1204"/>
        <v>9.2983742081054407E-2</v>
      </c>
      <c r="Y1760" s="5">
        <f t="shared" si="1205"/>
        <v>8.9284934875749116</v>
      </c>
      <c r="Z1760" s="5">
        <f t="shared" si="1206"/>
        <v>8.1689170147901287</v>
      </c>
      <c r="AA1760" s="5">
        <f t="shared" si="1207"/>
        <v>-7296.4767592997132</v>
      </c>
      <c r="AB1760" t="s">
        <v>69</v>
      </c>
      <c r="AC1760" t="s">
        <v>62</v>
      </c>
      <c r="AD1760">
        <f t="shared" si="1208"/>
        <v>1</v>
      </c>
    </row>
    <row r="1761" spans="1:30" x14ac:dyDescent="0.35">
      <c r="A1761" t="s">
        <v>262</v>
      </c>
      <c r="B1761" t="s">
        <v>261</v>
      </c>
      <c r="C1761" s="36">
        <f t="shared" si="1196"/>
        <v>8.6433088583288797E-2</v>
      </c>
      <c r="D1761" s="3">
        <f t="shared" si="1197"/>
        <v>8.6433088583288797E-2</v>
      </c>
      <c r="F1761">
        <v>1005000</v>
      </c>
      <c r="G1761" t="s">
        <v>76</v>
      </c>
      <c r="H1761">
        <v>1000000</v>
      </c>
      <c r="I1761" s="22"/>
      <c r="J1761">
        <v>1</v>
      </c>
      <c r="K1761" s="22"/>
      <c r="L1761">
        <v>8.6097814204648397</v>
      </c>
      <c r="M1761" s="22">
        <v>8.72E-2</v>
      </c>
      <c r="N1761" s="21">
        <v>44790</v>
      </c>
      <c r="O1761" s="21">
        <v>48443</v>
      </c>
      <c r="P1761">
        <f t="shared" si="1198"/>
        <v>10</v>
      </c>
      <c r="Q1761" s="6">
        <f t="shared" si="1199"/>
        <v>8.6766169154228856E-2</v>
      </c>
      <c r="R1761" s="5">
        <f t="shared" si="1200"/>
        <v>1</v>
      </c>
      <c r="S1761" t="s">
        <v>93</v>
      </c>
      <c r="U1761">
        <f t="shared" si="1201"/>
        <v>10</v>
      </c>
      <c r="V1761">
        <f t="shared" si="1202"/>
        <v>87200</v>
      </c>
      <c r="W1761" s="28">
        <f t="shared" si="1203"/>
        <v>8.6433088583288797E-2</v>
      </c>
      <c r="X1761" s="27">
        <f t="shared" si="1204"/>
        <v>8.6433088583288797E-2</v>
      </c>
      <c r="Y1761" s="5">
        <f t="shared" si="1205"/>
        <v>7.0719316036151199</v>
      </c>
      <c r="Z1761" s="5">
        <f t="shared" si="1206"/>
        <v>6.5093116897212102</v>
      </c>
      <c r="AA1761" s="5">
        <f t="shared" si="1207"/>
        <v>-6541858.2481698161</v>
      </c>
      <c r="AB1761" t="s">
        <v>64</v>
      </c>
      <c r="AC1761" t="s">
        <v>62</v>
      </c>
      <c r="AD1761">
        <f t="shared" si="1208"/>
        <v>1</v>
      </c>
    </row>
    <row r="1762" spans="1:30" x14ac:dyDescent="0.35">
      <c r="A1762" t="s">
        <v>260</v>
      </c>
      <c r="B1762" t="s">
        <v>162</v>
      </c>
      <c r="C1762" s="36">
        <f t="shared" si="1196"/>
        <v>7.6205853145217523E-2</v>
      </c>
      <c r="D1762" s="3">
        <f t="shared" si="1197"/>
        <v>7.6205853145217523E-2</v>
      </c>
      <c r="F1762">
        <v>109500</v>
      </c>
      <c r="G1762" t="s">
        <v>76</v>
      </c>
      <c r="H1762">
        <v>100000</v>
      </c>
      <c r="I1762" s="22"/>
      <c r="J1762">
        <v>6</v>
      </c>
      <c r="K1762" s="22"/>
      <c r="L1762">
        <v>7.2314107554938296</v>
      </c>
      <c r="M1762" s="22">
        <v>9.2499999999999999E-2</v>
      </c>
      <c r="N1762" s="21">
        <v>45538</v>
      </c>
      <c r="O1762" s="21">
        <v>48460</v>
      </c>
      <c r="P1762">
        <f t="shared" si="1198"/>
        <v>8</v>
      </c>
      <c r="Q1762" s="6">
        <f t="shared" si="1199"/>
        <v>8.4474885844748854E-2</v>
      </c>
      <c r="R1762" s="5">
        <f t="shared" si="1200"/>
        <v>1</v>
      </c>
      <c r="S1762" t="s">
        <v>93</v>
      </c>
      <c r="U1762">
        <f t="shared" si="1201"/>
        <v>8</v>
      </c>
      <c r="V1762">
        <f t="shared" si="1202"/>
        <v>9250</v>
      </c>
      <c r="W1762" s="28">
        <f t="shared" si="1203"/>
        <v>7.6205853145217523E-2</v>
      </c>
      <c r="X1762" s="27">
        <f t="shared" si="1204"/>
        <v>7.6205853145217523E-2</v>
      </c>
      <c r="Y1762" s="5">
        <f t="shared" si="1205"/>
        <v>6.0873988632530978</v>
      </c>
      <c r="Z1762" s="5">
        <f t="shared" si="1206"/>
        <v>5.6563517522810729</v>
      </c>
      <c r="AA1762" s="5">
        <f t="shared" si="1207"/>
        <v>-619370.5168747775</v>
      </c>
      <c r="AB1762" t="s">
        <v>64</v>
      </c>
      <c r="AC1762" t="s">
        <v>62</v>
      </c>
      <c r="AD1762">
        <f t="shared" si="1208"/>
        <v>1</v>
      </c>
    </row>
    <row r="1763" spans="1:30" x14ac:dyDescent="0.35">
      <c r="C1763" s="28"/>
      <c r="D1763" s="27"/>
      <c r="I1763" s="22"/>
      <c r="K1763" s="22"/>
      <c r="M1763" s="22"/>
      <c r="N1763" s="21"/>
      <c r="O1763" s="21"/>
      <c r="P1763" s="5"/>
      <c r="Q1763" s="6"/>
      <c r="R1763" s="5"/>
      <c r="W1763" s="28"/>
      <c r="Y1763" s="33"/>
      <c r="Z1763" s="33"/>
      <c r="AA1763" s="33"/>
    </row>
    <row r="1764" spans="1:30" x14ac:dyDescent="0.35">
      <c r="A1764" t="s">
        <v>258</v>
      </c>
      <c r="B1764" t="s">
        <v>257</v>
      </c>
      <c r="C1764" s="36">
        <f t="shared" ref="C1764:C1795" si="1209">RATE(U1764,V1764,-F1764,H1764)</f>
        <v>7.6177940474405959E-2</v>
      </c>
      <c r="D1764" s="3">
        <f t="shared" ref="D1764:D1795" si="1210">C1764*AD1764</f>
        <v>7.6177940474405959E-2</v>
      </c>
      <c r="F1764">
        <v>1049990</v>
      </c>
      <c r="G1764" t="s">
        <v>76</v>
      </c>
      <c r="H1764">
        <v>1000000</v>
      </c>
      <c r="I1764" s="22"/>
      <c r="J1764">
        <v>6</v>
      </c>
      <c r="K1764" s="22"/>
      <c r="L1764">
        <v>7.4512267595235997</v>
      </c>
      <c r="M1764" s="22">
        <v>8.3499999999999991E-2</v>
      </c>
      <c r="N1764" s="21">
        <v>44830</v>
      </c>
      <c r="O1764" s="21">
        <v>48481</v>
      </c>
      <c r="P1764">
        <f t="shared" ref="P1764:P1795" si="1211">ROUND(YEARFRAC(N1764,O1764),0)</f>
        <v>10</v>
      </c>
      <c r="Q1764" s="6">
        <f t="shared" ref="Q1764:Q1795" si="1212">(M1764*H1764)/F1764</f>
        <v>7.9524566900637139E-2</v>
      </c>
      <c r="R1764" s="5">
        <f t="shared" ref="R1764:R1795" si="1213">IF(S1764="Quarterly",4,IF(S1764="Semi-annual",2,IF(S1764="Annual",1,IF(S1764="Pays at maturity",0,12))))</f>
        <v>1</v>
      </c>
      <c r="S1764" t="s">
        <v>93</v>
      </c>
      <c r="U1764">
        <f t="shared" ref="U1764:U1795" si="1214">R1764*P1764</f>
        <v>10</v>
      </c>
      <c r="V1764">
        <f t="shared" ref="V1764:V1795" si="1215">(H1764*M1764)/AD1764</f>
        <v>83499.999999999985</v>
      </c>
      <c r="W1764" s="28">
        <f t="shared" ref="W1764:W1795" si="1216">RATE(U1764,V1764,-F1764,H1764)</f>
        <v>7.6177940474405959E-2</v>
      </c>
      <c r="X1764" s="27">
        <f t="shared" ref="X1764:X1795" si="1217">W1764*AD1764</f>
        <v>7.6177940474405959E-2</v>
      </c>
      <c r="Y1764" s="5">
        <f t="shared" ref="Y1764:Y1795" si="1218">DURATION(N1764,O1764,M1764,D1764,AD1764)</f>
        <v>7.2253162193992022</v>
      </c>
      <c r="Z1764" s="5">
        <f t="shared" ref="Z1764:Z1795" si="1219">Y1764/(1+C1764)</f>
        <v>6.7138676120922014</v>
      </c>
      <c r="AA1764" s="5">
        <f t="shared" ref="AA1764:AA1795" si="1220">-Z1764*F1764</f>
        <v>-7049493.8540206905</v>
      </c>
      <c r="AB1764" t="s">
        <v>64</v>
      </c>
      <c r="AC1764" t="s">
        <v>62</v>
      </c>
      <c r="AD1764">
        <f t="shared" ref="AD1764:AD1795" si="1221">_xlfn.SWITCH(PROPER(TRIM(S1764)),
   "Annual",1,
   "Semi-Annual",2,
   "Quarterly",4,
   "Monthly",12,
   "")</f>
        <v>1</v>
      </c>
    </row>
    <row r="1765" spans="1:30" x14ac:dyDescent="0.35">
      <c r="A1765" t="s">
        <v>256</v>
      </c>
      <c r="B1765" t="s">
        <v>122</v>
      </c>
      <c r="C1765" s="36">
        <f t="shared" si="1209"/>
        <v>0.10393966791637839</v>
      </c>
      <c r="D1765" s="3">
        <f t="shared" si="1210"/>
        <v>0.10393966791637839</v>
      </c>
      <c r="F1765">
        <v>955.05</v>
      </c>
      <c r="G1765" t="s">
        <v>76</v>
      </c>
      <c r="H1765">
        <v>1000</v>
      </c>
      <c r="I1765" s="22"/>
      <c r="J1765">
        <v>19</v>
      </c>
      <c r="K1765" s="22"/>
      <c r="L1765">
        <v>10.7534250342779</v>
      </c>
      <c r="M1765" s="22">
        <v>9.6500000000000002E-2</v>
      </c>
      <c r="N1765" s="21">
        <v>44854</v>
      </c>
      <c r="O1765" s="21">
        <v>48507</v>
      </c>
      <c r="P1765">
        <f t="shared" si="1211"/>
        <v>10</v>
      </c>
      <c r="Q1765" s="6">
        <f t="shared" si="1212"/>
        <v>0.10104183027066646</v>
      </c>
      <c r="R1765" s="5">
        <f t="shared" si="1213"/>
        <v>1</v>
      </c>
      <c r="S1765" t="s">
        <v>93</v>
      </c>
      <c r="U1765">
        <f t="shared" si="1214"/>
        <v>10</v>
      </c>
      <c r="V1765">
        <f t="shared" si="1215"/>
        <v>96.5</v>
      </c>
      <c r="W1765" s="28">
        <f t="shared" si="1216"/>
        <v>0.10393966791637839</v>
      </c>
      <c r="X1765" s="27">
        <f t="shared" si="1217"/>
        <v>0.10393966791637839</v>
      </c>
      <c r="Y1765" s="5">
        <f t="shared" si="1218"/>
        <v>6.7627754581969839</v>
      </c>
      <c r="Z1765" s="5">
        <f t="shared" si="1219"/>
        <v>6.1260371873051058</v>
      </c>
      <c r="AA1765" s="5">
        <f t="shared" si="1220"/>
        <v>-5850.6718157357409</v>
      </c>
      <c r="AB1765" t="s">
        <v>64</v>
      </c>
      <c r="AC1765" t="s">
        <v>62</v>
      </c>
      <c r="AD1765">
        <f t="shared" si="1221"/>
        <v>1</v>
      </c>
    </row>
    <row r="1766" spans="1:30" x14ac:dyDescent="0.35">
      <c r="A1766" t="s">
        <v>255</v>
      </c>
      <c r="B1766" t="s">
        <v>122</v>
      </c>
      <c r="C1766" s="36">
        <f t="shared" si="1209"/>
        <v>0.10168849650740949</v>
      </c>
      <c r="D1766" s="3">
        <f t="shared" si="1210"/>
        <v>0.10168849650740949</v>
      </c>
      <c r="F1766">
        <v>995.8</v>
      </c>
      <c r="G1766" t="s">
        <v>76</v>
      </c>
      <c r="H1766">
        <v>1000</v>
      </c>
      <c r="I1766" s="22"/>
      <c r="J1766">
        <v>10</v>
      </c>
      <c r="K1766" s="22"/>
      <c r="L1766">
        <v>10.2006044073881</v>
      </c>
      <c r="M1766" s="22">
        <v>0.10099999999999999</v>
      </c>
      <c r="N1766" s="21">
        <v>44854</v>
      </c>
      <c r="O1766" s="21">
        <v>48507</v>
      </c>
      <c r="P1766">
        <f t="shared" si="1211"/>
        <v>10</v>
      </c>
      <c r="Q1766" s="6">
        <f t="shared" si="1212"/>
        <v>0.10142598915444867</v>
      </c>
      <c r="R1766" s="5">
        <f t="shared" si="1213"/>
        <v>1</v>
      </c>
      <c r="S1766" t="s">
        <v>93</v>
      </c>
      <c r="U1766">
        <f t="shared" si="1214"/>
        <v>10</v>
      </c>
      <c r="V1766">
        <f t="shared" si="1215"/>
        <v>100.99999999999999</v>
      </c>
      <c r="W1766" s="28">
        <f t="shared" si="1216"/>
        <v>0.10168849650740949</v>
      </c>
      <c r="X1766" s="27">
        <f t="shared" si="1217"/>
        <v>0.10168849650740949</v>
      </c>
      <c r="Y1766" s="5">
        <f t="shared" si="1218"/>
        <v>6.7290397297630085</v>
      </c>
      <c r="Z1766" s="5">
        <f t="shared" si="1219"/>
        <v>6.1079331871899525</v>
      </c>
      <c r="AA1766" s="5">
        <f t="shared" si="1220"/>
        <v>-6082.2798678037543</v>
      </c>
      <c r="AB1766" t="s">
        <v>64</v>
      </c>
      <c r="AC1766" t="s">
        <v>62</v>
      </c>
      <c r="AD1766">
        <f t="shared" si="1221"/>
        <v>1</v>
      </c>
    </row>
    <row r="1767" spans="1:30" x14ac:dyDescent="0.35">
      <c r="A1767" t="s">
        <v>254</v>
      </c>
      <c r="B1767" t="s">
        <v>171</v>
      </c>
      <c r="C1767" s="36">
        <f t="shared" si="1209"/>
        <v>5.8586390996003157E-2</v>
      </c>
      <c r="D1767" s="3">
        <f t="shared" si="1210"/>
        <v>5.8586390996003157E-2</v>
      </c>
      <c r="F1767">
        <v>1180000</v>
      </c>
      <c r="G1767" t="s">
        <v>76</v>
      </c>
      <c r="H1767">
        <v>1000000</v>
      </c>
      <c r="I1767" s="22"/>
      <c r="J1767">
        <v>138</v>
      </c>
      <c r="K1767" s="22"/>
      <c r="L1767">
        <v>4.4463397755367398</v>
      </c>
      <c r="M1767" s="22">
        <v>7.4099999999999999E-2</v>
      </c>
      <c r="N1767" s="21">
        <v>41228</v>
      </c>
      <c r="O1767" s="21">
        <v>48533</v>
      </c>
      <c r="P1767">
        <f t="shared" si="1211"/>
        <v>20</v>
      </c>
      <c r="Q1767" s="6">
        <f t="shared" si="1212"/>
        <v>6.2796610169491521E-2</v>
      </c>
      <c r="R1767" s="5">
        <f t="shared" si="1213"/>
        <v>1</v>
      </c>
      <c r="S1767" t="s">
        <v>93</v>
      </c>
      <c r="U1767">
        <f t="shared" si="1214"/>
        <v>20</v>
      </c>
      <c r="V1767">
        <f t="shared" si="1215"/>
        <v>74100</v>
      </c>
      <c r="W1767" s="28">
        <f t="shared" si="1216"/>
        <v>5.8586390996003157E-2</v>
      </c>
      <c r="X1767" s="27">
        <f t="shared" si="1217"/>
        <v>5.8586390996003157E-2</v>
      </c>
      <c r="Y1767" s="5">
        <f t="shared" si="1218"/>
        <v>11.727869622225372</v>
      </c>
      <c r="Z1767" s="5">
        <f t="shared" si="1219"/>
        <v>11.078802563474152</v>
      </c>
      <c r="AA1767" s="5">
        <f t="shared" si="1220"/>
        <v>-13072987.024899499</v>
      </c>
      <c r="AB1767" t="s">
        <v>64</v>
      </c>
      <c r="AC1767" t="s">
        <v>62</v>
      </c>
      <c r="AD1767">
        <f t="shared" si="1221"/>
        <v>1</v>
      </c>
    </row>
    <row r="1768" spans="1:30" x14ac:dyDescent="0.35">
      <c r="A1768" t="s">
        <v>253</v>
      </c>
      <c r="B1768" t="s">
        <v>252</v>
      </c>
      <c r="C1768" s="36">
        <f t="shared" si="1209"/>
        <v>3.7841625662700148E-2</v>
      </c>
      <c r="D1768" s="3">
        <f t="shared" si="1210"/>
        <v>7.5683251325400297E-2</v>
      </c>
      <c r="F1768">
        <v>1029901.7</v>
      </c>
      <c r="G1768" t="s">
        <v>76</v>
      </c>
      <c r="H1768">
        <v>1000000</v>
      </c>
      <c r="I1768" s="22"/>
      <c r="J1768">
        <v>1</v>
      </c>
      <c r="K1768" s="22"/>
      <c r="M1768" s="22">
        <v>0.08</v>
      </c>
      <c r="N1768" s="21">
        <v>44880</v>
      </c>
      <c r="O1768" s="21">
        <v>48533</v>
      </c>
      <c r="P1768">
        <f t="shared" si="1211"/>
        <v>10</v>
      </c>
      <c r="Q1768" s="6">
        <f t="shared" si="1212"/>
        <v>7.7677316194351365E-2</v>
      </c>
      <c r="R1768" s="5">
        <f t="shared" si="1213"/>
        <v>2</v>
      </c>
      <c r="S1768" t="s">
        <v>65</v>
      </c>
      <c r="U1768">
        <f t="shared" si="1214"/>
        <v>20</v>
      </c>
      <c r="V1768">
        <f t="shared" si="1215"/>
        <v>40000</v>
      </c>
      <c r="W1768" s="28">
        <f t="shared" si="1216"/>
        <v>3.7841625662700148E-2</v>
      </c>
      <c r="X1768" s="27">
        <f t="shared" si="1217"/>
        <v>7.5683251325400297E-2</v>
      </c>
      <c r="Y1768" s="5">
        <f t="shared" si="1218"/>
        <v>7.114966339441569</v>
      </c>
      <c r="Z1768" s="5">
        <f t="shared" si="1219"/>
        <v>6.85554150412728</v>
      </c>
      <c r="AA1768" s="5">
        <f t="shared" si="1220"/>
        <v>-7060533.8495212421</v>
      </c>
      <c r="AB1768" t="s">
        <v>64</v>
      </c>
      <c r="AC1768" t="s">
        <v>62</v>
      </c>
      <c r="AD1768">
        <f t="shared" si="1221"/>
        <v>2</v>
      </c>
    </row>
    <row r="1769" spans="1:30" x14ac:dyDescent="0.35">
      <c r="A1769" t="s">
        <v>251</v>
      </c>
      <c r="B1769" t="s">
        <v>216</v>
      </c>
      <c r="C1769" s="36">
        <f t="shared" si="1209"/>
        <v>8.1200000000004283E-2</v>
      </c>
      <c r="D1769" s="3">
        <f t="shared" si="1210"/>
        <v>8.1200000000004283E-2</v>
      </c>
      <c r="F1769">
        <v>1000000</v>
      </c>
      <c r="G1769" t="s">
        <v>76</v>
      </c>
      <c r="H1769">
        <v>1000000</v>
      </c>
      <c r="I1769" s="22"/>
      <c r="J1769">
        <v>1</v>
      </c>
      <c r="K1769" s="22"/>
      <c r="L1769">
        <v>8.1199999999999992</v>
      </c>
      <c r="M1769" s="22">
        <v>8.1199999999999994E-2</v>
      </c>
      <c r="N1769" s="21">
        <v>44883</v>
      </c>
      <c r="O1769" s="21">
        <v>48536</v>
      </c>
      <c r="P1769">
        <f t="shared" si="1211"/>
        <v>10</v>
      </c>
      <c r="Q1769" s="6">
        <f t="shared" si="1212"/>
        <v>8.1199999999999994E-2</v>
      </c>
      <c r="R1769" s="5">
        <f t="shared" si="1213"/>
        <v>1</v>
      </c>
      <c r="S1769" t="s">
        <v>93</v>
      </c>
      <c r="U1769">
        <f t="shared" si="1214"/>
        <v>10</v>
      </c>
      <c r="V1769">
        <f t="shared" si="1215"/>
        <v>81200</v>
      </c>
      <c r="W1769" s="28">
        <f t="shared" si="1216"/>
        <v>8.1200000000004283E-2</v>
      </c>
      <c r="X1769" s="27">
        <f t="shared" si="1217"/>
        <v>8.1200000000004283E-2</v>
      </c>
      <c r="Y1769" s="5">
        <f t="shared" si="1218"/>
        <v>7.2158355145235484</v>
      </c>
      <c r="Z1769" s="5">
        <f t="shared" si="1219"/>
        <v>6.6739137204250083</v>
      </c>
      <c r="AA1769" s="5">
        <f t="shared" si="1220"/>
        <v>-6673913.7204250079</v>
      </c>
      <c r="AB1769" t="s">
        <v>64</v>
      </c>
      <c r="AC1769" t="s">
        <v>62</v>
      </c>
      <c r="AD1769">
        <f t="shared" si="1221"/>
        <v>1</v>
      </c>
    </row>
    <row r="1770" spans="1:30" x14ac:dyDescent="0.35">
      <c r="A1770" t="s">
        <v>250</v>
      </c>
      <c r="B1770" t="s">
        <v>249</v>
      </c>
      <c r="C1770" s="36">
        <f t="shared" si="1209"/>
        <v>2.2152513247860439E-2</v>
      </c>
      <c r="D1770" s="3">
        <f t="shared" si="1210"/>
        <v>8.8610052991441757E-2</v>
      </c>
      <c r="F1770">
        <v>1050000</v>
      </c>
      <c r="G1770" t="s">
        <v>76</v>
      </c>
      <c r="H1770">
        <v>1000000</v>
      </c>
      <c r="I1770" s="22"/>
      <c r="J1770">
        <v>1</v>
      </c>
      <c r="K1770" s="22"/>
      <c r="M1770" s="22">
        <v>9.6199999999999994E-2</v>
      </c>
      <c r="N1770" s="21">
        <v>44916</v>
      </c>
      <c r="O1770" s="21">
        <v>48547</v>
      </c>
      <c r="P1770">
        <f t="shared" si="1211"/>
        <v>10</v>
      </c>
      <c r="Q1770" s="6">
        <f t="shared" si="1212"/>
        <v>9.1619047619047614E-2</v>
      </c>
      <c r="R1770" s="5">
        <f t="shared" si="1213"/>
        <v>4</v>
      </c>
      <c r="S1770" t="s">
        <v>105</v>
      </c>
      <c r="U1770">
        <f t="shared" si="1214"/>
        <v>40</v>
      </c>
      <c r="V1770">
        <f t="shared" si="1215"/>
        <v>24050</v>
      </c>
      <c r="W1770" s="28">
        <f t="shared" si="1216"/>
        <v>2.2152513247860439E-2</v>
      </c>
      <c r="X1770" s="27">
        <f t="shared" si="1217"/>
        <v>8.8610052991441757E-2</v>
      </c>
      <c r="Y1770" s="5">
        <f t="shared" si="1218"/>
        <v>6.5615637642006126</v>
      </c>
      <c r="Z1770" s="5">
        <f t="shared" si="1219"/>
        <v>6.4193588326182667</v>
      </c>
      <c r="AA1770" s="5">
        <f t="shared" si="1220"/>
        <v>-6740326.7742491802</v>
      </c>
      <c r="AB1770" t="s">
        <v>64</v>
      </c>
      <c r="AC1770" t="s">
        <v>62</v>
      </c>
      <c r="AD1770">
        <f t="shared" si="1221"/>
        <v>4</v>
      </c>
    </row>
    <row r="1771" spans="1:30" x14ac:dyDescent="0.35">
      <c r="A1771" t="s">
        <v>248</v>
      </c>
      <c r="B1771" t="s">
        <v>96</v>
      </c>
      <c r="C1771" s="36">
        <f t="shared" si="1209"/>
        <v>7.3263765026507902E-2</v>
      </c>
      <c r="D1771" s="3">
        <f t="shared" si="1210"/>
        <v>7.3263765026507902E-2</v>
      </c>
      <c r="F1771">
        <v>1012704.6</v>
      </c>
      <c r="G1771" t="s">
        <v>76</v>
      </c>
      <c r="H1771">
        <v>1000000</v>
      </c>
      <c r="I1771" s="22"/>
      <c r="J1771">
        <v>6</v>
      </c>
      <c r="K1771" s="22"/>
      <c r="L1771">
        <v>7.2893983141526197</v>
      </c>
      <c r="M1771" s="22">
        <v>7.51E-2</v>
      </c>
      <c r="N1771" s="21">
        <v>44901</v>
      </c>
      <c r="O1771" s="21">
        <v>48554</v>
      </c>
      <c r="P1771">
        <f t="shared" si="1211"/>
        <v>10</v>
      </c>
      <c r="Q1771" s="6">
        <f t="shared" si="1212"/>
        <v>7.4157854126464917E-2</v>
      </c>
      <c r="R1771" s="5">
        <f t="shared" si="1213"/>
        <v>1</v>
      </c>
      <c r="S1771" t="s">
        <v>93</v>
      </c>
      <c r="U1771">
        <f t="shared" si="1214"/>
        <v>10</v>
      </c>
      <c r="V1771">
        <f t="shared" si="1215"/>
        <v>75100</v>
      </c>
      <c r="W1771" s="28">
        <f t="shared" si="1216"/>
        <v>7.3263765026507902E-2</v>
      </c>
      <c r="X1771" s="27">
        <f t="shared" si="1217"/>
        <v>7.3263765026507902E-2</v>
      </c>
      <c r="Y1771" s="5">
        <f t="shared" si="1218"/>
        <v>7.3943153148144418</v>
      </c>
      <c r="Z1771" s="5">
        <f t="shared" si="1219"/>
        <v>6.8895601955142993</v>
      </c>
      <c r="AA1771" s="5">
        <f t="shared" si="1220"/>
        <v>-6977089.3019742304</v>
      </c>
      <c r="AB1771" t="s">
        <v>64</v>
      </c>
      <c r="AC1771" t="s">
        <v>62</v>
      </c>
      <c r="AD1771">
        <f t="shared" si="1221"/>
        <v>1</v>
      </c>
    </row>
    <row r="1772" spans="1:30" x14ac:dyDescent="0.35">
      <c r="A1772" t="s">
        <v>247</v>
      </c>
      <c r="B1772" t="s">
        <v>241</v>
      </c>
      <c r="C1772" s="36">
        <f t="shared" si="1209"/>
        <v>0.10450000000000412</v>
      </c>
      <c r="D1772" s="3">
        <f t="shared" si="1210"/>
        <v>0.10450000000000412</v>
      </c>
      <c r="F1772">
        <v>10000</v>
      </c>
      <c r="G1772" t="s">
        <v>76</v>
      </c>
      <c r="H1772">
        <v>10000</v>
      </c>
      <c r="I1772" s="22"/>
      <c r="J1772">
        <v>21</v>
      </c>
      <c r="K1772" s="22"/>
      <c r="L1772">
        <v>10.45</v>
      </c>
      <c r="M1772" s="22">
        <v>0.1045</v>
      </c>
      <c r="N1772" s="21">
        <v>45559</v>
      </c>
      <c r="O1772" s="21">
        <v>48572</v>
      </c>
      <c r="P1772">
        <f t="shared" si="1211"/>
        <v>8</v>
      </c>
      <c r="Q1772" s="6">
        <f t="shared" si="1212"/>
        <v>0.1045</v>
      </c>
      <c r="R1772" s="5">
        <f t="shared" si="1213"/>
        <v>1</v>
      </c>
      <c r="S1772" t="s">
        <v>93</v>
      </c>
      <c r="U1772">
        <f t="shared" si="1214"/>
        <v>8</v>
      </c>
      <c r="V1772">
        <f t="shared" si="1215"/>
        <v>1045</v>
      </c>
      <c r="W1772" s="28">
        <f t="shared" si="1216"/>
        <v>0.10450000000000412</v>
      </c>
      <c r="X1772" s="27">
        <f t="shared" si="1217"/>
        <v>0.10450000000000412</v>
      </c>
      <c r="Y1772" s="5">
        <f t="shared" si="1218"/>
        <v>5.4986398368110976</v>
      </c>
      <c r="Z1772" s="5">
        <f t="shared" si="1219"/>
        <v>4.9783973171671141</v>
      </c>
      <c r="AA1772" s="5">
        <f t="shared" si="1220"/>
        <v>-49783.973171671139</v>
      </c>
      <c r="AB1772" t="s">
        <v>64</v>
      </c>
      <c r="AC1772" t="s">
        <v>62</v>
      </c>
      <c r="AD1772">
        <f t="shared" si="1221"/>
        <v>1</v>
      </c>
    </row>
    <row r="1773" spans="1:30" x14ac:dyDescent="0.35">
      <c r="A1773" t="s">
        <v>246</v>
      </c>
      <c r="B1773" t="s">
        <v>122</v>
      </c>
      <c r="C1773" s="36">
        <f t="shared" si="1209"/>
        <v>0.10285254988390669</v>
      </c>
      <c r="D1773" s="3">
        <f t="shared" si="1210"/>
        <v>0.10285254988390669</v>
      </c>
      <c r="F1773">
        <v>1010</v>
      </c>
      <c r="G1773" t="s">
        <v>76</v>
      </c>
      <c r="H1773">
        <v>1000</v>
      </c>
      <c r="I1773" s="22"/>
      <c r="J1773">
        <v>30</v>
      </c>
      <c r="K1773" s="22"/>
      <c r="L1773">
        <v>10.214834165632301</v>
      </c>
      <c r="M1773" s="22">
        <v>0.1045</v>
      </c>
      <c r="N1773" s="21">
        <v>44946</v>
      </c>
      <c r="O1773" s="21">
        <v>48599</v>
      </c>
      <c r="P1773">
        <f t="shared" si="1211"/>
        <v>10</v>
      </c>
      <c r="Q1773" s="6">
        <f t="shared" si="1212"/>
        <v>0.10346534653465346</v>
      </c>
      <c r="R1773" s="5">
        <f t="shared" si="1213"/>
        <v>1</v>
      </c>
      <c r="S1773" t="s">
        <v>93</v>
      </c>
      <c r="U1773">
        <f t="shared" si="1214"/>
        <v>10</v>
      </c>
      <c r="V1773">
        <f t="shared" si="1215"/>
        <v>104.5</v>
      </c>
      <c r="W1773" s="28">
        <f t="shared" si="1216"/>
        <v>0.10285254988390669</v>
      </c>
      <c r="X1773" s="27">
        <f t="shared" si="1217"/>
        <v>0.10285254988390669</v>
      </c>
      <c r="Y1773" s="5">
        <f t="shared" si="1218"/>
        <v>6.6746047161461277</v>
      </c>
      <c r="Z1773" s="5">
        <f t="shared" si="1219"/>
        <v>6.0521279266650279</v>
      </c>
      <c r="AA1773" s="5">
        <f t="shared" si="1220"/>
        <v>-6112.6492059316779</v>
      </c>
      <c r="AB1773" t="s">
        <v>64</v>
      </c>
      <c r="AC1773" t="s">
        <v>62</v>
      </c>
      <c r="AD1773">
        <f t="shared" si="1221"/>
        <v>1</v>
      </c>
    </row>
    <row r="1774" spans="1:30" x14ac:dyDescent="0.35">
      <c r="A1774" t="s">
        <v>245</v>
      </c>
      <c r="B1774" t="s">
        <v>122</v>
      </c>
      <c r="C1774" s="36">
        <f t="shared" si="1209"/>
        <v>0.10498745404151305</v>
      </c>
      <c r="D1774" s="3">
        <f t="shared" si="1210"/>
        <v>0.10498745404151305</v>
      </c>
      <c r="F1774">
        <v>970</v>
      </c>
      <c r="G1774" t="s">
        <v>76</v>
      </c>
      <c r="H1774">
        <v>1000</v>
      </c>
      <c r="I1774" s="22"/>
      <c r="J1774">
        <v>46</v>
      </c>
      <c r="K1774" s="22"/>
      <c r="L1774">
        <v>10.721423651494399</v>
      </c>
      <c r="M1774" s="22">
        <v>0.1</v>
      </c>
      <c r="N1774" s="21">
        <v>44946</v>
      </c>
      <c r="O1774" s="21">
        <v>48599</v>
      </c>
      <c r="P1774">
        <f t="shared" si="1211"/>
        <v>10</v>
      </c>
      <c r="Q1774" s="6">
        <f t="shared" si="1212"/>
        <v>0.10309278350515463</v>
      </c>
      <c r="R1774" s="5">
        <f t="shared" si="1213"/>
        <v>1</v>
      </c>
      <c r="S1774" t="s">
        <v>93</v>
      </c>
      <c r="U1774">
        <f t="shared" si="1214"/>
        <v>10</v>
      </c>
      <c r="V1774">
        <f t="shared" si="1215"/>
        <v>100</v>
      </c>
      <c r="W1774" s="28">
        <f t="shared" si="1216"/>
        <v>0.10498745404151305</v>
      </c>
      <c r="X1774" s="27">
        <f t="shared" si="1217"/>
        <v>0.10498745404151305</v>
      </c>
      <c r="Y1774" s="5">
        <f t="shared" si="1218"/>
        <v>6.7071198763092204</v>
      </c>
      <c r="Z1774" s="5">
        <f t="shared" si="1219"/>
        <v>6.0698606593023294</v>
      </c>
      <c r="AA1774" s="5">
        <f t="shared" si="1220"/>
        <v>-5887.76483952326</v>
      </c>
      <c r="AB1774" t="s">
        <v>64</v>
      </c>
      <c r="AC1774" t="s">
        <v>62</v>
      </c>
      <c r="AD1774">
        <f t="shared" si="1221"/>
        <v>1</v>
      </c>
    </row>
    <row r="1775" spans="1:30" x14ac:dyDescent="0.35">
      <c r="A1775" t="s">
        <v>244</v>
      </c>
      <c r="B1775" t="s">
        <v>171</v>
      </c>
      <c r="C1775" s="36">
        <f t="shared" si="1209"/>
        <v>6.0044552979173695E-2</v>
      </c>
      <c r="D1775" s="3">
        <f t="shared" si="1210"/>
        <v>6.0044552979173695E-2</v>
      </c>
      <c r="F1775">
        <v>1160.01</v>
      </c>
      <c r="G1775" t="s">
        <v>76</v>
      </c>
      <c r="H1775">
        <v>1000</v>
      </c>
      <c r="I1775" s="22"/>
      <c r="J1775">
        <v>20</v>
      </c>
      <c r="K1775" s="22"/>
      <c r="L1775">
        <v>4.5430941511225003</v>
      </c>
      <c r="M1775" s="22">
        <v>7.400000000000001E-2</v>
      </c>
      <c r="N1775" s="21">
        <v>41296</v>
      </c>
      <c r="O1775" s="21">
        <v>48601</v>
      </c>
      <c r="P1775">
        <f t="shared" si="1211"/>
        <v>20</v>
      </c>
      <c r="Q1775" s="6">
        <f t="shared" si="1212"/>
        <v>6.3792553512469735E-2</v>
      </c>
      <c r="R1775" s="5">
        <f t="shared" si="1213"/>
        <v>1</v>
      </c>
      <c r="S1775" t="s">
        <v>93</v>
      </c>
      <c r="U1775">
        <f t="shared" si="1214"/>
        <v>20</v>
      </c>
      <c r="V1775">
        <f t="shared" si="1215"/>
        <v>74.000000000000014</v>
      </c>
      <c r="W1775" s="28">
        <f t="shared" si="1216"/>
        <v>6.0044552979173695E-2</v>
      </c>
      <c r="X1775" s="27">
        <f t="shared" si="1217"/>
        <v>6.0044552979173695E-2</v>
      </c>
      <c r="Y1775" s="5">
        <f t="shared" si="1218"/>
        <v>11.664495707897599</v>
      </c>
      <c r="Z1775" s="5">
        <f t="shared" si="1219"/>
        <v>11.003778732804607</v>
      </c>
      <c r="AA1775" s="5">
        <f t="shared" si="1220"/>
        <v>-12764.493367840672</v>
      </c>
      <c r="AB1775" t="s">
        <v>64</v>
      </c>
      <c r="AC1775" t="s">
        <v>62</v>
      </c>
      <c r="AD1775">
        <f t="shared" si="1221"/>
        <v>1</v>
      </c>
    </row>
    <row r="1776" spans="1:30" x14ac:dyDescent="0.35">
      <c r="A1776" t="s">
        <v>243</v>
      </c>
      <c r="B1776" t="s">
        <v>232</v>
      </c>
      <c r="C1776" s="36">
        <f t="shared" si="1209"/>
        <v>7.1113333205746893E-2</v>
      </c>
      <c r="D1776" s="3">
        <f t="shared" si="1210"/>
        <v>7.1113333205746893E-2</v>
      </c>
      <c r="F1776">
        <v>106000</v>
      </c>
      <c r="G1776" t="s">
        <v>76</v>
      </c>
      <c r="H1776">
        <v>100000</v>
      </c>
      <c r="I1776" s="22"/>
      <c r="J1776">
        <v>5</v>
      </c>
      <c r="K1776" s="22"/>
      <c r="L1776">
        <v>6.7756888828559703</v>
      </c>
      <c r="M1776" s="22">
        <v>7.9699999999999993E-2</v>
      </c>
      <c r="N1776" s="21">
        <v>44974</v>
      </c>
      <c r="O1776" s="21">
        <v>48627</v>
      </c>
      <c r="P1776">
        <f t="shared" si="1211"/>
        <v>10</v>
      </c>
      <c r="Q1776" s="6">
        <f t="shared" si="1212"/>
        <v>7.518867924528301E-2</v>
      </c>
      <c r="R1776" s="5">
        <f t="shared" si="1213"/>
        <v>1</v>
      </c>
      <c r="S1776" t="s">
        <v>93</v>
      </c>
      <c r="U1776">
        <f t="shared" si="1214"/>
        <v>10</v>
      </c>
      <c r="V1776">
        <f t="shared" si="1215"/>
        <v>7969.9999999999991</v>
      </c>
      <c r="W1776" s="28">
        <f t="shared" si="1216"/>
        <v>7.1113333205746893E-2</v>
      </c>
      <c r="X1776" s="27">
        <f t="shared" si="1217"/>
        <v>7.1113333205746893E-2</v>
      </c>
      <c r="Y1776" s="5">
        <f t="shared" si="1218"/>
        <v>7.3403290696010624</v>
      </c>
      <c r="Z1776" s="5">
        <f t="shared" si="1219"/>
        <v>6.8529901010867915</v>
      </c>
      <c r="AA1776" s="5">
        <f t="shared" si="1220"/>
        <v>-726416.95071519993</v>
      </c>
      <c r="AB1776" t="s">
        <v>64</v>
      </c>
      <c r="AC1776" t="s">
        <v>62</v>
      </c>
      <c r="AD1776">
        <f t="shared" si="1221"/>
        <v>1</v>
      </c>
    </row>
    <row r="1777" spans="1:30" x14ac:dyDescent="0.35">
      <c r="A1777" t="s">
        <v>242</v>
      </c>
      <c r="B1777" t="s">
        <v>241</v>
      </c>
      <c r="C1777" s="36">
        <f t="shared" si="1209"/>
        <v>0.10415747757162831</v>
      </c>
      <c r="D1777" s="3">
        <f t="shared" si="1210"/>
        <v>0.10415747757162831</v>
      </c>
      <c r="F1777">
        <v>10018</v>
      </c>
      <c r="G1777" t="s">
        <v>76</v>
      </c>
      <c r="H1777">
        <v>10000</v>
      </c>
      <c r="I1777" s="22"/>
      <c r="J1777">
        <v>1</v>
      </c>
      <c r="K1777" s="22"/>
      <c r="L1777">
        <v>10.407700858683899</v>
      </c>
      <c r="M1777" s="22">
        <v>0.1045</v>
      </c>
      <c r="N1777" s="21">
        <v>45637</v>
      </c>
      <c r="O1777" s="21">
        <v>48649</v>
      </c>
      <c r="P1777">
        <f t="shared" si="1211"/>
        <v>8</v>
      </c>
      <c r="Q1777" s="6">
        <f t="shared" si="1212"/>
        <v>0.10431223797165103</v>
      </c>
      <c r="R1777" s="5">
        <f t="shared" si="1213"/>
        <v>1</v>
      </c>
      <c r="S1777" t="s">
        <v>93</v>
      </c>
      <c r="U1777">
        <f t="shared" si="1214"/>
        <v>8</v>
      </c>
      <c r="V1777">
        <f t="shared" si="1215"/>
        <v>1045</v>
      </c>
      <c r="W1777" s="28">
        <f t="shared" si="1216"/>
        <v>0.10415747757162831</v>
      </c>
      <c r="X1777" s="27">
        <f t="shared" si="1217"/>
        <v>0.10415747757162831</v>
      </c>
      <c r="Y1777" s="5">
        <f t="shared" si="1218"/>
        <v>5.5014371545571539</v>
      </c>
      <c r="Z1777" s="5">
        <f t="shared" si="1219"/>
        <v>4.9824751145610637</v>
      </c>
      <c r="AA1777" s="5">
        <f t="shared" si="1220"/>
        <v>-49914.435697672736</v>
      </c>
      <c r="AB1777" t="s">
        <v>64</v>
      </c>
      <c r="AC1777" t="s">
        <v>62</v>
      </c>
      <c r="AD1777">
        <f t="shared" si="1221"/>
        <v>1</v>
      </c>
    </row>
    <row r="1778" spans="1:30" x14ac:dyDescent="0.35">
      <c r="A1778" t="s">
        <v>240</v>
      </c>
      <c r="B1778" t="s">
        <v>239</v>
      </c>
      <c r="C1778" s="36">
        <f t="shared" si="1209"/>
        <v>2.0738724043009218E-2</v>
      </c>
      <c r="D1778" s="3">
        <f t="shared" si="1210"/>
        <v>8.2954896172036871E-2</v>
      </c>
      <c r="F1778">
        <v>104081.11</v>
      </c>
      <c r="G1778" t="s">
        <v>76</v>
      </c>
      <c r="H1778">
        <v>100000</v>
      </c>
      <c r="I1778" s="22"/>
      <c r="J1778">
        <v>3</v>
      </c>
      <c r="K1778" s="22"/>
      <c r="M1778" s="22">
        <v>8.900000000000001E-2</v>
      </c>
      <c r="N1778" s="21">
        <v>45009</v>
      </c>
      <c r="O1778" s="21">
        <v>48662</v>
      </c>
      <c r="P1778">
        <f t="shared" si="1211"/>
        <v>10</v>
      </c>
      <c r="Q1778" s="6">
        <f t="shared" si="1212"/>
        <v>8.5510233317073595E-2</v>
      </c>
      <c r="R1778" s="5">
        <f t="shared" si="1213"/>
        <v>4</v>
      </c>
      <c r="S1778" t="s">
        <v>105</v>
      </c>
      <c r="U1778">
        <f t="shared" si="1214"/>
        <v>40</v>
      </c>
      <c r="V1778">
        <f t="shared" si="1215"/>
        <v>2225.0000000000005</v>
      </c>
      <c r="W1778" s="28">
        <f t="shared" si="1216"/>
        <v>2.0738724043009218E-2</v>
      </c>
      <c r="X1778" s="27">
        <f t="shared" si="1217"/>
        <v>8.2954896172036871E-2</v>
      </c>
      <c r="Y1778" s="5">
        <f t="shared" si="1218"/>
        <v>6.7953430540873239</v>
      </c>
      <c r="Z1778" s="5">
        <f t="shared" si="1219"/>
        <v>6.6572795702037064</v>
      </c>
      <c r="AA1778" s="5">
        <f t="shared" si="1220"/>
        <v>-692897.04724712472</v>
      </c>
      <c r="AB1778" t="s">
        <v>64</v>
      </c>
      <c r="AC1778" t="s">
        <v>62</v>
      </c>
      <c r="AD1778">
        <f t="shared" si="1221"/>
        <v>4</v>
      </c>
    </row>
    <row r="1779" spans="1:30" x14ac:dyDescent="0.35">
      <c r="A1779" t="s">
        <v>238</v>
      </c>
      <c r="B1779" t="s">
        <v>171</v>
      </c>
      <c r="C1779" s="36">
        <f t="shared" si="1209"/>
        <v>6.0025266433766496E-2</v>
      </c>
      <c r="D1779" s="3">
        <f t="shared" si="1210"/>
        <v>6.0025266433766496E-2</v>
      </c>
      <c r="F1779">
        <v>1123.56</v>
      </c>
      <c r="G1779" t="s">
        <v>76</v>
      </c>
      <c r="H1779">
        <v>1000</v>
      </c>
      <c r="I1779" s="22"/>
      <c r="J1779">
        <v>1000</v>
      </c>
      <c r="K1779" s="22"/>
      <c r="L1779">
        <v>4.8870321610126197</v>
      </c>
      <c r="M1779" s="22">
        <v>7.0800000000000002E-2</v>
      </c>
      <c r="N1779" s="21">
        <v>41359</v>
      </c>
      <c r="O1779" s="21">
        <v>48664</v>
      </c>
      <c r="P1779">
        <f t="shared" si="1211"/>
        <v>20</v>
      </c>
      <c r="Q1779" s="6">
        <f t="shared" si="1212"/>
        <v>6.3013991242123257E-2</v>
      </c>
      <c r="R1779" s="5">
        <f t="shared" si="1213"/>
        <v>1</v>
      </c>
      <c r="S1779" t="s">
        <v>93</v>
      </c>
      <c r="U1779">
        <f t="shared" si="1214"/>
        <v>20</v>
      </c>
      <c r="V1779">
        <f t="shared" si="1215"/>
        <v>70.8</v>
      </c>
      <c r="W1779" s="28">
        <f t="shared" si="1216"/>
        <v>6.0025266433766496E-2</v>
      </c>
      <c r="X1779" s="27">
        <f t="shared" si="1217"/>
        <v>6.0025266433766496E-2</v>
      </c>
      <c r="Y1779" s="5">
        <f t="shared" si="1218"/>
        <v>11.765346993854957</v>
      </c>
      <c r="Z1779" s="5">
        <f t="shared" si="1219"/>
        <v>11.099119394990467</v>
      </c>
      <c r="AA1779" s="5">
        <f t="shared" si="1220"/>
        <v>-12470.526587435488</v>
      </c>
      <c r="AB1779" t="s">
        <v>64</v>
      </c>
      <c r="AC1779" t="s">
        <v>62</v>
      </c>
      <c r="AD1779">
        <f t="shared" si="1221"/>
        <v>1</v>
      </c>
    </row>
    <row r="1780" spans="1:30" x14ac:dyDescent="0.35">
      <c r="A1780" t="s">
        <v>237</v>
      </c>
      <c r="B1780" t="s">
        <v>236</v>
      </c>
      <c r="C1780" s="36">
        <f t="shared" si="1209"/>
        <v>2.2374983502832419E-2</v>
      </c>
      <c r="D1780" s="3">
        <f t="shared" si="1210"/>
        <v>8.9499934011329677E-2</v>
      </c>
      <c r="F1780">
        <v>110500</v>
      </c>
      <c r="G1780" t="s">
        <v>76</v>
      </c>
      <c r="H1780">
        <v>100000</v>
      </c>
      <c r="I1780" s="22"/>
      <c r="J1780">
        <v>10</v>
      </c>
      <c r="K1780" s="22"/>
      <c r="M1780" s="22">
        <v>0.10550000000000001</v>
      </c>
      <c r="N1780" s="21">
        <v>45019</v>
      </c>
      <c r="O1780" s="21">
        <v>48672</v>
      </c>
      <c r="P1780">
        <f t="shared" si="1211"/>
        <v>10</v>
      </c>
      <c r="Q1780" s="6">
        <f t="shared" si="1212"/>
        <v>9.5475113122171967E-2</v>
      </c>
      <c r="R1780" s="5">
        <f t="shared" si="1213"/>
        <v>4</v>
      </c>
      <c r="S1780" t="s">
        <v>105</v>
      </c>
      <c r="U1780">
        <f t="shared" si="1214"/>
        <v>40</v>
      </c>
      <c r="V1780">
        <f t="shared" si="1215"/>
        <v>2637.5000000000005</v>
      </c>
      <c r="W1780" s="28">
        <f t="shared" si="1216"/>
        <v>2.2374983502832419E-2</v>
      </c>
      <c r="X1780" s="27">
        <f t="shared" si="1217"/>
        <v>8.9499934011329677E-2</v>
      </c>
      <c r="Y1780" s="5">
        <f t="shared" si="1218"/>
        <v>6.4896155586371966</v>
      </c>
      <c r="Z1780" s="5">
        <f t="shared" si="1219"/>
        <v>6.3475883734974214</v>
      </c>
      <c r="AA1780" s="5">
        <f t="shared" si="1220"/>
        <v>-701408.51527146506</v>
      </c>
      <c r="AB1780" t="s">
        <v>64</v>
      </c>
      <c r="AC1780" t="s">
        <v>62</v>
      </c>
      <c r="AD1780">
        <f t="shared" si="1221"/>
        <v>4</v>
      </c>
    </row>
    <row r="1781" spans="1:30" x14ac:dyDescent="0.35">
      <c r="A1781" t="s">
        <v>235</v>
      </c>
      <c r="B1781" t="s">
        <v>122</v>
      </c>
      <c r="C1781" s="36">
        <f t="shared" si="1209"/>
        <v>0.10635413206886143</v>
      </c>
      <c r="D1781" s="3">
        <f t="shared" si="1210"/>
        <v>0.10635413206886143</v>
      </c>
      <c r="F1781">
        <v>962</v>
      </c>
      <c r="G1781" t="s">
        <v>76</v>
      </c>
      <c r="H1781">
        <v>1000</v>
      </c>
      <c r="I1781" s="22"/>
      <c r="J1781">
        <v>17</v>
      </c>
      <c r="K1781" s="22"/>
      <c r="L1781">
        <v>10.903577570244201</v>
      </c>
      <c r="M1781" s="22">
        <v>0.1</v>
      </c>
      <c r="N1781" s="21">
        <v>45043</v>
      </c>
      <c r="O1781" s="21">
        <v>48696</v>
      </c>
      <c r="P1781">
        <f t="shared" si="1211"/>
        <v>10</v>
      </c>
      <c r="Q1781" s="6">
        <f t="shared" si="1212"/>
        <v>0.10395010395010396</v>
      </c>
      <c r="R1781" s="5">
        <f t="shared" si="1213"/>
        <v>1</v>
      </c>
      <c r="S1781" t="s">
        <v>93</v>
      </c>
      <c r="U1781">
        <f t="shared" si="1214"/>
        <v>10</v>
      </c>
      <c r="V1781">
        <f t="shared" si="1215"/>
        <v>100</v>
      </c>
      <c r="W1781" s="28">
        <f t="shared" si="1216"/>
        <v>0.10635413206886143</v>
      </c>
      <c r="X1781" s="27">
        <f t="shared" si="1217"/>
        <v>0.10635413206886143</v>
      </c>
      <c r="Y1781" s="5">
        <f t="shared" si="1218"/>
        <v>6.6928794271753906</v>
      </c>
      <c r="Z1781" s="5">
        <f t="shared" si="1219"/>
        <v>6.049491056412319</v>
      </c>
      <c r="AA1781" s="5">
        <f t="shared" si="1220"/>
        <v>-5819.6103962686511</v>
      </c>
      <c r="AB1781" t="s">
        <v>64</v>
      </c>
      <c r="AC1781" t="s">
        <v>62</v>
      </c>
      <c r="AD1781">
        <f t="shared" si="1221"/>
        <v>1</v>
      </c>
    </row>
    <row r="1782" spans="1:30" x14ac:dyDescent="0.35">
      <c r="A1782" t="s">
        <v>234</v>
      </c>
      <c r="B1782" t="s">
        <v>122</v>
      </c>
      <c r="C1782" s="36">
        <f t="shared" si="1209"/>
        <v>0.10824184491148076</v>
      </c>
      <c r="D1782" s="3">
        <f t="shared" si="1210"/>
        <v>0.10824184491148076</v>
      </c>
      <c r="F1782">
        <v>977.8</v>
      </c>
      <c r="G1782" t="s">
        <v>76</v>
      </c>
      <c r="H1782">
        <v>1000</v>
      </c>
      <c r="I1782" s="22"/>
      <c r="J1782">
        <v>20</v>
      </c>
      <c r="K1782" s="22"/>
      <c r="L1782">
        <v>10.9795664817141</v>
      </c>
      <c r="M1782" s="22">
        <v>0.1045</v>
      </c>
      <c r="N1782" s="21">
        <v>45043</v>
      </c>
      <c r="O1782" s="21">
        <v>48696</v>
      </c>
      <c r="P1782">
        <f t="shared" si="1211"/>
        <v>10</v>
      </c>
      <c r="Q1782" s="6">
        <f t="shared" si="1212"/>
        <v>0.10687257107793005</v>
      </c>
      <c r="R1782" s="5">
        <f t="shared" si="1213"/>
        <v>1</v>
      </c>
      <c r="S1782" t="s">
        <v>93</v>
      </c>
      <c r="U1782">
        <f t="shared" si="1214"/>
        <v>10</v>
      </c>
      <c r="V1782">
        <f t="shared" si="1215"/>
        <v>104.5</v>
      </c>
      <c r="W1782" s="28">
        <f t="shared" si="1216"/>
        <v>0.10824184491148076</v>
      </c>
      <c r="X1782" s="27">
        <f t="shared" si="1217"/>
        <v>0.10824184491148076</v>
      </c>
      <c r="Y1782" s="5">
        <f t="shared" si="1218"/>
        <v>6.6184160753248511</v>
      </c>
      <c r="Z1782" s="5">
        <f t="shared" si="1219"/>
        <v>5.9719961899232272</v>
      </c>
      <c r="AA1782" s="5">
        <f t="shared" si="1220"/>
        <v>-5839.4178745069312</v>
      </c>
      <c r="AB1782" t="s">
        <v>64</v>
      </c>
      <c r="AC1782" t="s">
        <v>62</v>
      </c>
      <c r="AD1782">
        <f t="shared" si="1221"/>
        <v>1</v>
      </c>
    </row>
    <row r="1783" spans="1:30" x14ac:dyDescent="0.35">
      <c r="A1783" t="s">
        <v>233</v>
      </c>
      <c r="B1783" t="s">
        <v>232</v>
      </c>
      <c r="C1783" s="36">
        <f t="shared" si="1209"/>
        <v>7.8000000000028005E-2</v>
      </c>
      <c r="D1783" s="3">
        <f t="shared" si="1210"/>
        <v>7.8000000000028005E-2</v>
      </c>
      <c r="F1783">
        <v>100000</v>
      </c>
      <c r="G1783" t="s">
        <v>76</v>
      </c>
      <c r="H1783">
        <v>100000</v>
      </c>
      <c r="I1783" s="22"/>
      <c r="J1783">
        <v>20</v>
      </c>
      <c r="K1783" s="22"/>
      <c r="L1783">
        <v>7.8</v>
      </c>
      <c r="M1783" s="22">
        <v>7.8E-2</v>
      </c>
      <c r="N1783" s="21">
        <v>45049</v>
      </c>
      <c r="O1783" s="21">
        <v>48702</v>
      </c>
      <c r="P1783">
        <f t="shared" si="1211"/>
        <v>10</v>
      </c>
      <c r="Q1783" s="6">
        <f t="shared" si="1212"/>
        <v>7.8E-2</v>
      </c>
      <c r="R1783" s="5">
        <f t="shared" si="1213"/>
        <v>1</v>
      </c>
      <c r="S1783" t="s">
        <v>93</v>
      </c>
      <c r="U1783">
        <f t="shared" si="1214"/>
        <v>10</v>
      </c>
      <c r="V1783">
        <f t="shared" si="1215"/>
        <v>7800</v>
      </c>
      <c r="W1783" s="28">
        <f t="shared" si="1216"/>
        <v>7.8000000000028005E-2</v>
      </c>
      <c r="X1783" s="27">
        <f t="shared" si="1217"/>
        <v>7.8000000000028005E-2</v>
      </c>
      <c r="Y1783" s="5">
        <f t="shared" si="1218"/>
        <v>7.2991772314346468</v>
      </c>
      <c r="Z1783" s="5">
        <f t="shared" si="1219"/>
        <v>6.7710363927963426</v>
      </c>
      <c r="AA1783" s="5">
        <f t="shared" si="1220"/>
        <v>-677103.63927963423</v>
      </c>
      <c r="AB1783" t="s">
        <v>64</v>
      </c>
      <c r="AC1783" t="s">
        <v>62</v>
      </c>
      <c r="AD1783">
        <f t="shared" si="1221"/>
        <v>1</v>
      </c>
    </row>
    <row r="1784" spans="1:30" x14ac:dyDescent="0.35">
      <c r="A1784" t="s">
        <v>231</v>
      </c>
      <c r="B1784" t="s">
        <v>230</v>
      </c>
      <c r="C1784" s="36">
        <f t="shared" si="1209"/>
        <v>7.6242898562306288E-2</v>
      </c>
      <c r="D1784" s="3">
        <f t="shared" si="1210"/>
        <v>7.6242898562306288E-2</v>
      </c>
      <c r="F1784">
        <v>1006532.5</v>
      </c>
      <c r="G1784" t="s">
        <v>76</v>
      </c>
      <c r="H1784">
        <v>1000000</v>
      </c>
      <c r="I1784" s="22"/>
      <c r="J1784">
        <v>1</v>
      </c>
      <c r="K1784" s="22"/>
      <c r="L1784">
        <v>7.6046916745099198</v>
      </c>
      <c r="M1784" s="22">
        <v>7.7199999999999991E-2</v>
      </c>
      <c r="N1784" s="21">
        <v>45069</v>
      </c>
      <c r="O1784" s="21">
        <v>48722</v>
      </c>
      <c r="P1784">
        <f t="shared" si="1211"/>
        <v>10</v>
      </c>
      <c r="Q1784" s="6">
        <f t="shared" si="1212"/>
        <v>7.6698964017555299E-2</v>
      </c>
      <c r="R1784" s="5">
        <f t="shared" si="1213"/>
        <v>1</v>
      </c>
      <c r="S1784" t="s">
        <v>93</v>
      </c>
      <c r="U1784">
        <f t="shared" si="1214"/>
        <v>10</v>
      </c>
      <c r="V1784">
        <f t="shared" si="1215"/>
        <v>77199.999999999985</v>
      </c>
      <c r="W1784" s="28">
        <f t="shared" si="1216"/>
        <v>7.6242898562306288E-2</v>
      </c>
      <c r="X1784" s="27">
        <f t="shared" si="1217"/>
        <v>7.6242898562306288E-2</v>
      </c>
      <c r="Y1784" s="5">
        <f t="shared" si="1218"/>
        <v>7.3297981727310138</v>
      </c>
      <c r="Z1784" s="5">
        <f t="shared" si="1219"/>
        <v>6.8105426595822269</v>
      </c>
      <c r="AA1784" s="5">
        <f t="shared" si="1220"/>
        <v>-6855032.5295059476</v>
      </c>
      <c r="AB1784" t="s">
        <v>64</v>
      </c>
      <c r="AC1784" t="s">
        <v>62</v>
      </c>
      <c r="AD1784">
        <f t="shared" si="1221"/>
        <v>1</v>
      </c>
    </row>
    <row r="1785" spans="1:30" x14ac:dyDescent="0.35">
      <c r="A1785" t="s">
        <v>229</v>
      </c>
      <c r="B1785" t="s">
        <v>122</v>
      </c>
      <c r="C1785" s="36">
        <f t="shared" si="1209"/>
        <v>0.10773515475967828</v>
      </c>
      <c r="D1785" s="3">
        <f t="shared" si="1210"/>
        <v>0.10773515475967828</v>
      </c>
      <c r="F1785">
        <v>954.01</v>
      </c>
      <c r="G1785" t="s">
        <v>76</v>
      </c>
      <c r="H1785">
        <v>1000</v>
      </c>
      <c r="I1785" s="22"/>
      <c r="J1785">
        <v>301</v>
      </c>
      <c r="K1785" s="22"/>
      <c r="L1785">
        <v>11.084452146623001</v>
      </c>
      <c r="M1785" s="22">
        <v>0.1</v>
      </c>
      <c r="N1785" s="21">
        <v>45128</v>
      </c>
      <c r="O1785" s="21">
        <v>48781</v>
      </c>
      <c r="P1785">
        <f t="shared" si="1211"/>
        <v>10</v>
      </c>
      <c r="Q1785" s="6">
        <f t="shared" si="1212"/>
        <v>0.10482070418549072</v>
      </c>
      <c r="R1785" s="5">
        <f t="shared" si="1213"/>
        <v>1</v>
      </c>
      <c r="S1785" t="s">
        <v>93</v>
      </c>
      <c r="U1785">
        <f t="shared" si="1214"/>
        <v>10</v>
      </c>
      <c r="V1785">
        <f t="shared" si="1215"/>
        <v>100</v>
      </c>
      <c r="W1785" s="28">
        <f t="shared" si="1216"/>
        <v>0.10773515475967828</v>
      </c>
      <c r="X1785" s="27">
        <f t="shared" si="1217"/>
        <v>0.10773515475967828</v>
      </c>
      <c r="Y1785" s="5">
        <f t="shared" si="1218"/>
        <v>6.6784826087061919</v>
      </c>
      <c r="Z1785" s="5">
        <f t="shared" si="1219"/>
        <v>6.0289524802118244</v>
      </c>
      <c r="AA1785" s="5">
        <f t="shared" si="1220"/>
        <v>-5751.6809556468825</v>
      </c>
      <c r="AB1785" t="s">
        <v>64</v>
      </c>
      <c r="AC1785" t="s">
        <v>62</v>
      </c>
      <c r="AD1785">
        <f t="shared" si="1221"/>
        <v>1</v>
      </c>
    </row>
    <row r="1786" spans="1:30" x14ac:dyDescent="0.35">
      <c r="A1786" t="s">
        <v>228</v>
      </c>
      <c r="B1786" t="s">
        <v>122</v>
      </c>
      <c r="C1786" s="36">
        <f t="shared" si="1209"/>
        <v>0.10617084372637371</v>
      </c>
      <c r="D1786" s="3">
        <f t="shared" si="1210"/>
        <v>0.10617084372637371</v>
      </c>
      <c r="F1786">
        <v>990</v>
      </c>
      <c r="G1786" t="s">
        <v>76</v>
      </c>
      <c r="H1786">
        <v>1000</v>
      </c>
      <c r="I1786" s="22"/>
      <c r="J1786">
        <v>11</v>
      </c>
      <c r="K1786" s="22"/>
      <c r="L1786">
        <v>10.681172887305699</v>
      </c>
      <c r="M1786" s="22">
        <v>0.1045</v>
      </c>
      <c r="N1786" s="21">
        <v>45128</v>
      </c>
      <c r="O1786" s="21">
        <v>48781</v>
      </c>
      <c r="P1786">
        <f t="shared" si="1211"/>
        <v>10</v>
      </c>
      <c r="Q1786" s="6">
        <f t="shared" si="1212"/>
        <v>0.10555555555555556</v>
      </c>
      <c r="R1786" s="5">
        <f t="shared" si="1213"/>
        <v>1</v>
      </c>
      <c r="S1786" t="s">
        <v>93</v>
      </c>
      <c r="U1786">
        <f t="shared" si="1214"/>
        <v>10</v>
      </c>
      <c r="V1786">
        <f t="shared" si="1215"/>
        <v>104.5</v>
      </c>
      <c r="W1786" s="28">
        <f t="shared" si="1216"/>
        <v>0.10617084372637371</v>
      </c>
      <c r="X1786" s="27">
        <f t="shared" si="1217"/>
        <v>0.10617084372637371</v>
      </c>
      <c r="Y1786" s="5">
        <f t="shared" si="1218"/>
        <v>6.6400181858952463</v>
      </c>
      <c r="Z1786" s="5">
        <f t="shared" si="1219"/>
        <v>6.0027058420080222</v>
      </c>
      <c r="AA1786" s="5">
        <f t="shared" si="1220"/>
        <v>-5942.6787835879422</v>
      </c>
      <c r="AB1786" t="s">
        <v>64</v>
      </c>
      <c r="AC1786" t="s">
        <v>62</v>
      </c>
      <c r="AD1786">
        <f t="shared" si="1221"/>
        <v>1</v>
      </c>
    </row>
    <row r="1787" spans="1:30" x14ac:dyDescent="0.35">
      <c r="A1787" t="s">
        <v>227</v>
      </c>
      <c r="B1787" t="s">
        <v>94</v>
      </c>
      <c r="C1787" s="36">
        <f t="shared" si="1209"/>
        <v>6.303337291649197E-2</v>
      </c>
      <c r="D1787" s="3">
        <f t="shared" si="1210"/>
        <v>6.303337291649197E-2</v>
      </c>
      <c r="F1787">
        <v>1089</v>
      </c>
      <c r="G1787" t="s">
        <v>76</v>
      </c>
      <c r="H1787">
        <v>1000</v>
      </c>
      <c r="I1787" s="22"/>
      <c r="J1787">
        <v>10</v>
      </c>
      <c r="K1787" s="22"/>
      <c r="L1787">
        <v>5.90100492148495</v>
      </c>
      <c r="M1787" s="22">
        <v>7.5300000000000006E-2</v>
      </c>
      <c r="N1787" s="21">
        <v>45139</v>
      </c>
      <c r="O1787" s="21">
        <v>48792</v>
      </c>
      <c r="P1787">
        <f t="shared" si="1211"/>
        <v>10</v>
      </c>
      <c r="Q1787" s="6">
        <f t="shared" si="1212"/>
        <v>6.9146005509641881E-2</v>
      </c>
      <c r="R1787" s="5">
        <f t="shared" si="1213"/>
        <v>1</v>
      </c>
      <c r="S1787" t="s">
        <v>93</v>
      </c>
      <c r="U1787">
        <f t="shared" si="1214"/>
        <v>10</v>
      </c>
      <c r="V1787">
        <f t="shared" si="1215"/>
        <v>75.300000000000011</v>
      </c>
      <c r="W1787" s="28">
        <f t="shared" si="1216"/>
        <v>6.303337291649197E-2</v>
      </c>
      <c r="X1787" s="27">
        <f t="shared" si="1217"/>
        <v>6.303337291649197E-2</v>
      </c>
      <c r="Y1787" s="5">
        <f t="shared" si="1218"/>
        <v>7.4909934575794193</v>
      </c>
      <c r="Z1787" s="5">
        <f t="shared" si="1219"/>
        <v>7.0468092991544156</v>
      </c>
      <c r="AA1787" s="5">
        <f t="shared" si="1220"/>
        <v>-7673.9753267791584</v>
      </c>
      <c r="AB1787" t="s">
        <v>64</v>
      </c>
      <c r="AC1787" t="s">
        <v>62</v>
      </c>
      <c r="AD1787">
        <f t="shared" si="1221"/>
        <v>1</v>
      </c>
    </row>
    <row r="1788" spans="1:30" x14ac:dyDescent="0.35">
      <c r="A1788" t="s">
        <v>226</v>
      </c>
      <c r="B1788" t="s">
        <v>225</v>
      </c>
      <c r="C1788" s="36">
        <f t="shared" si="1209"/>
        <v>9.6100289565223249E-2</v>
      </c>
      <c r="D1788" s="3">
        <f t="shared" si="1210"/>
        <v>9.6100289565223249E-2</v>
      </c>
      <c r="F1788">
        <v>99000</v>
      </c>
      <c r="G1788" t="s">
        <v>76</v>
      </c>
      <c r="H1788">
        <v>100000</v>
      </c>
      <c r="I1788" s="22"/>
      <c r="J1788">
        <v>2</v>
      </c>
      <c r="K1788" s="22"/>
      <c r="L1788">
        <v>9.6594226656050406</v>
      </c>
      <c r="M1788" s="22">
        <v>9.4499999999999987E-2</v>
      </c>
      <c r="N1788" s="21">
        <v>45161</v>
      </c>
      <c r="O1788" s="21">
        <v>48814</v>
      </c>
      <c r="P1788">
        <f t="shared" si="1211"/>
        <v>10</v>
      </c>
      <c r="Q1788" s="6">
        <f t="shared" si="1212"/>
        <v>9.5454545454545431E-2</v>
      </c>
      <c r="R1788" s="5">
        <f t="shared" si="1213"/>
        <v>1</v>
      </c>
      <c r="S1788" t="s">
        <v>93</v>
      </c>
      <c r="U1788">
        <f t="shared" si="1214"/>
        <v>10</v>
      </c>
      <c r="V1788">
        <f t="shared" si="1215"/>
        <v>9449.9999999999982</v>
      </c>
      <c r="W1788" s="28">
        <f t="shared" si="1216"/>
        <v>9.6100289565223249E-2</v>
      </c>
      <c r="X1788" s="27">
        <f t="shared" si="1217"/>
        <v>9.6100289565223249E-2</v>
      </c>
      <c r="Y1788" s="5">
        <f t="shared" si="1218"/>
        <v>6.8705577036632972</v>
      </c>
      <c r="Z1788" s="5">
        <f t="shared" si="1219"/>
        <v>6.2681834582751161</v>
      </c>
      <c r="AA1788" s="5">
        <f t="shared" si="1220"/>
        <v>-620550.16236923647</v>
      </c>
      <c r="AB1788" t="s">
        <v>64</v>
      </c>
      <c r="AC1788" t="s">
        <v>62</v>
      </c>
      <c r="AD1788">
        <f t="shared" si="1221"/>
        <v>1</v>
      </c>
    </row>
    <row r="1789" spans="1:30" x14ac:dyDescent="0.35">
      <c r="A1789" t="s">
        <v>224</v>
      </c>
      <c r="B1789" t="s">
        <v>119</v>
      </c>
      <c r="C1789" s="36">
        <f t="shared" si="1209"/>
        <v>0.10786569362295423</v>
      </c>
      <c r="D1789" s="3">
        <f t="shared" si="1210"/>
        <v>0.10786569362295423</v>
      </c>
      <c r="F1789">
        <v>980</v>
      </c>
      <c r="G1789" t="s">
        <v>76</v>
      </c>
      <c r="H1789">
        <v>1000</v>
      </c>
      <c r="I1789" s="22"/>
      <c r="J1789">
        <v>10</v>
      </c>
      <c r="K1789" s="22"/>
      <c r="L1789">
        <v>10.9055085448813</v>
      </c>
      <c r="M1789" s="22">
        <v>0.1045</v>
      </c>
      <c r="N1789" s="21">
        <v>45184</v>
      </c>
      <c r="O1789" s="21">
        <v>48837</v>
      </c>
      <c r="P1789">
        <f t="shared" si="1211"/>
        <v>10</v>
      </c>
      <c r="Q1789" s="6">
        <f t="shared" si="1212"/>
        <v>0.10663265306122449</v>
      </c>
      <c r="R1789" s="5">
        <f t="shared" si="1213"/>
        <v>1</v>
      </c>
      <c r="S1789" t="s">
        <v>93</v>
      </c>
      <c r="U1789">
        <f t="shared" si="1214"/>
        <v>10</v>
      </c>
      <c r="V1789">
        <f t="shared" si="1215"/>
        <v>104.5</v>
      </c>
      <c r="W1789" s="28">
        <f t="shared" si="1216"/>
        <v>0.10786569362295423</v>
      </c>
      <c r="X1789" s="27">
        <f t="shared" si="1217"/>
        <v>0.10786569362295423</v>
      </c>
      <c r="Y1789" s="5">
        <f t="shared" si="1218"/>
        <v>6.6223404533281869</v>
      </c>
      <c r="Z1789" s="5">
        <f t="shared" si="1219"/>
        <v>5.9775661359020313</v>
      </c>
      <c r="AA1789" s="5">
        <f t="shared" si="1220"/>
        <v>-5858.0148131839906</v>
      </c>
      <c r="AB1789" t="s">
        <v>64</v>
      </c>
      <c r="AC1789" t="s">
        <v>62</v>
      </c>
      <c r="AD1789">
        <f t="shared" si="1221"/>
        <v>1</v>
      </c>
    </row>
    <row r="1790" spans="1:30" x14ac:dyDescent="0.35">
      <c r="A1790" t="s">
        <v>223</v>
      </c>
      <c r="B1790" t="s">
        <v>119</v>
      </c>
      <c r="C1790" s="36">
        <f t="shared" si="1209"/>
        <v>9.9999999999999992E-2</v>
      </c>
      <c r="D1790" s="3">
        <f t="shared" si="1210"/>
        <v>9.9999999999999992E-2</v>
      </c>
      <c r="F1790">
        <v>1000</v>
      </c>
      <c r="G1790" t="s">
        <v>76</v>
      </c>
      <c r="H1790">
        <v>1000</v>
      </c>
      <c r="I1790" s="22"/>
      <c r="J1790">
        <v>4</v>
      </c>
      <c r="K1790" s="22"/>
      <c r="L1790">
        <v>10</v>
      </c>
      <c r="M1790" s="22">
        <v>0.1</v>
      </c>
      <c r="N1790" s="21">
        <v>45184</v>
      </c>
      <c r="O1790" s="21">
        <v>48837</v>
      </c>
      <c r="P1790">
        <f t="shared" si="1211"/>
        <v>10</v>
      </c>
      <c r="Q1790" s="6">
        <f t="shared" si="1212"/>
        <v>0.1</v>
      </c>
      <c r="R1790" s="5">
        <f t="shared" si="1213"/>
        <v>1</v>
      </c>
      <c r="S1790" t="s">
        <v>93</v>
      </c>
      <c r="U1790">
        <f t="shared" si="1214"/>
        <v>10</v>
      </c>
      <c r="V1790">
        <f t="shared" si="1215"/>
        <v>100</v>
      </c>
      <c r="W1790" s="28">
        <f t="shared" si="1216"/>
        <v>9.9999999999999992E-2</v>
      </c>
      <c r="X1790" s="27">
        <f t="shared" si="1217"/>
        <v>9.9999999999999992E-2</v>
      </c>
      <c r="Y1790" s="5">
        <f t="shared" si="1218"/>
        <v>6.7590238162751497</v>
      </c>
      <c r="Z1790" s="5">
        <f t="shared" si="1219"/>
        <v>6.1445671057046809</v>
      </c>
      <c r="AA1790" s="5">
        <f t="shared" si="1220"/>
        <v>-6144.5671057046811</v>
      </c>
      <c r="AB1790" t="s">
        <v>64</v>
      </c>
      <c r="AC1790" t="s">
        <v>62</v>
      </c>
      <c r="AD1790">
        <f t="shared" si="1221"/>
        <v>1</v>
      </c>
    </row>
    <row r="1791" spans="1:30" x14ac:dyDescent="0.35">
      <c r="A1791" t="s">
        <v>222</v>
      </c>
      <c r="B1791" t="s">
        <v>101</v>
      </c>
      <c r="C1791" s="36">
        <f t="shared" si="1209"/>
        <v>5.5201455699548735E-2</v>
      </c>
      <c r="D1791" s="3">
        <f t="shared" si="1210"/>
        <v>5.5201455699548735E-2</v>
      </c>
      <c r="F1791">
        <v>1340</v>
      </c>
      <c r="G1791" t="s">
        <v>76</v>
      </c>
      <c r="H1791">
        <v>1000</v>
      </c>
      <c r="I1791" s="22"/>
      <c r="J1791">
        <v>3</v>
      </c>
      <c r="K1791" s="22"/>
      <c r="L1791">
        <v>3.1816776475004098</v>
      </c>
      <c r="M1791" s="22">
        <v>8.3699999999999997E-2</v>
      </c>
      <c r="N1791" s="21">
        <v>41541</v>
      </c>
      <c r="O1791" s="21">
        <v>48846</v>
      </c>
      <c r="P1791">
        <f t="shared" si="1211"/>
        <v>20</v>
      </c>
      <c r="Q1791" s="6">
        <f t="shared" si="1212"/>
        <v>6.246268656716418E-2</v>
      </c>
      <c r="R1791" s="5">
        <f t="shared" si="1213"/>
        <v>1</v>
      </c>
      <c r="S1791" t="s">
        <v>93</v>
      </c>
      <c r="U1791">
        <f t="shared" si="1214"/>
        <v>20</v>
      </c>
      <c r="V1791">
        <f t="shared" si="1215"/>
        <v>83.7</v>
      </c>
      <c r="W1791" s="28">
        <f t="shared" si="1216"/>
        <v>5.5201455699548735E-2</v>
      </c>
      <c r="X1791" s="27">
        <f t="shared" si="1217"/>
        <v>5.5201455699548735E-2</v>
      </c>
      <c r="Y1791" s="5">
        <f t="shared" si="1218"/>
        <v>11.614165581485675</v>
      </c>
      <c r="Z1791" s="5">
        <f t="shared" si="1219"/>
        <v>11.006586011375459</v>
      </c>
      <c r="AA1791" s="5">
        <f t="shared" si="1220"/>
        <v>-14748.825255243115</v>
      </c>
      <c r="AB1791" t="s">
        <v>64</v>
      </c>
      <c r="AC1791" t="s">
        <v>62</v>
      </c>
      <c r="AD1791">
        <f t="shared" si="1221"/>
        <v>1</v>
      </c>
    </row>
    <row r="1792" spans="1:30" x14ac:dyDescent="0.35">
      <c r="A1792" t="s">
        <v>221</v>
      </c>
      <c r="B1792" t="s">
        <v>101</v>
      </c>
      <c r="C1792" s="36">
        <f t="shared" si="1209"/>
        <v>6.1860802283402461E-2</v>
      </c>
      <c r="D1792" s="3">
        <f t="shared" si="1210"/>
        <v>6.1860802283402461E-2</v>
      </c>
      <c r="F1792">
        <v>1275</v>
      </c>
      <c r="G1792" t="s">
        <v>76</v>
      </c>
      <c r="H1792">
        <v>1000</v>
      </c>
      <c r="I1792" s="22"/>
      <c r="J1792">
        <v>54</v>
      </c>
      <c r="K1792" s="22"/>
      <c r="L1792">
        <v>4.1374757433796496</v>
      </c>
      <c r="M1792" s="22">
        <v>8.6199999999999999E-2</v>
      </c>
      <c r="N1792" s="21">
        <v>41541</v>
      </c>
      <c r="O1792" s="21">
        <v>48846</v>
      </c>
      <c r="P1792">
        <f t="shared" si="1211"/>
        <v>20</v>
      </c>
      <c r="Q1792" s="6">
        <f t="shared" si="1212"/>
        <v>6.7607843137254903E-2</v>
      </c>
      <c r="R1792" s="5">
        <f t="shared" si="1213"/>
        <v>1</v>
      </c>
      <c r="S1792" t="s">
        <v>93</v>
      </c>
      <c r="U1792">
        <f t="shared" si="1214"/>
        <v>20</v>
      </c>
      <c r="V1792">
        <f t="shared" si="1215"/>
        <v>86.2</v>
      </c>
      <c r="W1792" s="28">
        <f t="shared" si="1216"/>
        <v>6.1860802283402461E-2</v>
      </c>
      <c r="X1792" s="27">
        <f t="shared" si="1217"/>
        <v>6.1860802283402461E-2</v>
      </c>
      <c r="Y1792" s="5">
        <f t="shared" si="1218"/>
        <v>11.254144065946281</v>
      </c>
      <c r="Z1792" s="5">
        <f t="shared" si="1219"/>
        <v>10.598511633300348</v>
      </c>
      <c r="AA1792" s="5">
        <f t="shared" si="1220"/>
        <v>-13513.102332457944</v>
      </c>
      <c r="AB1792" t="s">
        <v>64</v>
      </c>
      <c r="AC1792" t="s">
        <v>62</v>
      </c>
      <c r="AD1792">
        <f t="shared" si="1221"/>
        <v>1</v>
      </c>
    </row>
    <row r="1793" spans="1:30" x14ac:dyDescent="0.35">
      <c r="A1793" t="s">
        <v>220</v>
      </c>
      <c r="B1793" t="s">
        <v>128</v>
      </c>
      <c r="C1793" s="36">
        <f t="shared" si="1209"/>
        <v>0.12081830620722253</v>
      </c>
      <c r="D1793" s="3">
        <f t="shared" si="1210"/>
        <v>0.12081830620722253</v>
      </c>
      <c r="F1793">
        <v>925</v>
      </c>
      <c r="G1793" t="s">
        <v>76</v>
      </c>
      <c r="H1793">
        <v>1000</v>
      </c>
      <c r="I1793" s="22"/>
      <c r="J1793">
        <v>100</v>
      </c>
      <c r="K1793" s="22"/>
      <c r="L1793">
        <v>12.5599410444052</v>
      </c>
      <c r="M1793" s="22">
        <v>0.1075</v>
      </c>
      <c r="N1793" s="21">
        <v>45195</v>
      </c>
      <c r="O1793" s="21">
        <v>48848</v>
      </c>
      <c r="P1793">
        <f t="shared" si="1211"/>
        <v>10</v>
      </c>
      <c r="Q1793" s="6">
        <f t="shared" si="1212"/>
        <v>0.11621621621621622</v>
      </c>
      <c r="R1793" s="5">
        <f t="shared" si="1213"/>
        <v>1</v>
      </c>
      <c r="S1793" t="s">
        <v>93</v>
      </c>
      <c r="U1793">
        <f t="shared" si="1214"/>
        <v>10</v>
      </c>
      <c r="V1793">
        <f t="shared" si="1215"/>
        <v>107.5</v>
      </c>
      <c r="W1793" s="28">
        <f t="shared" si="1216"/>
        <v>0.12081830620722253</v>
      </c>
      <c r="X1793" s="27">
        <f t="shared" si="1217"/>
        <v>0.12081830620722253</v>
      </c>
      <c r="Y1793" s="5">
        <f t="shared" si="1218"/>
        <v>6.4522068980055698</v>
      </c>
      <c r="Z1793" s="5">
        <f t="shared" si="1219"/>
        <v>5.7566930003484913</v>
      </c>
      <c r="AA1793" s="5">
        <f t="shared" si="1220"/>
        <v>-5324.9410253223541</v>
      </c>
      <c r="AB1793" t="s">
        <v>64</v>
      </c>
      <c r="AC1793" t="s">
        <v>62</v>
      </c>
      <c r="AD1793">
        <f t="shared" si="1221"/>
        <v>1</v>
      </c>
    </row>
    <row r="1794" spans="1:30" x14ac:dyDescent="0.35">
      <c r="A1794" t="s">
        <v>219</v>
      </c>
      <c r="B1794" t="s">
        <v>128</v>
      </c>
      <c r="C1794" s="36">
        <f t="shared" si="1209"/>
        <v>0.12025211905681275</v>
      </c>
      <c r="D1794" s="3">
        <f t="shared" si="1210"/>
        <v>0.12025211905681275</v>
      </c>
      <c r="F1794">
        <v>899.8</v>
      </c>
      <c r="G1794" t="s">
        <v>76</v>
      </c>
      <c r="H1794">
        <v>1000</v>
      </c>
      <c r="I1794" s="22"/>
      <c r="J1794">
        <v>9</v>
      </c>
      <c r="K1794" s="22"/>
      <c r="L1794">
        <v>12.749899561756401</v>
      </c>
      <c r="M1794" s="22">
        <v>0.10249999999999999</v>
      </c>
      <c r="N1794" s="21">
        <v>45195</v>
      </c>
      <c r="O1794" s="21">
        <v>48848</v>
      </c>
      <c r="P1794">
        <f t="shared" si="1211"/>
        <v>10</v>
      </c>
      <c r="Q1794" s="6">
        <f t="shared" si="1212"/>
        <v>0.11391420315625696</v>
      </c>
      <c r="R1794" s="5">
        <f t="shared" si="1213"/>
        <v>1</v>
      </c>
      <c r="S1794" t="s">
        <v>93</v>
      </c>
      <c r="U1794">
        <f t="shared" si="1214"/>
        <v>10</v>
      </c>
      <c r="V1794">
        <f t="shared" si="1215"/>
        <v>102.5</v>
      </c>
      <c r="W1794" s="28">
        <f t="shared" si="1216"/>
        <v>0.12025211905681275</v>
      </c>
      <c r="X1794" s="27">
        <f t="shared" si="1217"/>
        <v>0.12025211905681275</v>
      </c>
      <c r="Y1794" s="5">
        <f t="shared" si="1218"/>
        <v>6.5169366043812236</v>
      </c>
      <c r="Z1794" s="5">
        <f t="shared" si="1219"/>
        <v>5.8173838670067468</v>
      </c>
      <c r="AA1794" s="5">
        <f t="shared" si="1220"/>
        <v>-5234.4820035326702</v>
      </c>
      <c r="AB1794" t="s">
        <v>64</v>
      </c>
      <c r="AC1794" t="s">
        <v>62</v>
      </c>
      <c r="AD1794">
        <f t="shared" si="1221"/>
        <v>1</v>
      </c>
    </row>
    <row r="1795" spans="1:30" x14ac:dyDescent="0.35">
      <c r="A1795" t="s">
        <v>218</v>
      </c>
      <c r="B1795" t="s">
        <v>216</v>
      </c>
      <c r="C1795" s="36">
        <f t="shared" si="1209"/>
        <v>7.1157883827337814E-2</v>
      </c>
      <c r="D1795" s="3">
        <f t="shared" si="1210"/>
        <v>7.1157883827337814E-2</v>
      </c>
      <c r="F1795">
        <v>1047.8</v>
      </c>
      <c r="G1795" t="s">
        <v>76</v>
      </c>
      <c r="H1795">
        <v>1000</v>
      </c>
      <c r="I1795" s="22"/>
      <c r="J1795">
        <v>1</v>
      </c>
      <c r="K1795" s="22"/>
      <c r="L1795">
        <v>6.8895025636023703</v>
      </c>
      <c r="M1795" s="22">
        <v>7.8E-2</v>
      </c>
      <c r="N1795" s="21">
        <v>45208</v>
      </c>
      <c r="O1795" s="21">
        <v>48861</v>
      </c>
      <c r="P1795">
        <f t="shared" si="1211"/>
        <v>10</v>
      </c>
      <c r="Q1795" s="6">
        <f t="shared" si="1212"/>
        <v>7.444168734491316E-2</v>
      </c>
      <c r="R1795" s="5">
        <f t="shared" si="1213"/>
        <v>1</v>
      </c>
      <c r="S1795" t="s">
        <v>93</v>
      </c>
      <c r="U1795">
        <f t="shared" si="1214"/>
        <v>10</v>
      </c>
      <c r="V1795">
        <f t="shared" si="1215"/>
        <v>78</v>
      </c>
      <c r="W1795" s="28">
        <f t="shared" si="1216"/>
        <v>7.1157883827337814E-2</v>
      </c>
      <c r="X1795" s="27">
        <f t="shared" si="1217"/>
        <v>7.1157883827337814E-2</v>
      </c>
      <c r="Y1795" s="5">
        <f t="shared" si="1218"/>
        <v>7.3671190687308306</v>
      </c>
      <c r="Z1795" s="5">
        <f t="shared" si="1219"/>
        <v>6.8777153956123538</v>
      </c>
      <c r="AA1795" s="5">
        <f t="shared" si="1220"/>
        <v>-7206.4701915226242</v>
      </c>
      <c r="AB1795" t="s">
        <v>64</v>
      </c>
      <c r="AC1795" t="s">
        <v>62</v>
      </c>
      <c r="AD1795">
        <f t="shared" si="1221"/>
        <v>1</v>
      </c>
    </row>
    <row r="1796" spans="1:30" x14ac:dyDescent="0.35">
      <c r="A1796" t="s">
        <v>217</v>
      </c>
      <c r="B1796" t="s">
        <v>216</v>
      </c>
      <c r="C1796" s="36">
        <f t="shared" ref="C1796:C1859" si="1222">RATE(U1796,V1796,-F1796,H1796)</f>
        <v>7.1673732124587025E-2</v>
      </c>
      <c r="D1796" s="3">
        <f t="shared" ref="D1796:D1859" si="1223">C1796*AD1796</f>
        <v>7.1673732124587025E-2</v>
      </c>
      <c r="F1796">
        <v>1065</v>
      </c>
      <c r="G1796" t="s">
        <v>76</v>
      </c>
      <c r="H1796">
        <v>1000</v>
      </c>
      <c r="I1796" s="22"/>
      <c r="J1796">
        <v>100</v>
      </c>
      <c r="K1796" s="22"/>
      <c r="L1796">
        <v>6.8643028442423804</v>
      </c>
      <c r="M1796" s="22">
        <v>8.1000000000000003E-2</v>
      </c>
      <c r="N1796" s="21">
        <v>45208</v>
      </c>
      <c r="O1796" s="21">
        <v>48861</v>
      </c>
      <c r="P1796">
        <f t="shared" ref="P1796:P1827" si="1224">ROUND(YEARFRAC(N1796,O1796),0)</f>
        <v>10</v>
      </c>
      <c r="Q1796" s="6">
        <f t="shared" ref="Q1796:Q1827" si="1225">(M1796*H1796)/F1796</f>
        <v>7.605633802816901E-2</v>
      </c>
      <c r="R1796" s="5">
        <f t="shared" ref="R1796:R1827" si="1226">IF(S1796="Quarterly",4,IF(S1796="Semi-annual",2,IF(S1796="Annual",1,IF(S1796="Pays at maturity",0,12))))</f>
        <v>1</v>
      </c>
      <c r="S1796" t="s">
        <v>93</v>
      </c>
      <c r="U1796">
        <f t="shared" ref="U1796:U1827" si="1227">R1796*P1796</f>
        <v>10</v>
      </c>
      <c r="V1796">
        <f t="shared" ref="V1796:V1827" si="1228">(H1796*M1796)/AD1796</f>
        <v>81</v>
      </c>
      <c r="W1796" s="28">
        <f t="shared" ref="W1796:W1827" si="1229">RATE(U1796,V1796,-F1796,H1796)</f>
        <v>7.1673732124587025E-2</v>
      </c>
      <c r="X1796" s="27">
        <f t="shared" ref="X1796:X1827" si="1230">W1796*AD1796</f>
        <v>7.1673732124587025E-2</v>
      </c>
      <c r="Y1796" s="5">
        <f t="shared" ref="Y1796:Y1859" si="1231">DURATION(N1796,O1796,M1796,D1796,AD1796)</f>
        <v>7.3143400790323527</v>
      </c>
      <c r="Z1796" s="5">
        <f t="shared" ref="Z1796:Z1859" si="1232">Y1796/(1+C1796)</f>
        <v>6.8251556978369852</v>
      </c>
      <c r="AA1796" s="5">
        <f t="shared" ref="AA1796:AA1859" si="1233">-Z1796*F1796</f>
        <v>-7268.7908181963894</v>
      </c>
      <c r="AB1796" t="s">
        <v>64</v>
      </c>
      <c r="AC1796" t="s">
        <v>62</v>
      </c>
      <c r="AD1796">
        <f t="shared" ref="AD1796:AD1827" si="1234">_xlfn.SWITCH(PROPER(TRIM(S1796)),
   "Annual",1,
   "Semi-Annual",2,
   "Quarterly",4,
   "Monthly",12,
   "")</f>
        <v>1</v>
      </c>
    </row>
    <row r="1797" spans="1:30" x14ac:dyDescent="0.35">
      <c r="A1797" t="s">
        <v>215</v>
      </c>
      <c r="B1797" t="s">
        <v>122</v>
      </c>
      <c r="C1797" s="36">
        <f t="shared" si="1222"/>
        <v>0.1041355747382738</v>
      </c>
      <c r="D1797" s="3">
        <f t="shared" si="1223"/>
        <v>0.1041355747382738</v>
      </c>
      <c r="F1797">
        <v>1002.2</v>
      </c>
      <c r="G1797" t="s">
        <v>76</v>
      </c>
      <c r="H1797">
        <v>1000</v>
      </c>
      <c r="I1797" s="22"/>
      <c r="J1797">
        <v>10</v>
      </c>
      <c r="K1797" s="22"/>
      <c r="L1797">
        <v>10.4005118494117</v>
      </c>
      <c r="M1797" s="22">
        <v>0.1045</v>
      </c>
      <c r="N1797" s="21">
        <v>45225</v>
      </c>
      <c r="O1797" s="21">
        <v>48878</v>
      </c>
      <c r="P1797">
        <f t="shared" si="1224"/>
        <v>10</v>
      </c>
      <c r="Q1797" s="6">
        <f t="shared" si="1225"/>
        <v>0.1042706046697266</v>
      </c>
      <c r="R1797" s="5">
        <f t="shared" si="1226"/>
        <v>1</v>
      </c>
      <c r="S1797" t="s">
        <v>93</v>
      </c>
      <c r="U1797">
        <f t="shared" si="1227"/>
        <v>10</v>
      </c>
      <c r="V1797">
        <f t="shared" si="1228"/>
        <v>104.5</v>
      </c>
      <c r="W1797" s="28">
        <f t="shared" si="1229"/>
        <v>0.1041355747382738</v>
      </c>
      <c r="X1797" s="27">
        <f t="shared" si="1230"/>
        <v>0.1041355747382738</v>
      </c>
      <c r="Y1797" s="5">
        <f t="shared" si="1231"/>
        <v>6.6612358136316114</v>
      </c>
      <c r="Z1797" s="5">
        <f t="shared" si="1232"/>
        <v>6.0329872218912994</v>
      </c>
      <c r="AA1797" s="5">
        <f t="shared" si="1233"/>
        <v>-6046.2597937794608</v>
      </c>
      <c r="AB1797" t="s">
        <v>64</v>
      </c>
      <c r="AC1797" t="s">
        <v>62</v>
      </c>
      <c r="AD1797">
        <f t="shared" si="1234"/>
        <v>1</v>
      </c>
    </row>
    <row r="1798" spans="1:30" x14ac:dyDescent="0.35">
      <c r="A1798" t="s">
        <v>214</v>
      </c>
      <c r="B1798" t="s">
        <v>122</v>
      </c>
      <c r="C1798" s="36">
        <f t="shared" si="1222"/>
        <v>0.10180409705617705</v>
      </c>
      <c r="D1798" s="3">
        <f t="shared" si="1223"/>
        <v>0.10180409705617705</v>
      </c>
      <c r="F1798">
        <v>989</v>
      </c>
      <c r="G1798" t="s">
        <v>76</v>
      </c>
      <c r="H1798">
        <v>1000</v>
      </c>
      <c r="I1798" s="22"/>
      <c r="J1798">
        <v>50</v>
      </c>
      <c r="K1798" s="22"/>
      <c r="L1798">
        <v>10.2457828288837</v>
      </c>
      <c r="M1798" s="22">
        <v>0.1</v>
      </c>
      <c r="N1798" s="21">
        <v>45225</v>
      </c>
      <c r="O1798" s="21">
        <v>48878</v>
      </c>
      <c r="P1798">
        <f t="shared" si="1224"/>
        <v>10</v>
      </c>
      <c r="Q1798" s="6">
        <f t="shared" si="1225"/>
        <v>0.10111223458038422</v>
      </c>
      <c r="R1798" s="5">
        <f t="shared" si="1226"/>
        <v>1</v>
      </c>
      <c r="S1798" t="s">
        <v>93</v>
      </c>
      <c r="U1798">
        <f t="shared" si="1227"/>
        <v>10</v>
      </c>
      <c r="V1798">
        <f t="shared" si="1228"/>
        <v>100</v>
      </c>
      <c r="W1798" s="28">
        <f t="shared" si="1229"/>
        <v>0.10180409705617705</v>
      </c>
      <c r="X1798" s="27">
        <f t="shared" si="1230"/>
        <v>0.10180409705617705</v>
      </c>
      <c r="Y1798" s="5">
        <f t="shared" si="1231"/>
        <v>6.7402610637859199</v>
      </c>
      <c r="Z1798" s="5">
        <f t="shared" si="1232"/>
        <v>6.1174768561804118</v>
      </c>
      <c r="AA1798" s="5">
        <f t="shared" si="1233"/>
        <v>-6050.1846107624269</v>
      </c>
      <c r="AB1798" t="s">
        <v>64</v>
      </c>
      <c r="AC1798" t="s">
        <v>62</v>
      </c>
      <c r="AD1798">
        <f t="shared" si="1234"/>
        <v>1</v>
      </c>
    </row>
    <row r="1799" spans="1:30" x14ac:dyDescent="0.35">
      <c r="A1799" t="s">
        <v>213</v>
      </c>
      <c r="B1799" t="s">
        <v>211</v>
      </c>
      <c r="C1799" s="36">
        <f t="shared" si="1222"/>
        <v>6.4382362958764247E-2</v>
      </c>
      <c r="D1799" s="3">
        <f t="shared" si="1223"/>
        <v>6.4382362958764247E-2</v>
      </c>
      <c r="F1799">
        <v>1274.8</v>
      </c>
      <c r="G1799" t="s">
        <v>76</v>
      </c>
      <c r="H1799">
        <v>1000</v>
      </c>
      <c r="I1799" s="22"/>
      <c r="J1799">
        <v>25</v>
      </c>
      <c r="K1799" s="22"/>
      <c r="L1799">
        <v>4.39530508364835</v>
      </c>
      <c r="M1799" s="22">
        <v>8.9200000000000002E-2</v>
      </c>
      <c r="N1799" s="21">
        <v>41580</v>
      </c>
      <c r="O1799" s="21">
        <v>48885</v>
      </c>
      <c r="P1799">
        <f t="shared" si="1224"/>
        <v>20</v>
      </c>
      <c r="Q1799" s="6">
        <f t="shared" si="1225"/>
        <v>6.9971760276121744E-2</v>
      </c>
      <c r="R1799" s="5">
        <f t="shared" si="1226"/>
        <v>1</v>
      </c>
      <c r="S1799" t="s">
        <v>93</v>
      </c>
      <c r="U1799">
        <f t="shared" si="1227"/>
        <v>20</v>
      </c>
      <c r="V1799">
        <f t="shared" si="1228"/>
        <v>89.2</v>
      </c>
      <c r="W1799" s="28">
        <f t="shared" si="1229"/>
        <v>6.4382362958764247E-2</v>
      </c>
      <c r="X1799" s="27">
        <f t="shared" si="1230"/>
        <v>6.4382362958764247E-2</v>
      </c>
      <c r="Y1799" s="5">
        <f t="shared" si="1231"/>
        <v>11.072528456287953</v>
      </c>
      <c r="Z1799" s="5">
        <f t="shared" si="1232"/>
        <v>10.402773328100439</v>
      </c>
      <c r="AA1799" s="5">
        <f t="shared" si="1233"/>
        <v>-13261.455438662439</v>
      </c>
      <c r="AB1799" t="s">
        <v>64</v>
      </c>
      <c r="AC1799" t="s">
        <v>62</v>
      </c>
      <c r="AD1799">
        <f t="shared" si="1234"/>
        <v>1</v>
      </c>
    </row>
    <row r="1800" spans="1:30" x14ac:dyDescent="0.35">
      <c r="A1800" t="s">
        <v>212</v>
      </c>
      <c r="B1800" t="s">
        <v>211</v>
      </c>
      <c r="C1800" s="36">
        <f t="shared" si="1222"/>
        <v>5.3644287418945877E-2</v>
      </c>
      <c r="D1800" s="3">
        <f t="shared" si="1223"/>
        <v>5.3644287418945877E-2</v>
      </c>
      <c r="F1800">
        <v>1399.51</v>
      </c>
      <c r="G1800" t="s">
        <v>76</v>
      </c>
      <c r="H1800">
        <v>1000</v>
      </c>
      <c r="I1800" s="22"/>
      <c r="J1800">
        <v>109</v>
      </c>
      <c r="K1800" s="22"/>
      <c r="L1800">
        <v>2.7494423218194401</v>
      </c>
      <c r="M1800" s="22">
        <v>8.6699999999999999E-2</v>
      </c>
      <c r="N1800" s="21">
        <v>41580</v>
      </c>
      <c r="O1800" s="21">
        <v>48885</v>
      </c>
      <c r="P1800">
        <f t="shared" si="1224"/>
        <v>20</v>
      </c>
      <c r="Q1800" s="6">
        <f t="shared" si="1225"/>
        <v>6.195025401747755E-2</v>
      </c>
      <c r="R1800" s="5">
        <f t="shared" si="1226"/>
        <v>1</v>
      </c>
      <c r="S1800" t="s">
        <v>93</v>
      </c>
      <c r="U1800">
        <f t="shared" si="1227"/>
        <v>20</v>
      </c>
      <c r="V1800">
        <f t="shared" si="1228"/>
        <v>86.7</v>
      </c>
      <c r="W1800" s="28">
        <f t="shared" si="1229"/>
        <v>5.3644287418945877E-2</v>
      </c>
      <c r="X1800" s="27">
        <f t="shared" si="1230"/>
        <v>5.3644287418945877E-2</v>
      </c>
      <c r="Y1800" s="5">
        <f t="shared" si="1231"/>
        <v>11.609324052774483</v>
      </c>
      <c r="Z1800" s="5">
        <f t="shared" si="1232"/>
        <v>11.018257481576825</v>
      </c>
      <c r="AA1800" s="5">
        <f t="shared" si="1233"/>
        <v>-15420.161528041583</v>
      </c>
      <c r="AB1800" t="s">
        <v>64</v>
      </c>
      <c r="AC1800" t="s">
        <v>62</v>
      </c>
      <c r="AD1800">
        <f t="shared" si="1234"/>
        <v>1</v>
      </c>
    </row>
    <row r="1801" spans="1:30" x14ac:dyDescent="0.35">
      <c r="A1801" t="s">
        <v>210</v>
      </c>
      <c r="B1801" t="s">
        <v>209</v>
      </c>
      <c r="C1801" s="36">
        <f t="shared" si="1222"/>
        <v>8.149701411232832E-2</v>
      </c>
      <c r="D1801" s="3">
        <f t="shared" si="1223"/>
        <v>8.149701411232832E-2</v>
      </c>
      <c r="F1801">
        <v>1080</v>
      </c>
      <c r="G1801" t="s">
        <v>76</v>
      </c>
      <c r="H1801">
        <v>1000</v>
      </c>
      <c r="I1801" s="22"/>
      <c r="J1801">
        <v>50</v>
      </c>
      <c r="K1801" s="22"/>
      <c r="L1801">
        <v>7.7636210590756001</v>
      </c>
      <c r="M1801" s="22">
        <v>9.35E-2</v>
      </c>
      <c r="N1801" s="21">
        <v>45233</v>
      </c>
      <c r="O1801" s="21">
        <v>48886</v>
      </c>
      <c r="P1801">
        <f t="shared" si="1224"/>
        <v>10</v>
      </c>
      <c r="Q1801" s="6">
        <f t="shared" si="1225"/>
        <v>8.6574074074074067E-2</v>
      </c>
      <c r="R1801" s="5">
        <f t="shared" si="1226"/>
        <v>1</v>
      </c>
      <c r="S1801" t="s">
        <v>93</v>
      </c>
      <c r="U1801">
        <f t="shared" si="1227"/>
        <v>10</v>
      </c>
      <c r="V1801">
        <f t="shared" si="1228"/>
        <v>93.5</v>
      </c>
      <c r="W1801" s="28">
        <f t="shared" si="1229"/>
        <v>8.149701411232832E-2</v>
      </c>
      <c r="X1801" s="27">
        <f t="shared" si="1230"/>
        <v>8.149701411232832E-2</v>
      </c>
      <c r="Y1801" s="5">
        <f t="shared" si="1231"/>
        <v>7.0342635338991188</v>
      </c>
      <c r="Z1801" s="5">
        <f t="shared" si="1232"/>
        <v>6.5041913589310321</v>
      </c>
      <c r="AA1801" s="5">
        <f t="shared" si="1233"/>
        <v>-7024.5266676455149</v>
      </c>
      <c r="AB1801" t="s">
        <v>64</v>
      </c>
      <c r="AC1801" t="s">
        <v>62</v>
      </c>
      <c r="AD1801">
        <f t="shared" si="1234"/>
        <v>1</v>
      </c>
    </row>
    <row r="1802" spans="1:30" x14ac:dyDescent="0.35">
      <c r="A1802" t="s">
        <v>208</v>
      </c>
      <c r="B1802" t="s">
        <v>128</v>
      </c>
      <c r="C1802" s="36">
        <f t="shared" si="1222"/>
        <v>0.12213902988015428</v>
      </c>
      <c r="D1802" s="3">
        <f t="shared" si="1223"/>
        <v>0.12213902988015428</v>
      </c>
      <c r="F1802">
        <v>890</v>
      </c>
      <c r="G1802" t="s">
        <v>76</v>
      </c>
      <c r="H1802">
        <v>1000</v>
      </c>
      <c r="I1802" s="22"/>
      <c r="J1802">
        <v>83</v>
      </c>
      <c r="K1802" s="22"/>
      <c r="L1802">
        <v>13.004728587945801</v>
      </c>
      <c r="M1802" s="22">
        <v>0.10249999999999999</v>
      </c>
      <c r="N1802" s="21">
        <v>45239</v>
      </c>
      <c r="O1802" s="21">
        <v>48892</v>
      </c>
      <c r="P1802">
        <f t="shared" si="1224"/>
        <v>10</v>
      </c>
      <c r="Q1802" s="6">
        <f t="shared" si="1225"/>
        <v>0.1151685393258427</v>
      </c>
      <c r="R1802" s="5">
        <f t="shared" si="1226"/>
        <v>1</v>
      </c>
      <c r="S1802" t="s">
        <v>93</v>
      </c>
      <c r="U1802">
        <f t="shared" si="1227"/>
        <v>10</v>
      </c>
      <c r="V1802">
        <f t="shared" si="1228"/>
        <v>102.5</v>
      </c>
      <c r="W1802" s="28">
        <f t="shared" si="1229"/>
        <v>0.12213902988015428</v>
      </c>
      <c r="X1802" s="27">
        <f t="shared" si="1230"/>
        <v>0.12213902988015428</v>
      </c>
      <c r="Y1802" s="5">
        <f t="shared" si="1231"/>
        <v>6.4972071358779413</v>
      </c>
      <c r="Z1802" s="5">
        <f t="shared" si="1232"/>
        <v>5.7900197416463177</v>
      </c>
      <c r="AA1802" s="5">
        <f t="shared" si="1233"/>
        <v>-5153.1175700652229</v>
      </c>
      <c r="AB1802" t="s">
        <v>64</v>
      </c>
      <c r="AC1802" t="s">
        <v>62</v>
      </c>
      <c r="AD1802">
        <f t="shared" si="1234"/>
        <v>1</v>
      </c>
    </row>
    <row r="1803" spans="1:30" x14ac:dyDescent="0.35">
      <c r="A1803" t="s">
        <v>207</v>
      </c>
      <c r="B1803" t="s">
        <v>128</v>
      </c>
      <c r="C1803" s="36">
        <f t="shared" si="1222"/>
        <v>0.10750000000128665</v>
      </c>
      <c r="D1803" s="3">
        <f t="shared" si="1223"/>
        <v>0.10750000000128665</v>
      </c>
      <c r="F1803">
        <v>1000</v>
      </c>
      <c r="G1803" t="s">
        <v>76</v>
      </c>
      <c r="H1803">
        <v>1000</v>
      </c>
      <c r="I1803" s="22"/>
      <c r="J1803">
        <v>196</v>
      </c>
      <c r="K1803" s="22"/>
      <c r="L1803">
        <v>10.75</v>
      </c>
      <c r="M1803" s="22">
        <v>0.1075</v>
      </c>
      <c r="N1803" s="21">
        <v>45239</v>
      </c>
      <c r="O1803" s="21">
        <v>48892</v>
      </c>
      <c r="P1803">
        <f t="shared" si="1224"/>
        <v>10</v>
      </c>
      <c r="Q1803" s="6">
        <f t="shared" si="1225"/>
        <v>0.1075</v>
      </c>
      <c r="R1803" s="5">
        <f t="shared" si="1226"/>
        <v>1</v>
      </c>
      <c r="S1803" t="s">
        <v>93</v>
      </c>
      <c r="U1803">
        <f t="shared" si="1227"/>
        <v>10</v>
      </c>
      <c r="V1803">
        <f t="shared" si="1228"/>
        <v>107.5</v>
      </c>
      <c r="W1803" s="28">
        <f t="shared" si="1229"/>
        <v>0.10750000000128665</v>
      </c>
      <c r="X1803" s="27">
        <f t="shared" si="1230"/>
        <v>0.10750000000128665</v>
      </c>
      <c r="Y1803" s="5">
        <f t="shared" si="1231"/>
        <v>6.5912660456966163</v>
      </c>
      <c r="Z1803" s="5">
        <f t="shared" si="1232"/>
        <v>5.9514817568297591</v>
      </c>
      <c r="AA1803" s="5">
        <f t="shared" si="1233"/>
        <v>-5951.4817568297594</v>
      </c>
      <c r="AB1803" t="s">
        <v>64</v>
      </c>
      <c r="AC1803" t="s">
        <v>62</v>
      </c>
      <c r="AD1803">
        <f t="shared" si="1234"/>
        <v>1</v>
      </c>
    </row>
    <row r="1804" spans="1:30" x14ac:dyDescent="0.35">
      <c r="A1804" t="s">
        <v>206</v>
      </c>
      <c r="B1804" t="s">
        <v>171</v>
      </c>
      <c r="C1804" s="36">
        <f t="shared" si="1222"/>
        <v>6.0930638129037505E-2</v>
      </c>
      <c r="D1804" s="3">
        <f t="shared" si="1223"/>
        <v>6.0930638129037505E-2</v>
      </c>
      <c r="F1804">
        <v>1274</v>
      </c>
      <c r="G1804" t="s">
        <v>76</v>
      </c>
      <c r="H1804">
        <v>1000</v>
      </c>
      <c r="I1804" s="22"/>
      <c r="J1804">
        <v>2500</v>
      </c>
      <c r="K1804" s="22"/>
      <c r="L1804">
        <v>4.0964144591816103</v>
      </c>
      <c r="M1804" s="22">
        <v>8.5000000000000006E-2</v>
      </c>
      <c r="N1804" s="21">
        <v>41590</v>
      </c>
      <c r="O1804" s="21">
        <v>48895</v>
      </c>
      <c r="P1804">
        <f t="shared" si="1224"/>
        <v>20</v>
      </c>
      <c r="Q1804" s="6">
        <f t="shared" si="1225"/>
        <v>6.6718995290423869E-2</v>
      </c>
      <c r="R1804" s="5">
        <f t="shared" si="1226"/>
        <v>1</v>
      </c>
      <c r="S1804" t="s">
        <v>93</v>
      </c>
      <c r="U1804">
        <f t="shared" si="1227"/>
        <v>20</v>
      </c>
      <c r="V1804">
        <f t="shared" si="1228"/>
        <v>85</v>
      </c>
      <c r="W1804" s="28">
        <f t="shared" si="1229"/>
        <v>6.0930638129037505E-2</v>
      </c>
      <c r="X1804" s="27">
        <f t="shared" si="1230"/>
        <v>6.0930638129037505E-2</v>
      </c>
      <c r="Y1804" s="5">
        <f t="shared" si="1231"/>
        <v>11.324745565700887</v>
      </c>
      <c r="Z1804" s="5">
        <f t="shared" si="1232"/>
        <v>10.674350573636177</v>
      </c>
      <c r="AA1804" s="5">
        <f t="shared" si="1233"/>
        <v>-13599.12263081249</v>
      </c>
      <c r="AB1804" t="s">
        <v>64</v>
      </c>
      <c r="AC1804" t="s">
        <v>62</v>
      </c>
      <c r="AD1804">
        <f t="shared" si="1234"/>
        <v>1</v>
      </c>
    </row>
    <row r="1805" spans="1:30" x14ac:dyDescent="0.35">
      <c r="A1805" t="s">
        <v>205</v>
      </c>
      <c r="B1805" t="s">
        <v>171</v>
      </c>
      <c r="C1805" s="36">
        <f t="shared" si="1222"/>
        <v>6.3637404438925863E-2</v>
      </c>
      <c r="D1805" s="3">
        <f t="shared" si="1223"/>
        <v>6.3637404438925863E-2</v>
      </c>
      <c r="F1805">
        <v>1265.8</v>
      </c>
      <c r="G1805" t="s">
        <v>76</v>
      </c>
      <c r="H1805">
        <v>1000</v>
      </c>
      <c r="I1805" s="22"/>
      <c r="J1805">
        <v>35</v>
      </c>
      <c r="K1805" s="22"/>
      <c r="L1805">
        <v>4.3880918315027602</v>
      </c>
      <c r="M1805" s="22">
        <v>8.7499999999999994E-2</v>
      </c>
      <c r="N1805" s="21">
        <v>41590</v>
      </c>
      <c r="O1805" s="21">
        <v>48895</v>
      </c>
      <c r="P1805">
        <f t="shared" si="1224"/>
        <v>20</v>
      </c>
      <c r="Q1805" s="6">
        <f t="shared" si="1225"/>
        <v>6.91262442723969E-2</v>
      </c>
      <c r="R1805" s="5">
        <f t="shared" si="1226"/>
        <v>1</v>
      </c>
      <c r="S1805" t="s">
        <v>93</v>
      </c>
      <c r="U1805">
        <f t="shared" si="1227"/>
        <v>20</v>
      </c>
      <c r="V1805">
        <f t="shared" si="1228"/>
        <v>87.5</v>
      </c>
      <c r="W1805" s="28">
        <f t="shared" si="1229"/>
        <v>6.3637404438925863E-2</v>
      </c>
      <c r="X1805" s="27">
        <f t="shared" si="1230"/>
        <v>6.3637404438925863E-2</v>
      </c>
      <c r="Y1805" s="5">
        <f t="shared" si="1231"/>
        <v>11.144456180556793</v>
      </c>
      <c r="Z1805" s="5">
        <f t="shared" si="1232"/>
        <v>10.477683592215854</v>
      </c>
      <c r="AA1805" s="5">
        <f t="shared" si="1233"/>
        <v>-13262.651891026828</v>
      </c>
      <c r="AB1805" t="s">
        <v>64</v>
      </c>
      <c r="AC1805" t="s">
        <v>62</v>
      </c>
      <c r="AD1805">
        <f t="shared" si="1234"/>
        <v>1</v>
      </c>
    </row>
    <row r="1806" spans="1:30" x14ac:dyDescent="0.35">
      <c r="A1806" t="s">
        <v>204</v>
      </c>
      <c r="B1806" t="s">
        <v>94</v>
      </c>
      <c r="C1806" s="36">
        <f t="shared" si="1222"/>
        <v>6.4367283401357125E-2</v>
      </c>
      <c r="D1806" s="3">
        <f t="shared" si="1223"/>
        <v>6.4367283401357125E-2</v>
      </c>
      <c r="F1806">
        <v>1275</v>
      </c>
      <c r="G1806" t="s">
        <v>76</v>
      </c>
      <c r="H1806">
        <v>1000</v>
      </c>
      <c r="I1806" s="22"/>
      <c r="J1806">
        <v>189</v>
      </c>
      <c r="K1806" s="22"/>
      <c r="L1806">
        <v>4.4055720083360699</v>
      </c>
      <c r="M1806" s="22">
        <v>8.9200000000000002E-2</v>
      </c>
      <c r="N1806" s="21">
        <v>41594</v>
      </c>
      <c r="O1806" s="21">
        <v>48899</v>
      </c>
      <c r="P1806">
        <f t="shared" si="1224"/>
        <v>20</v>
      </c>
      <c r="Q1806" s="6">
        <f t="shared" si="1225"/>
        <v>6.9960784313725488E-2</v>
      </c>
      <c r="R1806" s="5">
        <f t="shared" si="1226"/>
        <v>1</v>
      </c>
      <c r="S1806" t="s">
        <v>93</v>
      </c>
      <c r="U1806">
        <f t="shared" si="1227"/>
        <v>20</v>
      </c>
      <c r="V1806">
        <f t="shared" si="1228"/>
        <v>89.2</v>
      </c>
      <c r="W1806" s="28">
        <f t="shared" si="1229"/>
        <v>6.4367283401357125E-2</v>
      </c>
      <c r="X1806" s="27">
        <f t="shared" si="1230"/>
        <v>6.4367283401357125E-2</v>
      </c>
      <c r="Y1806" s="5">
        <f t="shared" si="1231"/>
        <v>11.073194843395678</v>
      </c>
      <c r="Z1806" s="5">
        <f t="shared" si="1232"/>
        <v>10.403546798253231</v>
      </c>
      <c r="AA1806" s="5">
        <f t="shared" si="1233"/>
        <v>-13264.52216777287</v>
      </c>
      <c r="AB1806" t="s">
        <v>64</v>
      </c>
      <c r="AC1806" t="s">
        <v>62</v>
      </c>
      <c r="AD1806">
        <f t="shared" si="1234"/>
        <v>1</v>
      </c>
    </row>
    <row r="1807" spans="1:30" x14ac:dyDescent="0.35">
      <c r="A1807" t="s">
        <v>203</v>
      </c>
      <c r="B1807" t="s">
        <v>94</v>
      </c>
      <c r="C1807" s="36">
        <f t="shared" si="1222"/>
        <v>6.4614205842669178E-2</v>
      </c>
      <c r="D1807" s="3">
        <f t="shared" si="1223"/>
        <v>6.4614205842669178E-2</v>
      </c>
      <c r="F1807">
        <v>1244.0999999999999</v>
      </c>
      <c r="G1807" t="s">
        <v>76</v>
      </c>
      <c r="H1807">
        <v>1000</v>
      </c>
      <c r="I1807" s="22"/>
      <c r="J1807">
        <v>1</v>
      </c>
      <c r="K1807" s="22"/>
      <c r="L1807">
        <v>4.6452324406630803</v>
      </c>
      <c r="M1807" s="22">
        <v>8.6699999999999999E-2</v>
      </c>
      <c r="N1807" s="21">
        <v>41594</v>
      </c>
      <c r="O1807" s="21">
        <v>48899</v>
      </c>
      <c r="P1807">
        <f t="shared" si="1224"/>
        <v>20</v>
      </c>
      <c r="Q1807" s="6">
        <f t="shared" si="1225"/>
        <v>6.9688931757897282E-2</v>
      </c>
      <c r="R1807" s="5">
        <f t="shared" si="1226"/>
        <v>1</v>
      </c>
      <c r="S1807" t="s">
        <v>93</v>
      </c>
      <c r="U1807">
        <f t="shared" si="1227"/>
        <v>20</v>
      </c>
      <c r="V1807">
        <f t="shared" si="1228"/>
        <v>86.7</v>
      </c>
      <c r="W1807" s="28">
        <f t="shared" si="1229"/>
        <v>6.4614205842669178E-2</v>
      </c>
      <c r="X1807" s="27">
        <f t="shared" si="1230"/>
        <v>6.4614205842669178E-2</v>
      </c>
      <c r="Y1807" s="5">
        <f t="shared" si="1231"/>
        <v>11.119842047589794</v>
      </c>
      <c r="Z1807" s="5">
        <f t="shared" si="1232"/>
        <v>10.444949904447459</v>
      </c>
      <c r="AA1807" s="5">
        <f t="shared" si="1233"/>
        <v>-12994.562176123081</v>
      </c>
      <c r="AB1807" t="s">
        <v>64</v>
      </c>
      <c r="AC1807" t="s">
        <v>62</v>
      </c>
      <c r="AD1807">
        <f t="shared" si="1234"/>
        <v>1</v>
      </c>
    </row>
    <row r="1808" spans="1:30" x14ac:dyDescent="0.35">
      <c r="A1808" t="s">
        <v>202</v>
      </c>
      <c r="B1808" t="s">
        <v>184</v>
      </c>
      <c r="C1808" s="36">
        <f t="shared" si="1222"/>
        <v>2.4788466100412181E-2</v>
      </c>
      <c r="D1808" s="3">
        <f t="shared" si="1223"/>
        <v>9.9153864401648723E-2</v>
      </c>
      <c r="F1808">
        <v>100218</v>
      </c>
      <c r="G1808" t="s">
        <v>76</v>
      </c>
      <c r="H1808">
        <v>100000</v>
      </c>
      <c r="I1808" s="22"/>
      <c r="J1808">
        <v>100</v>
      </c>
      <c r="K1808" s="22"/>
      <c r="M1808" s="22">
        <v>9.9499999999999991E-2</v>
      </c>
      <c r="N1808" s="21">
        <v>45275</v>
      </c>
      <c r="O1808" s="21">
        <v>48928</v>
      </c>
      <c r="P1808">
        <f t="shared" si="1224"/>
        <v>10</v>
      </c>
      <c r="Q1808" s="6">
        <f t="shared" si="1225"/>
        <v>9.9283561835199263E-2</v>
      </c>
      <c r="R1808" s="5">
        <f t="shared" si="1226"/>
        <v>4</v>
      </c>
      <c r="S1808" t="s">
        <v>105</v>
      </c>
      <c r="U1808">
        <f t="shared" si="1227"/>
        <v>40</v>
      </c>
      <c r="V1808">
        <f t="shared" si="1228"/>
        <v>2487.5</v>
      </c>
      <c r="W1808" s="28">
        <f t="shared" si="1229"/>
        <v>2.4788466100412181E-2</v>
      </c>
      <c r="X1808" s="27">
        <f t="shared" si="1230"/>
        <v>9.9153864401648723E-2</v>
      </c>
      <c r="Y1808" s="5">
        <f t="shared" si="1231"/>
        <v>6.4495922528729599</v>
      </c>
      <c r="Z1808" s="5">
        <f t="shared" si="1232"/>
        <v>6.2935839602248294</v>
      </c>
      <c r="AA1808" s="5">
        <f t="shared" si="1233"/>
        <v>-630730.39732581191</v>
      </c>
      <c r="AB1808" t="s">
        <v>64</v>
      </c>
      <c r="AC1808" t="s">
        <v>62</v>
      </c>
      <c r="AD1808">
        <f t="shared" si="1234"/>
        <v>4</v>
      </c>
    </row>
    <row r="1809" spans="1:30" x14ac:dyDescent="0.35">
      <c r="A1809" t="s">
        <v>201</v>
      </c>
      <c r="B1809" t="s">
        <v>114</v>
      </c>
      <c r="C1809" s="36">
        <f t="shared" si="1222"/>
        <v>6.3687877567238593E-2</v>
      </c>
      <c r="D1809" s="3">
        <f t="shared" si="1223"/>
        <v>6.3687877567238593E-2</v>
      </c>
      <c r="F1809">
        <v>1255.1099999999999</v>
      </c>
      <c r="G1809" t="s">
        <v>76</v>
      </c>
      <c r="H1809">
        <v>1000</v>
      </c>
      <c r="I1809" s="22"/>
      <c r="J1809">
        <v>2</v>
      </c>
      <c r="K1809" s="22"/>
      <c r="L1809">
        <v>4.5135332370788896</v>
      </c>
      <c r="M1809" s="22">
        <v>8.6599999999999996E-2</v>
      </c>
      <c r="N1809" s="21">
        <v>41624</v>
      </c>
      <c r="O1809" s="21">
        <v>48929</v>
      </c>
      <c r="P1809">
        <f t="shared" si="1224"/>
        <v>20</v>
      </c>
      <c r="Q1809" s="6">
        <f t="shared" si="1225"/>
        <v>6.8997936435850241E-2</v>
      </c>
      <c r="R1809" s="5">
        <f t="shared" si="1226"/>
        <v>1</v>
      </c>
      <c r="S1809" t="s">
        <v>93</v>
      </c>
      <c r="U1809">
        <f t="shared" si="1227"/>
        <v>20</v>
      </c>
      <c r="V1809">
        <f t="shared" si="1228"/>
        <v>86.6</v>
      </c>
      <c r="W1809" s="28">
        <f t="shared" si="1229"/>
        <v>6.3687877567238593E-2</v>
      </c>
      <c r="X1809" s="27">
        <f t="shared" si="1230"/>
        <v>6.3687877567238593E-2</v>
      </c>
      <c r="Y1809" s="5">
        <f t="shared" si="1231"/>
        <v>11.163332189122096</v>
      </c>
      <c r="Z1809" s="5">
        <f t="shared" si="1232"/>
        <v>10.494932230170528</v>
      </c>
      <c r="AA1809" s="5">
        <f t="shared" si="1233"/>
        <v>-13172.29439140933</v>
      </c>
      <c r="AB1809" t="s">
        <v>64</v>
      </c>
      <c r="AC1809" t="s">
        <v>62</v>
      </c>
      <c r="AD1809">
        <f t="shared" si="1234"/>
        <v>1</v>
      </c>
    </row>
    <row r="1810" spans="1:30" x14ac:dyDescent="0.35">
      <c r="A1810" t="s">
        <v>200</v>
      </c>
      <c r="B1810" t="s">
        <v>114</v>
      </c>
      <c r="C1810" s="36">
        <f t="shared" si="1222"/>
        <v>6.3535435920579281E-2</v>
      </c>
      <c r="D1810" s="3">
        <f t="shared" si="1223"/>
        <v>6.3535435920579281E-2</v>
      </c>
      <c r="F1810">
        <v>1284.99</v>
      </c>
      <c r="G1810" t="s">
        <v>76</v>
      </c>
      <c r="H1810">
        <v>1000</v>
      </c>
      <c r="I1810" s="22"/>
      <c r="J1810">
        <v>39</v>
      </c>
      <c r="K1810" s="22"/>
      <c r="L1810">
        <v>4.2970625533455102</v>
      </c>
      <c r="M1810" s="22">
        <v>8.9099999999999999E-2</v>
      </c>
      <c r="N1810" s="21">
        <v>41624</v>
      </c>
      <c r="O1810" s="21">
        <v>48929</v>
      </c>
      <c r="P1810">
        <f t="shared" si="1224"/>
        <v>20</v>
      </c>
      <c r="Q1810" s="6">
        <f t="shared" si="1225"/>
        <v>6.9339061004365793E-2</v>
      </c>
      <c r="R1810" s="5">
        <f t="shared" si="1226"/>
        <v>1</v>
      </c>
      <c r="S1810" t="s">
        <v>93</v>
      </c>
      <c r="U1810">
        <f t="shared" si="1227"/>
        <v>20</v>
      </c>
      <c r="V1810">
        <f t="shared" si="1228"/>
        <v>89.1</v>
      </c>
      <c r="W1810" s="28">
        <f t="shared" si="1229"/>
        <v>6.3535435920579281E-2</v>
      </c>
      <c r="X1810" s="27">
        <f t="shared" si="1230"/>
        <v>6.3535435920579281E-2</v>
      </c>
      <c r="Y1810" s="5">
        <f t="shared" si="1231"/>
        <v>11.112237874517952</v>
      </c>
      <c r="Z1810" s="5">
        <f t="shared" si="1232"/>
        <v>10.448394570792439</v>
      </c>
      <c r="AA1810" s="5">
        <f t="shared" si="1233"/>
        <v>-13426.082539522577</v>
      </c>
      <c r="AB1810" t="s">
        <v>64</v>
      </c>
      <c r="AC1810" t="s">
        <v>62</v>
      </c>
      <c r="AD1810">
        <f t="shared" si="1234"/>
        <v>1</v>
      </c>
    </row>
    <row r="1811" spans="1:30" x14ac:dyDescent="0.35">
      <c r="A1811" t="s">
        <v>199</v>
      </c>
      <c r="B1811" t="s">
        <v>138</v>
      </c>
      <c r="C1811" s="36">
        <f t="shared" si="1222"/>
        <v>7.352398085161746E-2</v>
      </c>
      <c r="D1811" s="3">
        <f t="shared" si="1223"/>
        <v>7.352398085161746E-2</v>
      </c>
      <c r="F1811">
        <v>107239.54</v>
      </c>
      <c r="G1811" t="s">
        <v>76</v>
      </c>
      <c r="H1811">
        <v>100000</v>
      </c>
      <c r="I1811" s="22"/>
      <c r="J1811">
        <v>10</v>
      </c>
      <c r="K1811" s="22"/>
      <c r="L1811">
        <v>7.1000208639981803</v>
      </c>
      <c r="M1811" s="22">
        <v>8.4000000000000005E-2</v>
      </c>
      <c r="N1811" s="21">
        <v>45282</v>
      </c>
      <c r="O1811" s="21">
        <v>48935</v>
      </c>
      <c r="P1811">
        <f t="shared" si="1224"/>
        <v>10</v>
      </c>
      <c r="Q1811" s="6">
        <f t="shared" si="1225"/>
        <v>7.8329317712478072E-2</v>
      </c>
      <c r="R1811" s="5">
        <f t="shared" si="1226"/>
        <v>1</v>
      </c>
      <c r="S1811" t="s">
        <v>93</v>
      </c>
      <c r="U1811">
        <f t="shared" si="1227"/>
        <v>10</v>
      </c>
      <c r="V1811">
        <f t="shared" si="1228"/>
        <v>8400</v>
      </c>
      <c r="W1811" s="28">
        <f t="shared" si="1229"/>
        <v>7.352398085161746E-2</v>
      </c>
      <c r="X1811" s="27">
        <f t="shared" si="1230"/>
        <v>7.352398085161746E-2</v>
      </c>
      <c r="Y1811" s="5">
        <f t="shared" si="1231"/>
        <v>7.2499679801473835</v>
      </c>
      <c r="Z1811" s="5">
        <f t="shared" si="1232"/>
        <v>6.7534289959652742</v>
      </c>
      <c r="AA1811" s="5">
        <f t="shared" si="1233"/>
        <v>-724234.6189499778</v>
      </c>
      <c r="AB1811" t="s">
        <v>64</v>
      </c>
      <c r="AC1811" t="s">
        <v>62</v>
      </c>
      <c r="AD1811">
        <f t="shared" si="1234"/>
        <v>1</v>
      </c>
    </row>
    <row r="1812" spans="1:30" x14ac:dyDescent="0.35">
      <c r="A1812" t="s">
        <v>198</v>
      </c>
      <c r="B1812" t="s">
        <v>128</v>
      </c>
      <c r="C1812" s="36">
        <f t="shared" si="1222"/>
        <v>0.11983256192755071</v>
      </c>
      <c r="D1812" s="3">
        <f t="shared" si="1223"/>
        <v>0.11983256192755071</v>
      </c>
      <c r="F1812">
        <v>902</v>
      </c>
      <c r="G1812" t="s">
        <v>76</v>
      </c>
      <c r="H1812">
        <v>1000</v>
      </c>
      <c r="I1812" s="22"/>
      <c r="J1812">
        <v>17</v>
      </c>
      <c r="K1812" s="22"/>
      <c r="L1812">
        <v>12.646597194773999</v>
      </c>
      <c r="M1812" s="22">
        <v>0.10249999999999999</v>
      </c>
      <c r="N1812" s="21">
        <v>45287</v>
      </c>
      <c r="O1812" s="21">
        <v>48940</v>
      </c>
      <c r="P1812">
        <f t="shared" si="1224"/>
        <v>10</v>
      </c>
      <c r="Q1812" s="6">
        <f t="shared" si="1225"/>
        <v>0.11363636363636363</v>
      </c>
      <c r="R1812" s="5">
        <f t="shared" si="1226"/>
        <v>1</v>
      </c>
      <c r="S1812" t="s">
        <v>93</v>
      </c>
      <c r="U1812">
        <f t="shared" si="1227"/>
        <v>10</v>
      </c>
      <c r="V1812">
        <f t="shared" si="1228"/>
        <v>102.5</v>
      </c>
      <c r="W1812" s="28">
        <f t="shared" si="1229"/>
        <v>0.11983256192755071</v>
      </c>
      <c r="X1812" s="27">
        <f t="shared" si="1230"/>
        <v>0.11983256192755071</v>
      </c>
      <c r="Y1812" s="5">
        <f t="shared" si="1231"/>
        <v>6.521323043258584</v>
      </c>
      <c r="Z1812" s="5">
        <f t="shared" si="1232"/>
        <v>5.8234804603587618</v>
      </c>
      <c r="AA1812" s="5">
        <f t="shared" si="1233"/>
        <v>-5252.7793752436028</v>
      </c>
      <c r="AB1812" t="s">
        <v>64</v>
      </c>
      <c r="AC1812" t="s">
        <v>62</v>
      </c>
      <c r="AD1812">
        <f t="shared" si="1234"/>
        <v>1</v>
      </c>
    </row>
    <row r="1813" spans="1:30" x14ac:dyDescent="0.35">
      <c r="A1813" t="s">
        <v>197</v>
      </c>
      <c r="B1813" t="s">
        <v>128</v>
      </c>
      <c r="C1813" s="36">
        <f t="shared" si="1222"/>
        <v>0.15601366824435825</v>
      </c>
      <c r="D1813" s="3">
        <f t="shared" si="1223"/>
        <v>0.15601366824435825</v>
      </c>
      <c r="F1813">
        <v>762</v>
      </c>
      <c r="G1813" t="s">
        <v>76</v>
      </c>
      <c r="H1813">
        <v>1000</v>
      </c>
      <c r="I1813" s="22"/>
      <c r="J1813">
        <v>10</v>
      </c>
      <c r="K1813" s="22"/>
      <c r="L1813">
        <v>17.695985003763099</v>
      </c>
      <c r="M1813" s="22">
        <v>0.1075</v>
      </c>
      <c r="N1813" s="21">
        <v>45287</v>
      </c>
      <c r="O1813" s="21">
        <v>48940</v>
      </c>
      <c r="P1813">
        <f t="shared" si="1224"/>
        <v>10</v>
      </c>
      <c r="Q1813" s="6">
        <f t="shared" si="1225"/>
        <v>0.14107611548556431</v>
      </c>
      <c r="R1813" s="5">
        <f t="shared" si="1226"/>
        <v>1</v>
      </c>
      <c r="S1813" t="s">
        <v>93</v>
      </c>
      <c r="U1813">
        <f t="shared" si="1227"/>
        <v>10</v>
      </c>
      <c r="V1813">
        <f t="shared" si="1228"/>
        <v>107.5</v>
      </c>
      <c r="W1813" s="28">
        <f t="shared" si="1229"/>
        <v>0.15601366824435825</v>
      </c>
      <c r="X1813" s="27">
        <f t="shared" si="1230"/>
        <v>0.15601366824435825</v>
      </c>
      <c r="Y1813" s="5">
        <f t="shared" si="1231"/>
        <v>6.0856716465030454</v>
      </c>
      <c r="Z1813" s="5">
        <f t="shared" si="1232"/>
        <v>5.2643595951122055</v>
      </c>
      <c r="AA1813" s="5">
        <f t="shared" si="1233"/>
        <v>-4011.4420114755007</v>
      </c>
      <c r="AB1813" t="s">
        <v>64</v>
      </c>
      <c r="AC1813" t="s">
        <v>62</v>
      </c>
      <c r="AD1813">
        <f t="shared" si="1234"/>
        <v>1</v>
      </c>
    </row>
    <row r="1814" spans="1:30" x14ac:dyDescent="0.35">
      <c r="A1814" t="s">
        <v>196</v>
      </c>
      <c r="B1814" t="s">
        <v>195</v>
      </c>
      <c r="C1814" s="36">
        <f t="shared" si="1222"/>
        <v>9.7000000000001474E-2</v>
      </c>
      <c r="D1814" s="3">
        <f t="shared" si="1223"/>
        <v>9.7000000000001474E-2</v>
      </c>
      <c r="F1814">
        <v>100000</v>
      </c>
      <c r="G1814" t="s">
        <v>76</v>
      </c>
      <c r="H1814">
        <v>100000</v>
      </c>
      <c r="I1814" s="22"/>
      <c r="J1814">
        <v>2</v>
      </c>
      <c r="K1814" s="22"/>
      <c r="L1814">
        <v>9.6999999999999993</v>
      </c>
      <c r="M1814" s="22">
        <v>9.6999999999999989E-2</v>
      </c>
      <c r="N1814" s="21">
        <v>45288</v>
      </c>
      <c r="O1814" s="21">
        <v>48941</v>
      </c>
      <c r="P1814">
        <f t="shared" si="1224"/>
        <v>10</v>
      </c>
      <c r="Q1814" s="6">
        <f t="shared" si="1225"/>
        <v>9.6999999999999975E-2</v>
      </c>
      <c r="R1814" s="5">
        <f t="shared" si="1226"/>
        <v>1</v>
      </c>
      <c r="S1814" t="s">
        <v>93</v>
      </c>
      <c r="U1814">
        <f t="shared" si="1227"/>
        <v>10</v>
      </c>
      <c r="V1814">
        <f t="shared" si="1228"/>
        <v>9699.9999999999982</v>
      </c>
      <c r="W1814" s="28">
        <f t="shared" si="1229"/>
        <v>9.7000000000001474E-2</v>
      </c>
      <c r="X1814" s="27">
        <f t="shared" si="1230"/>
        <v>9.7000000000001474E-2</v>
      </c>
      <c r="Y1814" s="5">
        <f t="shared" si="1231"/>
        <v>6.8283436246016329</v>
      </c>
      <c r="Z1814" s="5">
        <f t="shared" si="1232"/>
        <v>6.2245611892448709</v>
      </c>
      <c r="AA1814" s="5">
        <f t="shared" si="1233"/>
        <v>-622456.11892448703</v>
      </c>
      <c r="AB1814" t="s">
        <v>64</v>
      </c>
      <c r="AC1814" t="s">
        <v>62</v>
      </c>
      <c r="AD1814">
        <f t="shared" si="1234"/>
        <v>1</v>
      </c>
    </row>
    <row r="1815" spans="1:30" x14ac:dyDescent="0.35">
      <c r="A1815" t="s">
        <v>194</v>
      </c>
      <c r="B1815" t="s">
        <v>193</v>
      </c>
      <c r="C1815" s="36">
        <f t="shared" si="1222"/>
        <v>7.9099390785953919E-2</v>
      </c>
      <c r="D1815" s="3">
        <f t="shared" si="1223"/>
        <v>7.9099390785953919E-2</v>
      </c>
      <c r="F1815">
        <v>103167</v>
      </c>
      <c r="G1815" t="s">
        <v>76</v>
      </c>
      <c r="H1815">
        <v>100000</v>
      </c>
      <c r="I1815" s="22"/>
      <c r="J1815">
        <v>10</v>
      </c>
      <c r="K1815" s="22"/>
      <c r="L1815">
        <v>7.8094219708368398</v>
      </c>
      <c r="M1815" s="22">
        <v>8.3800000000000013E-2</v>
      </c>
      <c r="N1815" s="21">
        <v>45302</v>
      </c>
      <c r="O1815" s="21">
        <v>48955</v>
      </c>
      <c r="P1815">
        <f t="shared" si="1224"/>
        <v>10</v>
      </c>
      <c r="Q1815" s="6">
        <f t="shared" si="1225"/>
        <v>8.1227524305252666E-2</v>
      </c>
      <c r="R1815" s="5">
        <f t="shared" si="1226"/>
        <v>1</v>
      </c>
      <c r="S1815" t="s">
        <v>93</v>
      </c>
      <c r="U1815">
        <f t="shared" si="1227"/>
        <v>10</v>
      </c>
      <c r="V1815">
        <f t="shared" si="1228"/>
        <v>8380.0000000000018</v>
      </c>
      <c r="W1815" s="28">
        <f t="shared" si="1229"/>
        <v>7.9099390785953919E-2</v>
      </c>
      <c r="X1815" s="27">
        <f t="shared" si="1230"/>
        <v>7.9099390785953919E-2</v>
      </c>
      <c r="Y1815" s="5">
        <f t="shared" si="1231"/>
        <v>7.1969107610099536</v>
      </c>
      <c r="Z1815" s="5">
        <f t="shared" si="1232"/>
        <v>6.6693678288226428</v>
      </c>
      <c r="AA1815" s="5">
        <f t="shared" si="1233"/>
        <v>-688058.67079614557</v>
      </c>
      <c r="AB1815" t="s">
        <v>64</v>
      </c>
      <c r="AC1815" t="s">
        <v>62</v>
      </c>
      <c r="AD1815">
        <f t="shared" si="1234"/>
        <v>1</v>
      </c>
    </row>
    <row r="1816" spans="1:30" x14ac:dyDescent="0.35">
      <c r="A1816" t="s">
        <v>192</v>
      </c>
      <c r="B1816" t="s">
        <v>184</v>
      </c>
      <c r="C1816" s="36">
        <f t="shared" si="1222"/>
        <v>2.4374395601665242E-2</v>
      </c>
      <c r="D1816" s="3">
        <f t="shared" si="1223"/>
        <v>9.7497582406660968E-2</v>
      </c>
      <c r="F1816">
        <v>101270</v>
      </c>
      <c r="G1816" t="s">
        <v>76</v>
      </c>
      <c r="H1816">
        <v>100000</v>
      </c>
      <c r="I1816" s="22"/>
      <c r="J1816">
        <v>224</v>
      </c>
      <c r="K1816" s="22"/>
      <c r="M1816" s="22">
        <v>9.9499999999999991E-2</v>
      </c>
      <c r="N1816" s="21">
        <v>45309</v>
      </c>
      <c r="O1816" s="21">
        <v>48961</v>
      </c>
      <c r="P1816">
        <f t="shared" si="1224"/>
        <v>10</v>
      </c>
      <c r="Q1816" s="6">
        <f t="shared" si="1225"/>
        <v>9.8252197096869748E-2</v>
      </c>
      <c r="R1816" s="5">
        <f t="shared" si="1226"/>
        <v>4</v>
      </c>
      <c r="S1816" t="s">
        <v>105</v>
      </c>
      <c r="U1816">
        <f t="shared" si="1227"/>
        <v>40</v>
      </c>
      <c r="V1816">
        <f t="shared" si="1228"/>
        <v>2487.5</v>
      </c>
      <c r="W1816" s="28">
        <f t="shared" si="1229"/>
        <v>2.4374395601665242E-2</v>
      </c>
      <c r="X1816" s="27">
        <f t="shared" si="1230"/>
        <v>9.7497582406660968E-2</v>
      </c>
      <c r="Y1816" s="5">
        <f t="shared" si="1231"/>
        <v>6.4670329619965834</v>
      </c>
      <c r="Z1816" s="5">
        <f t="shared" si="1232"/>
        <v>6.3131536572604174</v>
      </c>
      <c r="AA1816" s="5">
        <f t="shared" si="1233"/>
        <v>-639333.07087076246</v>
      </c>
      <c r="AB1816" t="s">
        <v>64</v>
      </c>
      <c r="AC1816" t="s">
        <v>62</v>
      </c>
      <c r="AD1816">
        <f t="shared" si="1234"/>
        <v>4</v>
      </c>
    </row>
    <row r="1817" spans="1:30" x14ac:dyDescent="0.35">
      <c r="A1817" t="s">
        <v>191</v>
      </c>
      <c r="B1817" t="s">
        <v>171</v>
      </c>
      <c r="C1817" s="36">
        <f t="shared" si="1222"/>
        <v>6.4208495517653646E-2</v>
      </c>
      <c r="D1817" s="3">
        <f t="shared" si="1223"/>
        <v>6.4208495517653646E-2</v>
      </c>
      <c r="F1817">
        <v>1276</v>
      </c>
      <c r="G1817" t="s">
        <v>76</v>
      </c>
      <c r="H1817">
        <v>1000</v>
      </c>
      <c r="I1817" s="22"/>
      <c r="J1817">
        <v>53</v>
      </c>
      <c r="K1817" s="22"/>
      <c r="L1817">
        <v>4.4400905607802104</v>
      </c>
      <c r="M1817" s="22">
        <v>8.9099999999999999E-2</v>
      </c>
      <c r="N1817" s="21">
        <v>41661</v>
      </c>
      <c r="O1817" s="21">
        <v>48966</v>
      </c>
      <c r="P1817">
        <f t="shared" si="1224"/>
        <v>20</v>
      </c>
      <c r="Q1817" s="6">
        <f t="shared" si="1225"/>
        <v>6.9827586206896552E-2</v>
      </c>
      <c r="R1817" s="5">
        <f t="shared" si="1226"/>
        <v>1</v>
      </c>
      <c r="S1817" t="s">
        <v>93</v>
      </c>
      <c r="U1817">
        <f t="shared" si="1227"/>
        <v>20</v>
      </c>
      <c r="V1817">
        <f t="shared" si="1228"/>
        <v>89.1</v>
      </c>
      <c r="W1817" s="28">
        <f t="shared" si="1229"/>
        <v>6.4208495517653646E-2</v>
      </c>
      <c r="X1817" s="27">
        <f t="shared" si="1230"/>
        <v>6.4208495517653646E-2</v>
      </c>
      <c r="Y1817" s="5">
        <f t="shared" si="1231"/>
        <v>11.08247007527879</v>
      </c>
      <c r="Z1817" s="5">
        <f t="shared" si="1232"/>
        <v>10.41381470074437</v>
      </c>
      <c r="AA1817" s="5">
        <f t="shared" si="1233"/>
        <v>-13288.027558149815</v>
      </c>
      <c r="AB1817" t="s">
        <v>64</v>
      </c>
      <c r="AC1817" t="s">
        <v>62</v>
      </c>
      <c r="AD1817">
        <f t="shared" si="1234"/>
        <v>1</v>
      </c>
    </row>
    <row r="1818" spans="1:30" x14ac:dyDescent="0.35">
      <c r="A1818" t="s">
        <v>190</v>
      </c>
      <c r="B1818" t="s">
        <v>171</v>
      </c>
      <c r="C1818" s="36">
        <f t="shared" si="1222"/>
        <v>5.2251690318309139E-2</v>
      </c>
      <c r="D1818" s="3">
        <f t="shared" si="1223"/>
        <v>5.2251690318309139E-2</v>
      </c>
      <c r="F1818">
        <v>1420</v>
      </c>
      <c r="G1818" t="s">
        <v>76</v>
      </c>
      <c r="H1818">
        <v>1000</v>
      </c>
      <c r="I1818" s="22"/>
      <c r="J1818">
        <v>400</v>
      </c>
      <c r="K1818" s="22"/>
      <c r="L1818">
        <v>2.68436806799048</v>
      </c>
      <c r="M1818" s="22">
        <v>8.6599999999999996E-2</v>
      </c>
      <c r="N1818" s="21">
        <v>41661</v>
      </c>
      <c r="O1818" s="21">
        <v>48966</v>
      </c>
      <c r="P1818">
        <f t="shared" si="1224"/>
        <v>20</v>
      </c>
      <c r="Q1818" s="6">
        <f t="shared" si="1225"/>
        <v>6.0985915492957746E-2</v>
      </c>
      <c r="R1818" s="5">
        <f t="shared" si="1226"/>
        <v>1</v>
      </c>
      <c r="S1818" t="s">
        <v>93</v>
      </c>
      <c r="U1818">
        <f t="shared" si="1227"/>
        <v>20</v>
      </c>
      <c r="V1818">
        <f t="shared" si="1228"/>
        <v>86.6</v>
      </c>
      <c r="W1818" s="28">
        <f t="shared" si="1229"/>
        <v>5.2251690318309139E-2</v>
      </c>
      <c r="X1818" s="27">
        <f t="shared" si="1230"/>
        <v>5.2251690318309139E-2</v>
      </c>
      <c r="Y1818" s="5">
        <f t="shared" si="1231"/>
        <v>11.674195163412133</v>
      </c>
      <c r="Z1818" s="5">
        <f t="shared" si="1232"/>
        <v>11.094489342070483</v>
      </c>
      <c r="AA1818" s="5">
        <f t="shared" si="1233"/>
        <v>-15754.174865740086</v>
      </c>
      <c r="AB1818" t="s">
        <v>64</v>
      </c>
      <c r="AC1818" t="s">
        <v>62</v>
      </c>
      <c r="AD1818">
        <f t="shared" si="1234"/>
        <v>1</v>
      </c>
    </row>
    <row r="1819" spans="1:30" x14ac:dyDescent="0.35">
      <c r="A1819" t="s">
        <v>189</v>
      </c>
      <c r="B1819" t="s">
        <v>122</v>
      </c>
      <c r="C1819" s="36">
        <f t="shared" si="1222"/>
        <v>0.10353079437912616</v>
      </c>
      <c r="D1819" s="3">
        <f t="shared" si="1223"/>
        <v>0.10353079437912616</v>
      </c>
      <c r="F1819">
        <v>978.63</v>
      </c>
      <c r="G1819" t="s">
        <v>76</v>
      </c>
      <c r="H1819">
        <v>1000</v>
      </c>
      <c r="I1819" s="22"/>
      <c r="J1819">
        <v>171</v>
      </c>
      <c r="K1819" s="22"/>
      <c r="L1819">
        <v>10.4743195091304</v>
      </c>
      <c r="M1819" s="22">
        <v>0.1</v>
      </c>
      <c r="N1819" s="21">
        <v>45320</v>
      </c>
      <c r="O1819" s="21">
        <v>48973</v>
      </c>
      <c r="P1819">
        <f t="shared" si="1224"/>
        <v>10</v>
      </c>
      <c r="Q1819" s="6">
        <f t="shared" si="1225"/>
        <v>0.102183664919326</v>
      </c>
      <c r="R1819" s="5">
        <f t="shared" si="1226"/>
        <v>1</v>
      </c>
      <c r="S1819" t="s">
        <v>93</v>
      </c>
      <c r="U1819">
        <f t="shared" si="1227"/>
        <v>10</v>
      </c>
      <c r="V1819">
        <f t="shared" si="1228"/>
        <v>100</v>
      </c>
      <c r="W1819" s="28">
        <f t="shared" si="1229"/>
        <v>0.10353079437912616</v>
      </c>
      <c r="X1819" s="27">
        <f t="shared" si="1230"/>
        <v>0.10353079437912616</v>
      </c>
      <c r="Y1819" s="5">
        <f t="shared" si="1231"/>
        <v>6.7222899759589057</v>
      </c>
      <c r="Z1819" s="5">
        <f t="shared" si="1232"/>
        <v>6.0916197447313039</v>
      </c>
      <c r="AA1819" s="5">
        <f t="shared" si="1233"/>
        <v>-5961.4418307863962</v>
      </c>
      <c r="AB1819" t="s">
        <v>64</v>
      </c>
      <c r="AC1819" t="s">
        <v>62</v>
      </c>
      <c r="AD1819">
        <f t="shared" si="1234"/>
        <v>1</v>
      </c>
    </row>
    <row r="1820" spans="1:30" x14ac:dyDescent="0.35">
      <c r="A1820" t="s">
        <v>188</v>
      </c>
      <c r="B1820" t="s">
        <v>122</v>
      </c>
      <c r="C1820" s="36">
        <f t="shared" si="1222"/>
        <v>0.10975851529174295</v>
      </c>
      <c r="D1820" s="3">
        <f t="shared" si="1223"/>
        <v>0.10975851529174295</v>
      </c>
      <c r="F1820">
        <v>969</v>
      </c>
      <c r="G1820" t="s">
        <v>76</v>
      </c>
      <c r="H1820">
        <v>1000</v>
      </c>
      <c r="I1820" s="22"/>
      <c r="J1820">
        <v>146</v>
      </c>
      <c r="K1820" s="22"/>
      <c r="L1820">
        <v>11.1588161816835</v>
      </c>
      <c r="M1820" s="22">
        <v>0.1045</v>
      </c>
      <c r="N1820" s="21">
        <v>45320</v>
      </c>
      <c r="O1820" s="21">
        <v>48973</v>
      </c>
      <c r="P1820">
        <f t="shared" si="1224"/>
        <v>10</v>
      </c>
      <c r="Q1820" s="6">
        <f t="shared" si="1225"/>
        <v>0.10784313725490197</v>
      </c>
      <c r="R1820" s="5">
        <f t="shared" si="1226"/>
        <v>1</v>
      </c>
      <c r="S1820" t="s">
        <v>93</v>
      </c>
      <c r="U1820">
        <f t="shared" si="1227"/>
        <v>10</v>
      </c>
      <c r="V1820">
        <f t="shared" si="1228"/>
        <v>104.5</v>
      </c>
      <c r="W1820" s="28">
        <f t="shared" si="1229"/>
        <v>0.10975851529174295</v>
      </c>
      <c r="X1820" s="27">
        <f t="shared" si="1230"/>
        <v>0.10975851529174295</v>
      </c>
      <c r="Y1820" s="5">
        <f t="shared" si="1231"/>
        <v>6.6025891965682728</v>
      </c>
      <c r="Z1820" s="5">
        <f t="shared" si="1232"/>
        <v>5.9495729076091184</v>
      </c>
      <c r="AA1820" s="5">
        <f t="shared" si="1233"/>
        <v>-5765.1361474732357</v>
      </c>
      <c r="AB1820" t="s">
        <v>64</v>
      </c>
      <c r="AC1820" t="s">
        <v>62</v>
      </c>
      <c r="AD1820">
        <f t="shared" si="1234"/>
        <v>1</v>
      </c>
    </row>
    <row r="1821" spans="1:30" x14ac:dyDescent="0.35">
      <c r="A1821" t="s">
        <v>187</v>
      </c>
      <c r="B1821" t="s">
        <v>186</v>
      </c>
      <c r="C1821" s="36">
        <f t="shared" si="1222"/>
        <v>9.000090270204443E-2</v>
      </c>
      <c r="D1821" s="3">
        <f t="shared" si="1223"/>
        <v>9.000090270204443E-2</v>
      </c>
      <c r="F1821">
        <v>103850</v>
      </c>
      <c r="G1821" t="s">
        <v>76</v>
      </c>
      <c r="H1821">
        <v>100000</v>
      </c>
      <c r="I1821" s="22"/>
      <c r="J1821">
        <v>5</v>
      </c>
      <c r="K1821" s="22"/>
      <c r="L1821">
        <v>8.8313035385962593</v>
      </c>
      <c r="M1821" s="22">
        <v>9.6000000000000002E-2</v>
      </c>
      <c r="N1821" s="21">
        <v>45348</v>
      </c>
      <c r="O1821" s="21">
        <v>48999</v>
      </c>
      <c r="P1821">
        <f t="shared" si="1224"/>
        <v>10</v>
      </c>
      <c r="Q1821" s="6">
        <f t="shared" si="1225"/>
        <v>9.244102070293693E-2</v>
      </c>
      <c r="R1821" s="5">
        <f t="shared" si="1226"/>
        <v>1</v>
      </c>
      <c r="S1821" t="s">
        <v>93</v>
      </c>
      <c r="U1821">
        <f t="shared" si="1227"/>
        <v>10</v>
      </c>
      <c r="V1821">
        <f t="shared" si="1228"/>
        <v>9600</v>
      </c>
      <c r="W1821" s="28">
        <f t="shared" si="1229"/>
        <v>9.000090270204443E-2</v>
      </c>
      <c r="X1821" s="27">
        <f t="shared" si="1230"/>
        <v>9.000090270204443E-2</v>
      </c>
      <c r="Y1821" s="5">
        <f t="shared" si="1231"/>
        <v>6.9082034231085512</v>
      </c>
      <c r="Z1821" s="5">
        <f t="shared" si="1232"/>
        <v>6.3377960568505438</v>
      </c>
      <c r="AA1821" s="5">
        <f t="shared" si="1233"/>
        <v>-658180.12050392898</v>
      </c>
      <c r="AB1821" t="s">
        <v>64</v>
      </c>
      <c r="AC1821" t="s">
        <v>62</v>
      </c>
      <c r="AD1821">
        <f t="shared" si="1234"/>
        <v>1</v>
      </c>
    </row>
    <row r="1822" spans="1:30" x14ac:dyDescent="0.35">
      <c r="A1822" t="s">
        <v>185</v>
      </c>
      <c r="B1822" t="s">
        <v>184</v>
      </c>
      <c r="C1822" s="36">
        <f t="shared" si="1222"/>
        <v>2.4691120096804998E-2</v>
      </c>
      <c r="D1822" s="3">
        <f t="shared" si="1223"/>
        <v>9.8764480387219994E-2</v>
      </c>
      <c r="F1822">
        <v>100464</v>
      </c>
      <c r="G1822" t="s">
        <v>76</v>
      </c>
      <c r="H1822">
        <v>100000</v>
      </c>
      <c r="I1822" s="22"/>
      <c r="J1822">
        <v>6</v>
      </c>
      <c r="K1822" s="22"/>
      <c r="M1822" s="22">
        <v>9.9499999999999991E-2</v>
      </c>
      <c r="N1822" s="21">
        <v>45349</v>
      </c>
      <c r="O1822" s="21">
        <v>48999</v>
      </c>
      <c r="P1822">
        <f t="shared" si="1224"/>
        <v>10</v>
      </c>
      <c r="Q1822" s="6">
        <f t="shared" si="1225"/>
        <v>9.9040452301321871E-2</v>
      </c>
      <c r="R1822" s="5">
        <f t="shared" si="1226"/>
        <v>4</v>
      </c>
      <c r="S1822" t="s">
        <v>105</v>
      </c>
      <c r="U1822">
        <f t="shared" si="1227"/>
        <v>40</v>
      </c>
      <c r="V1822">
        <f t="shared" si="1228"/>
        <v>2487.5</v>
      </c>
      <c r="W1822" s="28">
        <f t="shared" si="1229"/>
        <v>2.4691120096804998E-2</v>
      </c>
      <c r="X1822" s="27">
        <f t="shared" si="1230"/>
        <v>9.8764480387219994E-2</v>
      </c>
      <c r="Y1822" s="5">
        <f t="shared" si="1231"/>
        <v>6.4460153007686189</v>
      </c>
      <c r="Z1822" s="5">
        <f t="shared" si="1232"/>
        <v>6.2906910915356118</v>
      </c>
      <c r="AA1822" s="5">
        <f t="shared" si="1233"/>
        <v>-631987.98982003366</v>
      </c>
      <c r="AB1822" t="s">
        <v>64</v>
      </c>
      <c r="AC1822" t="s">
        <v>62</v>
      </c>
      <c r="AD1822">
        <f t="shared" si="1234"/>
        <v>4</v>
      </c>
    </row>
    <row r="1823" spans="1:30" x14ac:dyDescent="0.35">
      <c r="A1823" t="s">
        <v>183</v>
      </c>
      <c r="B1823" t="s">
        <v>182</v>
      </c>
      <c r="C1823" s="36">
        <f t="shared" si="1222"/>
        <v>0.10789975119353917</v>
      </c>
      <c r="D1823" s="3">
        <f t="shared" si="1223"/>
        <v>0.10789975119353917</v>
      </c>
      <c r="F1823">
        <v>101842</v>
      </c>
      <c r="G1823" t="s">
        <v>76</v>
      </c>
      <c r="H1823">
        <v>100000</v>
      </c>
      <c r="I1823" s="22"/>
      <c r="J1823">
        <v>1</v>
      </c>
      <c r="K1823" s="22"/>
      <c r="L1823">
        <v>10.6923511845063</v>
      </c>
      <c r="M1823" s="22">
        <v>0.111</v>
      </c>
      <c r="N1823" s="21">
        <v>45351</v>
      </c>
      <c r="O1823" s="21">
        <v>49003</v>
      </c>
      <c r="P1823">
        <f t="shared" si="1224"/>
        <v>10</v>
      </c>
      <c r="Q1823" s="6">
        <f t="shared" si="1225"/>
        <v>0.10899236071561831</v>
      </c>
      <c r="R1823" s="5">
        <f t="shared" si="1226"/>
        <v>1</v>
      </c>
      <c r="S1823" t="s">
        <v>93</v>
      </c>
      <c r="U1823">
        <f t="shared" si="1227"/>
        <v>10</v>
      </c>
      <c r="V1823">
        <f t="shared" si="1228"/>
        <v>11100</v>
      </c>
      <c r="W1823" s="28">
        <f t="shared" si="1229"/>
        <v>0.10789975119353917</v>
      </c>
      <c r="X1823" s="27">
        <f t="shared" si="1230"/>
        <v>0.10789975119353917</v>
      </c>
      <c r="Y1823" s="5">
        <f t="shared" si="1231"/>
        <v>6.5479348068205914</v>
      </c>
      <c r="Z1823" s="5">
        <f t="shared" si="1232"/>
        <v>5.9102231946225361</v>
      </c>
      <c r="AA1823" s="5">
        <f t="shared" si="1233"/>
        <v>-601908.95058674831</v>
      </c>
      <c r="AB1823" t="s">
        <v>64</v>
      </c>
      <c r="AC1823" t="s">
        <v>62</v>
      </c>
      <c r="AD1823">
        <f t="shared" si="1234"/>
        <v>1</v>
      </c>
    </row>
    <row r="1824" spans="1:30" x14ac:dyDescent="0.35">
      <c r="A1824" t="s">
        <v>181</v>
      </c>
      <c r="B1824" t="s">
        <v>119</v>
      </c>
      <c r="C1824" s="36">
        <f t="shared" si="1222"/>
        <v>0.11935121612134851</v>
      </c>
      <c r="D1824" s="3">
        <f t="shared" si="1223"/>
        <v>0.11935121612134851</v>
      </c>
      <c r="F1824">
        <v>905.1</v>
      </c>
      <c r="G1824" t="s">
        <v>76</v>
      </c>
      <c r="H1824">
        <v>1000</v>
      </c>
      <c r="I1824" s="22"/>
      <c r="J1824">
        <v>30</v>
      </c>
      <c r="K1824" s="22"/>
      <c r="L1824">
        <v>12.4965270269269</v>
      </c>
      <c r="M1824" s="22">
        <v>0.1026</v>
      </c>
      <c r="N1824" s="21">
        <v>45352</v>
      </c>
      <c r="O1824" s="21">
        <v>49004</v>
      </c>
      <c r="P1824">
        <f t="shared" si="1224"/>
        <v>10</v>
      </c>
      <c r="Q1824" s="6">
        <f t="shared" si="1225"/>
        <v>0.1133576400397746</v>
      </c>
      <c r="R1824" s="5">
        <f t="shared" si="1226"/>
        <v>1</v>
      </c>
      <c r="S1824" t="s">
        <v>93</v>
      </c>
      <c r="U1824">
        <f t="shared" si="1227"/>
        <v>10</v>
      </c>
      <c r="V1824">
        <f t="shared" si="1228"/>
        <v>102.6</v>
      </c>
      <c r="W1824" s="28">
        <f t="shared" si="1229"/>
        <v>0.11935121612134851</v>
      </c>
      <c r="X1824" s="27">
        <f t="shared" si="1230"/>
        <v>0.11935121612134851</v>
      </c>
      <c r="Y1824" s="5">
        <f t="shared" si="1231"/>
        <v>6.5251426975992652</v>
      </c>
      <c r="Z1824" s="5">
        <f t="shared" si="1232"/>
        <v>5.8293970682494676</v>
      </c>
      <c r="AA1824" s="5">
        <f t="shared" si="1233"/>
        <v>-5276.1872864725929</v>
      </c>
      <c r="AB1824" t="s">
        <v>64</v>
      </c>
      <c r="AC1824" t="s">
        <v>62</v>
      </c>
      <c r="AD1824">
        <f t="shared" si="1234"/>
        <v>1</v>
      </c>
    </row>
    <row r="1825" spans="1:30" x14ac:dyDescent="0.35">
      <c r="A1825" t="s">
        <v>180</v>
      </c>
      <c r="B1825" t="s">
        <v>119</v>
      </c>
      <c r="C1825" s="36">
        <f t="shared" si="1222"/>
        <v>0.10321009378544591</v>
      </c>
      <c r="D1825" s="3">
        <f t="shared" si="1223"/>
        <v>0.10321009378544591</v>
      </c>
      <c r="F1825">
        <v>1026</v>
      </c>
      <c r="G1825" t="s">
        <v>76</v>
      </c>
      <c r="H1825">
        <v>1000</v>
      </c>
      <c r="I1825" s="22"/>
      <c r="J1825">
        <v>20</v>
      </c>
      <c r="K1825" s="22"/>
      <c r="L1825">
        <v>10.1832935469085</v>
      </c>
      <c r="M1825" s="22">
        <v>0.1075</v>
      </c>
      <c r="N1825" s="21">
        <v>45352</v>
      </c>
      <c r="O1825" s="21">
        <v>49004</v>
      </c>
      <c r="P1825">
        <f t="shared" si="1224"/>
        <v>10</v>
      </c>
      <c r="Q1825" s="6">
        <f t="shared" si="1225"/>
        <v>0.10477582846003898</v>
      </c>
      <c r="R1825" s="5">
        <f t="shared" si="1226"/>
        <v>1</v>
      </c>
      <c r="S1825" t="s">
        <v>93</v>
      </c>
      <c r="U1825">
        <f t="shared" si="1227"/>
        <v>10</v>
      </c>
      <c r="V1825">
        <f t="shared" si="1228"/>
        <v>107.5</v>
      </c>
      <c r="W1825" s="28">
        <f t="shared" si="1229"/>
        <v>0.10321009378544591</v>
      </c>
      <c r="X1825" s="27">
        <f t="shared" si="1230"/>
        <v>0.10321009378544591</v>
      </c>
      <c r="Y1825" s="5">
        <f t="shared" si="1231"/>
        <v>6.6359974309165386</v>
      </c>
      <c r="Z1825" s="5">
        <f t="shared" si="1232"/>
        <v>6.0151710615214133</v>
      </c>
      <c r="AA1825" s="5">
        <f t="shared" si="1233"/>
        <v>-6171.5655091209701</v>
      </c>
      <c r="AB1825" t="s">
        <v>64</v>
      </c>
      <c r="AC1825" t="s">
        <v>62</v>
      </c>
      <c r="AD1825">
        <f t="shared" si="1234"/>
        <v>1</v>
      </c>
    </row>
    <row r="1826" spans="1:30" x14ac:dyDescent="0.35">
      <c r="A1826" t="s">
        <v>179</v>
      </c>
      <c r="B1826" t="s">
        <v>101</v>
      </c>
      <c r="C1826" s="36">
        <f t="shared" si="1222"/>
        <v>6.3791221132191822E-2</v>
      </c>
      <c r="D1826" s="3">
        <f t="shared" si="1223"/>
        <v>6.3791221132191822E-2</v>
      </c>
      <c r="F1826">
        <v>1276</v>
      </c>
      <c r="G1826" t="s">
        <v>76</v>
      </c>
      <c r="H1826">
        <v>1000</v>
      </c>
      <c r="I1826" s="22"/>
      <c r="J1826">
        <v>172</v>
      </c>
      <c r="K1826" s="22"/>
      <c r="L1826">
        <v>4.4506831321830802</v>
      </c>
      <c r="M1826" s="22">
        <v>8.8599999999999998E-2</v>
      </c>
      <c r="N1826" s="21">
        <v>41722</v>
      </c>
      <c r="O1826" s="21">
        <v>49027</v>
      </c>
      <c r="P1826">
        <f t="shared" si="1224"/>
        <v>20</v>
      </c>
      <c r="Q1826" s="6">
        <f t="shared" si="1225"/>
        <v>6.9435736677115986E-2</v>
      </c>
      <c r="R1826" s="5">
        <f t="shared" si="1226"/>
        <v>1</v>
      </c>
      <c r="S1826" t="s">
        <v>93</v>
      </c>
      <c r="U1826">
        <f t="shared" si="1227"/>
        <v>20</v>
      </c>
      <c r="V1826">
        <f t="shared" si="1228"/>
        <v>88.6</v>
      </c>
      <c r="W1826" s="28">
        <f t="shared" si="1229"/>
        <v>6.3791221132191822E-2</v>
      </c>
      <c r="X1826" s="27">
        <f t="shared" si="1230"/>
        <v>6.3791221132191822E-2</v>
      </c>
      <c r="Y1826" s="5">
        <f t="shared" si="1231"/>
        <v>11.112284231001764</v>
      </c>
      <c r="Z1826" s="5">
        <f t="shared" si="1232"/>
        <v>10.445925864264016</v>
      </c>
      <c r="AA1826" s="5">
        <f t="shared" si="1233"/>
        <v>-13329.001402800885</v>
      </c>
      <c r="AB1826" t="s">
        <v>64</v>
      </c>
      <c r="AC1826" t="s">
        <v>62</v>
      </c>
      <c r="AD1826">
        <f t="shared" si="1234"/>
        <v>1</v>
      </c>
    </row>
    <row r="1827" spans="1:30" x14ac:dyDescent="0.35">
      <c r="A1827" t="s">
        <v>178</v>
      </c>
      <c r="B1827" t="s">
        <v>176</v>
      </c>
      <c r="C1827" s="36">
        <f t="shared" si="1222"/>
        <v>7.9858927448626826E-2</v>
      </c>
      <c r="D1827" s="3">
        <f t="shared" si="1223"/>
        <v>7.9858927448626826E-2</v>
      </c>
      <c r="F1827">
        <v>1075.0999999999999</v>
      </c>
      <c r="G1827" t="s">
        <v>76</v>
      </c>
      <c r="H1827">
        <v>1000</v>
      </c>
      <c r="I1827" s="22"/>
      <c r="J1827">
        <v>50</v>
      </c>
      <c r="K1827" s="22"/>
      <c r="L1827">
        <v>7.3354791749563599</v>
      </c>
      <c r="M1827" s="22">
        <v>8.7499999999999994E-2</v>
      </c>
      <c r="N1827" s="21">
        <v>41723</v>
      </c>
      <c r="O1827" s="21">
        <v>49028</v>
      </c>
      <c r="P1827">
        <f t="shared" si="1224"/>
        <v>20</v>
      </c>
      <c r="Q1827" s="6">
        <f t="shared" si="1225"/>
        <v>8.1387777881127346E-2</v>
      </c>
      <c r="R1827" s="5">
        <f t="shared" si="1226"/>
        <v>1</v>
      </c>
      <c r="S1827" t="s">
        <v>93</v>
      </c>
      <c r="U1827">
        <f t="shared" si="1227"/>
        <v>20</v>
      </c>
      <c r="V1827">
        <f t="shared" si="1228"/>
        <v>87.5</v>
      </c>
      <c r="W1827" s="28">
        <f t="shared" si="1229"/>
        <v>7.9858927448626826E-2</v>
      </c>
      <c r="X1827" s="27">
        <f t="shared" si="1230"/>
        <v>7.9858927448626826E-2</v>
      </c>
      <c r="Y1827" s="5">
        <f t="shared" si="1231"/>
        <v>10.433652060238344</v>
      </c>
      <c r="Z1827" s="5">
        <f t="shared" si="1232"/>
        <v>9.6620510281744334</v>
      </c>
      <c r="AA1827" s="5">
        <f t="shared" si="1233"/>
        <v>-10387.671060390332</v>
      </c>
      <c r="AB1827" t="s">
        <v>64</v>
      </c>
      <c r="AC1827" t="s">
        <v>62</v>
      </c>
      <c r="AD1827">
        <f t="shared" si="1234"/>
        <v>1</v>
      </c>
    </row>
    <row r="1828" spans="1:30" x14ac:dyDescent="0.35">
      <c r="A1828" t="s">
        <v>177</v>
      </c>
      <c r="B1828" t="s">
        <v>176</v>
      </c>
      <c r="C1828" s="36">
        <f t="shared" si="1222"/>
        <v>5.958750794949294E-2</v>
      </c>
      <c r="D1828" s="3">
        <f t="shared" si="1223"/>
        <v>5.958750794949294E-2</v>
      </c>
      <c r="F1828">
        <v>1350</v>
      </c>
      <c r="G1828" t="s">
        <v>76</v>
      </c>
      <c r="H1828">
        <v>1000</v>
      </c>
      <c r="I1828" s="22"/>
      <c r="J1828">
        <v>2</v>
      </c>
      <c r="K1828" s="22"/>
      <c r="L1828">
        <v>3.67867709831713</v>
      </c>
      <c r="M1828" s="22">
        <v>0.09</v>
      </c>
      <c r="N1828" s="21">
        <v>41723</v>
      </c>
      <c r="O1828" s="21">
        <v>49028</v>
      </c>
      <c r="P1828">
        <f t="shared" ref="P1828:P1859" si="1235">ROUND(YEARFRAC(N1828,O1828),0)</f>
        <v>20</v>
      </c>
      <c r="Q1828" s="6">
        <f t="shared" ref="Q1828:Q1859" si="1236">(M1828*H1828)/F1828</f>
        <v>6.6666666666666666E-2</v>
      </c>
      <c r="R1828" s="5">
        <f t="shared" ref="R1828:R1859" si="1237">IF(S1828="Quarterly",4,IF(S1828="Semi-annual",2,IF(S1828="Annual",1,IF(S1828="Pays at maturity",0,12))))</f>
        <v>1</v>
      </c>
      <c r="S1828" t="s">
        <v>93</v>
      </c>
      <c r="U1828">
        <f t="shared" ref="U1828:U1859" si="1238">R1828*P1828</f>
        <v>20</v>
      </c>
      <c r="V1828">
        <f t="shared" ref="V1828:V1859" si="1239">(H1828*M1828)/AD1828</f>
        <v>90</v>
      </c>
      <c r="W1828" s="28">
        <f t="shared" ref="W1828:W1859" si="1240">RATE(U1828,V1828,-F1828,H1828)</f>
        <v>5.958750794949294E-2</v>
      </c>
      <c r="X1828" s="27">
        <f t="shared" ref="X1828:X1859" si="1241">W1828*AD1828</f>
        <v>5.958750794949294E-2</v>
      </c>
      <c r="Y1828" s="5">
        <f t="shared" si="1231"/>
        <v>11.266835555655007</v>
      </c>
      <c r="Z1828" s="5">
        <f t="shared" si="1232"/>
        <v>10.633227997806916</v>
      </c>
      <c r="AA1828" s="5">
        <f t="shared" si="1233"/>
        <v>-14354.857797039336</v>
      </c>
      <c r="AB1828" t="s">
        <v>64</v>
      </c>
      <c r="AC1828" t="s">
        <v>62</v>
      </c>
      <c r="AD1828">
        <f t="shared" ref="AD1828:AD1859" si="1242">_xlfn.SWITCH(PROPER(TRIM(S1828)),
   "Annual",1,
   "Semi-Annual",2,
   "Quarterly",4,
   "Monthly",12,
   "")</f>
        <v>1</v>
      </c>
    </row>
    <row r="1829" spans="1:30" x14ac:dyDescent="0.35">
      <c r="A1829" t="s">
        <v>175</v>
      </c>
      <c r="B1829" t="s">
        <v>128</v>
      </c>
      <c r="C1829" s="36">
        <f t="shared" si="1222"/>
        <v>0.14687485180306215</v>
      </c>
      <c r="D1829" s="3">
        <f t="shared" si="1223"/>
        <v>0.14687485180306215</v>
      </c>
      <c r="F1829">
        <v>800.01</v>
      </c>
      <c r="G1829" t="s">
        <v>76</v>
      </c>
      <c r="H1829">
        <v>1000</v>
      </c>
      <c r="I1829" s="22"/>
      <c r="J1829">
        <v>3</v>
      </c>
      <c r="K1829" s="22"/>
      <c r="L1829">
        <v>16.305747529931999</v>
      </c>
      <c r="M1829" s="22">
        <v>0.1075</v>
      </c>
      <c r="N1829" s="21">
        <v>45377</v>
      </c>
      <c r="O1829" s="21">
        <v>49029</v>
      </c>
      <c r="P1829">
        <f t="shared" si="1235"/>
        <v>10</v>
      </c>
      <c r="Q1829" s="6">
        <f t="shared" si="1236"/>
        <v>0.13437332033349583</v>
      </c>
      <c r="R1829" s="5">
        <f t="shared" si="1237"/>
        <v>1</v>
      </c>
      <c r="S1829" t="s">
        <v>93</v>
      </c>
      <c r="U1829">
        <f t="shared" si="1238"/>
        <v>10</v>
      </c>
      <c r="V1829">
        <f t="shared" si="1239"/>
        <v>107.5</v>
      </c>
      <c r="W1829" s="28">
        <f t="shared" si="1240"/>
        <v>0.14687485180306215</v>
      </c>
      <c r="X1829" s="27">
        <f t="shared" si="1241"/>
        <v>0.14687485180306215</v>
      </c>
      <c r="Y1829" s="5">
        <f t="shared" si="1231"/>
        <v>6.1804789807775675</v>
      </c>
      <c r="Z1829" s="5">
        <f t="shared" si="1232"/>
        <v>5.3889741945783465</v>
      </c>
      <c r="AA1829" s="5">
        <f t="shared" si="1233"/>
        <v>-4311.2332454046227</v>
      </c>
      <c r="AB1829" t="s">
        <v>64</v>
      </c>
      <c r="AC1829" t="s">
        <v>62</v>
      </c>
      <c r="AD1829">
        <f t="shared" si="1242"/>
        <v>1</v>
      </c>
    </row>
    <row r="1830" spans="1:30" x14ac:dyDescent="0.35">
      <c r="A1830" t="s">
        <v>174</v>
      </c>
      <c r="B1830" t="s">
        <v>128</v>
      </c>
      <c r="C1830" s="36">
        <f t="shared" si="1222"/>
        <v>0.11102665388195965</v>
      </c>
      <c r="D1830" s="3">
        <f t="shared" si="1223"/>
        <v>0.11102665388195965</v>
      </c>
      <c r="F1830">
        <v>950</v>
      </c>
      <c r="G1830" t="s">
        <v>76</v>
      </c>
      <c r="H1830">
        <v>1000</v>
      </c>
      <c r="I1830" s="22"/>
      <c r="J1830">
        <v>50</v>
      </c>
      <c r="K1830" s="22"/>
      <c r="L1830">
        <v>11.3956752088488</v>
      </c>
      <c r="M1830" s="22">
        <v>0.10249999999999999</v>
      </c>
      <c r="N1830" s="21">
        <v>45377</v>
      </c>
      <c r="O1830" s="21">
        <v>49029</v>
      </c>
      <c r="P1830">
        <f t="shared" si="1235"/>
        <v>10</v>
      </c>
      <c r="Q1830" s="6">
        <f t="shared" si="1236"/>
        <v>0.10789473684210527</v>
      </c>
      <c r="R1830" s="5">
        <f t="shared" si="1237"/>
        <v>1</v>
      </c>
      <c r="S1830" t="s">
        <v>93</v>
      </c>
      <c r="U1830">
        <f t="shared" si="1238"/>
        <v>10</v>
      </c>
      <c r="V1830">
        <f t="shared" si="1239"/>
        <v>102.5</v>
      </c>
      <c r="W1830" s="28">
        <f t="shared" si="1240"/>
        <v>0.11102665388195965</v>
      </c>
      <c r="X1830" s="27">
        <f t="shared" si="1241"/>
        <v>0.11102665388195965</v>
      </c>
      <c r="Y1830" s="5">
        <f t="shared" si="1231"/>
        <v>6.6133281199773659</v>
      </c>
      <c r="Z1830" s="5">
        <f t="shared" si="1232"/>
        <v>5.9524477624998502</v>
      </c>
      <c r="AA1830" s="5">
        <f t="shared" si="1233"/>
        <v>-5654.8253743748573</v>
      </c>
      <c r="AB1830" t="s">
        <v>64</v>
      </c>
      <c r="AC1830" t="s">
        <v>62</v>
      </c>
      <c r="AD1830">
        <f t="shared" si="1242"/>
        <v>1</v>
      </c>
    </row>
    <row r="1831" spans="1:30" x14ac:dyDescent="0.35">
      <c r="A1831" t="s">
        <v>173</v>
      </c>
      <c r="B1831" t="s">
        <v>171</v>
      </c>
      <c r="C1831" s="36">
        <f t="shared" si="1222"/>
        <v>6.5264176716191613E-2</v>
      </c>
      <c r="D1831" s="3">
        <f t="shared" si="1223"/>
        <v>6.5264176716191613E-2</v>
      </c>
      <c r="F1831">
        <v>1249.99</v>
      </c>
      <c r="G1831" t="s">
        <v>76</v>
      </c>
      <c r="H1831">
        <v>1000</v>
      </c>
      <c r="I1831" s="22"/>
      <c r="J1831">
        <v>10</v>
      </c>
      <c r="K1831" s="22"/>
      <c r="L1831">
        <v>4.7372908951725803</v>
      </c>
      <c r="M1831" s="22">
        <v>8.8000000000000009E-2</v>
      </c>
      <c r="N1831" s="21">
        <v>41725</v>
      </c>
      <c r="O1831" s="21">
        <v>49030</v>
      </c>
      <c r="P1831">
        <f t="shared" si="1235"/>
        <v>20</v>
      </c>
      <c r="Q1831" s="6">
        <f t="shared" si="1236"/>
        <v>7.0400563204505648E-2</v>
      </c>
      <c r="R1831" s="5">
        <f t="shared" si="1237"/>
        <v>1</v>
      </c>
      <c r="S1831" t="s">
        <v>93</v>
      </c>
      <c r="U1831">
        <f t="shared" si="1238"/>
        <v>20</v>
      </c>
      <c r="V1831">
        <f t="shared" si="1239"/>
        <v>88.000000000000014</v>
      </c>
      <c r="W1831" s="28">
        <f t="shared" si="1240"/>
        <v>6.5264176716191613E-2</v>
      </c>
      <c r="X1831" s="27">
        <f t="shared" si="1241"/>
        <v>6.5264176716191613E-2</v>
      </c>
      <c r="Y1831" s="5">
        <f t="shared" si="1231"/>
        <v>11.060833837159095</v>
      </c>
      <c r="Z1831" s="5">
        <f t="shared" si="1232"/>
        <v>10.383183888953706</v>
      </c>
      <c r="AA1831" s="5">
        <f t="shared" si="1233"/>
        <v>-12978.876029353243</v>
      </c>
      <c r="AB1831" t="s">
        <v>64</v>
      </c>
      <c r="AC1831" t="s">
        <v>62</v>
      </c>
      <c r="AD1831">
        <f t="shared" si="1242"/>
        <v>1</v>
      </c>
    </row>
    <row r="1832" spans="1:30" x14ac:dyDescent="0.35">
      <c r="A1832" t="s">
        <v>172</v>
      </c>
      <c r="B1832" t="s">
        <v>171</v>
      </c>
      <c r="C1832" s="36">
        <f t="shared" si="1222"/>
        <v>6.5217287536875113E-2</v>
      </c>
      <c r="D1832" s="3">
        <f t="shared" si="1223"/>
        <v>6.5217287536875113E-2</v>
      </c>
      <c r="F1832">
        <v>1223.0999999999999</v>
      </c>
      <c r="G1832" t="s">
        <v>76</v>
      </c>
      <c r="H1832">
        <v>1000</v>
      </c>
      <c r="I1832" s="22"/>
      <c r="J1832">
        <v>25</v>
      </c>
      <c r="K1832" s="22"/>
      <c r="L1832">
        <v>4.9000744049624503</v>
      </c>
      <c r="M1832" s="22">
        <v>8.5500000000000007E-2</v>
      </c>
      <c r="N1832" s="21">
        <v>41725</v>
      </c>
      <c r="O1832" s="21">
        <v>49030</v>
      </c>
      <c r="P1832">
        <f t="shared" si="1235"/>
        <v>20</v>
      </c>
      <c r="Q1832" s="6">
        <f t="shared" si="1236"/>
        <v>6.9904341427520236E-2</v>
      </c>
      <c r="R1832" s="5">
        <f t="shared" si="1237"/>
        <v>1</v>
      </c>
      <c r="S1832" t="s">
        <v>93</v>
      </c>
      <c r="U1832">
        <f t="shared" si="1238"/>
        <v>20</v>
      </c>
      <c r="V1832">
        <f t="shared" si="1239"/>
        <v>85.5</v>
      </c>
      <c r="W1832" s="28">
        <f t="shared" si="1240"/>
        <v>6.5217287536875113E-2</v>
      </c>
      <c r="X1832" s="27">
        <f t="shared" si="1241"/>
        <v>6.5217287536875113E-2</v>
      </c>
      <c r="Y1832" s="5">
        <f t="shared" si="1231"/>
        <v>11.121579531119673</v>
      </c>
      <c r="Z1832" s="5">
        <f t="shared" si="1232"/>
        <v>10.440667515673109</v>
      </c>
      <c r="AA1832" s="5">
        <f t="shared" si="1233"/>
        <v>-12769.98043841978</v>
      </c>
      <c r="AB1832" t="s">
        <v>64</v>
      </c>
      <c r="AC1832" t="s">
        <v>62</v>
      </c>
      <c r="AD1832">
        <f t="shared" si="1242"/>
        <v>1</v>
      </c>
    </row>
    <row r="1833" spans="1:30" x14ac:dyDescent="0.35">
      <c r="A1833" t="s">
        <v>169</v>
      </c>
      <c r="B1833" t="s">
        <v>168</v>
      </c>
      <c r="C1833" s="36">
        <f t="shared" si="1222"/>
        <v>2.7840840903319935E-2</v>
      </c>
      <c r="D1833" s="3">
        <f t="shared" si="1223"/>
        <v>5.568168180663987E-2</v>
      </c>
      <c r="F1833">
        <v>1013.8</v>
      </c>
      <c r="G1833" t="s">
        <v>66</v>
      </c>
      <c r="H1833">
        <v>1000</v>
      </c>
      <c r="I1833" s="22"/>
      <c r="J1833">
        <v>0</v>
      </c>
      <c r="K1833" s="22"/>
      <c r="M1833" s="22">
        <v>5.7500000000000002E-2</v>
      </c>
      <c r="N1833" s="21">
        <v>45397</v>
      </c>
      <c r="O1833" s="21">
        <v>49049</v>
      </c>
      <c r="P1833">
        <f t="shared" si="1235"/>
        <v>10</v>
      </c>
      <c r="Q1833" s="6">
        <f t="shared" si="1236"/>
        <v>5.671730124284869E-2</v>
      </c>
      <c r="R1833" s="5">
        <f t="shared" si="1237"/>
        <v>2</v>
      </c>
      <c r="S1833" t="s">
        <v>65</v>
      </c>
      <c r="U1833">
        <f t="shared" si="1238"/>
        <v>20</v>
      </c>
      <c r="V1833">
        <f t="shared" si="1239"/>
        <v>28.75</v>
      </c>
      <c r="W1833" s="28">
        <f t="shared" si="1240"/>
        <v>2.7840840903319935E-2</v>
      </c>
      <c r="X1833" s="27">
        <f t="shared" si="1241"/>
        <v>5.568168180663987E-2</v>
      </c>
      <c r="Y1833" s="5">
        <f t="shared" si="1231"/>
        <v>7.7598227620859976</v>
      </c>
      <c r="Z1833" s="5">
        <f t="shared" si="1232"/>
        <v>7.5496345866800372</v>
      </c>
      <c r="AA1833" s="5">
        <f t="shared" si="1233"/>
        <v>-7653.8195439762212</v>
      </c>
      <c r="AB1833" t="s">
        <v>64</v>
      </c>
      <c r="AC1833" t="s">
        <v>62</v>
      </c>
      <c r="AD1833">
        <f t="shared" si="1242"/>
        <v>2</v>
      </c>
    </row>
    <row r="1834" spans="1:30" x14ac:dyDescent="0.35">
      <c r="A1834" t="s">
        <v>170</v>
      </c>
      <c r="B1834" t="s">
        <v>168</v>
      </c>
      <c r="C1834" s="36">
        <f t="shared" si="1222"/>
        <v>2.7217337975794141E-2</v>
      </c>
      <c r="D1834" s="3">
        <f t="shared" si="1223"/>
        <v>5.4434675951588282E-2</v>
      </c>
      <c r="F1834">
        <v>1023.4</v>
      </c>
      <c r="G1834" t="s">
        <v>66</v>
      </c>
      <c r="H1834">
        <v>1000</v>
      </c>
      <c r="I1834" s="22"/>
      <c r="J1834">
        <v>1840000</v>
      </c>
      <c r="K1834" s="22"/>
      <c r="M1834" s="22">
        <v>5.7500000000000002E-2</v>
      </c>
      <c r="N1834" s="21">
        <v>45397</v>
      </c>
      <c r="O1834" s="21">
        <v>49049</v>
      </c>
      <c r="P1834">
        <f t="shared" si="1235"/>
        <v>10</v>
      </c>
      <c r="Q1834" s="6">
        <f t="shared" si="1236"/>
        <v>5.6185264803595855E-2</v>
      </c>
      <c r="R1834" s="5">
        <f t="shared" si="1237"/>
        <v>2</v>
      </c>
      <c r="S1834" t="s">
        <v>65</v>
      </c>
      <c r="U1834">
        <f t="shared" si="1238"/>
        <v>20</v>
      </c>
      <c r="V1834">
        <f t="shared" si="1239"/>
        <v>28.75</v>
      </c>
      <c r="W1834" s="28">
        <f t="shared" si="1240"/>
        <v>2.7217337975794141E-2</v>
      </c>
      <c r="X1834" s="27">
        <f t="shared" si="1241"/>
        <v>5.4434675951588282E-2</v>
      </c>
      <c r="Y1834" s="5">
        <f t="shared" si="1231"/>
        <v>7.7721334021737389</v>
      </c>
      <c r="Z1834" s="5">
        <f t="shared" si="1232"/>
        <v>7.5662015377284124</v>
      </c>
      <c r="AA1834" s="5">
        <f t="shared" si="1233"/>
        <v>-7743.2506537112567</v>
      </c>
      <c r="AB1834" t="s">
        <v>64</v>
      </c>
      <c r="AC1834" t="s">
        <v>62</v>
      </c>
      <c r="AD1834">
        <f t="shared" si="1242"/>
        <v>2</v>
      </c>
    </row>
    <row r="1835" spans="1:30" x14ac:dyDescent="0.35">
      <c r="A1835" t="s">
        <v>169</v>
      </c>
      <c r="B1835" t="s">
        <v>168</v>
      </c>
      <c r="C1835" s="36">
        <f t="shared" si="1222"/>
        <v>2.7840840903319935E-2</v>
      </c>
      <c r="D1835" s="3">
        <f t="shared" si="1223"/>
        <v>5.568168180663987E-2</v>
      </c>
      <c r="F1835">
        <v>1013.8</v>
      </c>
      <c r="G1835" t="s">
        <v>66</v>
      </c>
      <c r="H1835">
        <v>1000</v>
      </c>
      <c r="I1835" s="22"/>
      <c r="J1835">
        <v>0</v>
      </c>
      <c r="K1835" s="22"/>
      <c r="M1835" s="22">
        <v>5.7500000000000002E-2</v>
      </c>
      <c r="N1835" s="21">
        <v>45397</v>
      </c>
      <c r="O1835" s="21">
        <v>49049</v>
      </c>
      <c r="P1835">
        <f t="shared" si="1235"/>
        <v>10</v>
      </c>
      <c r="Q1835" s="6">
        <f t="shared" si="1236"/>
        <v>5.671730124284869E-2</v>
      </c>
      <c r="R1835" s="5">
        <f t="shared" si="1237"/>
        <v>2</v>
      </c>
      <c r="S1835" t="s">
        <v>65</v>
      </c>
      <c r="U1835">
        <f t="shared" si="1238"/>
        <v>20</v>
      </c>
      <c r="V1835">
        <f t="shared" si="1239"/>
        <v>28.75</v>
      </c>
      <c r="W1835" s="28">
        <f t="shared" si="1240"/>
        <v>2.7840840903319935E-2</v>
      </c>
      <c r="X1835" s="27">
        <f t="shared" si="1241"/>
        <v>5.568168180663987E-2</v>
      </c>
      <c r="Y1835" s="5">
        <f t="shared" si="1231"/>
        <v>7.7598227620859976</v>
      </c>
      <c r="Z1835" s="5">
        <f t="shared" si="1232"/>
        <v>7.5496345866800372</v>
      </c>
      <c r="AA1835" s="5">
        <f t="shared" si="1233"/>
        <v>-7653.8195439762212</v>
      </c>
      <c r="AB1835" t="s">
        <v>64</v>
      </c>
      <c r="AC1835" t="s">
        <v>62</v>
      </c>
      <c r="AD1835">
        <f t="shared" si="1242"/>
        <v>2</v>
      </c>
    </row>
    <row r="1836" spans="1:30" x14ac:dyDescent="0.35">
      <c r="A1836" t="s">
        <v>167</v>
      </c>
      <c r="B1836" t="s">
        <v>122</v>
      </c>
      <c r="C1836" s="36">
        <f t="shared" si="1222"/>
        <v>0.11310076297446782</v>
      </c>
      <c r="D1836" s="3">
        <f t="shared" si="1223"/>
        <v>0.11310076297446782</v>
      </c>
      <c r="F1836">
        <v>950</v>
      </c>
      <c r="G1836" t="s">
        <v>76</v>
      </c>
      <c r="H1836">
        <v>1000</v>
      </c>
      <c r="I1836" s="22"/>
      <c r="J1836">
        <v>20</v>
      </c>
      <c r="K1836" s="22"/>
      <c r="L1836">
        <v>11.568022658657201</v>
      </c>
      <c r="M1836" s="22">
        <v>0.1045</v>
      </c>
      <c r="N1836" s="21">
        <v>45411</v>
      </c>
      <c r="O1836" s="21">
        <v>49063</v>
      </c>
      <c r="P1836">
        <f t="shared" si="1235"/>
        <v>10</v>
      </c>
      <c r="Q1836" s="6">
        <f t="shared" si="1236"/>
        <v>0.11</v>
      </c>
      <c r="R1836" s="5">
        <f t="shared" si="1237"/>
        <v>1</v>
      </c>
      <c r="S1836" t="s">
        <v>93</v>
      </c>
      <c r="U1836">
        <f t="shared" si="1238"/>
        <v>10</v>
      </c>
      <c r="V1836">
        <f t="shared" si="1239"/>
        <v>104.5</v>
      </c>
      <c r="W1836" s="28">
        <f t="shared" si="1240"/>
        <v>0.11310076297446782</v>
      </c>
      <c r="X1836" s="27">
        <f t="shared" si="1241"/>
        <v>0.11310076297446782</v>
      </c>
      <c r="Y1836" s="5">
        <f t="shared" si="1231"/>
        <v>6.5676943944674262</v>
      </c>
      <c r="Z1836" s="5">
        <f t="shared" si="1232"/>
        <v>5.9003592603036203</v>
      </c>
      <c r="AA1836" s="5">
        <f t="shared" si="1233"/>
        <v>-5605.3412972884389</v>
      </c>
      <c r="AB1836" t="s">
        <v>64</v>
      </c>
      <c r="AC1836" t="s">
        <v>62</v>
      </c>
      <c r="AD1836">
        <f t="shared" si="1242"/>
        <v>1</v>
      </c>
    </row>
    <row r="1837" spans="1:30" x14ac:dyDescent="0.35">
      <c r="A1837" t="s">
        <v>166</v>
      </c>
      <c r="B1837" t="s">
        <v>122</v>
      </c>
      <c r="C1837" s="36">
        <f t="shared" si="1222"/>
        <v>0.1054639832430985</v>
      </c>
      <c r="D1837" s="3">
        <f t="shared" si="1223"/>
        <v>0.1054639832430985</v>
      </c>
      <c r="F1837">
        <v>967.2</v>
      </c>
      <c r="G1837" t="s">
        <v>76</v>
      </c>
      <c r="H1837">
        <v>1000</v>
      </c>
      <c r="I1837" s="22"/>
      <c r="J1837">
        <v>7</v>
      </c>
      <c r="K1837" s="22"/>
      <c r="L1837">
        <v>10.7256940838774</v>
      </c>
      <c r="M1837" s="22">
        <v>0.1</v>
      </c>
      <c r="N1837" s="21">
        <v>45411</v>
      </c>
      <c r="O1837" s="21">
        <v>49063</v>
      </c>
      <c r="P1837">
        <f t="shared" si="1235"/>
        <v>10</v>
      </c>
      <c r="Q1837" s="6">
        <f t="shared" si="1236"/>
        <v>0.10339123242349048</v>
      </c>
      <c r="R1837" s="5">
        <f t="shared" si="1237"/>
        <v>1</v>
      </c>
      <c r="S1837" t="s">
        <v>93</v>
      </c>
      <c r="U1837">
        <f t="shared" si="1238"/>
        <v>10</v>
      </c>
      <c r="V1837">
        <f t="shared" si="1239"/>
        <v>100</v>
      </c>
      <c r="W1837" s="28">
        <f t="shared" si="1240"/>
        <v>0.1054639832430985</v>
      </c>
      <c r="X1837" s="27">
        <f t="shared" si="1241"/>
        <v>0.1054639832430985</v>
      </c>
      <c r="Y1837" s="5">
        <f t="shared" si="1231"/>
        <v>6.702155356044722</v>
      </c>
      <c r="Z1837" s="5">
        <f t="shared" si="1232"/>
        <v>6.0627532489865619</v>
      </c>
      <c r="AA1837" s="5">
        <f t="shared" si="1233"/>
        <v>-5863.8949424198026</v>
      </c>
      <c r="AB1837" t="s">
        <v>64</v>
      </c>
      <c r="AC1837" t="s">
        <v>62</v>
      </c>
      <c r="AD1837">
        <f t="shared" si="1242"/>
        <v>1</v>
      </c>
    </row>
    <row r="1838" spans="1:30" x14ac:dyDescent="0.35">
      <c r="A1838" t="s">
        <v>165</v>
      </c>
      <c r="B1838" t="s">
        <v>122</v>
      </c>
      <c r="C1838" s="36">
        <f t="shared" si="1222"/>
        <v>0.10285254988390669</v>
      </c>
      <c r="D1838" s="3">
        <f t="shared" si="1223"/>
        <v>0.10285254988390669</v>
      </c>
      <c r="F1838">
        <v>1010</v>
      </c>
      <c r="G1838" t="s">
        <v>76</v>
      </c>
      <c r="H1838">
        <v>1000</v>
      </c>
      <c r="I1838" s="22"/>
      <c r="J1838">
        <v>10</v>
      </c>
      <c r="K1838" s="22"/>
      <c r="L1838">
        <v>10.2377816776561</v>
      </c>
      <c r="M1838" s="22">
        <v>0.1045</v>
      </c>
      <c r="N1838" s="21">
        <v>45411</v>
      </c>
      <c r="O1838" s="21">
        <v>49063</v>
      </c>
      <c r="P1838">
        <f t="shared" si="1235"/>
        <v>10</v>
      </c>
      <c r="Q1838" s="6">
        <f t="shared" si="1236"/>
        <v>0.10346534653465346</v>
      </c>
      <c r="R1838" s="5">
        <f t="shared" si="1237"/>
        <v>1</v>
      </c>
      <c r="S1838" t="s">
        <v>93</v>
      </c>
      <c r="U1838">
        <f t="shared" si="1238"/>
        <v>10</v>
      </c>
      <c r="V1838">
        <f t="shared" si="1239"/>
        <v>104.5</v>
      </c>
      <c r="W1838" s="28">
        <f t="shared" si="1240"/>
        <v>0.10285254988390669</v>
      </c>
      <c r="X1838" s="27">
        <f t="shared" si="1241"/>
        <v>0.10285254988390669</v>
      </c>
      <c r="Y1838" s="5">
        <f t="shared" si="1231"/>
        <v>6.6746047161461277</v>
      </c>
      <c r="Z1838" s="5">
        <f t="shared" si="1232"/>
        <v>6.0521279266650279</v>
      </c>
      <c r="AA1838" s="5">
        <f t="shared" si="1233"/>
        <v>-6112.6492059316779</v>
      </c>
      <c r="AB1838" t="s">
        <v>64</v>
      </c>
      <c r="AC1838" t="s">
        <v>62</v>
      </c>
      <c r="AD1838">
        <f t="shared" si="1242"/>
        <v>1</v>
      </c>
    </row>
    <row r="1839" spans="1:30" x14ac:dyDescent="0.35">
      <c r="A1839" t="s">
        <v>164</v>
      </c>
      <c r="B1839" t="s">
        <v>162</v>
      </c>
      <c r="C1839" s="36">
        <f t="shared" si="1222"/>
        <v>8.769899662951218E-2</v>
      </c>
      <c r="D1839" s="3">
        <f t="shared" si="1223"/>
        <v>8.769899662951218E-2</v>
      </c>
      <c r="F1839">
        <v>1060.3</v>
      </c>
      <c r="G1839" t="s">
        <v>76</v>
      </c>
      <c r="H1839">
        <v>1000</v>
      </c>
      <c r="I1839" s="22"/>
      <c r="J1839">
        <v>50</v>
      </c>
      <c r="K1839" s="22"/>
      <c r="L1839">
        <v>8.5045017457253103</v>
      </c>
      <c r="M1839" s="22">
        <v>9.6999999999999989E-2</v>
      </c>
      <c r="N1839" s="21">
        <v>45421</v>
      </c>
      <c r="O1839" s="21">
        <v>49073</v>
      </c>
      <c r="P1839">
        <f t="shared" si="1235"/>
        <v>10</v>
      </c>
      <c r="Q1839" s="6">
        <f t="shared" si="1236"/>
        <v>9.1483542393662159E-2</v>
      </c>
      <c r="R1839" s="5">
        <f t="shared" si="1237"/>
        <v>1</v>
      </c>
      <c r="S1839" t="s">
        <v>93</v>
      </c>
      <c r="U1839">
        <f t="shared" si="1238"/>
        <v>10</v>
      </c>
      <c r="V1839">
        <f t="shared" si="1239"/>
        <v>96.999999999999986</v>
      </c>
      <c r="W1839" s="28">
        <f t="shared" si="1240"/>
        <v>8.769899662951218E-2</v>
      </c>
      <c r="X1839" s="27">
        <f t="shared" si="1241"/>
        <v>8.769899662951218E-2</v>
      </c>
      <c r="Y1839" s="5">
        <f t="shared" si="1231"/>
        <v>6.9245104521248786</v>
      </c>
      <c r="Z1839" s="5">
        <f t="shared" si="1232"/>
        <v>6.3662010111088474</v>
      </c>
      <c r="AA1839" s="5">
        <f t="shared" si="1233"/>
        <v>-6750.0829320787107</v>
      </c>
      <c r="AB1839" t="s">
        <v>64</v>
      </c>
      <c r="AC1839" t="s">
        <v>62</v>
      </c>
      <c r="AD1839">
        <f t="shared" si="1242"/>
        <v>1</v>
      </c>
    </row>
    <row r="1840" spans="1:30" x14ac:dyDescent="0.35">
      <c r="A1840" t="s">
        <v>163</v>
      </c>
      <c r="B1840" t="s">
        <v>162</v>
      </c>
      <c r="C1840" s="36">
        <f t="shared" si="1222"/>
        <v>8.7152833437713947E-2</v>
      </c>
      <c r="D1840" s="3">
        <f t="shared" si="1223"/>
        <v>8.7152833437713947E-2</v>
      </c>
      <c r="F1840">
        <v>1038</v>
      </c>
      <c r="G1840" t="s">
        <v>76</v>
      </c>
      <c r="H1840">
        <v>1000</v>
      </c>
      <c r="I1840" s="22"/>
      <c r="J1840">
        <v>14</v>
      </c>
      <c r="K1840" s="22"/>
      <c r="L1840">
        <v>8.5437866367397906</v>
      </c>
      <c r="M1840" s="22">
        <v>9.3000000000000013E-2</v>
      </c>
      <c r="N1840" s="21">
        <v>45421</v>
      </c>
      <c r="O1840" s="21">
        <v>49073</v>
      </c>
      <c r="P1840">
        <f t="shared" si="1235"/>
        <v>10</v>
      </c>
      <c r="Q1840" s="6">
        <f t="shared" si="1236"/>
        <v>8.9595375722543363E-2</v>
      </c>
      <c r="R1840" s="5">
        <f t="shared" si="1237"/>
        <v>1</v>
      </c>
      <c r="S1840" t="s">
        <v>93</v>
      </c>
      <c r="U1840">
        <f t="shared" si="1238"/>
        <v>10</v>
      </c>
      <c r="V1840">
        <f t="shared" si="1239"/>
        <v>93.000000000000014</v>
      </c>
      <c r="W1840" s="28">
        <f t="shared" si="1240"/>
        <v>8.7152833437713947E-2</v>
      </c>
      <c r="X1840" s="27">
        <f t="shared" si="1241"/>
        <v>8.7152833437713947E-2</v>
      </c>
      <c r="Y1840" s="5">
        <f t="shared" si="1231"/>
        <v>6.9830208618724408</v>
      </c>
      <c r="Z1840" s="5">
        <f t="shared" si="1232"/>
        <v>6.4232191161119925</v>
      </c>
      <c r="AA1840" s="5">
        <f t="shared" si="1233"/>
        <v>-6667.3014425242482</v>
      </c>
      <c r="AB1840" t="s">
        <v>64</v>
      </c>
      <c r="AC1840" t="s">
        <v>62</v>
      </c>
      <c r="AD1840">
        <f t="shared" si="1242"/>
        <v>1</v>
      </c>
    </row>
    <row r="1841" spans="1:30" x14ac:dyDescent="0.35">
      <c r="A1841" t="s">
        <v>161</v>
      </c>
      <c r="B1841" t="s">
        <v>128</v>
      </c>
      <c r="C1841" s="36">
        <f t="shared" si="1222"/>
        <v>0.11348714597758817</v>
      </c>
      <c r="D1841" s="3">
        <f t="shared" si="1223"/>
        <v>0.11348714597758817</v>
      </c>
      <c r="F1841">
        <v>965.25</v>
      </c>
      <c r="G1841" t="s">
        <v>76</v>
      </c>
      <c r="H1841">
        <v>1000</v>
      </c>
      <c r="I1841" s="22"/>
      <c r="J1841">
        <v>2</v>
      </c>
      <c r="K1841" s="22"/>
      <c r="L1841">
        <v>11.542578363565999</v>
      </c>
      <c r="M1841" s="22">
        <v>0.1075</v>
      </c>
      <c r="N1841" s="21">
        <v>45443</v>
      </c>
      <c r="O1841" s="21">
        <v>49095</v>
      </c>
      <c r="P1841">
        <f t="shared" si="1235"/>
        <v>10</v>
      </c>
      <c r="Q1841" s="6">
        <f t="shared" si="1236"/>
        <v>0.11137011137011137</v>
      </c>
      <c r="R1841" s="5">
        <f t="shared" si="1237"/>
        <v>1</v>
      </c>
      <c r="S1841" t="s">
        <v>93</v>
      </c>
      <c r="U1841">
        <f t="shared" si="1238"/>
        <v>10</v>
      </c>
      <c r="V1841">
        <f t="shared" si="1239"/>
        <v>107.5</v>
      </c>
      <c r="W1841" s="28">
        <f t="shared" si="1240"/>
        <v>0.11348714597758817</v>
      </c>
      <c r="X1841" s="27">
        <f t="shared" si="1241"/>
        <v>0.11348714597758817</v>
      </c>
      <c r="Y1841" s="5">
        <f t="shared" si="1231"/>
        <v>6.5287763608579654</v>
      </c>
      <c r="Z1841" s="5">
        <f t="shared" si="1232"/>
        <v>5.863360331049007</v>
      </c>
      <c r="AA1841" s="5">
        <f t="shared" si="1233"/>
        <v>-5659.608559545054</v>
      </c>
      <c r="AB1841" t="s">
        <v>64</v>
      </c>
      <c r="AC1841" t="s">
        <v>62</v>
      </c>
      <c r="AD1841">
        <f t="shared" si="1242"/>
        <v>1</v>
      </c>
    </row>
    <row r="1842" spans="1:30" x14ac:dyDescent="0.35">
      <c r="A1842" t="s">
        <v>160</v>
      </c>
      <c r="B1842" t="s">
        <v>128</v>
      </c>
      <c r="C1842" s="36">
        <f t="shared" si="1222"/>
        <v>0.10583696703554359</v>
      </c>
      <c r="D1842" s="3">
        <f t="shared" si="1223"/>
        <v>0.10583696703554359</v>
      </c>
      <c r="F1842">
        <v>980</v>
      </c>
      <c r="G1842" t="s">
        <v>76</v>
      </c>
      <c r="H1842">
        <v>1000</v>
      </c>
      <c r="I1842" s="22"/>
      <c r="J1842">
        <v>14</v>
      </c>
      <c r="K1842" s="22"/>
      <c r="L1842">
        <v>10.6895169941817</v>
      </c>
      <c r="M1842" s="22">
        <v>0.10249999999999999</v>
      </c>
      <c r="N1842" s="21">
        <v>45443</v>
      </c>
      <c r="O1842" s="21">
        <v>49095</v>
      </c>
      <c r="P1842">
        <f t="shared" si="1235"/>
        <v>10</v>
      </c>
      <c r="Q1842" s="6">
        <f t="shared" si="1236"/>
        <v>0.10459183673469388</v>
      </c>
      <c r="R1842" s="5">
        <f t="shared" si="1237"/>
        <v>1</v>
      </c>
      <c r="S1842" t="s">
        <v>93</v>
      </c>
      <c r="U1842">
        <f t="shared" si="1238"/>
        <v>10</v>
      </c>
      <c r="V1842">
        <f t="shared" si="1239"/>
        <v>102.5</v>
      </c>
      <c r="W1842" s="28">
        <f t="shared" si="1240"/>
        <v>0.10583696703554359</v>
      </c>
      <c r="X1842" s="27">
        <f t="shared" si="1241"/>
        <v>0.10583696703554359</v>
      </c>
      <c r="Y1842" s="5">
        <f t="shared" si="1231"/>
        <v>6.6674694156600252</v>
      </c>
      <c r="Z1842" s="5">
        <f t="shared" si="1232"/>
        <v>6.0293421312670947</v>
      </c>
      <c r="AA1842" s="5">
        <f t="shared" si="1233"/>
        <v>-5908.7552886417525</v>
      </c>
      <c r="AB1842" t="s">
        <v>64</v>
      </c>
      <c r="AC1842" t="s">
        <v>62</v>
      </c>
      <c r="AD1842">
        <f t="shared" si="1242"/>
        <v>1</v>
      </c>
    </row>
    <row r="1843" spans="1:30" x14ac:dyDescent="0.35">
      <c r="A1843" t="s">
        <v>159</v>
      </c>
      <c r="B1843" t="s">
        <v>157</v>
      </c>
      <c r="C1843" s="36">
        <f t="shared" si="1222"/>
        <v>9.4718142009020415E-2</v>
      </c>
      <c r="D1843" s="3">
        <f t="shared" si="1223"/>
        <v>9.4718142009020415E-2</v>
      </c>
      <c r="F1843">
        <v>998</v>
      </c>
      <c r="G1843" t="s">
        <v>76</v>
      </c>
      <c r="H1843">
        <v>1000</v>
      </c>
      <c r="I1843" s="22"/>
      <c r="J1843">
        <v>80</v>
      </c>
      <c r="K1843" s="22"/>
      <c r="L1843">
        <v>9.4812662293728902</v>
      </c>
      <c r="M1843" s="22">
        <v>9.4399999999999998E-2</v>
      </c>
      <c r="N1843" s="21">
        <v>45455</v>
      </c>
      <c r="O1843" s="21">
        <v>49107</v>
      </c>
      <c r="P1843">
        <f t="shared" si="1235"/>
        <v>10</v>
      </c>
      <c r="Q1843" s="6">
        <f t="shared" si="1236"/>
        <v>9.4589178356713419E-2</v>
      </c>
      <c r="R1843" s="5">
        <f t="shared" si="1237"/>
        <v>1</v>
      </c>
      <c r="S1843" t="s">
        <v>93</v>
      </c>
      <c r="U1843">
        <f t="shared" si="1238"/>
        <v>10</v>
      </c>
      <c r="V1843">
        <f t="shared" si="1239"/>
        <v>94.399999999999991</v>
      </c>
      <c r="W1843" s="28">
        <f t="shared" si="1240"/>
        <v>9.4718142009020415E-2</v>
      </c>
      <c r="X1843" s="27">
        <f t="shared" si="1241"/>
        <v>9.4718142009020415E-2</v>
      </c>
      <c r="Y1843" s="5">
        <f t="shared" si="1231"/>
        <v>6.8861918882209068</v>
      </c>
      <c r="Z1843" s="5">
        <f t="shared" si="1232"/>
        <v>6.2903788874672406</v>
      </c>
      <c r="AA1843" s="5">
        <f t="shared" si="1233"/>
        <v>-6277.7981296923062</v>
      </c>
      <c r="AB1843" t="s">
        <v>64</v>
      </c>
      <c r="AC1843" t="s">
        <v>62</v>
      </c>
      <c r="AD1843">
        <f t="shared" si="1242"/>
        <v>1</v>
      </c>
    </row>
    <row r="1844" spans="1:30" x14ac:dyDescent="0.35">
      <c r="A1844" t="s">
        <v>158</v>
      </c>
      <c r="B1844" t="s">
        <v>157</v>
      </c>
      <c r="C1844" s="36">
        <f t="shared" si="1222"/>
        <v>9.2206530574032053E-2</v>
      </c>
      <c r="D1844" s="3">
        <f t="shared" si="1223"/>
        <v>9.2206530574032053E-2</v>
      </c>
      <c r="F1844">
        <v>1040</v>
      </c>
      <c r="G1844" t="s">
        <v>76</v>
      </c>
      <c r="H1844">
        <v>1000</v>
      </c>
      <c r="I1844" s="22"/>
      <c r="J1844">
        <v>9</v>
      </c>
      <c r="K1844" s="22"/>
      <c r="L1844">
        <v>9.0606725146198794</v>
      </c>
      <c r="M1844" s="22">
        <v>9.849999999999999E-2</v>
      </c>
      <c r="N1844" s="21">
        <v>45455</v>
      </c>
      <c r="O1844" s="21">
        <v>49107</v>
      </c>
      <c r="P1844">
        <f t="shared" si="1235"/>
        <v>10</v>
      </c>
      <c r="Q1844" s="6">
        <f t="shared" si="1236"/>
        <v>9.4711538461538444E-2</v>
      </c>
      <c r="R1844" s="5">
        <f t="shared" si="1237"/>
        <v>1</v>
      </c>
      <c r="S1844" t="s">
        <v>93</v>
      </c>
      <c r="U1844">
        <f t="shared" si="1238"/>
        <v>10</v>
      </c>
      <c r="V1844">
        <f t="shared" si="1239"/>
        <v>98.499999999999986</v>
      </c>
      <c r="W1844" s="28">
        <f t="shared" si="1240"/>
        <v>9.2206530574032053E-2</v>
      </c>
      <c r="X1844" s="27">
        <f t="shared" si="1241"/>
        <v>9.2206530574032053E-2</v>
      </c>
      <c r="Y1844" s="5">
        <f t="shared" si="1231"/>
        <v>6.8587584275914928</v>
      </c>
      <c r="Z1844" s="5">
        <f t="shared" si="1232"/>
        <v>6.2797266227539659</v>
      </c>
      <c r="AA1844" s="5">
        <f t="shared" si="1233"/>
        <v>-6530.9156876641246</v>
      </c>
      <c r="AB1844" t="s">
        <v>64</v>
      </c>
      <c r="AC1844" t="s">
        <v>62</v>
      </c>
      <c r="AD1844">
        <f t="shared" si="1242"/>
        <v>1</v>
      </c>
    </row>
    <row r="1845" spans="1:30" x14ac:dyDescent="0.35">
      <c r="A1845" t="s">
        <v>156</v>
      </c>
      <c r="B1845" t="s">
        <v>72</v>
      </c>
      <c r="C1845" s="36">
        <f t="shared" si="1222"/>
        <v>7.3277159278007889E-2</v>
      </c>
      <c r="D1845" s="3">
        <f t="shared" si="1223"/>
        <v>7.3277159278007889E-2</v>
      </c>
      <c r="F1845">
        <v>1046600</v>
      </c>
      <c r="G1845" t="s">
        <v>76</v>
      </c>
      <c r="H1845">
        <v>1000000</v>
      </c>
      <c r="I1845" s="22"/>
      <c r="J1845">
        <v>2</v>
      </c>
      <c r="K1845" s="22"/>
      <c r="L1845">
        <v>7.1990743234699197</v>
      </c>
      <c r="M1845" s="22">
        <v>7.85E-2</v>
      </c>
      <c r="N1845" s="21">
        <v>43647</v>
      </c>
      <c r="O1845" s="21">
        <v>49126</v>
      </c>
      <c r="P1845">
        <f t="shared" si="1235"/>
        <v>15</v>
      </c>
      <c r="Q1845" s="6">
        <f t="shared" si="1236"/>
        <v>7.5004777374355056E-2</v>
      </c>
      <c r="R1845" s="5">
        <f t="shared" si="1237"/>
        <v>1</v>
      </c>
      <c r="S1845" t="s">
        <v>93</v>
      </c>
      <c r="U1845">
        <f t="shared" si="1238"/>
        <v>15</v>
      </c>
      <c r="V1845">
        <f t="shared" si="1239"/>
        <v>78500</v>
      </c>
      <c r="W1845" s="28">
        <f t="shared" si="1240"/>
        <v>7.3277159278007889E-2</v>
      </c>
      <c r="X1845" s="27">
        <f t="shared" si="1241"/>
        <v>7.3277159278007889E-2</v>
      </c>
      <c r="Y1845" s="5">
        <f t="shared" si="1231"/>
        <v>9.4482765138826625</v>
      </c>
      <c r="Z1845" s="5">
        <f t="shared" si="1232"/>
        <v>8.8032028187747002</v>
      </c>
      <c r="AA1845" s="5">
        <f t="shared" si="1233"/>
        <v>-9213432.0701296013</v>
      </c>
      <c r="AB1845" t="s">
        <v>64</v>
      </c>
      <c r="AC1845" t="s">
        <v>62</v>
      </c>
      <c r="AD1845">
        <f t="shared" si="1242"/>
        <v>1</v>
      </c>
    </row>
    <row r="1846" spans="1:30" x14ac:dyDescent="0.35">
      <c r="A1846" t="s">
        <v>155</v>
      </c>
      <c r="B1846" t="s">
        <v>119</v>
      </c>
      <c r="C1846" s="36">
        <f t="shared" si="1222"/>
        <v>0.10216156098151224</v>
      </c>
      <c r="D1846" s="3">
        <f t="shared" si="1223"/>
        <v>0.10216156098151224</v>
      </c>
      <c r="F1846">
        <v>1032.5</v>
      </c>
      <c r="G1846" t="s">
        <v>76</v>
      </c>
      <c r="H1846">
        <v>1000</v>
      </c>
      <c r="I1846" s="22"/>
      <c r="J1846">
        <v>100</v>
      </c>
      <c r="K1846" s="22"/>
      <c r="L1846">
        <v>10.063783822616299</v>
      </c>
      <c r="M1846" s="22">
        <v>0.1075</v>
      </c>
      <c r="N1846" s="21">
        <v>45476</v>
      </c>
      <c r="O1846" s="21">
        <v>49128</v>
      </c>
      <c r="P1846">
        <f t="shared" si="1235"/>
        <v>10</v>
      </c>
      <c r="Q1846" s="6">
        <f t="shared" si="1236"/>
        <v>0.10411622276029056</v>
      </c>
      <c r="R1846" s="5">
        <f t="shared" si="1237"/>
        <v>1</v>
      </c>
      <c r="S1846" t="s">
        <v>93</v>
      </c>
      <c r="U1846">
        <f t="shared" si="1238"/>
        <v>10</v>
      </c>
      <c r="V1846">
        <f t="shared" si="1239"/>
        <v>107.5</v>
      </c>
      <c r="W1846" s="28">
        <f t="shared" si="1240"/>
        <v>0.10216156098151224</v>
      </c>
      <c r="X1846" s="27">
        <f t="shared" si="1241"/>
        <v>0.10216156098151224</v>
      </c>
      <c r="Y1846" s="5">
        <f t="shared" si="1231"/>
        <v>6.6469234044653724</v>
      </c>
      <c r="Z1846" s="5">
        <f t="shared" si="1232"/>
        <v>6.0308067707841868</v>
      </c>
      <c r="AA1846" s="5">
        <f t="shared" si="1233"/>
        <v>-6226.8079908346726</v>
      </c>
      <c r="AB1846" t="s">
        <v>64</v>
      </c>
      <c r="AC1846" t="s">
        <v>62</v>
      </c>
      <c r="AD1846">
        <f t="shared" si="1242"/>
        <v>1</v>
      </c>
    </row>
    <row r="1847" spans="1:30" x14ac:dyDescent="0.35">
      <c r="A1847" t="s">
        <v>154</v>
      </c>
      <c r="B1847" t="s">
        <v>119</v>
      </c>
      <c r="C1847" s="36">
        <f t="shared" si="1222"/>
        <v>0.1062775158279864</v>
      </c>
      <c r="D1847" s="3">
        <f t="shared" si="1223"/>
        <v>0.1062775158279864</v>
      </c>
      <c r="F1847">
        <v>978</v>
      </c>
      <c r="G1847" t="s">
        <v>76</v>
      </c>
      <c r="H1847">
        <v>1000</v>
      </c>
      <c r="I1847" s="22"/>
      <c r="J1847">
        <v>50</v>
      </c>
      <c r="K1847" s="22"/>
      <c r="L1847">
        <v>10.7421178382323</v>
      </c>
      <c r="M1847" s="22">
        <v>0.1026</v>
      </c>
      <c r="N1847" s="21">
        <v>45476</v>
      </c>
      <c r="O1847" s="21">
        <v>49128</v>
      </c>
      <c r="P1847">
        <f t="shared" si="1235"/>
        <v>10</v>
      </c>
      <c r="Q1847" s="6">
        <f t="shared" si="1236"/>
        <v>0.10490797546012269</v>
      </c>
      <c r="R1847" s="5">
        <f t="shared" si="1237"/>
        <v>1</v>
      </c>
      <c r="S1847" t="s">
        <v>93</v>
      </c>
      <c r="U1847">
        <f t="shared" si="1238"/>
        <v>10</v>
      </c>
      <c r="V1847">
        <f t="shared" si="1239"/>
        <v>102.6</v>
      </c>
      <c r="W1847" s="28">
        <f t="shared" si="1240"/>
        <v>0.1062775158279864</v>
      </c>
      <c r="X1847" s="27">
        <f t="shared" si="1241"/>
        <v>0.1062775158279864</v>
      </c>
      <c r="Y1847" s="5">
        <f t="shared" si="1231"/>
        <v>6.6616640178973467</v>
      </c>
      <c r="Z1847" s="5">
        <f t="shared" si="1232"/>
        <v>6.021693402049725</v>
      </c>
      <c r="AA1847" s="5">
        <f t="shared" si="1233"/>
        <v>-5889.2161472046309</v>
      </c>
      <c r="AB1847" t="s">
        <v>64</v>
      </c>
      <c r="AC1847" t="s">
        <v>62</v>
      </c>
      <c r="AD1847">
        <f t="shared" si="1242"/>
        <v>1</v>
      </c>
    </row>
    <row r="1848" spans="1:30" x14ac:dyDescent="0.35">
      <c r="A1848" t="s">
        <v>153</v>
      </c>
      <c r="B1848" t="s">
        <v>122</v>
      </c>
      <c r="C1848" s="36">
        <f t="shared" si="1222"/>
        <v>0.10999999999999997</v>
      </c>
      <c r="D1848" s="3">
        <f t="shared" si="1223"/>
        <v>0.10999999999999997</v>
      </c>
      <c r="F1848">
        <v>1000</v>
      </c>
      <c r="G1848" t="s">
        <v>76</v>
      </c>
      <c r="H1848">
        <v>1000</v>
      </c>
      <c r="I1848" s="22"/>
      <c r="J1848">
        <v>176</v>
      </c>
      <c r="K1848" s="22"/>
      <c r="L1848">
        <v>11</v>
      </c>
      <c r="M1848" s="22">
        <v>0.11</v>
      </c>
      <c r="N1848" s="21">
        <v>45499</v>
      </c>
      <c r="O1848" s="21">
        <v>49151</v>
      </c>
      <c r="P1848">
        <f t="shared" si="1235"/>
        <v>10</v>
      </c>
      <c r="Q1848" s="6">
        <f t="shared" si="1236"/>
        <v>0.11</v>
      </c>
      <c r="R1848" s="5">
        <f t="shared" si="1237"/>
        <v>1</v>
      </c>
      <c r="S1848" t="s">
        <v>93</v>
      </c>
      <c r="U1848">
        <f t="shared" si="1238"/>
        <v>10</v>
      </c>
      <c r="V1848">
        <f t="shared" si="1239"/>
        <v>110</v>
      </c>
      <c r="W1848" s="28">
        <f t="shared" si="1240"/>
        <v>0.10999999999999997</v>
      </c>
      <c r="X1848" s="27">
        <f t="shared" si="1241"/>
        <v>0.10999999999999997</v>
      </c>
      <c r="Y1848" s="5">
        <f t="shared" si="1231"/>
        <v>6.5370475323667412</v>
      </c>
      <c r="Z1848" s="5">
        <f t="shared" si="1232"/>
        <v>5.8892320111412086</v>
      </c>
      <c r="AA1848" s="5">
        <f t="shared" si="1233"/>
        <v>-5889.2320111412082</v>
      </c>
      <c r="AB1848" t="s">
        <v>64</v>
      </c>
      <c r="AC1848" t="s">
        <v>62</v>
      </c>
      <c r="AD1848">
        <f t="shared" si="1242"/>
        <v>1</v>
      </c>
    </row>
    <row r="1849" spans="1:30" x14ac:dyDescent="0.35">
      <c r="A1849" t="s">
        <v>152</v>
      </c>
      <c r="B1849" t="s">
        <v>122</v>
      </c>
      <c r="C1849" s="36">
        <f t="shared" si="1222"/>
        <v>0.10983031936825167</v>
      </c>
      <c r="D1849" s="3">
        <f t="shared" si="1223"/>
        <v>0.10983031936825167</v>
      </c>
      <c r="F1849">
        <v>1001</v>
      </c>
      <c r="G1849" t="s">
        <v>76</v>
      </c>
      <c r="H1849">
        <v>1000</v>
      </c>
      <c r="I1849" s="22"/>
      <c r="J1849">
        <v>300</v>
      </c>
      <c r="K1849" s="22"/>
      <c r="L1849">
        <v>10.9784234348694</v>
      </c>
      <c r="M1849" s="22">
        <v>0.11</v>
      </c>
      <c r="N1849" s="21">
        <v>45499</v>
      </c>
      <c r="O1849" s="21">
        <v>49151</v>
      </c>
      <c r="P1849">
        <f t="shared" si="1235"/>
        <v>10</v>
      </c>
      <c r="Q1849" s="6">
        <f t="shared" si="1236"/>
        <v>0.10989010989010989</v>
      </c>
      <c r="R1849" s="5">
        <f t="shared" si="1237"/>
        <v>1</v>
      </c>
      <c r="S1849" t="s">
        <v>93</v>
      </c>
      <c r="U1849">
        <f t="shared" si="1238"/>
        <v>10</v>
      </c>
      <c r="V1849">
        <f t="shared" si="1239"/>
        <v>110</v>
      </c>
      <c r="W1849" s="28">
        <f t="shared" si="1240"/>
        <v>0.10983031936825167</v>
      </c>
      <c r="X1849" s="27">
        <f t="shared" si="1241"/>
        <v>0.10983031936825167</v>
      </c>
      <c r="Y1849" s="5">
        <f t="shared" si="1231"/>
        <v>6.5388180377644733</v>
      </c>
      <c r="Z1849" s="5">
        <f t="shared" si="1232"/>
        <v>5.891727702561381</v>
      </c>
      <c r="AA1849" s="5">
        <f t="shared" si="1233"/>
        <v>-5897.6194302639424</v>
      </c>
      <c r="AB1849" t="s">
        <v>64</v>
      </c>
      <c r="AC1849" t="s">
        <v>62</v>
      </c>
      <c r="AD1849">
        <f t="shared" si="1242"/>
        <v>1</v>
      </c>
    </row>
    <row r="1850" spans="1:30" x14ac:dyDescent="0.35">
      <c r="A1850" t="s">
        <v>151</v>
      </c>
      <c r="B1850" t="s">
        <v>122</v>
      </c>
      <c r="C1850" s="36">
        <f t="shared" si="1222"/>
        <v>0.10827145174522382</v>
      </c>
      <c r="D1850" s="3">
        <f t="shared" si="1223"/>
        <v>0.10827145174522382</v>
      </c>
      <c r="F1850">
        <v>980</v>
      </c>
      <c r="G1850" t="s">
        <v>76</v>
      </c>
      <c r="H1850">
        <v>1000</v>
      </c>
      <c r="I1850" s="22"/>
      <c r="J1850">
        <v>50</v>
      </c>
      <c r="K1850" s="22"/>
      <c r="L1850">
        <v>10.9304943862043</v>
      </c>
      <c r="M1850" s="22">
        <v>0.10490000000000001</v>
      </c>
      <c r="N1850" s="21">
        <v>45499</v>
      </c>
      <c r="O1850" s="21">
        <v>49151</v>
      </c>
      <c r="P1850">
        <f t="shared" si="1235"/>
        <v>10</v>
      </c>
      <c r="Q1850" s="6">
        <f t="shared" si="1236"/>
        <v>0.10704081632653062</v>
      </c>
      <c r="R1850" s="5">
        <f t="shared" si="1237"/>
        <v>1</v>
      </c>
      <c r="S1850" t="s">
        <v>93</v>
      </c>
      <c r="U1850">
        <f t="shared" si="1238"/>
        <v>10</v>
      </c>
      <c r="V1850">
        <f t="shared" si="1239"/>
        <v>104.9</v>
      </c>
      <c r="W1850" s="28">
        <f t="shared" si="1240"/>
        <v>0.10827145174522382</v>
      </c>
      <c r="X1850" s="27">
        <f t="shared" si="1241"/>
        <v>0.10827145174522382</v>
      </c>
      <c r="Y1850" s="5">
        <f t="shared" si="1231"/>
        <v>6.613382018424991</v>
      </c>
      <c r="Z1850" s="5">
        <f t="shared" si="1232"/>
        <v>5.9672943916499213</v>
      </c>
      <c r="AA1850" s="5">
        <f t="shared" si="1233"/>
        <v>-5847.9485038169232</v>
      </c>
      <c r="AB1850" t="s">
        <v>64</v>
      </c>
      <c r="AC1850" t="s">
        <v>62</v>
      </c>
      <c r="AD1850">
        <f t="shared" si="1242"/>
        <v>1</v>
      </c>
    </row>
    <row r="1851" spans="1:30" x14ac:dyDescent="0.35">
      <c r="A1851" t="s">
        <v>150</v>
      </c>
      <c r="B1851" t="s">
        <v>72</v>
      </c>
      <c r="C1851" s="36">
        <f t="shared" si="1222"/>
        <v>6.6997190010652699E-2</v>
      </c>
      <c r="D1851" s="3">
        <f t="shared" si="1223"/>
        <v>6.6997190010652699E-2</v>
      </c>
      <c r="F1851">
        <v>1078005</v>
      </c>
      <c r="G1851" t="s">
        <v>76</v>
      </c>
      <c r="H1851">
        <v>1000000</v>
      </c>
      <c r="I1851" s="22"/>
      <c r="J1851">
        <v>10</v>
      </c>
      <c r="K1851" s="22"/>
      <c r="L1851">
        <v>6.4141822537203304</v>
      </c>
      <c r="M1851" s="22">
        <v>7.5399999999999995E-2</v>
      </c>
      <c r="N1851" s="21">
        <v>43675</v>
      </c>
      <c r="O1851" s="21">
        <v>49154</v>
      </c>
      <c r="P1851">
        <f t="shared" si="1235"/>
        <v>15</v>
      </c>
      <c r="Q1851" s="6">
        <f t="shared" si="1236"/>
        <v>6.9944016957249736E-2</v>
      </c>
      <c r="R1851" s="5">
        <f t="shared" si="1237"/>
        <v>1</v>
      </c>
      <c r="S1851" t="s">
        <v>93</v>
      </c>
      <c r="U1851">
        <f t="shared" si="1238"/>
        <v>15</v>
      </c>
      <c r="V1851">
        <f t="shared" si="1239"/>
        <v>75400</v>
      </c>
      <c r="W1851" s="28">
        <f t="shared" si="1240"/>
        <v>6.6997190010652699E-2</v>
      </c>
      <c r="X1851" s="27">
        <f t="shared" si="1241"/>
        <v>6.6997190010652699E-2</v>
      </c>
      <c r="Y1851" s="5">
        <f t="shared" si="1231"/>
        <v>9.6810591915364821</v>
      </c>
      <c r="Z1851" s="5">
        <f t="shared" si="1232"/>
        <v>9.0731815249108845</v>
      </c>
      <c r="AA1851" s="5">
        <f t="shared" si="1233"/>
        <v>-9780935.049761558</v>
      </c>
      <c r="AB1851" t="s">
        <v>64</v>
      </c>
      <c r="AC1851" t="s">
        <v>62</v>
      </c>
      <c r="AD1851">
        <f t="shared" si="1242"/>
        <v>1</v>
      </c>
    </row>
    <row r="1852" spans="1:30" x14ac:dyDescent="0.35">
      <c r="A1852" t="s">
        <v>149</v>
      </c>
      <c r="B1852" t="s">
        <v>72</v>
      </c>
      <c r="C1852" s="36">
        <f t="shared" si="1222"/>
        <v>7.2678472324190446E-2</v>
      </c>
      <c r="D1852" s="3">
        <f t="shared" si="1223"/>
        <v>7.2678472324190446E-2</v>
      </c>
      <c r="F1852">
        <v>1019000</v>
      </c>
      <c r="G1852" t="s">
        <v>76</v>
      </c>
      <c r="H1852">
        <v>1000000</v>
      </c>
      <c r="I1852" s="22"/>
      <c r="J1852">
        <v>10</v>
      </c>
      <c r="K1852" s="22"/>
      <c r="L1852">
        <v>7.1808468751165604</v>
      </c>
      <c r="M1852" s="22">
        <v>7.4800000000000005E-2</v>
      </c>
      <c r="N1852" s="21">
        <v>43706</v>
      </c>
      <c r="O1852" s="21">
        <v>49185</v>
      </c>
      <c r="P1852">
        <f t="shared" si="1235"/>
        <v>15</v>
      </c>
      <c r="Q1852" s="6">
        <f t="shared" si="1236"/>
        <v>7.3405299313052008E-2</v>
      </c>
      <c r="R1852" s="5">
        <f t="shared" si="1237"/>
        <v>1</v>
      </c>
      <c r="S1852" t="s">
        <v>93</v>
      </c>
      <c r="U1852">
        <f t="shared" si="1238"/>
        <v>15</v>
      </c>
      <c r="V1852">
        <f t="shared" si="1239"/>
        <v>74800</v>
      </c>
      <c r="W1852" s="28">
        <f t="shared" si="1240"/>
        <v>7.2678472324190446E-2</v>
      </c>
      <c r="X1852" s="27">
        <f t="shared" si="1241"/>
        <v>7.2678472324190446E-2</v>
      </c>
      <c r="Y1852" s="5">
        <f t="shared" si="1231"/>
        <v>9.5527691246220332</v>
      </c>
      <c r="Z1852" s="5">
        <f t="shared" si="1232"/>
        <v>8.9055288896810687</v>
      </c>
      <c r="AA1852" s="5">
        <f t="shared" si="1233"/>
        <v>-9074733.9385850094</v>
      </c>
      <c r="AB1852" t="s">
        <v>64</v>
      </c>
      <c r="AC1852" t="s">
        <v>62</v>
      </c>
      <c r="AD1852">
        <f t="shared" si="1242"/>
        <v>1</v>
      </c>
    </row>
    <row r="1853" spans="1:30" x14ac:dyDescent="0.35">
      <c r="A1853" t="s">
        <v>148</v>
      </c>
      <c r="B1853" t="s">
        <v>128</v>
      </c>
      <c r="C1853" s="36">
        <f t="shared" si="1222"/>
        <v>0.10583696703554359</v>
      </c>
      <c r="D1853" s="3">
        <f t="shared" si="1223"/>
        <v>0.10583696703554359</v>
      </c>
      <c r="F1853">
        <v>980</v>
      </c>
      <c r="G1853" t="s">
        <v>76</v>
      </c>
      <c r="H1853">
        <v>1000</v>
      </c>
      <c r="I1853" s="22"/>
      <c r="J1853">
        <v>91</v>
      </c>
      <c r="K1853" s="22"/>
      <c r="L1853">
        <v>10.6788527855848</v>
      </c>
      <c r="M1853" s="22">
        <v>0.10249999999999999</v>
      </c>
      <c r="N1853" s="21">
        <v>45560</v>
      </c>
      <c r="O1853" s="21">
        <v>49212</v>
      </c>
      <c r="P1853">
        <f t="shared" si="1235"/>
        <v>10</v>
      </c>
      <c r="Q1853" s="6">
        <f t="shared" si="1236"/>
        <v>0.10459183673469388</v>
      </c>
      <c r="R1853" s="5">
        <f t="shared" si="1237"/>
        <v>1</v>
      </c>
      <c r="S1853" t="s">
        <v>93</v>
      </c>
      <c r="U1853">
        <f t="shared" si="1238"/>
        <v>10</v>
      </c>
      <c r="V1853">
        <f t="shared" si="1239"/>
        <v>102.5</v>
      </c>
      <c r="W1853" s="28">
        <f t="shared" si="1240"/>
        <v>0.10583696703554359</v>
      </c>
      <c r="X1853" s="27">
        <f t="shared" si="1241"/>
        <v>0.10583696703554359</v>
      </c>
      <c r="Y1853" s="5">
        <f t="shared" si="1231"/>
        <v>6.6674694156600252</v>
      </c>
      <c r="Z1853" s="5">
        <f t="shared" si="1232"/>
        <v>6.0293421312670947</v>
      </c>
      <c r="AA1853" s="5">
        <f t="shared" si="1233"/>
        <v>-5908.7552886417525</v>
      </c>
      <c r="AB1853" t="s">
        <v>64</v>
      </c>
      <c r="AC1853" t="s">
        <v>62</v>
      </c>
      <c r="AD1853">
        <f t="shared" si="1242"/>
        <v>1</v>
      </c>
    </row>
    <row r="1854" spans="1:30" x14ac:dyDescent="0.35">
      <c r="A1854" t="s">
        <v>147</v>
      </c>
      <c r="B1854" t="s">
        <v>128</v>
      </c>
      <c r="C1854" s="36">
        <f t="shared" si="1222"/>
        <v>0.14344511535803134</v>
      </c>
      <c r="D1854" s="3">
        <f t="shared" si="1223"/>
        <v>0.14344511535803134</v>
      </c>
      <c r="F1854">
        <v>815</v>
      </c>
      <c r="G1854" t="s">
        <v>76</v>
      </c>
      <c r="H1854">
        <v>1000</v>
      </c>
      <c r="I1854" s="22"/>
      <c r="J1854">
        <v>206</v>
      </c>
      <c r="K1854" s="22"/>
      <c r="L1854">
        <v>15.6064208742823</v>
      </c>
      <c r="M1854" s="22">
        <v>0.1075</v>
      </c>
      <c r="N1854" s="21">
        <v>45560</v>
      </c>
      <c r="O1854" s="21">
        <v>49212</v>
      </c>
      <c r="P1854">
        <f t="shared" si="1235"/>
        <v>10</v>
      </c>
      <c r="Q1854" s="6">
        <f t="shared" si="1236"/>
        <v>0.13190184049079753</v>
      </c>
      <c r="R1854" s="5">
        <f t="shared" si="1237"/>
        <v>1</v>
      </c>
      <c r="S1854" t="s">
        <v>93</v>
      </c>
      <c r="U1854">
        <f t="shared" si="1238"/>
        <v>10</v>
      </c>
      <c r="V1854">
        <f t="shared" si="1239"/>
        <v>107.5</v>
      </c>
      <c r="W1854" s="28">
        <f t="shared" si="1240"/>
        <v>0.14344511535803134</v>
      </c>
      <c r="X1854" s="27">
        <f t="shared" si="1241"/>
        <v>0.14344511535803134</v>
      </c>
      <c r="Y1854" s="5">
        <f t="shared" si="1231"/>
        <v>6.2161498800492314</v>
      </c>
      <c r="Z1854" s="5">
        <f t="shared" si="1232"/>
        <v>5.4363342818626261</v>
      </c>
      <c r="AA1854" s="5">
        <f t="shared" si="1233"/>
        <v>-4430.6124397180402</v>
      </c>
      <c r="AB1854" t="s">
        <v>64</v>
      </c>
      <c r="AC1854" t="s">
        <v>62</v>
      </c>
      <c r="AD1854">
        <f t="shared" si="1242"/>
        <v>1</v>
      </c>
    </row>
    <row r="1855" spans="1:30" x14ac:dyDescent="0.35">
      <c r="A1855" t="s">
        <v>146</v>
      </c>
      <c r="B1855" t="s">
        <v>145</v>
      </c>
      <c r="C1855" s="36">
        <f t="shared" si="1222"/>
        <v>7.9607312028194169E-2</v>
      </c>
      <c r="D1855" s="3">
        <f t="shared" si="1223"/>
        <v>7.9607312028194169E-2</v>
      </c>
      <c r="F1855">
        <v>101877.24</v>
      </c>
      <c r="G1855" t="s">
        <v>76</v>
      </c>
      <c r="H1855">
        <v>100000</v>
      </c>
      <c r="I1855" s="22"/>
      <c r="J1855">
        <v>1000</v>
      </c>
      <c r="K1855" s="22"/>
      <c r="L1855">
        <v>7.90134157759105</v>
      </c>
      <c r="M1855" s="22">
        <v>8.2400000000000001E-2</v>
      </c>
      <c r="N1855" s="21">
        <v>45573</v>
      </c>
      <c r="O1855" s="21">
        <v>49223</v>
      </c>
      <c r="P1855">
        <f t="shared" si="1235"/>
        <v>10</v>
      </c>
      <c r="Q1855" s="6">
        <f t="shared" si="1236"/>
        <v>8.0881657178777114E-2</v>
      </c>
      <c r="R1855" s="5">
        <f t="shared" si="1237"/>
        <v>1</v>
      </c>
      <c r="S1855" t="s">
        <v>93</v>
      </c>
      <c r="U1855">
        <f t="shared" si="1238"/>
        <v>10</v>
      </c>
      <c r="V1855">
        <f t="shared" si="1239"/>
        <v>8240</v>
      </c>
      <c r="W1855" s="28">
        <f t="shared" si="1240"/>
        <v>7.9607312028194169E-2</v>
      </c>
      <c r="X1855" s="27">
        <f t="shared" si="1241"/>
        <v>7.9607312028194169E-2</v>
      </c>
      <c r="Y1855" s="5">
        <f t="shared" si="1231"/>
        <v>7.2076380105288083</v>
      </c>
      <c r="Z1855" s="5">
        <f t="shared" si="1232"/>
        <v>6.676166352549286</v>
      </c>
      <c r="AA1855" s="5">
        <f t="shared" si="1233"/>
        <v>-680149.4017785883</v>
      </c>
      <c r="AB1855" t="s">
        <v>64</v>
      </c>
      <c r="AC1855" t="s">
        <v>62</v>
      </c>
      <c r="AD1855">
        <f t="shared" si="1242"/>
        <v>1</v>
      </c>
    </row>
    <row r="1856" spans="1:30" x14ac:dyDescent="0.35">
      <c r="A1856" t="s">
        <v>144</v>
      </c>
      <c r="B1856" t="s">
        <v>119</v>
      </c>
      <c r="C1856" s="36">
        <f t="shared" si="1222"/>
        <v>0.10488184218311383</v>
      </c>
      <c r="D1856" s="3">
        <f t="shared" si="1223"/>
        <v>0.10488184218311383</v>
      </c>
      <c r="F1856">
        <v>1030.8</v>
      </c>
      <c r="G1856" t="s">
        <v>76</v>
      </c>
      <c r="H1856">
        <v>1000</v>
      </c>
      <c r="I1856" s="22"/>
      <c r="J1856">
        <v>100</v>
      </c>
      <c r="K1856" s="22"/>
      <c r="L1856">
        <v>10.3510268459779</v>
      </c>
      <c r="M1856" s="22">
        <v>0.11</v>
      </c>
      <c r="N1856" s="21">
        <v>45573</v>
      </c>
      <c r="O1856" s="21">
        <v>49225</v>
      </c>
      <c r="P1856">
        <f t="shared" si="1235"/>
        <v>10</v>
      </c>
      <c r="Q1856" s="6">
        <f t="shared" si="1236"/>
        <v>0.10671323244082266</v>
      </c>
      <c r="R1856" s="5">
        <f t="shared" si="1237"/>
        <v>1</v>
      </c>
      <c r="S1856" t="s">
        <v>93</v>
      </c>
      <c r="U1856">
        <f t="shared" si="1238"/>
        <v>10</v>
      </c>
      <c r="V1856">
        <f t="shared" si="1239"/>
        <v>110</v>
      </c>
      <c r="W1856" s="28">
        <f t="shared" si="1240"/>
        <v>0.10488184218311383</v>
      </c>
      <c r="X1856" s="27">
        <f t="shared" si="1241"/>
        <v>0.10488184218311383</v>
      </c>
      <c r="Y1856" s="5">
        <f t="shared" si="1231"/>
        <v>6.5904328513223547</v>
      </c>
      <c r="Z1856" s="5">
        <f t="shared" si="1232"/>
        <v>5.964830445851522</v>
      </c>
      <c r="AA1856" s="5">
        <f t="shared" si="1233"/>
        <v>-6148.5472235837487</v>
      </c>
      <c r="AB1856" t="s">
        <v>64</v>
      </c>
      <c r="AC1856" t="s">
        <v>62</v>
      </c>
      <c r="AD1856">
        <f t="shared" si="1242"/>
        <v>1</v>
      </c>
    </row>
    <row r="1857" spans="1:30" x14ac:dyDescent="0.35">
      <c r="A1857" t="s">
        <v>143</v>
      </c>
      <c r="B1857" t="s">
        <v>119</v>
      </c>
      <c r="C1857" s="36">
        <f t="shared" si="1222"/>
        <v>0.10490000000005481</v>
      </c>
      <c r="D1857" s="3">
        <f t="shared" si="1223"/>
        <v>0.10490000000005481</v>
      </c>
      <c r="F1857">
        <v>1000</v>
      </c>
      <c r="G1857" t="s">
        <v>76</v>
      </c>
      <c r="H1857">
        <v>1000</v>
      </c>
      <c r="I1857" s="22"/>
      <c r="J1857">
        <v>2</v>
      </c>
      <c r="K1857" s="22"/>
      <c r="L1857">
        <v>10.49</v>
      </c>
      <c r="M1857" s="22">
        <v>0.10490000000000001</v>
      </c>
      <c r="N1857" s="21">
        <v>45573</v>
      </c>
      <c r="O1857" s="21">
        <v>49225</v>
      </c>
      <c r="P1857">
        <f t="shared" si="1235"/>
        <v>10</v>
      </c>
      <c r="Q1857" s="6">
        <f t="shared" si="1236"/>
        <v>0.10490000000000001</v>
      </c>
      <c r="R1857" s="5">
        <f t="shared" si="1237"/>
        <v>1</v>
      </c>
      <c r="S1857" t="s">
        <v>93</v>
      </c>
      <c r="U1857">
        <f t="shared" si="1238"/>
        <v>10</v>
      </c>
      <c r="V1857">
        <f t="shared" si="1239"/>
        <v>104.9</v>
      </c>
      <c r="W1857" s="28">
        <f t="shared" si="1240"/>
        <v>0.10490000000005481</v>
      </c>
      <c r="X1857" s="27">
        <f t="shared" si="1241"/>
        <v>0.10490000000005481</v>
      </c>
      <c r="Y1857" s="5">
        <f t="shared" si="1231"/>
        <v>6.648543881178707</v>
      </c>
      <c r="Z1857" s="5">
        <f t="shared" si="1232"/>
        <v>6.0173263473421823</v>
      </c>
      <c r="AA1857" s="5">
        <f t="shared" si="1233"/>
        <v>-6017.3263473421821</v>
      </c>
      <c r="AB1857" t="s">
        <v>64</v>
      </c>
      <c r="AC1857" t="s">
        <v>62</v>
      </c>
      <c r="AD1857">
        <f t="shared" si="1242"/>
        <v>1</v>
      </c>
    </row>
    <row r="1858" spans="1:30" x14ac:dyDescent="0.35">
      <c r="A1858" t="s">
        <v>142</v>
      </c>
      <c r="B1858" t="s">
        <v>122</v>
      </c>
      <c r="C1858" s="36">
        <f t="shared" si="1222"/>
        <v>0.12800825464496549</v>
      </c>
      <c r="D1858" s="3">
        <f t="shared" si="1223"/>
        <v>0.12800825464496549</v>
      </c>
      <c r="F1858">
        <v>901.5</v>
      </c>
      <c r="G1858" t="s">
        <v>76</v>
      </c>
      <c r="H1858">
        <v>1000</v>
      </c>
      <c r="I1858" s="22"/>
      <c r="J1858">
        <v>9</v>
      </c>
      <c r="K1858" s="22"/>
      <c r="L1858">
        <v>13.366627401889801</v>
      </c>
      <c r="M1858" s="22">
        <v>0.11</v>
      </c>
      <c r="N1858" s="21">
        <v>45589</v>
      </c>
      <c r="O1858" s="21">
        <v>49241</v>
      </c>
      <c r="P1858">
        <f t="shared" si="1235"/>
        <v>10</v>
      </c>
      <c r="Q1858" s="6">
        <f t="shared" si="1236"/>
        <v>0.12201885745978924</v>
      </c>
      <c r="R1858" s="5">
        <f t="shared" si="1237"/>
        <v>1</v>
      </c>
      <c r="S1858" t="s">
        <v>93</v>
      </c>
      <c r="U1858">
        <f t="shared" si="1238"/>
        <v>10</v>
      </c>
      <c r="V1858">
        <f t="shared" si="1239"/>
        <v>110</v>
      </c>
      <c r="W1858" s="28">
        <f t="shared" si="1240"/>
        <v>0.12800825464496549</v>
      </c>
      <c r="X1858" s="27">
        <f t="shared" si="1241"/>
        <v>0.12800825464496549</v>
      </c>
      <c r="Y1858" s="5">
        <f t="shared" si="1231"/>
        <v>6.3490903226499968</v>
      </c>
      <c r="Z1858" s="5">
        <f t="shared" si="1232"/>
        <v>5.6285849828717245</v>
      </c>
      <c r="AA1858" s="5">
        <f t="shared" si="1233"/>
        <v>-5074.1693620588594</v>
      </c>
      <c r="AB1858" t="s">
        <v>64</v>
      </c>
      <c r="AC1858" t="s">
        <v>62</v>
      </c>
      <c r="AD1858">
        <f t="shared" si="1242"/>
        <v>1</v>
      </c>
    </row>
    <row r="1859" spans="1:30" x14ac:dyDescent="0.35">
      <c r="A1859" t="s">
        <v>141</v>
      </c>
      <c r="B1859" t="s">
        <v>122</v>
      </c>
      <c r="C1859" s="36">
        <f t="shared" si="1222"/>
        <v>0.10506630410903003</v>
      </c>
      <c r="D1859" s="3">
        <f t="shared" si="1223"/>
        <v>0.10506630410903003</v>
      </c>
      <c r="F1859">
        <v>999</v>
      </c>
      <c r="G1859" t="s">
        <v>76</v>
      </c>
      <c r="H1859">
        <v>1000</v>
      </c>
      <c r="I1859" s="22"/>
      <c r="J1859">
        <v>4</v>
      </c>
      <c r="K1859" s="22"/>
      <c r="L1859">
        <v>10.511294159743199</v>
      </c>
      <c r="M1859" s="22">
        <v>0.10490000000000001</v>
      </c>
      <c r="N1859" s="21">
        <v>45589</v>
      </c>
      <c r="O1859" s="21">
        <v>49241</v>
      </c>
      <c r="P1859">
        <f t="shared" si="1235"/>
        <v>10</v>
      </c>
      <c r="Q1859" s="6">
        <f t="shared" si="1236"/>
        <v>0.10500500500500501</v>
      </c>
      <c r="R1859" s="5">
        <f t="shared" si="1237"/>
        <v>1</v>
      </c>
      <c r="S1859" t="s">
        <v>93</v>
      </c>
      <c r="U1859">
        <f t="shared" si="1238"/>
        <v>10</v>
      </c>
      <c r="V1859">
        <f t="shared" si="1239"/>
        <v>104.9</v>
      </c>
      <c r="W1859" s="28">
        <f t="shared" si="1240"/>
        <v>0.10506630410903003</v>
      </c>
      <c r="X1859" s="27">
        <f t="shared" si="1241"/>
        <v>0.10506630410903003</v>
      </c>
      <c r="Y1859" s="5">
        <f t="shared" si="1231"/>
        <v>6.6468101821634162</v>
      </c>
      <c r="Z1859" s="5">
        <f t="shared" si="1232"/>
        <v>6.0148519210550617</v>
      </c>
      <c r="AA1859" s="5">
        <f t="shared" si="1233"/>
        <v>-6008.8370691340069</v>
      </c>
      <c r="AB1859" t="s">
        <v>64</v>
      </c>
      <c r="AC1859" t="s">
        <v>62</v>
      </c>
      <c r="AD1859">
        <f t="shared" si="1242"/>
        <v>1</v>
      </c>
    </row>
    <row r="1860" spans="1:30" x14ac:dyDescent="0.35">
      <c r="A1860" t="s">
        <v>140</v>
      </c>
      <c r="B1860" t="s">
        <v>122</v>
      </c>
      <c r="C1860" s="36">
        <f t="shared" ref="C1860:C1913" si="1243">RATE(U1860,V1860,-F1860,H1860)</f>
        <v>9.9446681163467832E-2</v>
      </c>
      <c r="D1860" s="3">
        <f t="shared" ref="D1860:D1913" si="1244">C1860*AD1860</f>
        <v>9.9446681163467832E-2</v>
      </c>
      <c r="F1860">
        <v>1065</v>
      </c>
      <c r="G1860" t="s">
        <v>76</v>
      </c>
      <c r="H1860">
        <v>1000</v>
      </c>
      <c r="I1860" s="22"/>
      <c r="J1860">
        <v>120</v>
      </c>
      <c r="K1860" s="22"/>
      <c r="L1860">
        <v>9.6705293305871596</v>
      </c>
      <c r="M1860" s="22">
        <v>0.11</v>
      </c>
      <c r="N1860" s="21">
        <v>45589</v>
      </c>
      <c r="O1860" s="21">
        <v>49241</v>
      </c>
      <c r="P1860">
        <f t="shared" ref="P1860:P1891" si="1245">ROUND(YEARFRAC(N1860,O1860),0)</f>
        <v>10</v>
      </c>
      <c r="Q1860" s="6">
        <f t="shared" ref="Q1860:Q1891" si="1246">(M1860*H1860)/F1860</f>
        <v>0.10328638497652583</v>
      </c>
      <c r="R1860" s="5">
        <f t="shared" ref="R1860:R1891" si="1247">IF(S1860="Quarterly",4,IF(S1860="Semi-annual",2,IF(S1860="Annual",1,IF(S1860="Pays at maturity",0,12))))</f>
        <v>1</v>
      </c>
      <c r="S1860" t="s">
        <v>93</v>
      </c>
      <c r="U1860">
        <f t="shared" ref="U1860:U1891" si="1248">R1860*P1860</f>
        <v>10</v>
      </c>
      <c r="V1860">
        <f t="shared" ref="V1860:V1891" si="1249">(H1860*M1860)/AD1860</f>
        <v>110</v>
      </c>
      <c r="W1860" s="28">
        <f t="shared" ref="W1860:W1891" si="1250">RATE(U1860,V1860,-F1860,H1860)</f>
        <v>9.9446681163467832E-2</v>
      </c>
      <c r="X1860" s="27">
        <f t="shared" ref="X1860:X1891" si="1251">W1860*AD1860</f>
        <v>9.9446681163467832E-2</v>
      </c>
      <c r="Y1860" s="5">
        <f t="shared" ref="Y1860:Y1913" si="1252">DURATION(N1860,O1860,M1860,D1860,AD1860)</f>
        <v>6.6470654596411878</v>
      </c>
      <c r="Z1860" s="5">
        <f t="shared" ref="Z1860:Z1923" si="1253">Y1860/(1+C1860)</f>
        <v>6.0458279364735192</v>
      </c>
      <c r="AA1860" s="5">
        <f t="shared" ref="AA1860:AA1923" si="1254">-Z1860*F1860</f>
        <v>-6438.8067523442978</v>
      </c>
      <c r="AB1860" t="s">
        <v>64</v>
      </c>
      <c r="AC1860" t="s">
        <v>62</v>
      </c>
      <c r="AD1860">
        <f t="shared" ref="AD1860:AD1891" si="1255">_xlfn.SWITCH(PROPER(TRIM(S1860)),
   "Annual",1,
   "Semi-Annual",2,
   "Quarterly",4,
   "Monthly",12,
   "")</f>
        <v>1</v>
      </c>
    </row>
    <row r="1861" spans="1:30" x14ac:dyDescent="0.35">
      <c r="A1861" t="s">
        <v>139</v>
      </c>
      <c r="B1861" t="s">
        <v>138</v>
      </c>
      <c r="C1861" s="36">
        <f t="shared" si="1243"/>
        <v>7.6109619051136002E-2</v>
      </c>
      <c r="D1861" s="3">
        <f t="shared" si="1244"/>
        <v>7.6109619051136002E-2</v>
      </c>
      <c r="F1861">
        <v>104500.86</v>
      </c>
      <c r="G1861" t="s">
        <v>76</v>
      </c>
      <c r="H1861">
        <v>100000</v>
      </c>
      <c r="I1861" s="22"/>
      <c r="J1861">
        <v>10</v>
      </c>
      <c r="K1861" s="22"/>
      <c r="L1861">
        <v>7.4513045035586103</v>
      </c>
      <c r="M1861" s="22">
        <v>8.2699999999999996E-2</v>
      </c>
      <c r="N1861" s="21">
        <v>45593</v>
      </c>
      <c r="O1861" s="21">
        <v>49244</v>
      </c>
      <c r="P1861">
        <f t="shared" si="1245"/>
        <v>10</v>
      </c>
      <c r="Q1861" s="6">
        <f t="shared" si="1246"/>
        <v>7.9138104700765141E-2</v>
      </c>
      <c r="R1861" s="5">
        <f t="shared" si="1247"/>
        <v>1</v>
      </c>
      <c r="S1861" t="s">
        <v>93</v>
      </c>
      <c r="U1861">
        <f t="shared" si="1248"/>
        <v>10</v>
      </c>
      <c r="V1861">
        <f t="shared" si="1249"/>
        <v>8270</v>
      </c>
      <c r="W1861" s="28">
        <f t="shared" si="1250"/>
        <v>7.6109619051136002E-2</v>
      </c>
      <c r="X1861" s="27">
        <f t="shared" si="1251"/>
        <v>7.6109619051136002E-2</v>
      </c>
      <c r="Y1861" s="5">
        <f t="shared" si="1252"/>
        <v>7.240969169178344</v>
      </c>
      <c r="Z1861" s="5">
        <f t="shared" si="1253"/>
        <v>6.7288397399171087</v>
      </c>
      <c r="AA1861" s="5">
        <f t="shared" si="1254"/>
        <v>-703169.53962351417</v>
      </c>
      <c r="AB1861" t="s">
        <v>64</v>
      </c>
      <c r="AC1861" t="s">
        <v>62</v>
      </c>
      <c r="AD1861">
        <f t="shared" si="1255"/>
        <v>1</v>
      </c>
    </row>
    <row r="1862" spans="1:30" x14ac:dyDescent="0.35">
      <c r="A1862" t="s">
        <v>137</v>
      </c>
      <c r="B1862" t="s">
        <v>128</v>
      </c>
      <c r="C1862" s="36">
        <f t="shared" si="1243"/>
        <v>0.11621245087564018</v>
      </c>
      <c r="D1862" s="3">
        <f t="shared" si="1244"/>
        <v>0.11621245087564018</v>
      </c>
      <c r="F1862">
        <v>950</v>
      </c>
      <c r="G1862" t="s">
        <v>76</v>
      </c>
      <c r="H1862">
        <v>1000</v>
      </c>
      <c r="I1862" s="22"/>
      <c r="J1862">
        <v>10</v>
      </c>
      <c r="K1862" s="22"/>
      <c r="L1862">
        <v>11.8435511856564</v>
      </c>
      <c r="M1862" s="22">
        <v>0.1075</v>
      </c>
      <c r="N1862" s="21">
        <v>45653</v>
      </c>
      <c r="O1862" s="21">
        <v>49305</v>
      </c>
      <c r="P1862">
        <f t="shared" si="1245"/>
        <v>10</v>
      </c>
      <c r="Q1862" s="6">
        <f t="shared" si="1246"/>
        <v>0.11315789473684211</v>
      </c>
      <c r="R1862" s="5">
        <f t="shared" si="1247"/>
        <v>1</v>
      </c>
      <c r="S1862" t="s">
        <v>93</v>
      </c>
      <c r="U1862">
        <f t="shared" si="1248"/>
        <v>10</v>
      </c>
      <c r="V1862">
        <f t="shared" si="1249"/>
        <v>107.5</v>
      </c>
      <c r="W1862" s="28">
        <f t="shared" si="1250"/>
        <v>0.11621245087564018</v>
      </c>
      <c r="X1862" s="27">
        <f t="shared" si="1251"/>
        <v>0.11621245087564018</v>
      </c>
      <c r="Y1862" s="5">
        <f t="shared" si="1252"/>
        <v>6.5003160538427949</v>
      </c>
      <c r="Z1862" s="5">
        <f t="shared" si="1253"/>
        <v>5.8235473441847594</v>
      </c>
      <c r="AA1862" s="5">
        <f t="shared" si="1254"/>
        <v>-5532.3699769755212</v>
      </c>
      <c r="AB1862" t="s">
        <v>64</v>
      </c>
      <c r="AC1862" t="s">
        <v>62</v>
      </c>
      <c r="AD1862">
        <f t="shared" si="1255"/>
        <v>1</v>
      </c>
    </row>
    <row r="1863" spans="1:30" x14ac:dyDescent="0.35">
      <c r="A1863" t="s">
        <v>136</v>
      </c>
      <c r="B1863" t="s">
        <v>128</v>
      </c>
      <c r="C1863" s="36">
        <f t="shared" si="1243"/>
        <v>0.10499379412498495</v>
      </c>
      <c r="D1863" s="3">
        <f t="shared" si="1244"/>
        <v>0.10499379412498495</v>
      </c>
      <c r="F1863">
        <v>985</v>
      </c>
      <c r="G1863" t="s">
        <v>76</v>
      </c>
      <c r="H1863">
        <v>1000</v>
      </c>
      <c r="I1863" s="22"/>
      <c r="J1863">
        <v>23</v>
      </c>
      <c r="K1863" s="22"/>
      <c r="L1863">
        <v>10.5655398970792</v>
      </c>
      <c r="M1863" s="22">
        <v>0.10249999999999999</v>
      </c>
      <c r="N1863" s="21">
        <v>45653</v>
      </c>
      <c r="O1863" s="21">
        <v>49305</v>
      </c>
      <c r="P1863">
        <f t="shared" si="1245"/>
        <v>10</v>
      </c>
      <c r="Q1863" s="6">
        <f t="shared" si="1246"/>
        <v>0.10406091370558376</v>
      </c>
      <c r="R1863" s="5">
        <f t="shared" si="1247"/>
        <v>1</v>
      </c>
      <c r="S1863" t="s">
        <v>93</v>
      </c>
      <c r="U1863">
        <f t="shared" si="1248"/>
        <v>10</v>
      </c>
      <c r="V1863">
        <f t="shared" si="1249"/>
        <v>102.5</v>
      </c>
      <c r="W1863" s="28">
        <f t="shared" si="1250"/>
        <v>0.10499379412498495</v>
      </c>
      <c r="X1863" s="27">
        <f t="shared" si="1251"/>
        <v>0.10499379412498495</v>
      </c>
      <c r="Y1863" s="5">
        <f t="shared" si="1252"/>
        <v>6.6762581347766758</v>
      </c>
      <c r="Z1863" s="5">
        <f t="shared" si="1253"/>
        <v>6.0418964977657872</v>
      </c>
      <c r="AA1863" s="5">
        <f t="shared" si="1254"/>
        <v>-5951.2680502993007</v>
      </c>
      <c r="AB1863" t="s">
        <v>64</v>
      </c>
      <c r="AC1863" t="s">
        <v>62</v>
      </c>
      <c r="AD1863">
        <f t="shared" si="1255"/>
        <v>1</v>
      </c>
    </row>
    <row r="1864" spans="1:30" x14ac:dyDescent="0.35">
      <c r="A1864" t="s">
        <v>135</v>
      </c>
      <c r="B1864" t="s">
        <v>119</v>
      </c>
      <c r="C1864" s="36">
        <f t="shared" si="1243"/>
        <v>0.10999999999999997</v>
      </c>
      <c r="D1864" s="3">
        <f t="shared" si="1244"/>
        <v>0.10999999999999997</v>
      </c>
      <c r="F1864">
        <v>1000</v>
      </c>
      <c r="G1864" t="s">
        <v>76</v>
      </c>
      <c r="H1864">
        <v>1000</v>
      </c>
      <c r="I1864" s="22"/>
      <c r="J1864">
        <v>1</v>
      </c>
      <c r="K1864" s="22"/>
      <c r="L1864">
        <v>11</v>
      </c>
      <c r="M1864" s="22">
        <v>0.11</v>
      </c>
      <c r="N1864" s="21">
        <v>45663</v>
      </c>
      <c r="O1864" s="21">
        <v>49315</v>
      </c>
      <c r="P1864">
        <f t="shared" si="1245"/>
        <v>10</v>
      </c>
      <c r="Q1864" s="6">
        <f t="shared" si="1246"/>
        <v>0.11</v>
      </c>
      <c r="R1864" s="5">
        <f t="shared" si="1247"/>
        <v>1</v>
      </c>
      <c r="S1864" t="s">
        <v>93</v>
      </c>
      <c r="U1864">
        <f t="shared" si="1248"/>
        <v>10</v>
      </c>
      <c r="V1864">
        <f t="shared" si="1249"/>
        <v>110</v>
      </c>
      <c r="W1864" s="28">
        <f t="shared" si="1250"/>
        <v>0.10999999999999997</v>
      </c>
      <c r="X1864" s="27">
        <f t="shared" si="1251"/>
        <v>0.10999999999999997</v>
      </c>
      <c r="Y1864" s="5">
        <f t="shared" si="1252"/>
        <v>6.5370475323667412</v>
      </c>
      <c r="Z1864" s="5">
        <f t="shared" si="1253"/>
        <v>5.8892320111412086</v>
      </c>
      <c r="AA1864" s="5">
        <f t="shared" si="1254"/>
        <v>-5889.2320111412082</v>
      </c>
      <c r="AB1864" t="s">
        <v>64</v>
      </c>
      <c r="AC1864" t="s">
        <v>62</v>
      </c>
      <c r="AD1864">
        <f t="shared" si="1255"/>
        <v>1</v>
      </c>
    </row>
    <row r="1865" spans="1:30" x14ac:dyDescent="0.35">
      <c r="A1865" t="s">
        <v>134</v>
      </c>
      <c r="B1865" t="s">
        <v>119</v>
      </c>
      <c r="C1865" s="36">
        <f t="shared" si="1243"/>
        <v>0.14290242470519837</v>
      </c>
      <c r="D1865" s="3">
        <f t="shared" si="1244"/>
        <v>0.14290242470519837</v>
      </c>
      <c r="F1865">
        <v>804</v>
      </c>
      <c r="G1865" t="s">
        <v>76</v>
      </c>
      <c r="H1865">
        <v>1000</v>
      </c>
      <c r="I1865" s="22"/>
      <c r="J1865">
        <v>50</v>
      </c>
      <c r="K1865" s="22"/>
      <c r="L1865">
        <v>15.6181998128398</v>
      </c>
      <c r="M1865" s="22">
        <v>0.10490000000000001</v>
      </c>
      <c r="N1865" s="21">
        <v>45663</v>
      </c>
      <c r="O1865" s="21">
        <v>49315</v>
      </c>
      <c r="P1865">
        <f t="shared" si="1245"/>
        <v>10</v>
      </c>
      <c r="Q1865" s="6">
        <f t="shared" si="1246"/>
        <v>0.13047263681592042</v>
      </c>
      <c r="R1865" s="5">
        <f t="shared" si="1247"/>
        <v>1</v>
      </c>
      <c r="S1865" t="s">
        <v>93</v>
      </c>
      <c r="U1865">
        <f t="shared" si="1248"/>
        <v>10</v>
      </c>
      <c r="V1865">
        <f t="shared" si="1249"/>
        <v>104.9</v>
      </c>
      <c r="W1865" s="28">
        <f t="shared" si="1250"/>
        <v>0.14290242470519837</v>
      </c>
      <c r="X1865" s="27">
        <f t="shared" si="1251"/>
        <v>0.14290242470519837</v>
      </c>
      <c r="Y1865" s="5">
        <f t="shared" si="1252"/>
        <v>6.2516863463419101</v>
      </c>
      <c r="Z1865" s="5">
        <f t="shared" si="1253"/>
        <v>5.4700088224543553</v>
      </c>
      <c r="AA1865" s="5">
        <f t="shared" si="1254"/>
        <v>-4397.8870932533018</v>
      </c>
      <c r="AB1865" t="s">
        <v>64</v>
      </c>
      <c r="AC1865" t="s">
        <v>62</v>
      </c>
      <c r="AD1865">
        <f t="shared" si="1255"/>
        <v>1</v>
      </c>
    </row>
    <row r="1866" spans="1:30" x14ac:dyDescent="0.35">
      <c r="A1866" t="s">
        <v>133</v>
      </c>
      <c r="B1866" t="s">
        <v>122</v>
      </c>
      <c r="C1866" s="36">
        <f t="shared" si="1243"/>
        <v>0.10195826762870122</v>
      </c>
      <c r="D1866" s="3">
        <f t="shared" si="1244"/>
        <v>0.10195826762870122</v>
      </c>
      <c r="F1866">
        <v>1049</v>
      </c>
      <c r="G1866" t="s">
        <v>76</v>
      </c>
      <c r="H1866">
        <v>1000</v>
      </c>
      <c r="I1866" s="22"/>
      <c r="J1866">
        <v>61</v>
      </c>
      <c r="K1866" s="22"/>
      <c r="L1866">
        <v>10.0104638346043</v>
      </c>
      <c r="M1866" s="22">
        <v>0.11</v>
      </c>
      <c r="N1866" s="21">
        <v>45681</v>
      </c>
      <c r="O1866" s="21">
        <v>49333</v>
      </c>
      <c r="P1866">
        <f t="shared" si="1245"/>
        <v>10</v>
      </c>
      <c r="Q1866" s="6">
        <f t="shared" si="1246"/>
        <v>0.10486177311725453</v>
      </c>
      <c r="R1866" s="5">
        <f t="shared" si="1247"/>
        <v>1</v>
      </c>
      <c r="S1866" t="s">
        <v>93</v>
      </c>
      <c r="U1866">
        <f t="shared" si="1248"/>
        <v>10</v>
      </c>
      <c r="V1866">
        <f t="shared" si="1249"/>
        <v>110</v>
      </c>
      <c r="W1866" s="28">
        <f t="shared" si="1250"/>
        <v>0.10195826762870122</v>
      </c>
      <c r="X1866" s="27">
        <f t="shared" si="1251"/>
        <v>0.10195826762870122</v>
      </c>
      <c r="Y1866" s="5">
        <f t="shared" si="1252"/>
        <v>6.6209046759939669</v>
      </c>
      <c r="Z1866" s="5">
        <f t="shared" si="1253"/>
        <v>6.0083080008478547</v>
      </c>
      <c r="AA1866" s="5">
        <f t="shared" si="1254"/>
        <v>-6302.7150928893998</v>
      </c>
      <c r="AB1866" t="s">
        <v>64</v>
      </c>
      <c r="AC1866" t="s">
        <v>62</v>
      </c>
      <c r="AD1866">
        <f t="shared" si="1255"/>
        <v>1</v>
      </c>
    </row>
    <row r="1867" spans="1:30" x14ac:dyDescent="0.35">
      <c r="A1867" t="s">
        <v>132</v>
      </c>
      <c r="B1867" t="s">
        <v>122</v>
      </c>
      <c r="C1867" s="36">
        <f t="shared" si="1243"/>
        <v>0.10506630410903003</v>
      </c>
      <c r="D1867" s="3">
        <f t="shared" si="1244"/>
        <v>0.10506630410903003</v>
      </c>
      <c r="F1867">
        <v>999</v>
      </c>
      <c r="G1867" t="s">
        <v>76</v>
      </c>
      <c r="H1867">
        <v>1000</v>
      </c>
      <c r="I1867" s="22"/>
      <c r="J1867">
        <v>100</v>
      </c>
      <c r="K1867" s="22"/>
      <c r="L1867">
        <v>10.5110085639277</v>
      </c>
      <c r="M1867" s="22">
        <v>0.10490000000000001</v>
      </c>
      <c r="N1867" s="21">
        <v>45681</v>
      </c>
      <c r="O1867" s="21">
        <v>49333</v>
      </c>
      <c r="P1867">
        <f t="shared" si="1245"/>
        <v>10</v>
      </c>
      <c r="Q1867" s="6">
        <f t="shared" si="1246"/>
        <v>0.10500500500500501</v>
      </c>
      <c r="R1867" s="5">
        <f t="shared" si="1247"/>
        <v>1</v>
      </c>
      <c r="S1867" t="s">
        <v>93</v>
      </c>
      <c r="U1867">
        <f t="shared" si="1248"/>
        <v>10</v>
      </c>
      <c r="V1867">
        <f t="shared" si="1249"/>
        <v>104.9</v>
      </c>
      <c r="W1867" s="28">
        <f t="shared" si="1250"/>
        <v>0.10506630410903003</v>
      </c>
      <c r="X1867" s="27">
        <f t="shared" si="1251"/>
        <v>0.10506630410903003</v>
      </c>
      <c r="Y1867" s="5">
        <f t="shared" si="1252"/>
        <v>6.6468101821634162</v>
      </c>
      <c r="Z1867" s="5">
        <f t="shared" si="1253"/>
        <v>6.0148519210550617</v>
      </c>
      <c r="AA1867" s="5">
        <f t="shared" si="1254"/>
        <v>-6008.8370691340069</v>
      </c>
      <c r="AB1867" t="s">
        <v>64</v>
      </c>
      <c r="AC1867" t="s">
        <v>62</v>
      </c>
      <c r="AD1867">
        <f t="shared" si="1255"/>
        <v>1</v>
      </c>
    </row>
    <row r="1868" spans="1:30" x14ac:dyDescent="0.35">
      <c r="A1868" t="s">
        <v>131</v>
      </c>
      <c r="B1868" t="s">
        <v>122</v>
      </c>
      <c r="C1868" s="36">
        <f t="shared" si="1243"/>
        <v>0.10999999999999997</v>
      </c>
      <c r="D1868" s="3">
        <f t="shared" si="1244"/>
        <v>0.10999999999999997</v>
      </c>
      <c r="F1868">
        <v>1000</v>
      </c>
      <c r="G1868" t="s">
        <v>76</v>
      </c>
      <c r="H1868">
        <v>1000</v>
      </c>
      <c r="I1868" s="22"/>
      <c r="J1868">
        <v>100</v>
      </c>
      <c r="K1868" s="22"/>
      <c r="L1868">
        <v>11</v>
      </c>
      <c r="M1868" s="22">
        <v>0.11</v>
      </c>
      <c r="N1868" s="21">
        <v>45681</v>
      </c>
      <c r="O1868" s="21">
        <v>49333</v>
      </c>
      <c r="P1868">
        <f t="shared" si="1245"/>
        <v>10</v>
      </c>
      <c r="Q1868" s="6">
        <f t="shared" si="1246"/>
        <v>0.11</v>
      </c>
      <c r="R1868" s="5">
        <f t="shared" si="1247"/>
        <v>1</v>
      </c>
      <c r="S1868" t="s">
        <v>93</v>
      </c>
      <c r="U1868">
        <f t="shared" si="1248"/>
        <v>10</v>
      </c>
      <c r="V1868">
        <f t="shared" si="1249"/>
        <v>110</v>
      </c>
      <c r="W1868" s="28">
        <f t="shared" si="1250"/>
        <v>0.10999999999999997</v>
      </c>
      <c r="X1868" s="27">
        <f t="shared" si="1251"/>
        <v>0.10999999999999997</v>
      </c>
      <c r="Y1868" s="5">
        <f t="shared" si="1252"/>
        <v>6.5370475323667412</v>
      </c>
      <c r="Z1868" s="5">
        <f t="shared" si="1253"/>
        <v>5.8892320111412086</v>
      </c>
      <c r="AA1868" s="5">
        <f t="shared" si="1254"/>
        <v>-5889.2320111412082</v>
      </c>
      <c r="AB1868" t="s">
        <v>64</v>
      </c>
      <c r="AC1868" t="s">
        <v>62</v>
      </c>
      <c r="AD1868">
        <f t="shared" si="1255"/>
        <v>1</v>
      </c>
    </row>
    <row r="1869" spans="1:30" x14ac:dyDescent="0.35">
      <c r="A1869" t="s">
        <v>130</v>
      </c>
      <c r="B1869" t="s">
        <v>128</v>
      </c>
      <c r="C1869" s="36">
        <f t="shared" si="1243"/>
        <v>0.1041566267781775</v>
      </c>
      <c r="D1869" s="3">
        <f t="shared" si="1244"/>
        <v>0.1041566267781775</v>
      </c>
      <c r="F1869">
        <v>990</v>
      </c>
      <c r="G1869" t="s">
        <v>76</v>
      </c>
      <c r="H1869">
        <v>1000</v>
      </c>
      <c r="I1869" s="22"/>
      <c r="J1869">
        <v>100</v>
      </c>
      <c r="K1869" s="22"/>
      <c r="L1869">
        <v>10.457420072804601</v>
      </c>
      <c r="M1869" s="22">
        <v>0.10249999999999999</v>
      </c>
      <c r="N1869" s="21">
        <v>45735</v>
      </c>
      <c r="O1869" s="21">
        <v>49387</v>
      </c>
      <c r="P1869">
        <f t="shared" si="1245"/>
        <v>10</v>
      </c>
      <c r="Q1869" s="6">
        <f t="shared" si="1246"/>
        <v>0.10353535353535354</v>
      </c>
      <c r="R1869" s="5">
        <f t="shared" si="1247"/>
        <v>1</v>
      </c>
      <c r="S1869" t="s">
        <v>93</v>
      </c>
      <c r="U1869">
        <f t="shared" si="1248"/>
        <v>10</v>
      </c>
      <c r="V1869">
        <f t="shared" si="1249"/>
        <v>102.5</v>
      </c>
      <c r="W1869" s="28">
        <f t="shared" si="1250"/>
        <v>0.1041566267781775</v>
      </c>
      <c r="X1869" s="27">
        <f t="shared" si="1251"/>
        <v>0.1041566267781775</v>
      </c>
      <c r="Y1869" s="5">
        <f t="shared" si="1252"/>
        <v>6.6849818815637745</v>
      </c>
      <c r="Z1869" s="5">
        <f t="shared" si="1253"/>
        <v>6.0543782643137387</v>
      </c>
      <c r="AA1869" s="5">
        <f t="shared" si="1254"/>
        <v>-5993.8344816706012</v>
      </c>
      <c r="AB1869" t="s">
        <v>64</v>
      </c>
      <c r="AC1869" t="s">
        <v>62</v>
      </c>
      <c r="AD1869">
        <f t="shared" si="1255"/>
        <v>1</v>
      </c>
    </row>
    <row r="1870" spans="1:30" x14ac:dyDescent="0.35">
      <c r="A1870" t="s">
        <v>129</v>
      </c>
      <c r="B1870" t="s">
        <v>128</v>
      </c>
      <c r="C1870" s="36">
        <f t="shared" si="1243"/>
        <v>0.11090898302461551</v>
      </c>
      <c r="D1870" s="3">
        <f t="shared" si="1244"/>
        <v>0.11090898302461551</v>
      </c>
      <c r="F1870">
        <v>980</v>
      </c>
      <c r="G1870" t="s">
        <v>76</v>
      </c>
      <c r="H1870">
        <v>1000</v>
      </c>
      <c r="I1870" s="22"/>
      <c r="J1870">
        <v>191</v>
      </c>
      <c r="K1870" s="22"/>
      <c r="L1870">
        <v>11.175217531057701</v>
      </c>
      <c r="M1870" s="22">
        <v>0.1075</v>
      </c>
      <c r="N1870" s="21">
        <v>45735</v>
      </c>
      <c r="O1870" s="21">
        <v>49387</v>
      </c>
      <c r="P1870">
        <f t="shared" si="1245"/>
        <v>10</v>
      </c>
      <c r="Q1870" s="6">
        <f t="shared" si="1246"/>
        <v>0.10969387755102041</v>
      </c>
      <c r="R1870" s="5">
        <f t="shared" si="1247"/>
        <v>1</v>
      </c>
      <c r="S1870" t="s">
        <v>93</v>
      </c>
      <c r="U1870">
        <f t="shared" si="1248"/>
        <v>10</v>
      </c>
      <c r="V1870">
        <f t="shared" si="1249"/>
        <v>107.5</v>
      </c>
      <c r="W1870" s="28">
        <f t="shared" si="1250"/>
        <v>0.11090898302461551</v>
      </c>
      <c r="X1870" s="27">
        <f t="shared" si="1251"/>
        <v>0.11090898302461551</v>
      </c>
      <c r="Y1870" s="5">
        <f t="shared" si="1252"/>
        <v>6.555692379385758</v>
      </c>
      <c r="Z1870" s="5">
        <f t="shared" si="1253"/>
        <v>5.9011966592770788</v>
      </c>
      <c r="AA1870" s="5">
        <f t="shared" si="1254"/>
        <v>-5783.1727260915368</v>
      </c>
      <c r="AB1870" t="s">
        <v>64</v>
      </c>
      <c r="AC1870" t="s">
        <v>62</v>
      </c>
      <c r="AD1870">
        <f t="shared" si="1255"/>
        <v>1</v>
      </c>
    </row>
    <row r="1871" spans="1:30" x14ac:dyDescent="0.35">
      <c r="A1871" t="s">
        <v>127</v>
      </c>
      <c r="B1871" t="s">
        <v>119</v>
      </c>
      <c r="C1871" s="36">
        <f t="shared" si="1243"/>
        <v>0.10912955362285658</v>
      </c>
      <c r="D1871" s="3">
        <f t="shared" si="1244"/>
        <v>0.10912955362285658</v>
      </c>
      <c r="F1871">
        <v>975</v>
      </c>
      <c r="G1871" t="s">
        <v>76</v>
      </c>
      <c r="H1871">
        <v>1000</v>
      </c>
      <c r="I1871" s="22"/>
      <c r="J1871">
        <v>3</v>
      </c>
      <c r="K1871" s="22"/>
      <c r="L1871">
        <v>11.0222366475531</v>
      </c>
      <c r="M1871" s="22">
        <v>0.10490000000000001</v>
      </c>
      <c r="N1871" s="21">
        <v>45750</v>
      </c>
      <c r="O1871" s="21">
        <v>49402</v>
      </c>
      <c r="P1871">
        <f t="shared" si="1245"/>
        <v>10</v>
      </c>
      <c r="Q1871" s="6">
        <f t="shared" si="1246"/>
        <v>0.10758974358974359</v>
      </c>
      <c r="R1871" s="5">
        <f t="shared" si="1247"/>
        <v>1</v>
      </c>
      <c r="S1871" t="s">
        <v>93</v>
      </c>
      <c r="U1871">
        <f t="shared" si="1248"/>
        <v>10</v>
      </c>
      <c r="V1871">
        <f t="shared" si="1249"/>
        <v>104.9</v>
      </c>
      <c r="W1871" s="28">
        <f t="shared" si="1250"/>
        <v>0.10912955362285658</v>
      </c>
      <c r="X1871" s="27">
        <f t="shared" si="1251"/>
        <v>0.10912955362285658</v>
      </c>
      <c r="Y1871" s="5">
        <f t="shared" si="1252"/>
        <v>6.6044280009418328</v>
      </c>
      <c r="Z1871" s="5">
        <f t="shared" si="1253"/>
        <v>5.9546046531436794</v>
      </c>
      <c r="AA1871" s="5">
        <f t="shared" si="1254"/>
        <v>-5805.7395368150874</v>
      </c>
      <c r="AB1871" t="s">
        <v>64</v>
      </c>
      <c r="AC1871" t="s">
        <v>62</v>
      </c>
      <c r="AD1871">
        <f t="shared" si="1255"/>
        <v>1</v>
      </c>
    </row>
    <row r="1872" spans="1:30" x14ac:dyDescent="0.35">
      <c r="A1872" t="s">
        <v>126</v>
      </c>
      <c r="B1872" t="s">
        <v>119</v>
      </c>
      <c r="C1872" s="36">
        <f t="shared" si="1243"/>
        <v>0.10999999999999997</v>
      </c>
      <c r="D1872" s="3">
        <f t="shared" si="1244"/>
        <v>0.10999999999999997</v>
      </c>
      <c r="F1872">
        <v>1000</v>
      </c>
      <c r="G1872" t="s">
        <v>76</v>
      </c>
      <c r="H1872">
        <v>1000</v>
      </c>
      <c r="I1872" s="22"/>
      <c r="J1872">
        <v>10</v>
      </c>
      <c r="K1872" s="22"/>
      <c r="L1872">
        <v>11</v>
      </c>
      <c r="M1872" s="22">
        <v>0.11</v>
      </c>
      <c r="N1872" s="21">
        <v>45750</v>
      </c>
      <c r="O1872" s="21">
        <v>49402</v>
      </c>
      <c r="P1872">
        <f t="shared" si="1245"/>
        <v>10</v>
      </c>
      <c r="Q1872" s="6">
        <f t="shared" si="1246"/>
        <v>0.11</v>
      </c>
      <c r="R1872" s="5">
        <f t="shared" si="1247"/>
        <v>1</v>
      </c>
      <c r="S1872" t="s">
        <v>93</v>
      </c>
      <c r="U1872">
        <f t="shared" si="1248"/>
        <v>10</v>
      </c>
      <c r="V1872">
        <f t="shared" si="1249"/>
        <v>110</v>
      </c>
      <c r="W1872" s="28">
        <f t="shared" si="1250"/>
        <v>0.10999999999999997</v>
      </c>
      <c r="X1872" s="27">
        <f t="shared" si="1251"/>
        <v>0.10999999999999997</v>
      </c>
      <c r="Y1872" s="5">
        <f t="shared" si="1252"/>
        <v>6.5370475323667412</v>
      </c>
      <c r="Z1872" s="5">
        <f t="shared" si="1253"/>
        <v>5.8892320111412086</v>
      </c>
      <c r="AA1872" s="5">
        <f t="shared" si="1254"/>
        <v>-5889.2320111412082</v>
      </c>
      <c r="AB1872" t="s">
        <v>64</v>
      </c>
      <c r="AC1872" t="s">
        <v>62</v>
      </c>
      <c r="AD1872">
        <f t="shared" si="1255"/>
        <v>1</v>
      </c>
    </row>
    <row r="1873" spans="1:30" x14ac:dyDescent="0.35">
      <c r="A1873" t="s">
        <v>125</v>
      </c>
      <c r="B1873" t="s">
        <v>122</v>
      </c>
      <c r="C1873" s="36">
        <f t="shared" si="1243"/>
        <v>0.10983031936825167</v>
      </c>
      <c r="D1873" s="3">
        <f t="shared" si="1244"/>
        <v>0.10983031936825167</v>
      </c>
      <c r="F1873">
        <v>1001</v>
      </c>
      <c r="G1873" t="s">
        <v>76</v>
      </c>
      <c r="H1873">
        <v>1000</v>
      </c>
      <c r="I1873" s="22"/>
      <c r="J1873">
        <v>65</v>
      </c>
      <c r="K1873" s="22"/>
      <c r="L1873">
        <v>10.978791387984201</v>
      </c>
      <c r="M1873" s="22">
        <v>0.11</v>
      </c>
      <c r="N1873" s="21">
        <v>45777</v>
      </c>
      <c r="O1873" s="21">
        <v>49429</v>
      </c>
      <c r="P1873">
        <f t="shared" si="1245"/>
        <v>10</v>
      </c>
      <c r="Q1873" s="6">
        <f t="shared" si="1246"/>
        <v>0.10989010989010989</v>
      </c>
      <c r="R1873" s="5">
        <f t="shared" si="1247"/>
        <v>1</v>
      </c>
      <c r="S1873" t="s">
        <v>93</v>
      </c>
      <c r="U1873">
        <f t="shared" si="1248"/>
        <v>10</v>
      </c>
      <c r="V1873">
        <f t="shared" si="1249"/>
        <v>110</v>
      </c>
      <c r="W1873" s="28">
        <f t="shared" si="1250"/>
        <v>0.10983031936825167</v>
      </c>
      <c r="X1873" s="27">
        <f t="shared" si="1251"/>
        <v>0.10983031936825167</v>
      </c>
      <c r="Y1873" s="5">
        <f t="shared" si="1252"/>
        <v>6.5388180377644733</v>
      </c>
      <c r="Z1873" s="5">
        <f t="shared" si="1253"/>
        <v>5.891727702561381</v>
      </c>
      <c r="AA1873" s="5">
        <f t="shared" si="1254"/>
        <v>-5897.6194302639424</v>
      </c>
      <c r="AB1873" t="s">
        <v>64</v>
      </c>
      <c r="AC1873" t="s">
        <v>62</v>
      </c>
      <c r="AD1873">
        <f t="shared" si="1255"/>
        <v>1</v>
      </c>
    </row>
    <row r="1874" spans="1:30" x14ac:dyDescent="0.35">
      <c r="A1874" t="s">
        <v>124</v>
      </c>
      <c r="B1874" t="s">
        <v>122</v>
      </c>
      <c r="C1874" s="36">
        <f t="shared" si="1243"/>
        <v>0.10999999999999997</v>
      </c>
      <c r="D1874" s="3">
        <f t="shared" si="1244"/>
        <v>0.10999999999999997</v>
      </c>
      <c r="F1874">
        <v>1000</v>
      </c>
      <c r="G1874" t="s">
        <v>76</v>
      </c>
      <c r="H1874">
        <v>1000</v>
      </c>
      <c r="I1874" s="22"/>
      <c r="J1874">
        <v>10</v>
      </c>
      <c r="K1874" s="22"/>
      <c r="L1874">
        <v>11</v>
      </c>
      <c r="M1874" s="22">
        <v>0.11</v>
      </c>
      <c r="N1874" s="21">
        <v>45777</v>
      </c>
      <c r="O1874" s="21">
        <v>49429</v>
      </c>
      <c r="P1874">
        <f t="shared" si="1245"/>
        <v>10</v>
      </c>
      <c r="Q1874" s="6">
        <f t="shared" si="1246"/>
        <v>0.11</v>
      </c>
      <c r="R1874" s="5">
        <f t="shared" si="1247"/>
        <v>1</v>
      </c>
      <c r="S1874" t="s">
        <v>93</v>
      </c>
      <c r="U1874">
        <f t="shared" si="1248"/>
        <v>10</v>
      </c>
      <c r="V1874">
        <f t="shared" si="1249"/>
        <v>110</v>
      </c>
      <c r="W1874" s="28">
        <f t="shared" si="1250"/>
        <v>0.10999999999999997</v>
      </c>
      <c r="X1874" s="27">
        <f t="shared" si="1251"/>
        <v>0.10999999999999997</v>
      </c>
      <c r="Y1874" s="5">
        <f t="shared" si="1252"/>
        <v>6.5370475323667412</v>
      </c>
      <c r="Z1874" s="5">
        <f t="shared" si="1253"/>
        <v>5.8892320111412086</v>
      </c>
      <c r="AA1874" s="5">
        <f t="shared" si="1254"/>
        <v>-5889.2320111412082</v>
      </c>
      <c r="AB1874" t="s">
        <v>64</v>
      </c>
      <c r="AC1874" t="s">
        <v>62</v>
      </c>
      <c r="AD1874">
        <f t="shared" si="1255"/>
        <v>1</v>
      </c>
    </row>
    <row r="1875" spans="1:30" x14ac:dyDescent="0.35">
      <c r="A1875" t="s">
        <v>123</v>
      </c>
      <c r="B1875" t="s">
        <v>122</v>
      </c>
      <c r="C1875" s="36">
        <f t="shared" si="1243"/>
        <v>0.10001727580481448</v>
      </c>
      <c r="D1875" s="3">
        <f t="shared" si="1244"/>
        <v>0.10001727580481448</v>
      </c>
      <c r="F1875">
        <v>1030</v>
      </c>
      <c r="G1875" t="s">
        <v>76</v>
      </c>
      <c r="H1875">
        <v>1000</v>
      </c>
      <c r="I1875" s="22"/>
      <c r="J1875">
        <v>13</v>
      </c>
      <c r="K1875" s="22"/>
      <c r="L1875">
        <v>9.8865100788018605</v>
      </c>
      <c r="M1875" s="22">
        <v>0.10490000000000001</v>
      </c>
      <c r="N1875" s="21">
        <v>45777</v>
      </c>
      <c r="O1875" s="21">
        <v>49429</v>
      </c>
      <c r="P1875">
        <f t="shared" si="1245"/>
        <v>10</v>
      </c>
      <c r="Q1875" s="6">
        <f t="shared" si="1246"/>
        <v>0.10184466019417476</v>
      </c>
      <c r="R1875" s="5">
        <f t="shared" si="1247"/>
        <v>1</v>
      </c>
      <c r="S1875" t="s">
        <v>93</v>
      </c>
      <c r="U1875">
        <f t="shared" si="1248"/>
        <v>10</v>
      </c>
      <c r="V1875">
        <f t="shared" si="1249"/>
        <v>104.9</v>
      </c>
      <c r="W1875" s="28">
        <f t="shared" si="1250"/>
        <v>0.10001727580481448</v>
      </c>
      <c r="X1875" s="27">
        <f t="shared" si="1251"/>
        <v>0.10001727580481448</v>
      </c>
      <c r="Y1875" s="5">
        <f t="shared" si="1252"/>
        <v>6.6994062831089582</v>
      </c>
      <c r="Z1875" s="5">
        <f t="shared" si="1253"/>
        <v>6.0902736988447908</v>
      </c>
      <c r="AA1875" s="5">
        <f t="shared" si="1254"/>
        <v>-6272.9819098101343</v>
      </c>
      <c r="AB1875" t="s">
        <v>64</v>
      </c>
      <c r="AC1875" t="s">
        <v>62</v>
      </c>
      <c r="AD1875">
        <f t="shared" si="1255"/>
        <v>1</v>
      </c>
    </row>
    <row r="1876" spans="1:30" x14ac:dyDescent="0.35">
      <c r="A1876" t="s">
        <v>121</v>
      </c>
      <c r="B1876" t="s">
        <v>119</v>
      </c>
      <c r="C1876" s="36">
        <f t="shared" si="1243"/>
        <v>9.6410710744054051E-2</v>
      </c>
      <c r="D1876" s="3">
        <f t="shared" si="1244"/>
        <v>9.6410710744054051E-2</v>
      </c>
      <c r="F1876">
        <v>1038</v>
      </c>
      <c r="G1876" t="s">
        <v>76</v>
      </c>
      <c r="H1876">
        <v>1000</v>
      </c>
      <c r="I1876" s="22"/>
      <c r="J1876">
        <v>105</v>
      </c>
      <c r="K1876" s="22"/>
      <c r="L1876">
        <v>9.5068562043237996</v>
      </c>
      <c r="M1876" s="22">
        <v>0.10249999999999999</v>
      </c>
      <c r="N1876" s="21">
        <v>45840</v>
      </c>
      <c r="O1876" s="21">
        <v>49492</v>
      </c>
      <c r="P1876">
        <f t="shared" si="1245"/>
        <v>10</v>
      </c>
      <c r="Q1876" s="6">
        <f t="shared" si="1246"/>
        <v>9.8747591522157993E-2</v>
      </c>
      <c r="R1876" s="5">
        <f t="shared" si="1247"/>
        <v>1</v>
      </c>
      <c r="S1876" t="s">
        <v>93</v>
      </c>
      <c r="U1876">
        <f t="shared" si="1248"/>
        <v>10</v>
      </c>
      <c r="V1876">
        <f t="shared" si="1249"/>
        <v>102.5</v>
      </c>
      <c r="W1876" s="28">
        <f t="shared" si="1250"/>
        <v>9.6410710744054051E-2</v>
      </c>
      <c r="X1876" s="27">
        <f t="shared" si="1251"/>
        <v>9.6410710744054051E-2</v>
      </c>
      <c r="Y1876" s="5">
        <f t="shared" si="1252"/>
        <v>6.7655698886939293</v>
      </c>
      <c r="Z1876" s="5">
        <f t="shared" si="1253"/>
        <v>6.1706528606443758</v>
      </c>
      <c r="AA1876" s="5">
        <f t="shared" si="1254"/>
        <v>-6405.1376693488619</v>
      </c>
      <c r="AB1876" t="s">
        <v>64</v>
      </c>
      <c r="AC1876" t="s">
        <v>62</v>
      </c>
      <c r="AD1876">
        <f t="shared" si="1255"/>
        <v>1</v>
      </c>
    </row>
    <row r="1877" spans="1:30" x14ac:dyDescent="0.35">
      <c r="A1877" t="s">
        <v>120</v>
      </c>
      <c r="B1877" t="s">
        <v>119</v>
      </c>
      <c r="C1877" s="36">
        <f t="shared" si="1243"/>
        <v>0.11083983690894141</v>
      </c>
      <c r="D1877" s="3">
        <f t="shared" si="1244"/>
        <v>0.11083983690894141</v>
      </c>
      <c r="F1877">
        <v>980.4</v>
      </c>
      <c r="G1877" t="s">
        <v>76</v>
      </c>
      <c r="H1877">
        <v>1000</v>
      </c>
      <c r="I1877" s="22"/>
      <c r="J1877">
        <v>13</v>
      </c>
      <c r="K1877" s="22"/>
      <c r="L1877">
        <v>11.1656004441733</v>
      </c>
      <c r="M1877" s="22">
        <v>0.1075</v>
      </c>
      <c r="N1877" s="21">
        <v>45840</v>
      </c>
      <c r="O1877" s="21">
        <v>49492</v>
      </c>
      <c r="P1877">
        <f t="shared" si="1245"/>
        <v>10</v>
      </c>
      <c r="Q1877" s="6">
        <f t="shared" si="1246"/>
        <v>0.10964912280701755</v>
      </c>
      <c r="R1877" s="5">
        <f t="shared" si="1247"/>
        <v>1</v>
      </c>
      <c r="S1877" t="s">
        <v>93</v>
      </c>
      <c r="U1877">
        <f t="shared" si="1248"/>
        <v>10</v>
      </c>
      <c r="V1877">
        <f t="shared" si="1249"/>
        <v>107.5</v>
      </c>
      <c r="W1877" s="28">
        <f t="shared" si="1250"/>
        <v>0.11083983690894141</v>
      </c>
      <c r="X1877" s="27">
        <f t="shared" si="1251"/>
        <v>0.11083983690894141</v>
      </c>
      <c r="Y1877" s="5">
        <f t="shared" si="1252"/>
        <v>6.5564141362163042</v>
      </c>
      <c r="Z1877" s="5">
        <f t="shared" si="1253"/>
        <v>5.9022137290830265</v>
      </c>
      <c r="AA1877" s="5">
        <f t="shared" si="1254"/>
        <v>-5786.530339992999</v>
      </c>
      <c r="AB1877" t="s">
        <v>64</v>
      </c>
      <c r="AC1877" t="s">
        <v>62</v>
      </c>
      <c r="AD1877">
        <f t="shared" si="1255"/>
        <v>1</v>
      </c>
    </row>
    <row r="1878" spans="1:30" x14ac:dyDescent="0.35">
      <c r="A1878" t="s">
        <v>118</v>
      </c>
      <c r="B1878" t="s">
        <v>94</v>
      </c>
      <c r="C1878" s="36">
        <f t="shared" si="1243"/>
        <v>6.7008705612266906E-2</v>
      </c>
      <c r="D1878" s="3">
        <f t="shared" si="1244"/>
        <v>6.7008705612266906E-2</v>
      </c>
      <c r="F1878">
        <v>1046331.8</v>
      </c>
      <c r="G1878" t="s">
        <v>76</v>
      </c>
      <c r="H1878">
        <v>1000000</v>
      </c>
      <c r="I1878" s="22"/>
      <c r="J1878">
        <v>2</v>
      </c>
      <c r="K1878" s="22"/>
      <c r="L1878">
        <v>6.5790837495869603</v>
      </c>
      <c r="M1878" s="22">
        <v>7.2000000000000008E-2</v>
      </c>
      <c r="N1878" s="21">
        <v>44053</v>
      </c>
      <c r="O1878" s="21">
        <v>49531</v>
      </c>
      <c r="P1878">
        <f t="shared" si="1245"/>
        <v>15</v>
      </c>
      <c r="Q1878" s="6">
        <f t="shared" si="1246"/>
        <v>6.8811824318060502E-2</v>
      </c>
      <c r="R1878" s="5">
        <f t="shared" si="1247"/>
        <v>1</v>
      </c>
      <c r="S1878" t="s">
        <v>93</v>
      </c>
      <c r="U1878">
        <f t="shared" si="1248"/>
        <v>15</v>
      </c>
      <c r="V1878">
        <f t="shared" si="1249"/>
        <v>72000.000000000015</v>
      </c>
      <c r="W1878" s="28">
        <f t="shared" si="1250"/>
        <v>6.7008705612266906E-2</v>
      </c>
      <c r="X1878" s="27">
        <f t="shared" si="1251"/>
        <v>6.7008705612266906E-2</v>
      </c>
      <c r="Y1878" s="5">
        <f t="shared" si="1252"/>
        <v>9.7674192488674603</v>
      </c>
      <c r="Z1878" s="5">
        <f t="shared" si="1253"/>
        <v>9.1540202038583729</v>
      </c>
      <c r="AA1878" s="5">
        <f t="shared" si="1254"/>
        <v>-9578142.4371394981</v>
      </c>
      <c r="AB1878" t="s">
        <v>64</v>
      </c>
      <c r="AC1878" t="s">
        <v>62</v>
      </c>
      <c r="AD1878">
        <f t="shared" si="1255"/>
        <v>1</v>
      </c>
    </row>
    <row r="1879" spans="1:30" x14ac:dyDescent="0.35">
      <c r="A1879" t="s">
        <v>117</v>
      </c>
      <c r="B1879" t="s">
        <v>96</v>
      </c>
      <c r="C1879" s="36">
        <f t="shared" si="1243"/>
        <v>6.4500975320849682E-2</v>
      </c>
      <c r="D1879" s="3">
        <f t="shared" si="1244"/>
        <v>6.4500975320849682E-2</v>
      </c>
      <c r="F1879">
        <v>1033005.9</v>
      </c>
      <c r="G1879" t="s">
        <v>76</v>
      </c>
      <c r="H1879">
        <v>1000000</v>
      </c>
      <c r="I1879" s="22"/>
      <c r="J1879">
        <v>2</v>
      </c>
      <c r="K1879" s="22"/>
      <c r="L1879">
        <v>6.3674018081836401</v>
      </c>
      <c r="M1879" s="22">
        <v>6.8000000000000005E-2</v>
      </c>
      <c r="N1879" s="21">
        <v>44064</v>
      </c>
      <c r="O1879" s="21">
        <v>49542</v>
      </c>
      <c r="P1879">
        <f t="shared" si="1245"/>
        <v>15</v>
      </c>
      <c r="Q1879" s="6">
        <f t="shared" si="1246"/>
        <v>6.5827310376446055E-2</v>
      </c>
      <c r="R1879" s="5">
        <f t="shared" si="1247"/>
        <v>1</v>
      </c>
      <c r="S1879" t="s">
        <v>93</v>
      </c>
      <c r="U1879">
        <f t="shared" si="1248"/>
        <v>15</v>
      </c>
      <c r="V1879">
        <f t="shared" si="1249"/>
        <v>68000</v>
      </c>
      <c r="W1879" s="28">
        <f t="shared" si="1250"/>
        <v>6.4500975320849682E-2</v>
      </c>
      <c r="X1879" s="27">
        <f t="shared" si="1251"/>
        <v>6.4500975320849682E-2</v>
      </c>
      <c r="Y1879" s="5">
        <f t="shared" si="1252"/>
        <v>9.9393505373938336</v>
      </c>
      <c r="Z1879" s="5">
        <f t="shared" si="1253"/>
        <v>9.3370985727824518</v>
      </c>
      <c r="AA1879" s="5">
        <f t="shared" si="1254"/>
        <v>-9645277.9145658519</v>
      </c>
      <c r="AB1879" t="s">
        <v>69</v>
      </c>
      <c r="AC1879" t="s">
        <v>62</v>
      </c>
      <c r="AD1879">
        <f t="shared" si="1255"/>
        <v>1</v>
      </c>
    </row>
    <row r="1880" spans="1:30" x14ac:dyDescent="0.35">
      <c r="A1880" t="s">
        <v>116</v>
      </c>
      <c r="B1880" t="s">
        <v>114</v>
      </c>
      <c r="C1880" s="36">
        <f t="shared" si="1243"/>
        <v>5.6903658813883755E-2</v>
      </c>
      <c r="D1880" s="3">
        <f t="shared" si="1244"/>
        <v>5.6903658813883755E-2</v>
      </c>
      <c r="F1880">
        <v>1227</v>
      </c>
      <c r="G1880" t="s">
        <v>76</v>
      </c>
      <c r="H1880">
        <v>1000</v>
      </c>
      <c r="I1880" s="22"/>
      <c r="J1880">
        <v>5</v>
      </c>
      <c r="K1880" s="22"/>
      <c r="L1880">
        <v>4.3984501300997598</v>
      </c>
      <c r="M1880" s="22">
        <v>7.6200000000000004E-2</v>
      </c>
      <c r="N1880" s="21">
        <v>42282</v>
      </c>
      <c r="O1880" s="21">
        <v>49587</v>
      </c>
      <c r="P1880">
        <f t="shared" si="1245"/>
        <v>20</v>
      </c>
      <c r="Q1880" s="6">
        <f t="shared" si="1246"/>
        <v>6.2102689486552572E-2</v>
      </c>
      <c r="R1880" s="5">
        <f t="shared" si="1247"/>
        <v>1</v>
      </c>
      <c r="S1880" t="s">
        <v>93</v>
      </c>
      <c r="U1880">
        <f t="shared" si="1248"/>
        <v>20</v>
      </c>
      <c r="V1880">
        <f t="shared" si="1249"/>
        <v>76.2</v>
      </c>
      <c r="W1880" s="28">
        <f t="shared" si="1250"/>
        <v>5.6903658813883755E-2</v>
      </c>
      <c r="X1880" s="27">
        <f t="shared" si="1251"/>
        <v>5.6903658813883755E-2</v>
      </c>
      <c r="Y1880" s="5">
        <f t="shared" si="1252"/>
        <v>11.741960882530872</v>
      </c>
      <c r="Z1880" s="5">
        <f t="shared" si="1253"/>
        <v>11.109774088310333</v>
      </c>
      <c r="AA1880" s="5">
        <f t="shared" si="1254"/>
        <v>-13631.692806356779</v>
      </c>
      <c r="AB1880" t="s">
        <v>64</v>
      </c>
      <c r="AC1880" t="s">
        <v>62</v>
      </c>
      <c r="AD1880">
        <f t="shared" si="1255"/>
        <v>1</v>
      </c>
    </row>
    <row r="1881" spans="1:30" x14ac:dyDescent="0.35">
      <c r="A1881" t="s">
        <v>115</v>
      </c>
      <c r="B1881" t="s">
        <v>114</v>
      </c>
      <c r="C1881" s="36">
        <f t="shared" si="1243"/>
        <v>1.2087752856210084E-2</v>
      </c>
      <c r="D1881" s="3">
        <f t="shared" si="1244"/>
        <v>1.2087752856210084E-2</v>
      </c>
      <c r="F1881">
        <v>2088.8000000000002</v>
      </c>
      <c r="G1881" t="s">
        <v>76</v>
      </c>
      <c r="H1881">
        <v>1000</v>
      </c>
      <c r="I1881" s="22"/>
      <c r="J1881">
        <v>20</v>
      </c>
      <c r="K1881" s="22"/>
      <c r="L1881">
        <v>-1.1087171459020599</v>
      </c>
      <c r="M1881" s="22">
        <v>7.3700000000000002E-2</v>
      </c>
      <c r="N1881" s="21">
        <v>42282</v>
      </c>
      <c r="O1881" s="21">
        <v>49587</v>
      </c>
      <c r="P1881">
        <f t="shared" si="1245"/>
        <v>20</v>
      </c>
      <c r="Q1881" s="6">
        <f t="shared" si="1246"/>
        <v>3.5283416315587894E-2</v>
      </c>
      <c r="R1881" s="5">
        <f t="shared" si="1247"/>
        <v>1</v>
      </c>
      <c r="S1881" t="s">
        <v>93</v>
      </c>
      <c r="U1881">
        <f t="shared" si="1248"/>
        <v>20</v>
      </c>
      <c r="V1881">
        <f t="shared" si="1249"/>
        <v>73.7</v>
      </c>
      <c r="W1881" s="28">
        <f t="shared" si="1250"/>
        <v>1.2087752856210084E-2</v>
      </c>
      <c r="X1881" s="27">
        <f t="shared" si="1251"/>
        <v>1.2087752856210084E-2</v>
      </c>
      <c r="Y1881" s="5">
        <f t="shared" si="1252"/>
        <v>13.827680230301276</v>
      </c>
      <c r="Z1881" s="5">
        <f t="shared" si="1253"/>
        <v>13.662530932992933</v>
      </c>
      <c r="AA1881" s="5">
        <f t="shared" si="1254"/>
        <v>-28538.294612835642</v>
      </c>
      <c r="AB1881" t="s">
        <v>64</v>
      </c>
      <c r="AC1881" t="s">
        <v>62</v>
      </c>
      <c r="AD1881">
        <f t="shared" si="1255"/>
        <v>1</v>
      </c>
    </row>
    <row r="1882" spans="1:30" x14ac:dyDescent="0.35">
      <c r="A1882" t="s">
        <v>113</v>
      </c>
      <c r="B1882" t="s">
        <v>94</v>
      </c>
      <c r="C1882" s="36">
        <f t="shared" si="1243"/>
        <v>5.8137917701195044E-2</v>
      </c>
      <c r="D1882" s="3">
        <f t="shared" si="1244"/>
        <v>5.8137917701195044E-2</v>
      </c>
      <c r="F1882">
        <v>1208.01</v>
      </c>
      <c r="G1882" t="s">
        <v>76</v>
      </c>
      <c r="H1882">
        <v>1000</v>
      </c>
      <c r="I1882" s="22"/>
      <c r="J1882">
        <v>352</v>
      </c>
      <c r="K1882" s="22"/>
      <c r="L1882">
        <v>4.6104030137479004</v>
      </c>
      <c r="M1882" s="22">
        <v>7.5999999999999998E-2</v>
      </c>
      <c r="N1882" s="21">
        <v>42294</v>
      </c>
      <c r="O1882" s="21">
        <v>49599</v>
      </c>
      <c r="P1882">
        <f t="shared" si="1245"/>
        <v>20</v>
      </c>
      <c r="Q1882" s="6">
        <f t="shared" si="1246"/>
        <v>6.2913386478588754E-2</v>
      </c>
      <c r="R1882" s="5">
        <f t="shared" si="1247"/>
        <v>1</v>
      </c>
      <c r="S1882" t="s">
        <v>93</v>
      </c>
      <c r="U1882">
        <f t="shared" si="1248"/>
        <v>20</v>
      </c>
      <c r="V1882">
        <f t="shared" si="1249"/>
        <v>76</v>
      </c>
      <c r="W1882" s="28">
        <f t="shared" si="1250"/>
        <v>5.8137917701195044E-2</v>
      </c>
      <c r="X1882" s="27">
        <f t="shared" si="1251"/>
        <v>5.8137917701195044E-2</v>
      </c>
      <c r="Y1882" s="5">
        <f t="shared" si="1252"/>
        <v>11.691731721542078</v>
      </c>
      <c r="Z1882" s="5">
        <f t="shared" si="1253"/>
        <v>11.049345766705315</v>
      </c>
      <c r="AA1882" s="5">
        <f t="shared" si="1254"/>
        <v>-13347.720179637687</v>
      </c>
      <c r="AB1882" t="s">
        <v>64</v>
      </c>
      <c r="AC1882" t="s">
        <v>62</v>
      </c>
      <c r="AD1882">
        <f t="shared" si="1255"/>
        <v>1</v>
      </c>
    </row>
    <row r="1883" spans="1:30" x14ac:dyDescent="0.35">
      <c r="A1883" t="s">
        <v>112</v>
      </c>
      <c r="B1883" t="s">
        <v>94</v>
      </c>
      <c r="C1883" s="36">
        <f t="shared" si="1243"/>
        <v>5.8735488522365188E-2</v>
      </c>
      <c r="D1883" s="3">
        <f t="shared" si="1244"/>
        <v>5.8735488522365188E-2</v>
      </c>
      <c r="F1883">
        <v>1171.0999999999999</v>
      </c>
      <c r="G1883" t="s">
        <v>76</v>
      </c>
      <c r="H1883">
        <v>1000</v>
      </c>
      <c r="I1883" s="22"/>
      <c r="J1883">
        <v>244</v>
      </c>
      <c r="K1883" s="22"/>
      <c r="L1883">
        <v>4.87611876280328</v>
      </c>
      <c r="M1883" s="22">
        <v>7.3499999999999996E-2</v>
      </c>
      <c r="N1883" s="21">
        <v>42294</v>
      </c>
      <c r="O1883" s="21">
        <v>49599</v>
      </c>
      <c r="P1883">
        <f t="shared" si="1245"/>
        <v>20</v>
      </c>
      <c r="Q1883" s="6">
        <f t="shared" si="1246"/>
        <v>6.2761506276150639E-2</v>
      </c>
      <c r="R1883" s="5">
        <f t="shared" si="1247"/>
        <v>1</v>
      </c>
      <c r="S1883" t="s">
        <v>93</v>
      </c>
      <c r="U1883">
        <f t="shared" si="1248"/>
        <v>20</v>
      </c>
      <c r="V1883">
        <f t="shared" si="1249"/>
        <v>73.5</v>
      </c>
      <c r="W1883" s="28">
        <f t="shared" si="1250"/>
        <v>5.8735488522365188E-2</v>
      </c>
      <c r="X1883" s="27">
        <f t="shared" si="1251"/>
        <v>5.8735488522365188E-2</v>
      </c>
      <c r="Y1883" s="5">
        <f t="shared" si="1252"/>
        <v>11.73935812486433</v>
      </c>
      <c r="Z1883" s="5">
        <f t="shared" si="1253"/>
        <v>11.088093534343013</v>
      </c>
      <c r="AA1883" s="5">
        <f t="shared" si="1254"/>
        <v>-12985.266338069101</v>
      </c>
      <c r="AB1883" t="s">
        <v>64</v>
      </c>
      <c r="AC1883" t="s">
        <v>62</v>
      </c>
      <c r="AD1883">
        <f t="shared" si="1255"/>
        <v>1</v>
      </c>
    </row>
    <row r="1884" spans="1:30" x14ac:dyDescent="0.35">
      <c r="A1884" t="s">
        <v>111</v>
      </c>
      <c r="B1884" t="s">
        <v>77</v>
      </c>
      <c r="C1884" s="36">
        <f t="shared" si="1243"/>
        <v>3.6684706010933904E-2</v>
      </c>
      <c r="D1884" s="3">
        <f t="shared" si="1244"/>
        <v>7.3369412021867808E-2</v>
      </c>
      <c r="F1884">
        <v>314</v>
      </c>
      <c r="G1884" t="s">
        <v>76</v>
      </c>
      <c r="H1884">
        <v>300</v>
      </c>
      <c r="I1884" s="22"/>
      <c r="J1884">
        <v>950</v>
      </c>
      <c r="K1884" s="22"/>
      <c r="M1884" s="22">
        <v>7.9000000000000001E-2</v>
      </c>
      <c r="N1884" s="21">
        <v>44859</v>
      </c>
      <c r="O1884" s="21">
        <v>49607</v>
      </c>
      <c r="P1884">
        <f t="shared" si="1245"/>
        <v>13</v>
      </c>
      <c r="Q1884" s="6">
        <f t="shared" si="1246"/>
        <v>7.5477707006369424E-2</v>
      </c>
      <c r="R1884" s="5">
        <f t="shared" si="1247"/>
        <v>2</v>
      </c>
      <c r="S1884" t="s">
        <v>65</v>
      </c>
      <c r="U1884">
        <f t="shared" si="1248"/>
        <v>26</v>
      </c>
      <c r="V1884">
        <f t="shared" si="1249"/>
        <v>11.85</v>
      </c>
      <c r="W1884" s="28">
        <f t="shared" si="1250"/>
        <v>3.6684706010933904E-2</v>
      </c>
      <c r="X1884" s="27">
        <f t="shared" si="1251"/>
        <v>7.3369412021867808E-2</v>
      </c>
      <c r="Y1884" s="5">
        <f t="shared" si="1252"/>
        <v>8.4654456525392838</v>
      </c>
      <c r="Z1884" s="5">
        <f t="shared" si="1253"/>
        <v>8.1658826482677931</v>
      </c>
      <c r="AA1884" s="5">
        <f t="shared" si="1254"/>
        <v>-2564.0871515560871</v>
      </c>
      <c r="AB1884" t="s">
        <v>64</v>
      </c>
      <c r="AC1884" t="s">
        <v>62</v>
      </c>
      <c r="AD1884">
        <f t="shared" si="1255"/>
        <v>2</v>
      </c>
    </row>
    <row r="1885" spans="1:30" x14ac:dyDescent="0.35">
      <c r="A1885" t="s">
        <v>110</v>
      </c>
      <c r="B1885" t="s">
        <v>101</v>
      </c>
      <c r="C1885" s="36">
        <f t="shared" si="1243"/>
        <v>5.8403380221872414E-2</v>
      </c>
      <c r="D1885" s="3">
        <f t="shared" si="1244"/>
        <v>5.8403380221872414E-2</v>
      </c>
      <c r="F1885">
        <v>1184.72</v>
      </c>
      <c r="G1885" t="s">
        <v>76</v>
      </c>
      <c r="H1885">
        <v>1000</v>
      </c>
      <c r="I1885" s="22"/>
      <c r="J1885">
        <v>579</v>
      </c>
      <c r="K1885" s="22"/>
      <c r="L1885">
        <v>4.7571460848409597</v>
      </c>
      <c r="M1885" s="22">
        <v>7.4299999999999991E-2</v>
      </c>
      <c r="N1885" s="21">
        <v>42313</v>
      </c>
      <c r="O1885" s="21">
        <v>49618</v>
      </c>
      <c r="P1885">
        <f t="shared" si="1245"/>
        <v>20</v>
      </c>
      <c r="Q1885" s="6">
        <f t="shared" si="1246"/>
        <v>6.2715240731987296E-2</v>
      </c>
      <c r="R1885" s="5">
        <f t="shared" si="1247"/>
        <v>1</v>
      </c>
      <c r="S1885" t="s">
        <v>93</v>
      </c>
      <c r="U1885">
        <f t="shared" si="1248"/>
        <v>20</v>
      </c>
      <c r="V1885">
        <f t="shared" si="1249"/>
        <v>74.3</v>
      </c>
      <c r="W1885" s="28">
        <f t="shared" si="1250"/>
        <v>5.8403380221872414E-2</v>
      </c>
      <c r="X1885" s="27">
        <f t="shared" si="1251"/>
        <v>5.8403380221872414E-2</v>
      </c>
      <c r="Y1885" s="5">
        <f t="shared" si="1252"/>
        <v>11.730155841876972</v>
      </c>
      <c r="Z1885" s="5">
        <f t="shared" si="1253"/>
        <v>11.082878287310445</v>
      </c>
      <c r="AA1885" s="5">
        <f t="shared" si="1254"/>
        <v>-13130.10756454243</v>
      </c>
      <c r="AB1885" t="s">
        <v>64</v>
      </c>
      <c r="AC1885" t="s">
        <v>62</v>
      </c>
      <c r="AD1885">
        <f t="shared" si="1255"/>
        <v>1</v>
      </c>
    </row>
    <row r="1886" spans="1:30" x14ac:dyDescent="0.35">
      <c r="A1886" t="s">
        <v>109</v>
      </c>
      <c r="B1886" t="s">
        <v>101</v>
      </c>
      <c r="C1886" s="36">
        <f t="shared" si="1243"/>
        <v>5.7301637120220628E-2</v>
      </c>
      <c r="D1886" s="3">
        <f t="shared" si="1244"/>
        <v>5.7301637120220628E-2</v>
      </c>
      <c r="F1886">
        <v>1170</v>
      </c>
      <c r="G1886" t="s">
        <v>76</v>
      </c>
      <c r="H1886">
        <v>1000</v>
      </c>
      <c r="I1886" s="22"/>
      <c r="J1886">
        <v>50</v>
      </c>
      <c r="K1886" s="22"/>
      <c r="L1886">
        <v>4.7378023073090301</v>
      </c>
      <c r="M1886" s="22">
        <v>7.1800000000000003E-2</v>
      </c>
      <c r="N1886" s="21">
        <v>42313</v>
      </c>
      <c r="O1886" s="21">
        <v>49618</v>
      </c>
      <c r="P1886">
        <f t="shared" si="1245"/>
        <v>20</v>
      </c>
      <c r="Q1886" s="6">
        <f t="shared" si="1246"/>
        <v>6.1367521367521362E-2</v>
      </c>
      <c r="R1886" s="5">
        <f t="shared" si="1247"/>
        <v>1</v>
      </c>
      <c r="S1886" t="s">
        <v>93</v>
      </c>
      <c r="U1886">
        <f t="shared" si="1248"/>
        <v>20</v>
      </c>
      <c r="V1886">
        <f t="shared" si="1249"/>
        <v>71.8</v>
      </c>
      <c r="W1886" s="28">
        <f t="shared" si="1250"/>
        <v>5.7301637120220628E-2</v>
      </c>
      <c r="X1886" s="27">
        <f t="shared" si="1251"/>
        <v>5.7301637120220628E-2</v>
      </c>
      <c r="Y1886" s="5">
        <f t="shared" si="1252"/>
        <v>11.857897733945698</v>
      </c>
      <c r="Z1886" s="5">
        <f t="shared" si="1253"/>
        <v>11.215245789501596</v>
      </c>
      <c r="AA1886" s="5">
        <f t="shared" si="1254"/>
        <v>-13121.837573716868</v>
      </c>
      <c r="AB1886" t="s">
        <v>64</v>
      </c>
      <c r="AC1886" t="s">
        <v>62</v>
      </c>
      <c r="AD1886">
        <f t="shared" si="1255"/>
        <v>1</v>
      </c>
    </row>
    <row r="1887" spans="1:30" x14ac:dyDescent="0.35">
      <c r="A1887" t="s">
        <v>108</v>
      </c>
      <c r="B1887" t="s">
        <v>72</v>
      </c>
      <c r="C1887" s="36">
        <f t="shared" si="1243"/>
        <v>3.8126144746977286E-2</v>
      </c>
      <c r="D1887" s="3">
        <f t="shared" si="1244"/>
        <v>3.8126144746977286E-2</v>
      </c>
      <c r="F1887">
        <v>1475</v>
      </c>
      <c r="G1887" t="s">
        <v>76</v>
      </c>
      <c r="H1887">
        <v>1000</v>
      </c>
      <c r="I1887" s="22"/>
      <c r="J1887">
        <v>5</v>
      </c>
      <c r="K1887" s="22"/>
      <c r="L1887">
        <v>2.2087754695847899</v>
      </c>
      <c r="M1887" s="22">
        <v>7.2499999999999995E-2</v>
      </c>
      <c r="N1887" s="21">
        <v>42359</v>
      </c>
      <c r="O1887" s="21">
        <v>49664</v>
      </c>
      <c r="P1887">
        <f t="shared" si="1245"/>
        <v>20</v>
      </c>
      <c r="Q1887" s="6">
        <f t="shared" si="1246"/>
        <v>4.9152542372881358E-2</v>
      </c>
      <c r="R1887" s="5">
        <f t="shared" si="1247"/>
        <v>1</v>
      </c>
      <c r="S1887" t="s">
        <v>93</v>
      </c>
      <c r="U1887">
        <f t="shared" si="1248"/>
        <v>20</v>
      </c>
      <c r="V1887">
        <f t="shared" si="1249"/>
        <v>72.5</v>
      </c>
      <c r="W1887" s="28">
        <f t="shared" si="1250"/>
        <v>3.8126144746977286E-2</v>
      </c>
      <c r="X1887" s="27">
        <f t="shared" si="1251"/>
        <v>3.8126144746977286E-2</v>
      </c>
      <c r="Y1887" s="5">
        <f t="shared" si="1252"/>
        <v>12.710163332266941</v>
      </c>
      <c r="Z1887" s="5">
        <f t="shared" si="1253"/>
        <v>12.243370804773242</v>
      </c>
      <c r="AA1887" s="5">
        <f t="shared" si="1254"/>
        <v>-18058.971937040533</v>
      </c>
      <c r="AB1887" t="s">
        <v>64</v>
      </c>
      <c r="AC1887" t="s">
        <v>62</v>
      </c>
      <c r="AD1887">
        <f t="shared" si="1255"/>
        <v>1</v>
      </c>
    </row>
    <row r="1888" spans="1:30" x14ac:dyDescent="0.35">
      <c r="A1888" t="s">
        <v>107</v>
      </c>
      <c r="B1888" t="s">
        <v>72</v>
      </c>
      <c r="C1888" s="36">
        <f t="shared" si="1243"/>
        <v>5.7011281769408388E-2</v>
      </c>
      <c r="D1888" s="3">
        <f t="shared" si="1244"/>
        <v>5.7011281769408388E-2</v>
      </c>
      <c r="F1888">
        <v>1211.43</v>
      </c>
      <c r="G1888" t="s">
        <v>76</v>
      </c>
      <c r="H1888">
        <v>1000</v>
      </c>
      <c r="I1888" s="22"/>
      <c r="J1888">
        <v>1274</v>
      </c>
      <c r="K1888" s="22"/>
      <c r="L1888">
        <v>4.5185918556483697</v>
      </c>
      <c r="M1888" s="22">
        <v>7.4999999999999997E-2</v>
      </c>
      <c r="N1888" s="21">
        <v>42359</v>
      </c>
      <c r="O1888" s="21">
        <v>49664</v>
      </c>
      <c r="P1888">
        <f t="shared" si="1245"/>
        <v>20</v>
      </c>
      <c r="Q1888" s="6">
        <f t="shared" si="1246"/>
        <v>6.1910304351056183E-2</v>
      </c>
      <c r="R1888" s="5">
        <f t="shared" si="1247"/>
        <v>1</v>
      </c>
      <c r="S1888" t="s">
        <v>93</v>
      </c>
      <c r="U1888">
        <f t="shared" si="1248"/>
        <v>20</v>
      </c>
      <c r="V1888">
        <f t="shared" si="1249"/>
        <v>75</v>
      </c>
      <c r="W1888" s="28">
        <f t="shared" si="1250"/>
        <v>5.7011281769408388E-2</v>
      </c>
      <c r="X1888" s="27">
        <f t="shared" si="1251"/>
        <v>5.7011281769408388E-2</v>
      </c>
      <c r="Y1888" s="5">
        <f t="shared" si="1252"/>
        <v>11.7725092713235</v>
      </c>
      <c r="Z1888" s="5">
        <f t="shared" si="1253"/>
        <v>11.137543633041112</v>
      </c>
      <c r="AA1888" s="5">
        <f t="shared" si="1254"/>
        <v>-13492.354483374995</v>
      </c>
      <c r="AB1888" t="s">
        <v>64</v>
      </c>
      <c r="AC1888" t="s">
        <v>62</v>
      </c>
      <c r="AD1888">
        <f t="shared" si="1255"/>
        <v>1</v>
      </c>
    </row>
    <row r="1889" spans="1:30" x14ac:dyDescent="0.35">
      <c r="A1889" t="s">
        <v>106</v>
      </c>
      <c r="B1889" t="s">
        <v>94</v>
      </c>
      <c r="C1889" s="36">
        <f t="shared" si="1243"/>
        <v>1.7696864185733682E-2</v>
      </c>
      <c r="D1889" s="3">
        <f t="shared" si="1244"/>
        <v>7.0787456742934726E-2</v>
      </c>
      <c r="F1889">
        <v>990</v>
      </c>
      <c r="G1889" t="s">
        <v>76</v>
      </c>
      <c r="H1889">
        <v>1000</v>
      </c>
      <c r="I1889" s="22"/>
      <c r="J1889">
        <v>20</v>
      </c>
      <c r="K1889" s="22"/>
      <c r="M1889" s="22">
        <v>6.9699999999999998E-2</v>
      </c>
      <c r="N1889" s="21">
        <v>44218</v>
      </c>
      <c r="O1889" s="21">
        <v>49696</v>
      </c>
      <c r="P1889">
        <f t="shared" si="1245"/>
        <v>15</v>
      </c>
      <c r="Q1889" s="6">
        <f t="shared" si="1246"/>
        <v>7.0404040404040413E-2</v>
      </c>
      <c r="R1889" s="5">
        <f t="shared" si="1247"/>
        <v>4</v>
      </c>
      <c r="S1889" t="s">
        <v>105</v>
      </c>
      <c r="U1889">
        <f t="shared" si="1248"/>
        <v>60</v>
      </c>
      <c r="V1889">
        <f t="shared" si="1249"/>
        <v>17.425000000000001</v>
      </c>
      <c r="W1889" s="28">
        <f t="shared" si="1250"/>
        <v>1.7696864185733682E-2</v>
      </c>
      <c r="X1889" s="27">
        <f t="shared" si="1251"/>
        <v>7.0787456742934726E-2</v>
      </c>
      <c r="Y1889" s="5">
        <f t="shared" si="1252"/>
        <v>9.3890611838735296</v>
      </c>
      <c r="Z1889" s="5">
        <f t="shared" si="1253"/>
        <v>9.2257935680933674</v>
      </c>
      <c r="AA1889" s="5">
        <f t="shared" si="1254"/>
        <v>-9133.5356324124332</v>
      </c>
      <c r="AB1889" t="s">
        <v>64</v>
      </c>
      <c r="AC1889" t="s">
        <v>62</v>
      </c>
      <c r="AD1889">
        <f t="shared" si="1255"/>
        <v>4</v>
      </c>
    </row>
    <row r="1890" spans="1:30" x14ac:dyDescent="0.35">
      <c r="A1890" t="s">
        <v>104</v>
      </c>
      <c r="B1890" t="s">
        <v>94</v>
      </c>
      <c r="C1890" s="36">
        <f t="shared" si="1243"/>
        <v>6.8136322183673576E-2</v>
      </c>
      <c r="D1890" s="3">
        <f t="shared" si="1244"/>
        <v>6.8136322183673576E-2</v>
      </c>
      <c r="F1890">
        <v>1031</v>
      </c>
      <c r="G1890" t="s">
        <v>76</v>
      </c>
      <c r="H1890">
        <v>1000</v>
      </c>
      <c r="I1890" s="22"/>
      <c r="J1890">
        <v>5188</v>
      </c>
      <c r="K1890" s="22"/>
      <c r="L1890">
        <v>6.6488403178139901</v>
      </c>
      <c r="M1890" s="22">
        <v>7.1500000000000008E-2</v>
      </c>
      <c r="N1890" s="21">
        <v>44218</v>
      </c>
      <c r="O1890" s="21">
        <v>49696</v>
      </c>
      <c r="P1890">
        <f t="shared" si="1245"/>
        <v>15</v>
      </c>
      <c r="Q1890" s="6">
        <f t="shared" si="1246"/>
        <v>6.9350145489815732E-2</v>
      </c>
      <c r="R1890" s="5">
        <f t="shared" si="1247"/>
        <v>1</v>
      </c>
      <c r="S1890" t="s">
        <v>93</v>
      </c>
      <c r="U1890">
        <f t="shared" si="1248"/>
        <v>15</v>
      </c>
      <c r="V1890">
        <f t="shared" si="1249"/>
        <v>71.500000000000014</v>
      </c>
      <c r="W1890" s="28">
        <f t="shared" si="1250"/>
        <v>6.8136322183673576E-2</v>
      </c>
      <c r="X1890" s="27">
        <f t="shared" si="1251"/>
        <v>6.8136322183673576E-2</v>
      </c>
      <c r="Y1890" s="5">
        <f t="shared" si="1252"/>
        <v>9.7522027118354888</v>
      </c>
      <c r="Z1890" s="5">
        <f t="shared" si="1253"/>
        <v>9.1301105573287771</v>
      </c>
      <c r="AA1890" s="5">
        <f t="shared" si="1254"/>
        <v>-9413.1439846059693</v>
      </c>
      <c r="AB1890" t="s">
        <v>64</v>
      </c>
      <c r="AC1890" t="s">
        <v>62</v>
      </c>
      <c r="AD1890">
        <f t="shared" si="1255"/>
        <v>1</v>
      </c>
    </row>
    <row r="1891" spans="1:30" x14ac:dyDescent="0.35">
      <c r="A1891" t="s">
        <v>103</v>
      </c>
      <c r="B1891" t="s">
        <v>94</v>
      </c>
      <c r="C1891" s="36">
        <f t="shared" si="1243"/>
        <v>6.9500000000001325E-2</v>
      </c>
      <c r="D1891" s="3">
        <f t="shared" si="1244"/>
        <v>6.9500000000001325E-2</v>
      </c>
      <c r="F1891">
        <v>1000</v>
      </c>
      <c r="G1891" t="s">
        <v>76</v>
      </c>
      <c r="H1891">
        <v>1000</v>
      </c>
      <c r="I1891" s="22"/>
      <c r="J1891">
        <v>25</v>
      </c>
      <c r="K1891" s="22"/>
      <c r="L1891">
        <v>6.95</v>
      </c>
      <c r="M1891" s="22">
        <v>6.9500000000000006E-2</v>
      </c>
      <c r="N1891" s="21">
        <v>44218</v>
      </c>
      <c r="O1891" s="21">
        <v>49696</v>
      </c>
      <c r="P1891">
        <f t="shared" si="1245"/>
        <v>15</v>
      </c>
      <c r="Q1891" s="6">
        <f t="shared" si="1246"/>
        <v>6.9500000000000006E-2</v>
      </c>
      <c r="R1891" s="5">
        <f t="shared" si="1247"/>
        <v>1</v>
      </c>
      <c r="S1891" t="s">
        <v>93</v>
      </c>
      <c r="U1891">
        <f t="shared" si="1248"/>
        <v>15</v>
      </c>
      <c r="V1891">
        <f t="shared" si="1249"/>
        <v>69.5</v>
      </c>
      <c r="W1891" s="28">
        <f t="shared" si="1250"/>
        <v>6.9500000000001325E-2</v>
      </c>
      <c r="X1891" s="27">
        <f t="shared" si="1251"/>
        <v>6.9500000000001325E-2</v>
      </c>
      <c r="Y1891" s="5">
        <f t="shared" si="1252"/>
        <v>9.7717514080243593</v>
      </c>
      <c r="Z1891" s="5">
        <f t="shared" si="1253"/>
        <v>9.136747459583308</v>
      </c>
      <c r="AA1891" s="5">
        <f t="shared" si="1254"/>
        <v>-9136.7474595833082</v>
      </c>
      <c r="AB1891" t="s">
        <v>64</v>
      </c>
      <c r="AC1891" t="s">
        <v>62</v>
      </c>
      <c r="AD1891">
        <f t="shared" si="1255"/>
        <v>1</v>
      </c>
    </row>
    <row r="1892" spans="1:30" x14ac:dyDescent="0.35">
      <c r="A1892" t="s">
        <v>102</v>
      </c>
      <c r="B1892" t="s">
        <v>101</v>
      </c>
      <c r="C1892" s="36">
        <f t="shared" si="1243"/>
        <v>6.8644401908051933E-2</v>
      </c>
      <c r="D1892" s="3">
        <f t="shared" si="1244"/>
        <v>6.8644401908051933E-2</v>
      </c>
      <c r="F1892">
        <v>99589</v>
      </c>
      <c r="G1892" t="s">
        <v>76</v>
      </c>
      <c r="H1892">
        <v>100000</v>
      </c>
      <c r="I1892" s="22"/>
      <c r="J1892">
        <v>500</v>
      </c>
      <c r="K1892" s="22"/>
      <c r="L1892">
        <v>6.8759999825698701</v>
      </c>
      <c r="M1892" s="22">
        <v>6.8099999999999994E-2</v>
      </c>
      <c r="N1892" s="21">
        <v>45800</v>
      </c>
      <c r="O1892" s="21">
        <v>49795</v>
      </c>
      <c r="P1892">
        <f t="shared" ref="P1892:P1913" si="1256">ROUND(YEARFRAC(N1892,O1892),0)</f>
        <v>11</v>
      </c>
      <c r="Q1892" s="6">
        <f t="shared" ref="Q1892:Q1913" si="1257">(M1892*H1892)/F1892</f>
        <v>6.8381046099468809E-2</v>
      </c>
      <c r="R1892" s="5">
        <f t="shared" ref="R1892:R1913" si="1258">IF(S1892="Quarterly",4,IF(S1892="Semi-annual",2,IF(S1892="Annual",1,IF(S1892="Pays at maturity",0,12))))</f>
        <v>1</v>
      </c>
      <c r="S1892" t="s">
        <v>93</v>
      </c>
      <c r="U1892">
        <f t="shared" ref="U1892:U1913" si="1259">R1892*P1892</f>
        <v>11</v>
      </c>
      <c r="V1892">
        <f t="shared" ref="V1892:V1913" si="1260">(H1892*M1892)/AD1892</f>
        <v>6809.9999999999991</v>
      </c>
      <c r="W1892" s="28">
        <f t="shared" ref="W1892:W1913" si="1261">RATE(U1892,V1892,-F1892,H1892)</f>
        <v>6.8644401908051933E-2</v>
      </c>
      <c r="X1892" s="27">
        <f t="shared" ref="X1892:X1913" si="1262">W1892*AD1892</f>
        <v>6.8644401908051933E-2</v>
      </c>
      <c r="Y1892" s="5">
        <f t="shared" si="1252"/>
        <v>8.015165646457584</v>
      </c>
      <c r="Z1892" s="5">
        <f t="shared" si="1253"/>
        <v>7.5003112655122708</v>
      </c>
      <c r="AA1892" s="5">
        <f t="shared" si="1254"/>
        <v>-746948.49862110149</v>
      </c>
      <c r="AB1892" t="s">
        <v>64</v>
      </c>
      <c r="AC1892" t="s">
        <v>62</v>
      </c>
      <c r="AD1892">
        <f t="shared" ref="AD1892:AD1913" si="1263">_xlfn.SWITCH(PROPER(TRIM(S1892)),
   "Annual",1,
   "Semi-Annual",2,
   "Quarterly",4,
   "Monthly",12,
   "")</f>
        <v>1</v>
      </c>
    </row>
    <row r="1893" spans="1:30" x14ac:dyDescent="0.35">
      <c r="A1893" t="s">
        <v>100</v>
      </c>
      <c r="B1893" t="s">
        <v>98</v>
      </c>
      <c r="C1893" s="36">
        <f t="shared" si="1243"/>
        <v>2.8035688254533293E-2</v>
      </c>
      <c r="D1893" s="3">
        <f t="shared" si="1244"/>
        <v>5.6071376509066587E-2</v>
      </c>
      <c r="F1893">
        <v>852.5</v>
      </c>
      <c r="G1893" t="s">
        <v>66</v>
      </c>
      <c r="H1893">
        <v>1000</v>
      </c>
      <c r="I1893" s="22"/>
      <c r="J1893">
        <v>139000</v>
      </c>
      <c r="K1893" s="22"/>
      <c r="M1893" s="22">
        <v>4.2500000000000003E-2</v>
      </c>
      <c r="N1893" s="21">
        <v>43790</v>
      </c>
      <c r="O1893" s="21">
        <v>49816</v>
      </c>
      <c r="P1893">
        <f t="shared" si="1256"/>
        <v>17</v>
      </c>
      <c r="Q1893" s="6">
        <f t="shared" si="1257"/>
        <v>4.9853372434017593E-2</v>
      </c>
      <c r="R1893" s="5">
        <f t="shared" si="1258"/>
        <v>2</v>
      </c>
      <c r="S1893" t="s">
        <v>65</v>
      </c>
      <c r="U1893">
        <f t="shared" si="1259"/>
        <v>34</v>
      </c>
      <c r="V1893">
        <f t="shared" si="1260"/>
        <v>21.25</v>
      </c>
      <c r="W1893" s="28">
        <f t="shared" si="1261"/>
        <v>2.8035688254533293E-2</v>
      </c>
      <c r="X1893" s="27">
        <f t="shared" si="1262"/>
        <v>5.6071376509066587E-2</v>
      </c>
      <c r="Y1893" s="5">
        <f t="shared" si="1252"/>
        <v>11.600609830820192</v>
      </c>
      <c r="Z1893" s="5">
        <f t="shared" si="1253"/>
        <v>11.284248167022753</v>
      </c>
      <c r="AA1893" s="5">
        <f t="shared" si="1254"/>
        <v>-9619.8215623868964</v>
      </c>
      <c r="AB1893" t="s">
        <v>69</v>
      </c>
      <c r="AC1893" t="s">
        <v>62</v>
      </c>
      <c r="AD1893">
        <f t="shared" si="1263"/>
        <v>2</v>
      </c>
    </row>
    <row r="1894" spans="1:30" x14ac:dyDescent="0.35">
      <c r="A1894" t="s">
        <v>99</v>
      </c>
      <c r="B1894" t="s">
        <v>98</v>
      </c>
      <c r="C1894" s="36">
        <f t="shared" si="1243"/>
        <v>2.8317443763049951E-2</v>
      </c>
      <c r="D1894" s="3">
        <f t="shared" si="1244"/>
        <v>5.6634887526099902E-2</v>
      </c>
      <c r="F1894">
        <v>847</v>
      </c>
      <c r="G1894" t="s">
        <v>66</v>
      </c>
      <c r="H1894">
        <v>1000</v>
      </c>
      <c r="I1894" s="22"/>
      <c r="J1894">
        <v>0</v>
      </c>
      <c r="K1894" s="22"/>
      <c r="M1894" s="22">
        <v>4.2500000000000003E-2</v>
      </c>
      <c r="N1894" s="21">
        <v>43790</v>
      </c>
      <c r="O1894" s="21">
        <v>49816</v>
      </c>
      <c r="P1894">
        <f t="shared" si="1256"/>
        <v>17</v>
      </c>
      <c r="Q1894" s="6">
        <f t="shared" si="1257"/>
        <v>5.0177095631641085E-2</v>
      </c>
      <c r="R1894" s="5">
        <f t="shared" si="1258"/>
        <v>2</v>
      </c>
      <c r="S1894" t="s">
        <v>65</v>
      </c>
      <c r="U1894">
        <f t="shared" si="1259"/>
        <v>34</v>
      </c>
      <c r="V1894">
        <f t="shared" si="1260"/>
        <v>21.25</v>
      </c>
      <c r="W1894" s="28">
        <f t="shared" si="1261"/>
        <v>2.8317443763049951E-2</v>
      </c>
      <c r="X1894" s="27">
        <f t="shared" si="1262"/>
        <v>5.6634887526099902E-2</v>
      </c>
      <c r="Y1894" s="5">
        <f t="shared" si="1252"/>
        <v>11.582622050988936</v>
      </c>
      <c r="Z1894" s="5">
        <f t="shared" si="1253"/>
        <v>11.263663882432263</v>
      </c>
      <c r="AA1894" s="5">
        <f t="shared" si="1254"/>
        <v>-9540.3233084201274</v>
      </c>
      <c r="AB1894" t="s">
        <v>69</v>
      </c>
      <c r="AC1894" t="s">
        <v>62</v>
      </c>
      <c r="AD1894">
        <f t="shared" si="1263"/>
        <v>2</v>
      </c>
    </row>
    <row r="1895" spans="1:30" x14ac:dyDescent="0.35">
      <c r="A1895" t="s">
        <v>97</v>
      </c>
      <c r="B1895" t="s">
        <v>96</v>
      </c>
      <c r="C1895" s="36">
        <f t="shared" si="1243"/>
        <v>8.2947011400228782E-2</v>
      </c>
      <c r="D1895" s="3">
        <f t="shared" si="1244"/>
        <v>8.2947011400228782E-2</v>
      </c>
      <c r="F1895">
        <v>95000</v>
      </c>
      <c r="G1895" t="s">
        <v>76</v>
      </c>
      <c r="H1895">
        <v>100000</v>
      </c>
      <c r="I1895" s="22"/>
      <c r="J1895">
        <v>3</v>
      </c>
      <c r="K1895" s="22"/>
      <c r="L1895">
        <v>8.5211654379507902</v>
      </c>
      <c r="M1895" s="22">
        <v>7.6999999999999999E-2</v>
      </c>
      <c r="N1895" s="21">
        <v>44945</v>
      </c>
      <c r="O1895" s="21">
        <v>50424</v>
      </c>
      <c r="P1895">
        <f t="shared" si="1256"/>
        <v>15</v>
      </c>
      <c r="Q1895" s="6">
        <f t="shared" si="1257"/>
        <v>8.1052631578947362E-2</v>
      </c>
      <c r="R1895" s="5">
        <f t="shared" si="1258"/>
        <v>1</v>
      </c>
      <c r="S1895" t="s">
        <v>93</v>
      </c>
      <c r="U1895">
        <f t="shared" si="1259"/>
        <v>15</v>
      </c>
      <c r="V1895">
        <f t="shared" si="1260"/>
        <v>7700</v>
      </c>
      <c r="W1895" s="28">
        <f t="shared" si="1261"/>
        <v>8.2947011400228782E-2</v>
      </c>
      <c r="X1895" s="27">
        <f t="shared" si="1262"/>
        <v>8.2947011400228782E-2</v>
      </c>
      <c r="Y1895" s="5">
        <f t="shared" si="1252"/>
        <v>9.2396016385427888</v>
      </c>
      <c r="Z1895" s="5">
        <f t="shared" si="1253"/>
        <v>8.5319055699652093</v>
      </c>
      <c r="AA1895" s="5">
        <f t="shared" si="1254"/>
        <v>-810531.02914669493</v>
      </c>
      <c r="AB1895" t="s">
        <v>64</v>
      </c>
      <c r="AC1895" t="s">
        <v>62</v>
      </c>
      <c r="AD1895">
        <f t="shared" si="1263"/>
        <v>1</v>
      </c>
    </row>
    <row r="1896" spans="1:30" x14ac:dyDescent="0.35">
      <c r="A1896" t="s">
        <v>95</v>
      </c>
      <c r="B1896" t="s">
        <v>94</v>
      </c>
      <c r="C1896" s="36">
        <f t="shared" si="1243"/>
        <v>7.3148254132019197E-2</v>
      </c>
      <c r="D1896" s="3">
        <f t="shared" si="1244"/>
        <v>7.3148254132019197E-2</v>
      </c>
      <c r="F1896">
        <v>1021</v>
      </c>
      <c r="G1896" t="s">
        <v>76</v>
      </c>
      <c r="H1896">
        <v>1000</v>
      </c>
      <c r="I1896" s="22"/>
      <c r="J1896">
        <v>165</v>
      </c>
      <c r="K1896" s="22"/>
      <c r="L1896">
        <v>7.2370930591938301</v>
      </c>
      <c r="M1896" s="22">
        <v>7.5499999999999998E-2</v>
      </c>
      <c r="N1896" s="21">
        <v>45139</v>
      </c>
      <c r="O1896" s="21">
        <v>50618</v>
      </c>
      <c r="P1896">
        <f t="shared" si="1256"/>
        <v>15</v>
      </c>
      <c r="Q1896" s="6">
        <f t="shared" si="1257"/>
        <v>7.3947110675808031E-2</v>
      </c>
      <c r="R1896" s="5">
        <f t="shared" si="1258"/>
        <v>1</v>
      </c>
      <c r="S1896" t="s">
        <v>93</v>
      </c>
      <c r="U1896">
        <f t="shared" si="1259"/>
        <v>15</v>
      </c>
      <c r="V1896">
        <f t="shared" si="1260"/>
        <v>75.5</v>
      </c>
      <c r="W1896" s="28">
        <f t="shared" si="1261"/>
        <v>7.3148254132019197E-2</v>
      </c>
      <c r="X1896" s="27">
        <f t="shared" si="1262"/>
        <v>7.3148254132019197E-2</v>
      </c>
      <c r="Y1896" s="5">
        <f t="shared" si="1252"/>
        <v>9.5235537603082854</v>
      </c>
      <c r="Z1896" s="5">
        <f t="shared" si="1253"/>
        <v>8.8744064239391598</v>
      </c>
      <c r="AA1896" s="5">
        <f t="shared" si="1254"/>
        <v>-9060.7689588418816</v>
      </c>
      <c r="AB1896" t="s">
        <v>64</v>
      </c>
      <c r="AC1896" t="s">
        <v>62</v>
      </c>
      <c r="AD1896">
        <f t="shared" si="1263"/>
        <v>1</v>
      </c>
    </row>
    <row r="1897" spans="1:30" x14ac:dyDescent="0.35">
      <c r="A1897" t="s">
        <v>92</v>
      </c>
      <c r="B1897" t="s">
        <v>90</v>
      </c>
      <c r="C1897" s="36">
        <f t="shared" si="1243"/>
        <v>3.1680782153847939E-2</v>
      </c>
      <c r="D1897" s="3">
        <f t="shared" si="1244"/>
        <v>6.3361564307695878E-2</v>
      </c>
      <c r="F1897">
        <v>807.5</v>
      </c>
      <c r="G1897" t="s">
        <v>66</v>
      </c>
      <c r="H1897">
        <v>1000</v>
      </c>
      <c r="I1897" s="22"/>
      <c r="J1897">
        <v>4000000</v>
      </c>
      <c r="K1897" s="22"/>
      <c r="M1897" s="22">
        <v>4.6249999999999999E-2</v>
      </c>
      <c r="N1897" s="21">
        <v>43753</v>
      </c>
      <c r="O1897" s="21">
        <v>51058</v>
      </c>
      <c r="P1897">
        <f t="shared" si="1256"/>
        <v>20</v>
      </c>
      <c r="Q1897" s="6">
        <f t="shared" si="1257"/>
        <v>5.7275541795665637E-2</v>
      </c>
      <c r="R1897" s="5">
        <f t="shared" si="1258"/>
        <v>2</v>
      </c>
      <c r="S1897" t="s">
        <v>65</v>
      </c>
      <c r="U1897">
        <f t="shared" si="1259"/>
        <v>40</v>
      </c>
      <c r="V1897">
        <f t="shared" si="1260"/>
        <v>23.125</v>
      </c>
      <c r="W1897" s="28">
        <f t="shared" si="1261"/>
        <v>3.1680782153847939E-2</v>
      </c>
      <c r="X1897" s="27">
        <f t="shared" si="1262"/>
        <v>6.3361564307695878E-2</v>
      </c>
      <c r="Y1897" s="5">
        <f t="shared" si="1252"/>
        <v>12.412354476701177</v>
      </c>
      <c r="Z1897" s="5">
        <f t="shared" si="1253"/>
        <v>12.031196753309498</v>
      </c>
      <c r="AA1897" s="5">
        <f t="shared" si="1254"/>
        <v>-9715.1913782974189</v>
      </c>
      <c r="AB1897" t="s">
        <v>69</v>
      </c>
      <c r="AC1897" t="s">
        <v>62</v>
      </c>
      <c r="AD1897">
        <f t="shared" si="1263"/>
        <v>2</v>
      </c>
    </row>
    <row r="1898" spans="1:30" x14ac:dyDescent="0.35">
      <c r="A1898" t="s">
        <v>91</v>
      </c>
      <c r="B1898" t="s">
        <v>90</v>
      </c>
      <c r="C1898" s="36">
        <f t="shared" si="1243"/>
        <v>3.195998316690607E-2</v>
      </c>
      <c r="D1898" s="3">
        <f t="shared" si="1244"/>
        <v>6.3919966333812139E-2</v>
      </c>
      <c r="F1898">
        <v>802.1</v>
      </c>
      <c r="G1898" t="s">
        <v>66</v>
      </c>
      <c r="H1898">
        <v>1000</v>
      </c>
      <c r="I1898" s="22"/>
      <c r="J1898">
        <v>0</v>
      </c>
      <c r="K1898" s="22"/>
      <c r="M1898" s="22">
        <v>4.6249999999999999E-2</v>
      </c>
      <c r="N1898" s="21">
        <v>43753</v>
      </c>
      <c r="O1898" s="21">
        <v>51058</v>
      </c>
      <c r="P1898">
        <f t="shared" si="1256"/>
        <v>20</v>
      </c>
      <c r="Q1898" s="6">
        <f t="shared" si="1257"/>
        <v>5.7661139508789427E-2</v>
      </c>
      <c r="R1898" s="5">
        <f t="shared" si="1258"/>
        <v>2</v>
      </c>
      <c r="S1898" t="s">
        <v>65</v>
      </c>
      <c r="U1898">
        <f t="shared" si="1259"/>
        <v>40</v>
      </c>
      <c r="V1898">
        <f t="shared" si="1260"/>
        <v>23.125</v>
      </c>
      <c r="W1898" s="28">
        <f t="shared" si="1261"/>
        <v>3.195998316690607E-2</v>
      </c>
      <c r="X1898" s="27">
        <f t="shared" si="1262"/>
        <v>6.3919966333812139E-2</v>
      </c>
      <c r="Y1898" s="5">
        <f t="shared" si="1252"/>
        <v>12.384377736999175</v>
      </c>
      <c r="Z1898" s="5">
        <f t="shared" si="1253"/>
        <v>12.00083136847387</v>
      </c>
      <c r="AA1898" s="5">
        <f t="shared" si="1254"/>
        <v>-9625.8668406528905</v>
      </c>
      <c r="AB1898" t="s">
        <v>69</v>
      </c>
      <c r="AC1898" t="s">
        <v>62</v>
      </c>
      <c r="AD1898">
        <f t="shared" si="1263"/>
        <v>2</v>
      </c>
    </row>
    <row r="1899" spans="1:30" x14ac:dyDescent="0.35">
      <c r="A1899" t="s">
        <v>89</v>
      </c>
      <c r="B1899" t="s">
        <v>67</v>
      </c>
      <c r="C1899" s="36">
        <f t="shared" si="1243"/>
        <v>2.8409857493437548E-2</v>
      </c>
      <c r="D1899" s="3">
        <f t="shared" si="1244"/>
        <v>5.6819714986875096E-2</v>
      </c>
      <c r="F1899">
        <v>1067.3699999999999</v>
      </c>
      <c r="G1899" t="s">
        <v>66</v>
      </c>
      <c r="H1899">
        <v>1000</v>
      </c>
      <c r="I1899" s="22"/>
      <c r="J1899">
        <v>750000</v>
      </c>
      <c r="K1899" s="22"/>
      <c r="M1899" s="22">
        <v>6.25E-2</v>
      </c>
      <c r="N1899" s="21">
        <v>44064</v>
      </c>
      <c r="O1899" s="21">
        <v>51428</v>
      </c>
      <c r="P1899">
        <f t="shared" si="1256"/>
        <v>20</v>
      </c>
      <c r="Q1899" s="6">
        <f t="shared" si="1257"/>
        <v>5.8555140204427709E-2</v>
      </c>
      <c r="R1899" s="5">
        <f t="shared" si="1258"/>
        <v>2</v>
      </c>
      <c r="S1899" t="s">
        <v>65</v>
      </c>
      <c r="U1899">
        <f t="shared" si="1259"/>
        <v>40</v>
      </c>
      <c r="V1899">
        <f t="shared" si="1260"/>
        <v>31.25</v>
      </c>
      <c r="W1899" s="28">
        <f t="shared" si="1261"/>
        <v>2.8409857493437548E-2</v>
      </c>
      <c r="X1899" s="27">
        <f t="shared" si="1262"/>
        <v>5.6819714986875096E-2</v>
      </c>
      <c r="Y1899" s="5">
        <f t="shared" si="1252"/>
        <v>11.779895590924944</v>
      </c>
      <c r="Z1899" s="5">
        <f t="shared" si="1253"/>
        <v>11.454475572255115</v>
      </c>
      <c r="AA1899" s="5">
        <f t="shared" si="1254"/>
        <v>-12226.163591557941</v>
      </c>
      <c r="AB1899" t="s">
        <v>69</v>
      </c>
      <c r="AC1899" t="s">
        <v>62</v>
      </c>
      <c r="AD1899">
        <f t="shared" si="1263"/>
        <v>2</v>
      </c>
    </row>
    <row r="1900" spans="1:30" x14ac:dyDescent="0.35">
      <c r="A1900" t="s">
        <v>88</v>
      </c>
      <c r="B1900" t="s">
        <v>77</v>
      </c>
      <c r="C1900" s="36">
        <f t="shared" si="1243"/>
        <v>3.6884230752262992E-2</v>
      </c>
      <c r="D1900" s="3">
        <f t="shared" si="1244"/>
        <v>7.3768461504525984E-2</v>
      </c>
      <c r="F1900">
        <v>315.5</v>
      </c>
      <c r="G1900" t="s">
        <v>76</v>
      </c>
      <c r="H1900">
        <v>300</v>
      </c>
      <c r="I1900" s="22"/>
      <c r="J1900">
        <v>59</v>
      </c>
      <c r="K1900" s="22"/>
      <c r="M1900" s="22">
        <v>7.9000000000000001E-2</v>
      </c>
      <c r="N1900" s="21">
        <v>44859</v>
      </c>
      <c r="O1900" s="21">
        <v>51434</v>
      </c>
      <c r="P1900">
        <f t="shared" si="1256"/>
        <v>18</v>
      </c>
      <c r="Q1900" s="6">
        <f t="shared" si="1257"/>
        <v>7.5118858954041204E-2</v>
      </c>
      <c r="R1900" s="5">
        <f t="shared" si="1258"/>
        <v>2</v>
      </c>
      <c r="S1900" t="s">
        <v>65</v>
      </c>
      <c r="U1900">
        <f t="shared" si="1259"/>
        <v>36</v>
      </c>
      <c r="V1900">
        <f t="shared" si="1260"/>
        <v>11.85</v>
      </c>
      <c r="W1900" s="28">
        <f t="shared" si="1261"/>
        <v>3.6884230752262992E-2</v>
      </c>
      <c r="X1900" s="27">
        <f t="shared" si="1262"/>
        <v>7.3768461504525984E-2</v>
      </c>
      <c r="Y1900" s="5">
        <f t="shared" si="1252"/>
        <v>10.098218344842687</v>
      </c>
      <c r="Z1900" s="5">
        <f t="shared" si="1253"/>
        <v>9.7390027211778456</v>
      </c>
      <c r="AA1900" s="5">
        <f t="shared" si="1254"/>
        <v>-3072.6553585316101</v>
      </c>
      <c r="AB1900" t="s">
        <v>64</v>
      </c>
      <c r="AC1900" t="s">
        <v>62</v>
      </c>
      <c r="AD1900">
        <f t="shared" si="1263"/>
        <v>2</v>
      </c>
    </row>
    <row r="1901" spans="1:30" x14ac:dyDescent="0.35">
      <c r="A1901" t="s">
        <v>87</v>
      </c>
      <c r="B1901" t="s">
        <v>85</v>
      </c>
      <c r="C1901" s="36">
        <f t="shared" si="1243"/>
        <v>3.4803826821965714E-2</v>
      </c>
      <c r="D1901" s="3">
        <f t="shared" si="1244"/>
        <v>6.9607653643931428E-2</v>
      </c>
      <c r="F1901">
        <v>790</v>
      </c>
      <c r="G1901" t="s">
        <v>66</v>
      </c>
      <c r="H1901">
        <v>1000</v>
      </c>
      <c r="I1901" s="22"/>
      <c r="J1901">
        <v>1000000</v>
      </c>
      <c r="K1901" s="22"/>
      <c r="M1901" s="22">
        <v>0.05</v>
      </c>
      <c r="N1901" s="21">
        <v>44410</v>
      </c>
      <c r="O1901" s="21">
        <v>51715</v>
      </c>
      <c r="P1901">
        <f t="shared" si="1256"/>
        <v>20</v>
      </c>
      <c r="Q1901" s="6">
        <f t="shared" si="1257"/>
        <v>6.3291139240506333E-2</v>
      </c>
      <c r="R1901" s="5">
        <f t="shared" si="1258"/>
        <v>2</v>
      </c>
      <c r="S1901" t="s">
        <v>65</v>
      </c>
      <c r="U1901">
        <f t="shared" si="1259"/>
        <v>40</v>
      </c>
      <c r="V1901">
        <f t="shared" si="1260"/>
        <v>25</v>
      </c>
      <c r="W1901" s="28">
        <f t="shared" si="1261"/>
        <v>3.4803826821965714E-2</v>
      </c>
      <c r="X1901" s="27">
        <f t="shared" si="1262"/>
        <v>6.9607653643931428E-2</v>
      </c>
      <c r="Y1901" s="5">
        <f t="shared" si="1252"/>
        <v>11.892038200116261</v>
      </c>
      <c r="Z1901" s="5">
        <f t="shared" si="1253"/>
        <v>11.492070179754219</v>
      </c>
      <c r="AA1901" s="5">
        <f t="shared" si="1254"/>
        <v>-9078.7354420058327</v>
      </c>
      <c r="AB1901" t="s">
        <v>69</v>
      </c>
      <c r="AC1901" t="s">
        <v>62</v>
      </c>
      <c r="AD1901">
        <f t="shared" si="1263"/>
        <v>2</v>
      </c>
    </row>
    <row r="1902" spans="1:30" x14ac:dyDescent="0.35">
      <c r="A1902" t="s">
        <v>86</v>
      </c>
      <c r="B1902" t="s">
        <v>85</v>
      </c>
      <c r="C1902" s="36">
        <f t="shared" si="1243"/>
        <v>3.5398805468454336E-2</v>
      </c>
      <c r="D1902" s="3">
        <f t="shared" si="1244"/>
        <v>7.0797610936908673E-2</v>
      </c>
      <c r="F1902">
        <v>779.3</v>
      </c>
      <c r="G1902" t="s">
        <v>66</v>
      </c>
      <c r="H1902">
        <v>1000</v>
      </c>
      <c r="I1902" s="22"/>
      <c r="J1902">
        <v>0</v>
      </c>
      <c r="K1902" s="22"/>
      <c r="M1902" s="22">
        <v>0.05</v>
      </c>
      <c r="N1902" s="21">
        <v>44410</v>
      </c>
      <c r="O1902" s="21">
        <v>51715</v>
      </c>
      <c r="P1902">
        <f t="shared" si="1256"/>
        <v>20</v>
      </c>
      <c r="Q1902" s="6">
        <f t="shared" si="1257"/>
        <v>6.4160143718721932E-2</v>
      </c>
      <c r="R1902" s="5">
        <f t="shared" si="1258"/>
        <v>2</v>
      </c>
      <c r="S1902" t="s">
        <v>65</v>
      </c>
      <c r="U1902">
        <f t="shared" si="1259"/>
        <v>40</v>
      </c>
      <c r="V1902">
        <f t="shared" si="1260"/>
        <v>25</v>
      </c>
      <c r="W1902" s="28">
        <f t="shared" si="1261"/>
        <v>3.5398805468454336E-2</v>
      </c>
      <c r="X1902" s="27">
        <f t="shared" si="1262"/>
        <v>7.0797610936908673E-2</v>
      </c>
      <c r="Y1902" s="5">
        <f t="shared" si="1252"/>
        <v>11.832392451323805</v>
      </c>
      <c r="Z1902" s="5">
        <f t="shared" si="1253"/>
        <v>11.427859863108857</v>
      </c>
      <c r="AA1902" s="5">
        <f t="shared" si="1254"/>
        <v>-8905.7311913207323</v>
      </c>
      <c r="AB1902" t="s">
        <v>69</v>
      </c>
      <c r="AC1902" t="s">
        <v>62</v>
      </c>
      <c r="AD1902">
        <f t="shared" si="1263"/>
        <v>2</v>
      </c>
    </row>
    <row r="1903" spans="1:30" x14ac:dyDescent="0.35">
      <c r="A1903" t="s">
        <v>84</v>
      </c>
      <c r="B1903" t="s">
        <v>83</v>
      </c>
      <c r="C1903" s="36">
        <f t="shared" si="1243"/>
        <v>3.745548633849706E-2</v>
      </c>
      <c r="D1903" s="3">
        <f t="shared" si="1244"/>
        <v>7.491097267699412E-2</v>
      </c>
      <c r="F1903">
        <v>922.5</v>
      </c>
      <c r="G1903" t="s">
        <v>66</v>
      </c>
      <c r="H1903">
        <v>1000</v>
      </c>
      <c r="I1903" s="22"/>
      <c r="J1903">
        <v>1574022</v>
      </c>
      <c r="K1903" s="22"/>
      <c r="M1903" s="22">
        <v>6.7000000000000004E-2</v>
      </c>
      <c r="N1903" s="21">
        <v>45363</v>
      </c>
      <c r="O1903" s="21">
        <v>51937</v>
      </c>
      <c r="P1903">
        <f t="shared" si="1256"/>
        <v>18</v>
      </c>
      <c r="Q1903" s="6">
        <f t="shared" si="1257"/>
        <v>7.2628726287262871E-2</v>
      </c>
      <c r="R1903" s="5">
        <f t="shared" si="1258"/>
        <v>2</v>
      </c>
      <c r="S1903" t="s">
        <v>65</v>
      </c>
      <c r="U1903">
        <f t="shared" si="1259"/>
        <v>36</v>
      </c>
      <c r="V1903">
        <f t="shared" si="1260"/>
        <v>33.5</v>
      </c>
      <c r="W1903" s="28">
        <f t="shared" si="1261"/>
        <v>3.745548633849706E-2</v>
      </c>
      <c r="X1903" s="27">
        <f t="shared" si="1262"/>
        <v>7.491097267699412E-2</v>
      </c>
      <c r="Y1903" s="5">
        <f t="shared" si="1252"/>
        <v>10.402202298646939</v>
      </c>
      <c r="Z1903" s="5">
        <f t="shared" si="1253"/>
        <v>10.026649273752984</v>
      </c>
      <c r="AA1903" s="5">
        <f t="shared" si="1254"/>
        <v>-9249.5839550371275</v>
      </c>
      <c r="AB1903" t="s">
        <v>69</v>
      </c>
      <c r="AC1903" t="s">
        <v>62</v>
      </c>
      <c r="AD1903">
        <f t="shared" si="1263"/>
        <v>2</v>
      </c>
    </row>
    <row r="1904" spans="1:30" x14ac:dyDescent="0.35">
      <c r="A1904" t="s">
        <v>82</v>
      </c>
      <c r="B1904" t="s">
        <v>67</v>
      </c>
      <c r="C1904" s="36">
        <f t="shared" si="1243"/>
        <v>2.9437011817397617E-2</v>
      </c>
      <c r="D1904" s="3">
        <f t="shared" si="1244"/>
        <v>5.8874023634795235E-2</v>
      </c>
      <c r="F1904">
        <v>858.2</v>
      </c>
      <c r="G1904" t="s">
        <v>66</v>
      </c>
      <c r="H1904">
        <v>1000</v>
      </c>
      <c r="I1904" s="22"/>
      <c r="J1904">
        <v>0</v>
      </c>
      <c r="K1904" s="22"/>
      <c r="M1904" s="22">
        <v>4.8750000000000002E-2</v>
      </c>
      <c r="N1904" s="21">
        <v>42045</v>
      </c>
      <c r="O1904" s="21">
        <v>53003</v>
      </c>
      <c r="P1904">
        <f t="shared" si="1256"/>
        <v>30</v>
      </c>
      <c r="Q1904" s="6">
        <f t="shared" si="1257"/>
        <v>5.6804940573292939E-2</v>
      </c>
      <c r="R1904" s="5">
        <f t="shared" si="1258"/>
        <v>2</v>
      </c>
      <c r="S1904" t="s">
        <v>65</v>
      </c>
      <c r="U1904">
        <f t="shared" si="1259"/>
        <v>60</v>
      </c>
      <c r="V1904">
        <f t="shared" si="1260"/>
        <v>24.375</v>
      </c>
      <c r="W1904" s="28">
        <f t="shared" si="1261"/>
        <v>2.9437011817397617E-2</v>
      </c>
      <c r="X1904" s="27">
        <f t="shared" si="1262"/>
        <v>5.8874023634795235E-2</v>
      </c>
      <c r="Y1904" s="5">
        <f t="shared" si="1252"/>
        <v>14.966189006868714</v>
      </c>
      <c r="Z1904" s="5">
        <f t="shared" si="1253"/>
        <v>14.538227045525566</v>
      </c>
      <c r="AA1904" s="5">
        <f t="shared" si="1254"/>
        <v>-12476.706450470041</v>
      </c>
      <c r="AB1904" t="s">
        <v>69</v>
      </c>
      <c r="AC1904" t="s">
        <v>62</v>
      </c>
      <c r="AD1904">
        <f t="shared" si="1263"/>
        <v>2</v>
      </c>
    </row>
    <row r="1905" spans="1:30" x14ac:dyDescent="0.35">
      <c r="A1905" t="s">
        <v>81</v>
      </c>
      <c r="B1905" t="s">
        <v>67</v>
      </c>
      <c r="C1905" s="36">
        <f t="shared" si="1243"/>
        <v>2.8974907758017889E-2</v>
      </c>
      <c r="D1905" s="3">
        <f t="shared" si="1244"/>
        <v>5.7949815516035778E-2</v>
      </c>
      <c r="F1905">
        <v>869.85</v>
      </c>
      <c r="G1905" t="s">
        <v>66</v>
      </c>
      <c r="H1905">
        <v>1000</v>
      </c>
      <c r="I1905" s="22"/>
      <c r="J1905">
        <v>500000</v>
      </c>
      <c r="K1905" s="22"/>
      <c r="M1905" s="22">
        <v>4.8750000000000002E-2</v>
      </c>
      <c r="N1905" s="21">
        <v>42045</v>
      </c>
      <c r="O1905" s="21">
        <v>53003</v>
      </c>
      <c r="P1905">
        <f t="shared" si="1256"/>
        <v>30</v>
      </c>
      <c r="Q1905" s="6">
        <f t="shared" si="1257"/>
        <v>5.6044145542334882E-2</v>
      </c>
      <c r="R1905" s="5">
        <f t="shared" si="1258"/>
        <v>2</v>
      </c>
      <c r="S1905" t="s">
        <v>65</v>
      </c>
      <c r="U1905">
        <f t="shared" si="1259"/>
        <v>60</v>
      </c>
      <c r="V1905">
        <f t="shared" si="1260"/>
        <v>24.375</v>
      </c>
      <c r="W1905" s="28">
        <f t="shared" si="1261"/>
        <v>2.8974907758017889E-2</v>
      </c>
      <c r="X1905" s="27">
        <f t="shared" si="1262"/>
        <v>5.7949815516035778E-2</v>
      </c>
      <c r="Y1905" s="5">
        <f t="shared" si="1252"/>
        <v>15.064774217829004</v>
      </c>
      <c r="Z1905" s="5">
        <f t="shared" si="1253"/>
        <v>14.640565191869342</v>
      </c>
      <c r="AA1905" s="5">
        <f t="shared" si="1254"/>
        <v>-12735.095632147548</v>
      </c>
      <c r="AB1905" t="s">
        <v>69</v>
      </c>
      <c r="AC1905" t="s">
        <v>62</v>
      </c>
      <c r="AD1905">
        <f t="shared" si="1263"/>
        <v>2</v>
      </c>
    </row>
    <row r="1906" spans="1:30" x14ac:dyDescent="0.35">
      <c r="A1906" t="s">
        <v>80</v>
      </c>
      <c r="B1906" t="s">
        <v>67</v>
      </c>
      <c r="C1906" s="36">
        <f t="shared" si="1243"/>
        <v>3.7292806016830854E-2</v>
      </c>
      <c r="D1906" s="3">
        <f t="shared" si="1244"/>
        <v>7.4585612033661708E-2</v>
      </c>
      <c r="F1906">
        <v>1397.3</v>
      </c>
      <c r="G1906" t="s">
        <v>66</v>
      </c>
      <c r="H1906">
        <v>1000</v>
      </c>
      <c r="I1906" s="22"/>
      <c r="J1906">
        <v>0</v>
      </c>
      <c r="K1906" s="22"/>
      <c r="M1906" s="22">
        <v>0.105</v>
      </c>
      <c r="N1906" s="21">
        <v>35283</v>
      </c>
      <c r="O1906" s="21">
        <v>53545</v>
      </c>
      <c r="P1906">
        <f t="shared" si="1256"/>
        <v>50</v>
      </c>
      <c r="Q1906" s="6">
        <f t="shared" si="1257"/>
        <v>7.5144922350246904E-2</v>
      </c>
      <c r="R1906" s="5">
        <f t="shared" si="1258"/>
        <v>2</v>
      </c>
      <c r="S1906" t="s">
        <v>65</v>
      </c>
      <c r="U1906">
        <f t="shared" si="1259"/>
        <v>100</v>
      </c>
      <c r="V1906">
        <f t="shared" si="1260"/>
        <v>52.5</v>
      </c>
      <c r="W1906" s="28">
        <f t="shared" si="1261"/>
        <v>3.7292806016830854E-2</v>
      </c>
      <c r="X1906" s="27">
        <f t="shared" si="1262"/>
        <v>7.4585612033661708E-2</v>
      </c>
      <c r="Y1906" s="5">
        <f t="shared" si="1252"/>
        <v>13.27671381950142</v>
      </c>
      <c r="Z1906" s="5">
        <f t="shared" si="1253"/>
        <v>12.799388699593463</v>
      </c>
      <c r="AA1906" s="5">
        <f t="shared" si="1254"/>
        <v>-17884.585829941945</v>
      </c>
      <c r="AB1906" t="s">
        <v>79</v>
      </c>
      <c r="AC1906" t="s">
        <v>62</v>
      </c>
      <c r="AD1906">
        <f t="shared" si="1263"/>
        <v>2</v>
      </c>
    </row>
    <row r="1907" spans="1:30" x14ac:dyDescent="0.35">
      <c r="A1907" t="s">
        <v>78</v>
      </c>
      <c r="B1907" t="s">
        <v>77</v>
      </c>
      <c r="C1907" s="36">
        <f t="shared" si="1243"/>
        <v>3.7575195698364608E-2</v>
      </c>
      <c r="D1907" s="3">
        <f t="shared" si="1244"/>
        <v>7.5150391396729216E-2</v>
      </c>
      <c r="F1907">
        <v>417.25</v>
      </c>
      <c r="G1907" t="s">
        <v>76</v>
      </c>
      <c r="H1907">
        <v>400</v>
      </c>
      <c r="I1907" s="22"/>
      <c r="J1907">
        <v>703</v>
      </c>
      <c r="K1907" s="22"/>
      <c r="M1907" s="22">
        <v>7.9000000000000001E-2</v>
      </c>
      <c r="N1907" s="21">
        <v>44859</v>
      </c>
      <c r="O1907" s="21">
        <v>53990</v>
      </c>
      <c r="P1907">
        <f t="shared" si="1256"/>
        <v>25</v>
      </c>
      <c r="Q1907" s="6">
        <f t="shared" si="1257"/>
        <v>7.5733972438585984E-2</v>
      </c>
      <c r="R1907" s="5">
        <f t="shared" si="1258"/>
        <v>2</v>
      </c>
      <c r="S1907" t="s">
        <v>65</v>
      </c>
      <c r="U1907">
        <f t="shared" si="1259"/>
        <v>50</v>
      </c>
      <c r="V1907">
        <f t="shared" si="1260"/>
        <v>15.8</v>
      </c>
      <c r="W1907" s="28">
        <f t="shared" si="1261"/>
        <v>3.7575195698364608E-2</v>
      </c>
      <c r="X1907" s="27">
        <f t="shared" si="1262"/>
        <v>7.5150391396729216E-2</v>
      </c>
      <c r="Y1907" s="5">
        <f t="shared" si="1252"/>
        <v>11.519495010865272</v>
      </c>
      <c r="Z1907" s="5">
        <f t="shared" si="1253"/>
        <v>11.102323049571172</v>
      </c>
      <c r="AA1907" s="5">
        <f t="shared" si="1254"/>
        <v>-4632.4442924335717</v>
      </c>
      <c r="AB1907" t="s">
        <v>64</v>
      </c>
      <c r="AC1907" t="s">
        <v>62</v>
      </c>
      <c r="AD1907">
        <f t="shared" si="1263"/>
        <v>2</v>
      </c>
    </row>
    <row r="1908" spans="1:30" x14ac:dyDescent="0.35">
      <c r="A1908" t="s">
        <v>75</v>
      </c>
      <c r="B1908" t="s">
        <v>72</v>
      </c>
      <c r="C1908" s="36">
        <f t="shared" si="1243"/>
        <v>2.7791997097400104E-2</v>
      </c>
      <c r="D1908" s="3">
        <f t="shared" si="1244"/>
        <v>5.5583994194800208E-2</v>
      </c>
      <c r="F1908">
        <v>766.5</v>
      </c>
      <c r="G1908" t="s">
        <v>66</v>
      </c>
      <c r="H1908">
        <v>1000</v>
      </c>
      <c r="I1908" s="22"/>
      <c r="J1908">
        <v>0</v>
      </c>
      <c r="K1908" s="22"/>
      <c r="M1908" s="22">
        <v>3.95E-2</v>
      </c>
      <c r="N1908" s="21">
        <v>43874</v>
      </c>
      <c r="O1908" s="21">
        <v>54832</v>
      </c>
      <c r="P1908">
        <f t="shared" si="1256"/>
        <v>30</v>
      </c>
      <c r="Q1908" s="6">
        <f t="shared" si="1257"/>
        <v>5.1532941943900845E-2</v>
      </c>
      <c r="R1908" s="5">
        <f t="shared" si="1258"/>
        <v>2</v>
      </c>
      <c r="S1908" t="s">
        <v>65</v>
      </c>
      <c r="U1908">
        <f t="shared" si="1259"/>
        <v>60</v>
      </c>
      <c r="V1908">
        <f t="shared" si="1260"/>
        <v>19.75</v>
      </c>
      <c r="W1908" s="28">
        <f t="shared" si="1261"/>
        <v>2.7791997097400104E-2</v>
      </c>
      <c r="X1908" s="27">
        <f t="shared" si="1262"/>
        <v>5.5583994194800208E-2</v>
      </c>
      <c r="Y1908" s="5">
        <f t="shared" si="1252"/>
        <v>16.019991013573591</v>
      </c>
      <c r="Z1908" s="5">
        <f t="shared" si="1253"/>
        <v>15.586802639849155</v>
      </c>
      <c r="AA1908" s="5">
        <f t="shared" si="1254"/>
        <v>-11947.284223444378</v>
      </c>
      <c r="AB1908" t="s">
        <v>64</v>
      </c>
      <c r="AC1908" t="s">
        <v>62</v>
      </c>
      <c r="AD1908">
        <f t="shared" si="1263"/>
        <v>2</v>
      </c>
    </row>
    <row r="1909" spans="1:30" x14ac:dyDescent="0.35">
      <c r="A1909" t="s">
        <v>74</v>
      </c>
      <c r="B1909" t="s">
        <v>72</v>
      </c>
      <c r="C1909" s="36">
        <f t="shared" si="1243"/>
        <v>2.7637700701930439E-2</v>
      </c>
      <c r="D1909" s="3">
        <f t="shared" si="1244"/>
        <v>5.5275401403860877E-2</v>
      </c>
      <c r="F1909">
        <v>770.2</v>
      </c>
      <c r="G1909" t="s">
        <v>66</v>
      </c>
      <c r="H1909">
        <v>1000</v>
      </c>
      <c r="I1909" s="22"/>
      <c r="J1909">
        <v>1000000</v>
      </c>
      <c r="K1909" s="22"/>
      <c r="M1909" s="22">
        <v>3.95E-2</v>
      </c>
      <c r="N1909" s="21">
        <v>43874</v>
      </c>
      <c r="O1909" s="21">
        <v>54832</v>
      </c>
      <c r="P1909">
        <f t="shared" si="1256"/>
        <v>30</v>
      </c>
      <c r="Q1909" s="6">
        <f t="shared" si="1257"/>
        <v>5.1285380420669956E-2</v>
      </c>
      <c r="R1909" s="5">
        <f t="shared" si="1258"/>
        <v>2</v>
      </c>
      <c r="S1909" t="s">
        <v>65</v>
      </c>
      <c r="U1909">
        <f t="shared" si="1259"/>
        <v>60</v>
      </c>
      <c r="V1909">
        <f t="shared" si="1260"/>
        <v>19.75</v>
      </c>
      <c r="W1909" s="28">
        <f t="shared" si="1261"/>
        <v>2.7637700701930439E-2</v>
      </c>
      <c r="X1909" s="27">
        <f t="shared" si="1262"/>
        <v>5.5275401403860877E-2</v>
      </c>
      <c r="Y1909" s="5">
        <f t="shared" si="1252"/>
        <v>16.054542262848031</v>
      </c>
      <c r="Z1909" s="5">
        <f t="shared" si="1253"/>
        <v>15.622764960726856</v>
      </c>
      <c r="AA1909" s="5">
        <f t="shared" si="1254"/>
        <v>-12032.653572751826</v>
      </c>
      <c r="AB1909" t="s">
        <v>64</v>
      </c>
      <c r="AC1909" t="s">
        <v>62</v>
      </c>
      <c r="AD1909">
        <f t="shared" si="1263"/>
        <v>2</v>
      </c>
    </row>
    <row r="1910" spans="1:30" x14ac:dyDescent="0.35">
      <c r="A1910" t="s">
        <v>73</v>
      </c>
      <c r="B1910" t="s">
        <v>72</v>
      </c>
      <c r="C1910" s="36">
        <f t="shared" si="1243"/>
        <v>2.9761710216612329E-2</v>
      </c>
      <c r="D1910" s="3">
        <f t="shared" si="1244"/>
        <v>5.9523420433224658E-2</v>
      </c>
      <c r="F1910">
        <v>721.5</v>
      </c>
      <c r="G1910" t="s">
        <v>66</v>
      </c>
      <c r="H1910">
        <v>1000</v>
      </c>
      <c r="I1910" s="22"/>
      <c r="J1910">
        <v>0</v>
      </c>
      <c r="K1910" s="22"/>
      <c r="M1910" s="22">
        <v>3.95E-2</v>
      </c>
      <c r="N1910" s="21">
        <v>43874</v>
      </c>
      <c r="O1910" s="21">
        <v>54832</v>
      </c>
      <c r="P1910">
        <f t="shared" si="1256"/>
        <v>30</v>
      </c>
      <c r="Q1910" s="6">
        <f t="shared" si="1257"/>
        <v>5.4747054747054748E-2</v>
      </c>
      <c r="R1910" s="5">
        <f t="shared" si="1258"/>
        <v>2</v>
      </c>
      <c r="S1910" t="s">
        <v>65</v>
      </c>
      <c r="U1910">
        <f t="shared" si="1259"/>
        <v>60</v>
      </c>
      <c r="V1910">
        <f t="shared" si="1260"/>
        <v>19.75</v>
      </c>
      <c r="W1910" s="28">
        <f t="shared" si="1261"/>
        <v>2.9761710216612329E-2</v>
      </c>
      <c r="X1910" s="27">
        <f t="shared" si="1262"/>
        <v>5.9523420433224658E-2</v>
      </c>
      <c r="Y1910" s="5">
        <f t="shared" si="1252"/>
        <v>15.580663828120176</v>
      </c>
      <c r="Z1910" s="5">
        <f t="shared" si="1253"/>
        <v>15.13035848346192</v>
      </c>
      <c r="AA1910" s="5">
        <f t="shared" si="1254"/>
        <v>-10916.553645817776</v>
      </c>
      <c r="AB1910" t="s">
        <v>64</v>
      </c>
      <c r="AC1910" t="s">
        <v>62</v>
      </c>
      <c r="AD1910">
        <f t="shared" si="1263"/>
        <v>2</v>
      </c>
    </row>
    <row r="1911" spans="1:30" x14ac:dyDescent="0.35">
      <c r="A1911" t="s">
        <v>71</v>
      </c>
      <c r="B1911" t="s">
        <v>67</v>
      </c>
      <c r="C1911" s="36">
        <f t="shared" si="1243"/>
        <v>2.887631416739514E-2</v>
      </c>
      <c r="D1911" s="3">
        <f t="shared" si="1244"/>
        <v>5.7752628334790279E-2</v>
      </c>
      <c r="F1911">
        <v>695.15</v>
      </c>
      <c r="G1911" t="s">
        <v>66</v>
      </c>
      <c r="H1911">
        <v>1000</v>
      </c>
      <c r="I1911" s="22"/>
      <c r="J1911">
        <v>2880000</v>
      </c>
      <c r="K1911" s="22"/>
      <c r="M1911" s="22">
        <v>3.6249999999999998E-2</v>
      </c>
      <c r="N1911" s="21">
        <v>44573</v>
      </c>
      <c r="O1911" s="21">
        <v>55530</v>
      </c>
      <c r="P1911">
        <f t="shared" si="1256"/>
        <v>30</v>
      </c>
      <c r="Q1911" s="6">
        <f t="shared" si="1257"/>
        <v>5.2147018629072867E-2</v>
      </c>
      <c r="R1911" s="5">
        <f t="shared" si="1258"/>
        <v>2</v>
      </c>
      <c r="S1911" t="s">
        <v>65</v>
      </c>
      <c r="U1911">
        <f t="shared" si="1259"/>
        <v>60</v>
      </c>
      <c r="V1911">
        <f t="shared" si="1260"/>
        <v>18.125</v>
      </c>
      <c r="W1911" s="28">
        <f t="shared" si="1261"/>
        <v>2.887631416739514E-2</v>
      </c>
      <c r="X1911" s="27">
        <f t="shared" si="1262"/>
        <v>5.7752628334790279E-2</v>
      </c>
      <c r="Y1911" s="5">
        <f t="shared" si="1252"/>
        <v>16.082775487665057</v>
      </c>
      <c r="Z1911" s="5">
        <f t="shared" si="1253"/>
        <v>15.631398318931888</v>
      </c>
      <c r="AA1911" s="5">
        <f t="shared" si="1254"/>
        <v>-10866.166541405502</v>
      </c>
      <c r="AB1911" t="s">
        <v>69</v>
      </c>
      <c r="AC1911" t="s">
        <v>62</v>
      </c>
      <c r="AD1911">
        <f t="shared" si="1263"/>
        <v>2</v>
      </c>
    </row>
    <row r="1912" spans="1:30" x14ac:dyDescent="0.35">
      <c r="A1912" t="s">
        <v>70</v>
      </c>
      <c r="B1912" t="s">
        <v>67</v>
      </c>
      <c r="C1912" s="36">
        <f t="shared" si="1243"/>
        <v>2.9966781387566956E-2</v>
      </c>
      <c r="D1912" s="3">
        <f t="shared" si="1244"/>
        <v>5.9933562775133911E-2</v>
      </c>
      <c r="F1912">
        <v>660.96</v>
      </c>
      <c r="G1912" t="s">
        <v>66</v>
      </c>
      <c r="H1912">
        <v>1000</v>
      </c>
      <c r="I1912" s="22"/>
      <c r="J1912">
        <v>5000000</v>
      </c>
      <c r="K1912" s="22"/>
      <c r="M1912" s="22">
        <v>3.7499999999999999E-2</v>
      </c>
      <c r="N1912" s="21">
        <v>44573</v>
      </c>
      <c r="O1912" s="21">
        <v>59183</v>
      </c>
      <c r="P1912">
        <f t="shared" si="1256"/>
        <v>40</v>
      </c>
      <c r="Q1912" s="6">
        <f t="shared" si="1257"/>
        <v>5.6735657225853303E-2</v>
      </c>
      <c r="R1912" s="5">
        <f t="shared" si="1258"/>
        <v>2</v>
      </c>
      <c r="S1912" t="s">
        <v>65</v>
      </c>
      <c r="U1912">
        <f t="shared" si="1259"/>
        <v>80</v>
      </c>
      <c r="V1912">
        <f t="shared" si="1260"/>
        <v>18.75</v>
      </c>
      <c r="W1912" s="28">
        <f t="shared" si="1261"/>
        <v>2.9966781387566956E-2</v>
      </c>
      <c r="X1912" s="27">
        <f t="shared" si="1262"/>
        <v>5.9933562775133911E-2</v>
      </c>
      <c r="Y1912" s="5">
        <f t="shared" si="1252"/>
        <v>16.86969934504825</v>
      </c>
      <c r="Z1912" s="5">
        <f t="shared" si="1253"/>
        <v>16.378877115164297</v>
      </c>
      <c r="AA1912" s="5">
        <f t="shared" si="1254"/>
        <v>-10825.782618038995</v>
      </c>
      <c r="AB1912" t="s">
        <v>69</v>
      </c>
      <c r="AC1912" t="s">
        <v>62</v>
      </c>
      <c r="AD1912">
        <f t="shared" si="1263"/>
        <v>2</v>
      </c>
    </row>
    <row r="1913" spans="1:30" x14ac:dyDescent="0.35">
      <c r="A1913" t="s">
        <v>68</v>
      </c>
      <c r="B1913" t="s">
        <v>67</v>
      </c>
      <c r="C1913" s="36">
        <f t="shared" si="1243"/>
        <v>3.6536740804209752E-2</v>
      </c>
      <c r="D1913" s="3">
        <f t="shared" si="1244"/>
        <v>7.3073481608419505E-2</v>
      </c>
      <c r="F1913">
        <v>1402.39</v>
      </c>
      <c r="G1913" t="s">
        <v>66</v>
      </c>
      <c r="H1913">
        <v>1000</v>
      </c>
      <c r="I1913" s="22"/>
      <c r="J1913">
        <v>0</v>
      </c>
      <c r="K1913" s="22"/>
      <c r="M1913" s="22">
        <v>0.10249999999999999</v>
      </c>
      <c r="N1913" s="21">
        <v>35446</v>
      </c>
      <c r="O1913" s="21">
        <v>71970</v>
      </c>
      <c r="P1913">
        <f t="shared" si="1256"/>
        <v>100</v>
      </c>
      <c r="Q1913" s="6">
        <f t="shared" si="1257"/>
        <v>7.3089511476835969E-2</v>
      </c>
      <c r="R1913" s="5">
        <f t="shared" si="1258"/>
        <v>2</v>
      </c>
      <c r="S1913" t="s">
        <v>65</v>
      </c>
      <c r="U1913">
        <f t="shared" si="1259"/>
        <v>200</v>
      </c>
      <c r="V1913">
        <f t="shared" si="1260"/>
        <v>51.25</v>
      </c>
      <c r="W1913" s="28">
        <f t="shared" si="1261"/>
        <v>3.6536740804209752E-2</v>
      </c>
      <c r="X1913" s="27">
        <f t="shared" si="1262"/>
        <v>7.3073481608419505E-2</v>
      </c>
      <c r="Y1913" s="5">
        <f t="shared" si="1252"/>
        <v>14.152413487484528</v>
      </c>
      <c r="Z1913" s="5">
        <f t="shared" si="1253"/>
        <v>13.653557013815261</v>
      </c>
      <c r="AA1913" s="5">
        <f t="shared" si="1254"/>
        <v>-19147.611820604387</v>
      </c>
      <c r="AB1913" t="s">
        <v>64</v>
      </c>
      <c r="AC1913" t="s">
        <v>62</v>
      </c>
      <c r="AD1913">
        <f t="shared" si="1263"/>
        <v>2</v>
      </c>
    </row>
    <row r="1914" spans="1:30" x14ac:dyDescent="0.35">
      <c r="I1914" s="22"/>
      <c r="K1914" s="6"/>
      <c r="M1914" s="22"/>
      <c r="N1914" s="21"/>
      <c r="P1914" s="5"/>
      <c r="Q1914" s="6"/>
      <c r="R1914" s="5"/>
      <c r="X1914" s="29"/>
      <c r="Y1914" s="14"/>
      <c r="Z1914" s="33">
        <f t="shared" si="1253"/>
        <v>0</v>
      </c>
      <c r="AA1914" s="33">
        <f t="shared" si="1254"/>
        <v>0</v>
      </c>
    </row>
    <row r="1915" spans="1:30" x14ac:dyDescent="0.35">
      <c r="I1915" s="22"/>
      <c r="K1915" s="6"/>
      <c r="M1915" s="22"/>
      <c r="N1915" s="21"/>
      <c r="P1915" s="5"/>
      <c r="Q1915" s="6"/>
      <c r="R1915" s="5"/>
      <c r="X1915" s="29"/>
      <c r="Y1915" s="14"/>
      <c r="Z1915" s="33">
        <f t="shared" si="1253"/>
        <v>0</v>
      </c>
      <c r="AA1915" s="33">
        <f t="shared" si="1254"/>
        <v>0</v>
      </c>
    </row>
    <row r="1916" spans="1:30" x14ac:dyDescent="0.35">
      <c r="I1916" s="22"/>
      <c r="K1916" s="6"/>
      <c r="M1916" s="22"/>
      <c r="N1916" s="21"/>
      <c r="P1916" s="5"/>
      <c r="Q1916" s="6"/>
      <c r="R1916" s="5"/>
      <c r="X1916" s="29"/>
      <c r="Y1916" s="14"/>
      <c r="Z1916" s="33">
        <f t="shared" si="1253"/>
        <v>0</v>
      </c>
      <c r="AA1916" s="33">
        <f t="shared" si="1254"/>
        <v>0</v>
      </c>
    </row>
    <row r="1917" spans="1:30" x14ac:dyDescent="0.35">
      <c r="I1917" s="22"/>
      <c r="K1917" s="6"/>
      <c r="M1917" s="22"/>
      <c r="N1917" s="21"/>
      <c r="P1917" s="5"/>
      <c r="Q1917" s="6"/>
      <c r="R1917" s="5"/>
      <c r="X1917" s="29"/>
      <c r="Y1917" s="14"/>
      <c r="Z1917" s="33">
        <f t="shared" si="1253"/>
        <v>0</v>
      </c>
      <c r="AA1917" s="33">
        <f t="shared" si="1254"/>
        <v>0</v>
      </c>
    </row>
    <row r="1918" spans="1:30" x14ac:dyDescent="0.35">
      <c r="I1918" s="22"/>
      <c r="K1918" s="6"/>
      <c r="M1918" s="22"/>
      <c r="N1918" s="21"/>
      <c r="P1918" s="5"/>
      <c r="Q1918" s="6"/>
      <c r="R1918" s="5"/>
      <c r="X1918" s="29"/>
      <c r="Y1918" s="14"/>
      <c r="Z1918" s="33">
        <f t="shared" si="1253"/>
        <v>0</v>
      </c>
      <c r="AA1918" s="33">
        <f t="shared" si="1254"/>
        <v>0</v>
      </c>
    </row>
    <row r="1919" spans="1:30" x14ac:dyDescent="0.35">
      <c r="I1919" s="22"/>
      <c r="K1919" s="6"/>
      <c r="M1919" s="22"/>
      <c r="N1919" s="21"/>
      <c r="P1919" s="5"/>
      <c r="Q1919" s="6"/>
      <c r="R1919" s="5"/>
      <c r="X1919" s="29"/>
      <c r="Y1919" s="14"/>
      <c r="Z1919" s="33">
        <f t="shared" si="1253"/>
        <v>0</v>
      </c>
      <c r="AA1919" s="33">
        <f t="shared" si="1254"/>
        <v>0</v>
      </c>
    </row>
    <row r="1920" spans="1:30" x14ac:dyDescent="0.35">
      <c r="I1920" s="22"/>
      <c r="K1920" s="6"/>
      <c r="M1920" s="22"/>
      <c r="N1920" s="21"/>
      <c r="P1920" s="5"/>
      <c r="Q1920" s="6"/>
      <c r="R1920" s="5"/>
      <c r="X1920" s="29"/>
      <c r="Y1920" s="14"/>
      <c r="Z1920" s="33">
        <f t="shared" si="1253"/>
        <v>0</v>
      </c>
      <c r="AA1920" s="33">
        <f t="shared" si="1254"/>
        <v>0</v>
      </c>
    </row>
    <row r="1921" spans="9:27" x14ac:dyDescent="0.35">
      <c r="I1921" s="22"/>
      <c r="K1921" s="6"/>
      <c r="M1921" s="22"/>
      <c r="N1921" s="21"/>
      <c r="P1921" s="5"/>
      <c r="Q1921" s="6"/>
      <c r="R1921" s="5"/>
      <c r="X1921" s="29"/>
      <c r="Y1921" s="14"/>
      <c r="Z1921" s="33">
        <f t="shared" si="1253"/>
        <v>0</v>
      </c>
      <c r="AA1921" s="33">
        <f t="shared" si="1254"/>
        <v>0</v>
      </c>
    </row>
    <row r="1922" spans="9:27" x14ac:dyDescent="0.35">
      <c r="I1922" s="22"/>
      <c r="K1922" s="6"/>
      <c r="M1922" s="22"/>
      <c r="N1922" s="21"/>
      <c r="P1922" s="5"/>
      <c r="Q1922" s="6"/>
      <c r="R1922" s="5"/>
      <c r="X1922" s="29"/>
      <c r="Y1922" s="14"/>
      <c r="Z1922" s="33">
        <f t="shared" si="1253"/>
        <v>0</v>
      </c>
      <c r="AA1922" s="33">
        <f t="shared" si="1254"/>
        <v>0</v>
      </c>
    </row>
    <row r="1923" spans="9:27" x14ac:dyDescent="0.35">
      <c r="I1923" s="22"/>
      <c r="K1923" s="6"/>
      <c r="M1923" s="22"/>
      <c r="N1923" s="21"/>
      <c r="P1923" s="5"/>
      <c r="Q1923" s="6"/>
      <c r="R1923" s="5"/>
      <c r="X1923" s="29"/>
      <c r="Y1923" s="14"/>
      <c r="Z1923" s="33">
        <f t="shared" si="1253"/>
        <v>0</v>
      </c>
      <c r="AA1923" s="33">
        <f t="shared" si="1254"/>
        <v>0</v>
      </c>
    </row>
    <row r="1924" spans="9:27" x14ac:dyDescent="0.35">
      <c r="I1924" s="22"/>
      <c r="K1924" s="6"/>
      <c r="M1924" s="22"/>
      <c r="N1924" s="21"/>
      <c r="P1924" s="5"/>
      <c r="Q1924" s="6"/>
      <c r="R1924" s="5"/>
      <c r="X1924" s="29"/>
      <c r="Y1924" s="14"/>
      <c r="Z1924" s="33">
        <f t="shared" ref="Z1924:Z1950" si="1264">Y1924/(1+C1924)</f>
        <v>0</v>
      </c>
      <c r="AA1924" s="33">
        <f t="shared" ref="AA1924:AA1950" si="1265">-Z1924*F1924</f>
        <v>0</v>
      </c>
    </row>
    <row r="1925" spans="9:27" x14ac:dyDescent="0.35">
      <c r="I1925" s="22"/>
      <c r="K1925" s="6"/>
      <c r="M1925" s="22"/>
      <c r="N1925" s="21"/>
      <c r="P1925" s="5"/>
      <c r="Q1925" s="6"/>
      <c r="R1925" s="5"/>
      <c r="X1925" s="29"/>
      <c r="Y1925" s="14"/>
      <c r="Z1925" s="33">
        <f t="shared" si="1264"/>
        <v>0</v>
      </c>
      <c r="AA1925" s="33">
        <f t="shared" si="1265"/>
        <v>0</v>
      </c>
    </row>
    <row r="1926" spans="9:27" x14ac:dyDescent="0.35">
      <c r="I1926" s="22"/>
      <c r="K1926" s="6"/>
      <c r="M1926" s="22"/>
      <c r="N1926" s="21"/>
      <c r="P1926" s="5"/>
      <c r="Q1926" s="6"/>
      <c r="R1926" s="5"/>
      <c r="X1926" s="29"/>
      <c r="Y1926" s="14"/>
      <c r="Z1926" s="33">
        <f t="shared" si="1264"/>
        <v>0</v>
      </c>
      <c r="AA1926" s="33">
        <f t="shared" si="1265"/>
        <v>0</v>
      </c>
    </row>
    <row r="1927" spans="9:27" x14ac:dyDescent="0.35">
      <c r="I1927" s="22"/>
      <c r="K1927" s="6"/>
      <c r="M1927" s="22"/>
      <c r="N1927" s="21"/>
      <c r="P1927" s="5"/>
      <c r="Q1927" s="6"/>
      <c r="R1927" s="5"/>
      <c r="X1927" s="29"/>
      <c r="Y1927" s="14"/>
      <c r="Z1927" s="33">
        <f t="shared" si="1264"/>
        <v>0</v>
      </c>
      <c r="AA1927" s="33">
        <f t="shared" si="1265"/>
        <v>0</v>
      </c>
    </row>
    <row r="1928" spans="9:27" x14ac:dyDescent="0.35">
      <c r="I1928" s="22"/>
      <c r="K1928" s="6"/>
      <c r="M1928" s="22"/>
      <c r="N1928" s="21"/>
      <c r="P1928" s="5"/>
      <c r="Q1928" s="6"/>
      <c r="R1928" s="5"/>
      <c r="X1928" s="29"/>
      <c r="Y1928" s="14"/>
      <c r="Z1928" s="33">
        <f t="shared" si="1264"/>
        <v>0</v>
      </c>
      <c r="AA1928" s="33">
        <f t="shared" si="1265"/>
        <v>0</v>
      </c>
    </row>
    <row r="1929" spans="9:27" x14ac:dyDescent="0.35">
      <c r="I1929" s="22"/>
      <c r="K1929" s="6"/>
      <c r="M1929" s="22"/>
      <c r="N1929" s="21"/>
      <c r="P1929" s="5"/>
      <c r="Q1929" s="6"/>
      <c r="R1929" s="5"/>
      <c r="X1929" s="29"/>
      <c r="Y1929" s="14"/>
      <c r="Z1929" s="33">
        <f t="shared" si="1264"/>
        <v>0</v>
      </c>
      <c r="AA1929" s="33">
        <f t="shared" si="1265"/>
        <v>0</v>
      </c>
    </row>
    <row r="1930" spans="9:27" x14ac:dyDescent="0.35">
      <c r="I1930" s="22"/>
      <c r="K1930" s="6"/>
      <c r="M1930" s="22"/>
      <c r="N1930" s="21"/>
      <c r="P1930" s="5"/>
      <c r="Q1930" s="6"/>
      <c r="R1930" s="5"/>
      <c r="X1930" s="29"/>
      <c r="Y1930" s="14"/>
      <c r="Z1930" s="33">
        <f t="shared" si="1264"/>
        <v>0</v>
      </c>
      <c r="AA1930" s="33">
        <f t="shared" si="1265"/>
        <v>0</v>
      </c>
    </row>
    <row r="1931" spans="9:27" x14ac:dyDescent="0.35">
      <c r="I1931" s="22"/>
      <c r="K1931" s="6"/>
      <c r="M1931" s="22"/>
      <c r="N1931" s="21"/>
      <c r="P1931" s="5"/>
      <c r="Q1931" s="6"/>
      <c r="R1931" s="5"/>
      <c r="X1931" s="29"/>
      <c r="Y1931" s="14"/>
      <c r="Z1931" s="33">
        <f t="shared" si="1264"/>
        <v>0</v>
      </c>
      <c r="AA1931" s="33">
        <f t="shared" si="1265"/>
        <v>0</v>
      </c>
    </row>
    <row r="1932" spans="9:27" x14ac:dyDescent="0.35">
      <c r="I1932" s="22"/>
      <c r="K1932" s="6"/>
      <c r="M1932" s="22"/>
      <c r="N1932" s="21"/>
      <c r="P1932" s="5"/>
      <c r="Q1932" s="6"/>
      <c r="R1932" s="5"/>
      <c r="X1932" s="29"/>
      <c r="Y1932" s="14"/>
      <c r="Z1932" s="33">
        <f t="shared" si="1264"/>
        <v>0</v>
      </c>
      <c r="AA1932" s="33">
        <f t="shared" si="1265"/>
        <v>0</v>
      </c>
    </row>
    <row r="1933" spans="9:27" x14ac:dyDescent="0.35">
      <c r="I1933" s="22"/>
      <c r="K1933" s="6"/>
      <c r="M1933" s="22"/>
      <c r="N1933" s="21"/>
      <c r="P1933" s="5"/>
      <c r="Q1933" s="6"/>
      <c r="R1933" s="5"/>
      <c r="X1933" s="29"/>
      <c r="Y1933" s="14"/>
      <c r="Z1933" s="33">
        <f t="shared" si="1264"/>
        <v>0</v>
      </c>
      <c r="AA1933" s="33">
        <f t="shared" si="1265"/>
        <v>0</v>
      </c>
    </row>
    <row r="1934" spans="9:27" x14ac:dyDescent="0.35">
      <c r="I1934" s="22"/>
      <c r="K1934" s="6"/>
      <c r="M1934" s="22"/>
      <c r="N1934" s="21"/>
      <c r="P1934" s="5"/>
      <c r="Q1934" s="6"/>
      <c r="R1934" s="5"/>
      <c r="X1934" s="29"/>
      <c r="Y1934" s="14"/>
      <c r="Z1934" s="33">
        <f t="shared" si="1264"/>
        <v>0</v>
      </c>
      <c r="AA1934" s="33">
        <f t="shared" si="1265"/>
        <v>0</v>
      </c>
    </row>
    <row r="1935" spans="9:27" x14ac:dyDescent="0.35">
      <c r="I1935" s="22"/>
      <c r="K1935" s="6"/>
      <c r="M1935" s="22"/>
      <c r="N1935" s="21"/>
      <c r="P1935" s="5"/>
      <c r="Q1935" s="6"/>
      <c r="R1935" s="5"/>
      <c r="X1935" s="29"/>
      <c r="Y1935" s="14"/>
      <c r="Z1935" s="33">
        <f t="shared" si="1264"/>
        <v>0</v>
      </c>
      <c r="AA1935" s="33">
        <f t="shared" si="1265"/>
        <v>0</v>
      </c>
    </row>
    <row r="1936" spans="9:27" x14ac:dyDescent="0.35">
      <c r="I1936" s="22"/>
      <c r="K1936" s="6"/>
      <c r="M1936" s="22"/>
      <c r="N1936" s="21"/>
      <c r="P1936" s="5"/>
      <c r="Q1936" s="6"/>
      <c r="R1936" s="5"/>
      <c r="X1936" s="29"/>
      <c r="Y1936" s="14"/>
      <c r="Z1936" s="33">
        <f t="shared" si="1264"/>
        <v>0</v>
      </c>
      <c r="AA1936" s="33">
        <f t="shared" si="1265"/>
        <v>0</v>
      </c>
    </row>
    <row r="1937" spans="9:27" x14ac:dyDescent="0.35">
      <c r="I1937" s="22"/>
      <c r="K1937" s="6"/>
      <c r="M1937" s="22"/>
      <c r="N1937" s="21"/>
      <c r="P1937" s="5"/>
      <c r="Q1937" s="6"/>
      <c r="R1937" s="5"/>
      <c r="X1937" s="29"/>
      <c r="Y1937" s="14"/>
      <c r="Z1937" s="33">
        <f t="shared" si="1264"/>
        <v>0</v>
      </c>
      <c r="AA1937" s="33">
        <f t="shared" si="1265"/>
        <v>0</v>
      </c>
    </row>
    <row r="1938" spans="9:27" x14ac:dyDescent="0.35">
      <c r="I1938" s="22"/>
      <c r="K1938" s="6"/>
      <c r="M1938" s="22"/>
      <c r="N1938" s="21"/>
      <c r="P1938" s="5"/>
      <c r="Q1938" s="6"/>
      <c r="R1938" s="5"/>
      <c r="X1938" s="29"/>
      <c r="Y1938" s="14"/>
      <c r="Z1938" s="33">
        <f t="shared" si="1264"/>
        <v>0</v>
      </c>
      <c r="AA1938" s="33">
        <f t="shared" si="1265"/>
        <v>0</v>
      </c>
    </row>
    <row r="1939" spans="9:27" x14ac:dyDescent="0.35">
      <c r="I1939" s="22"/>
      <c r="K1939" s="6"/>
      <c r="M1939" s="22"/>
      <c r="N1939" s="21"/>
      <c r="P1939" s="5"/>
      <c r="Q1939" s="6"/>
      <c r="R1939" s="5"/>
      <c r="X1939" s="29"/>
      <c r="Y1939" s="14"/>
      <c r="Z1939" s="33">
        <f t="shared" si="1264"/>
        <v>0</v>
      </c>
      <c r="AA1939" s="33">
        <f t="shared" si="1265"/>
        <v>0</v>
      </c>
    </row>
    <row r="1940" spans="9:27" x14ac:dyDescent="0.35">
      <c r="I1940" s="22"/>
      <c r="K1940" s="6"/>
      <c r="M1940" s="22"/>
      <c r="N1940" s="21"/>
      <c r="P1940" s="5"/>
      <c r="Q1940" s="6"/>
      <c r="R1940" s="5"/>
      <c r="X1940" s="29"/>
      <c r="Y1940" s="14"/>
      <c r="Z1940" s="33">
        <f t="shared" si="1264"/>
        <v>0</v>
      </c>
      <c r="AA1940" s="33">
        <f t="shared" si="1265"/>
        <v>0</v>
      </c>
    </row>
    <row r="1941" spans="9:27" x14ac:dyDescent="0.35">
      <c r="I1941" s="22"/>
      <c r="K1941" s="6"/>
      <c r="M1941" s="22"/>
      <c r="N1941" s="21"/>
      <c r="P1941" s="5"/>
      <c r="Q1941" s="6"/>
      <c r="R1941" s="5"/>
      <c r="X1941" s="29"/>
      <c r="Y1941" s="14"/>
      <c r="Z1941" s="33">
        <f t="shared" si="1264"/>
        <v>0</v>
      </c>
      <c r="AA1941" s="33">
        <f t="shared" si="1265"/>
        <v>0</v>
      </c>
    </row>
    <row r="1942" spans="9:27" x14ac:dyDescent="0.35">
      <c r="I1942" s="22"/>
      <c r="K1942" s="6"/>
      <c r="M1942" s="22"/>
      <c r="N1942" s="21"/>
      <c r="P1942" s="5"/>
      <c r="Q1942" s="6"/>
      <c r="R1942" s="5"/>
      <c r="X1942" s="29"/>
      <c r="Y1942" s="14"/>
      <c r="Z1942" s="33">
        <f t="shared" si="1264"/>
        <v>0</v>
      </c>
      <c r="AA1942" s="33">
        <f t="shared" si="1265"/>
        <v>0</v>
      </c>
    </row>
    <row r="1943" spans="9:27" x14ac:dyDescent="0.35">
      <c r="I1943" s="22"/>
      <c r="K1943" s="6"/>
      <c r="M1943" s="22"/>
      <c r="N1943" s="21"/>
      <c r="P1943" s="5"/>
      <c r="Q1943" s="6"/>
      <c r="R1943" s="5"/>
      <c r="X1943" s="29"/>
      <c r="Y1943" s="14"/>
      <c r="Z1943" s="33">
        <f t="shared" si="1264"/>
        <v>0</v>
      </c>
      <c r="AA1943" s="33">
        <f t="shared" si="1265"/>
        <v>0</v>
      </c>
    </row>
    <row r="1944" spans="9:27" x14ac:dyDescent="0.35">
      <c r="I1944" s="22"/>
      <c r="K1944" s="6"/>
      <c r="M1944" s="22"/>
      <c r="N1944" s="21"/>
      <c r="P1944" s="5"/>
      <c r="Q1944" s="6"/>
      <c r="R1944" s="5"/>
      <c r="X1944" s="29"/>
      <c r="Y1944" s="14"/>
      <c r="Z1944" s="33">
        <f t="shared" si="1264"/>
        <v>0</v>
      </c>
      <c r="AA1944" s="33">
        <f t="shared" si="1265"/>
        <v>0</v>
      </c>
    </row>
    <row r="1945" spans="9:27" x14ac:dyDescent="0.35">
      <c r="I1945" s="22"/>
      <c r="K1945" s="6"/>
      <c r="M1945" s="22"/>
      <c r="N1945" s="21"/>
      <c r="P1945" s="5"/>
      <c r="Q1945" s="6"/>
      <c r="R1945" s="5"/>
      <c r="X1945" s="29"/>
      <c r="Y1945" s="14"/>
      <c r="Z1945" s="33">
        <f t="shared" si="1264"/>
        <v>0</v>
      </c>
      <c r="AA1945" s="33">
        <f t="shared" si="1265"/>
        <v>0</v>
      </c>
    </row>
    <row r="1946" spans="9:27" x14ac:dyDescent="0.35">
      <c r="I1946" s="22"/>
      <c r="K1946" s="6"/>
      <c r="M1946" s="22"/>
      <c r="N1946" s="21"/>
      <c r="P1946" s="5"/>
      <c r="Q1946" s="6"/>
      <c r="R1946" s="5"/>
      <c r="X1946" s="29"/>
      <c r="Y1946" s="14"/>
      <c r="Z1946" s="33">
        <f t="shared" si="1264"/>
        <v>0</v>
      </c>
      <c r="AA1946" s="33">
        <f t="shared" si="1265"/>
        <v>0</v>
      </c>
    </row>
    <row r="1947" spans="9:27" x14ac:dyDescent="0.35">
      <c r="I1947" s="22"/>
      <c r="K1947" s="6"/>
      <c r="M1947" s="22"/>
      <c r="N1947" s="21"/>
      <c r="P1947" s="5"/>
      <c r="Q1947" s="6"/>
      <c r="R1947" s="5"/>
      <c r="X1947" s="29"/>
      <c r="Y1947" s="14"/>
      <c r="Z1947" s="33">
        <f t="shared" si="1264"/>
        <v>0</v>
      </c>
      <c r="AA1947" s="33">
        <f t="shared" si="1265"/>
        <v>0</v>
      </c>
    </row>
    <row r="1948" spans="9:27" x14ac:dyDescent="0.35">
      <c r="I1948" s="22"/>
      <c r="K1948" s="6"/>
      <c r="M1948" s="22"/>
      <c r="N1948" s="21"/>
      <c r="P1948" s="5"/>
      <c r="Q1948" s="6"/>
      <c r="R1948" s="5"/>
      <c r="X1948" s="29"/>
      <c r="Y1948" s="14"/>
      <c r="Z1948" s="33">
        <f t="shared" si="1264"/>
        <v>0</v>
      </c>
      <c r="AA1948" s="33">
        <f t="shared" si="1265"/>
        <v>0</v>
      </c>
    </row>
    <row r="1949" spans="9:27" x14ac:dyDescent="0.35">
      <c r="I1949" s="22"/>
      <c r="K1949" s="6"/>
      <c r="M1949" s="22"/>
      <c r="N1949" s="21"/>
      <c r="P1949" s="5"/>
      <c r="Q1949" s="6"/>
      <c r="R1949" s="5"/>
      <c r="X1949" s="29"/>
      <c r="Y1949" s="14"/>
      <c r="Z1949" s="33">
        <f t="shared" si="1264"/>
        <v>0</v>
      </c>
      <c r="AA1949" s="33">
        <f t="shared" si="1265"/>
        <v>0</v>
      </c>
    </row>
    <row r="1950" spans="9:27" x14ac:dyDescent="0.35">
      <c r="I1950" s="22"/>
      <c r="K1950" s="6"/>
      <c r="M1950" s="22"/>
      <c r="N1950" s="21"/>
      <c r="P1950" s="5"/>
      <c r="Q1950" s="6"/>
      <c r="R1950" s="5"/>
      <c r="X1950" s="29"/>
      <c r="Y1950" s="14"/>
      <c r="Z1950" s="33">
        <f t="shared" si="1264"/>
        <v>0</v>
      </c>
      <c r="AA1950" s="33">
        <f t="shared" si="1265"/>
        <v>0</v>
      </c>
    </row>
  </sheetData>
  <autoFilter ref="A1:AD4" xr:uid="{59BC4BF1-643C-45A6-9CB3-F885878F5BF4}">
    <filterColumn colId="25">
      <filters blank="1"/>
    </filterColumn>
  </autoFilter>
  <mergeCells count="30">
    <mergeCell ref="AC1:AC2"/>
    <mergeCell ref="AD1:AD2"/>
    <mergeCell ref="J1:J2"/>
    <mergeCell ref="K1:K2"/>
    <mergeCell ref="L1:L2"/>
    <mergeCell ref="AA1:AA2"/>
    <mergeCell ref="AB1:AB2"/>
    <mergeCell ref="W1:W2"/>
    <mergeCell ref="Y1:Y2"/>
    <mergeCell ref="T1:T2"/>
    <mergeCell ref="U1:U2"/>
    <mergeCell ref="V1:V2"/>
    <mergeCell ref="X1:X2"/>
    <mergeCell ref="Z1:Z2"/>
    <mergeCell ref="S1:S2"/>
    <mergeCell ref="M1:M2"/>
    <mergeCell ref="N1:N2"/>
    <mergeCell ref="O1:O2"/>
    <mergeCell ref="P1:P2"/>
    <mergeCell ref="Q1:Q2"/>
    <mergeCell ref="R1:R2"/>
    <mergeCell ref="A1:A2"/>
    <mergeCell ref="B1:B2"/>
    <mergeCell ref="H1:H2"/>
    <mergeCell ref="I1:I2"/>
    <mergeCell ref="E1:E2"/>
    <mergeCell ref="D1:D2"/>
    <mergeCell ref="C1:C2"/>
    <mergeCell ref="F1:F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C952-B553-4076-B8C2-759595CB1F53}">
  <dimension ref="A1:C12"/>
  <sheetViews>
    <sheetView workbookViewId="0">
      <selection activeCell="F14" sqref="F14"/>
    </sheetView>
  </sheetViews>
  <sheetFormatPr defaultRowHeight="14.5" x14ac:dyDescent="0.35"/>
  <cols>
    <col min="1" max="1" width="8.7265625" style="82"/>
    <col min="2" max="2" width="41.54296875" bestFit="1" customWidth="1"/>
  </cols>
  <sheetData>
    <row r="1" spans="1:3" x14ac:dyDescent="0.35">
      <c r="A1" s="82" t="s">
        <v>3122</v>
      </c>
      <c r="B1" s="90" t="s">
        <v>3124</v>
      </c>
      <c r="C1" s="90" t="s">
        <v>3123</v>
      </c>
    </row>
    <row r="2" spans="1:3" x14ac:dyDescent="0.35">
      <c r="A2" s="82" t="s">
        <v>3111</v>
      </c>
      <c r="B2" t="s">
        <v>3125</v>
      </c>
      <c r="C2" t="s">
        <v>3133</v>
      </c>
    </row>
    <row r="3" spans="1:3" x14ac:dyDescent="0.35">
      <c r="A3" s="82" t="s">
        <v>3112</v>
      </c>
      <c r="B3" t="s">
        <v>3126</v>
      </c>
      <c r="C3" t="s">
        <v>3134</v>
      </c>
    </row>
    <row r="4" spans="1:3" x14ac:dyDescent="0.35">
      <c r="A4" s="82" t="s">
        <v>3113</v>
      </c>
      <c r="B4" t="s">
        <v>3127</v>
      </c>
      <c r="C4" t="s">
        <v>3135</v>
      </c>
    </row>
    <row r="5" spans="1:3" x14ac:dyDescent="0.35">
      <c r="A5" s="82" t="s">
        <v>3114</v>
      </c>
      <c r="B5" t="s">
        <v>3131</v>
      </c>
      <c r="C5" t="s">
        <v>3136</v>
      </c>
    </row>
    <row r="6" spans="1:3" x14ac:dyDescent="0.35">
      <c r="A6" s="82" t="s">
        <v>3115</v>
      </c>
      <c r="B6" t="s">
        <v>3132</v>
      </c>
      <c r="C6" t="s">
        <v>3133</v>
      </c>
    </row>
    <row r="7" spans="1:3" x14ac:dyDescent="0.35">
      <c r="A7" s="82" t="s">
        <v>3117</v>
      </c>
      <c r="B7" t="s">
        <v>3128</v>
      </c>
      <c r="C7" t="s">
        <v>3141</v>
      </c>
    </row>
    <row r="8" spans="1:3" x14ac:dyDescent="0.35">
      <c r="A8" s="82" t="s">
        <v>3118</v>
      </c>
      <c r="B8" t="s">
        <v>3129</v>
      </c>
      <c r="C8" t="s">
        <v>3142</v>
      </c>
    </row>
    <row r="9" spans="1:3" x14ac:dyDescent="0.35">
      <c r="A9" s="82" t="s">
        <v>3119</v>
      </c>
      <c r="B9" t="s">
        <v>2238</v>
      </c>
      <c r="C9" t="s">
        <v>3137</v>
      </c>
    </row>
    <row r="10" spans="1:3" x14ac:dyDescent="0.35">
      <c r="A10" s="82" t="s">
        <v>3120</v>
      </c>
      <c r="B10" t="s">
        <v>40</v>
      </c>
      <c r="C10" t="s">
        <v>3137</v>
      </c>
    </row>
    <row r="11" spans="1:3" x14ac:dyDescent="0.35">
      <c r="A11" s="82" t="s">
        <v>3121</v>
      </c>
      <c r="B11" t="s">
        <v>3130</v>
      </c>
      <c r="C11" t="s">
        <v>3137</v>
      </c>
    </row>
    <row r="12" spans="1:3" x14ac:dyDescent="0.35">
      <c r="A12" s="82" t="s">
        <v>3138</v>
      </c>
      <c r="B12" t="s">
        <v>3139</v>
      </c>
      <c r="C12" t="s">
        <v>3133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DD53-41C5-4493-938F-F939716A297B}">
  <dimension ref="A1:AP1558"/>
  <sheetViews>
    <sheetView topLeftCell="U1" zoomScale="90" zoomScaleNormal="90" workbookViewId="0">
      <pane ySplit="3" topLeftCell="A11" activePane="bottomLeft" state="frozen"/>
      <selection pane="bottomLeft" activeCell="AQ6" sqref="AQ6"/>
    </sheetView>
  </sheetViews>
  <sheetFormatPr defaultColWidth="8.81640625" defaultRowHeight="14.5" x14ac:dyDescent="0.35"/>
  <cols>
    <col min="1" max="1" width="13.81640625" customWidth="1"/>
    <col min="2" max="2" width="46.81640625" bestFit="1" customWidth="1"/>
    <col min="3" max="3" width="6.453125" customWidth="1"/>
    <col min="4" max="4" width="29.1796875" customWidth="1"/>
    <col min="5" max="5" width="15.54296875" bestFit="1" customWidth="1"/>
    <col min="6" max="6" width="18.453125" bestFit="1" customWidth="1"/>
    <col min="7" max="7" width="11" bestFit="1" customWidth="1"/>
    <col min="8" max="8" width="25.26953125" customWidth="1"/>
    <col min="9" max="9" width="10.1796875" customWidth="1"/>
    <col min="10" max="10" width="12" bestFit="1" customWidth="1"/>
    <col min="11" max="12" width="10.1796875" customWidth="1"/>
    <col min="13" max="13" width="15.7265625" bestFit="1" customWidth="1"/>
    <col min="14" max="15" width="15.7265625" customWidth="1"/>
    <col min="16" max="16" width="11.81640625" customWidth="1"/>
    <col min="17" max="17" width="15.453125" customWidth="1"/>
    <col min="18" max="18" width="22.453125" customWidth="1"/>
    <col min="19" max="19" width="18.26953125" customWidth="1"/>
    <col min="20" max="20" width="19.1796875" bestFit="1" customWidth="1"/>
    <col min="21" max="21" width="22.1796875" bestFit="1" customWidth="1"/>
    <col min="22" max="22" width="15.26953125" customWidth="1"/>
    <col min="23" max="23" width="21" customWidth="1"/>
    <col min="24" max="24" width="31" style="19" bestFit="1" customWidth="1"/>
    <col min="25" max="25" width="14.453125" style="27" customWidth="1"/>
    <col min="26" max="26" width="25.1796875" customWidth="1"/>
    <col min="27" max="27" width="24.81640625" customWidth="1"/>
    <col min="28" max="28" width="23.453125" customWidth="1"/>
    <col min="29" max="29" width="22.1796875" style="77" customWidth="1"/>
    <col min="30" max="30" width="18.26953125" customWidth="1"/>
    <col min="31" max="31" width="24.81640625" customWidth="1"/>
    <col min="32" max="32" width="17.26953125" bestFit="1" customWidth="1"/>
    <col min="33" max="33" width="22.1796875" bestFit="1" customWidth="1"/>
    <col min="34" max="34" width="14" hidden="1" customWidth="1"/>
    <col min="35" max="42" width="0" hidden="1" customWidth="1"/>
  </cols>
  <sheetData>
    <row r="1" spans="1:42" ht="15" thickBot="1" x14ac:dyDescent="0.4">
      <c r="A1" s="125" t="s">
        <v>2270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8" t="s">
        <v>2271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30"/>
    </row>
    <row r="2" spans="1:42" s="80" customFormat="1" ht="16" thickBot="1" x14ac:dyDescent="0.4">
      <c r="A2" s="80" t="s">
        <v>3094</v>
      </c>
      <c r="X2" s="83" t="s">
        <v>3112</v>
      </c>
      <c r="Y2" s="87" t="s">
        <v>3113</v>
      </c>
      <c r="Z2" s="81" t="s">
        <v>3117</v>
      </c>
      <c r="AA2" s="81" t="s">
        <v>3118</v>
      </c>
      <c r="AB2" s="81" t="s">
        <v>3114</v>
      </c>
      <c r="AC2" s="84"/>
      <c r="AD2" s="80" t="s">
        <v>2268</v>
      </c>
      <c r="AE2" s="85">
        <v>100</v>
      </c>
      <c r="AF2" s="86">
        <f>AE2/10000</f>
        <v>0.01</v>
      </c>
      <c r="AG2" s="81"/>
    </row>
    <row r="3" spans="1:42" ht="29" x14ac:dyDescent="0.35">
      <c r="A3" s="61" t="s">
        <v>2205</v>
      </c>
      <c r="B3" s="61" t="s">
        <v>2204</v>
      </c>
      <c r="C3" s="61" t="s">
        <v>2239</v>
      </c>
      <c r="D3" s="61" t="s">
        <v>2241</v>
      </c>
      <c r="E3" s="61" t="s">
        <v>2242</v>
      </c>
      <c r="F3" s="61" t="s">
        <v>2243</v>
      </c>
      <c r="G3" s="61" t="s">
        <v>2244</v>
      </c>
      <c r="H3" s="61" t="s">
        <v>2215</v>
      </c>
      <c r="I3" s="61" t="s">
        <v>2245</v>
      </c>
      <c r="J3" s="61" t="s">
        <v>2246</v>
      </c>
      <c r="K3" s="61" t="s">
        <v>2247</v>
      </c>
      <c r="L3" s="61" t="s">
        <v>2248</v>
      </c>
      <c r="M3" s="61" t="s">
        <v>2249</v>
      </c>
      <c r="N3" s="61" t="s">
        <v>2250</v>
      </c>
      <c r="O3" s="61" t="s">
        <v>3100</v>
      </c>
      <c r="P3" s="61" t="s">
        <v>2251</v>
      </c>
      <c r="Q3" s="61" t="s">
        <v>2252</v>
      </c>
      <c r="R3" s="61" t="s">
        <v>2253</v>
      </c>
      <c r="S3" s="62" t="s">
        <v>2254</v>
      </c>
      <c r="T3" s="62" t="s">
        <v>2255</v>
      </c>
      <c r="U3" s="62" t="s">
        <v>2256</v>
      </c>
      <c r="V3" s="62" t="s">
        <v>2257</v>
      </c>
      <c r="W3" s="62" t="s">
        <v>2210</v>
      </c>
      <c r="X3" s="63" t="s">
        <v>2259</v>
      </c>
      <c r="Y3" s="64" t="s">
        <v>2260</v>
      </c>
      <c r="Z3" s="62" t="s">
        <v>2213</v>
      </c>
      <c r="AA3" s="62" t="s">
        <v>2214</v>
      </c>
      <c r="AB3" s="65" t="s">
        <v>2263</v>
      </c>
      <c r="AC3" s="60" t="s">
        <v>2264</v>
      </c>
      <c r="AD3" s="59" t="s">
        <v>2265</v>
      </c>
      <c r="AE3" s="59" t="s">
        <v>2266</v>
      </c>
      <c r="AF3" s="60" t="s">
        <v>2267</v>
      </c>
      <c r="AG3" s="46" t="s">
        <v>2269</v>
      </c>
      <c r="AH3" s="25" t="s">
        <v>2222</v>
      </c>
      <c r="AI3" s="25" t="s">
        <v>2200</v>
      </c>
      <c r="AJ3" s="25" t="s">
        <v>2223</v>
      </c>
      <c r="AK3" s="32" t="s">
        <v>2258</v>
      </c>
      <c r="AL3" s="34" t="s">
        <v>2211</v>
      </c>
      <c r="AM3" s="25" t="s">
        <v>36</v>
      </c>
      <c r="AN3" s="25" t="s">
        <v>2240</v>
      </c>
      <c r="AO3" s="25" t="s">
        <v>2197</v>
      </c>
      <c r="AP3" s="35" t="s">
        <v>2212</v>
      </c>
    </row>
    <row r="4" spans="1:42" x14ac:dyDescent="0.35">
      <c r="A4" s="48" t="s">
        <v>115</v>
      </c>
      <c r="B4" s="49" t="s">
        <v>2272</v>
      </c>
      <c r="C4" s="49" t="s">
        <v>2273</v>
      </c>
      <c r="D4" s="50">
        <v>42282</v>
      </c>
      <c r="E4" s="50">
        <v>49587</v>
      </c>
      <c r="F4" s="49">
        <v>1000</v>
      </c>
      <c r="G4" s="49" t="s">
        <v>76</v>
      </c>
      <c r="H4" s="49">
        <v>2088.8000000000002</v>
      </c>
      <c r="I4" s="49" t="s">
        <v>76</v>
      </c>
      <c r="J4" s="49">
        <v>208.88</v>
      </c>
      <c r="K4" s="49">
        <v>20</v>
      </c>
      <c r="L4" s="51">
        <v>7.3700000000000002E-2</v>
      </c>
      <c r="M4" s="49" t="s">
        <v>93</v>
      </c>
      <c r="N4" s="49">
        <v>3670</v>
      </c>
      <c r="O4" s="49">
        <v>3.5283416315587899</v>
      </c>
      <c r="P4" s="49" t="s">
        <v>2274</v>
      </c>
      <c r="Q4" s="49"/>
      <c r="R4" s="49" t="s">
        <v>2275</v>
      </c>
      <c r="S4">
        <f t="shared" ref="S4:S67" si="0">ROUND(YEARFRAC(D4,E4),0)</f>
        <v>20</v>
      </c>
      <c r="T4" s="5" cm="1">
        <f t="array" ref="T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">
        <f>Table1[[#This Row],[Term to Maturity (Years)]]*Table1[[#This Row],[Coupon Frequency2]]</f>
        <v>20</v>
      </c>
      <c r="V4">
        <f>Table1[[#This Row],[Face value]]*Table1[[#This Row],[Current coupon %]]</f>
        <v>73.7</v>
      </c>
      <c r="W4" s="36">
        <f>RATE(Table1[[#This Row],[Total No. of Coupons]],Table1[[#This Row],[Coupon Amount]],-Table1[[#This Row],[Ask Price]],Table1[[#This Row],[Face value]])</f>
        <v>1.2087752856210084E-2</v>
      </c>
      <c r="X4" s="27">
        <f>Table1[[#This Row],[IRR]]*Table1[[#This Row],[Coupon Frequency2]]</f>
        <v>1.2087752856210084E-2</v>
      </c>
      <c r="Y4" s="19" cm="1">
        <f t="array" ref="Y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4" s="33">
        <f>DURATION(Table1[[#This Row],[Issue date]],Table1[[#This Row],[Maturity date]],Table1[[#This Row],[Current coupon %]],Table1[[#This Row],[Yield (Annualised)]],Table1[[#This Row],[Coupon Frequency2]])</f>
        <v>13.827680230301276</v>
      </c>
      <c r="AA4" s="33">
        <f>Table1[[#This Row],[Macaulay Duration in Years]]/(1+Table1[[#This Row],[IRR]])</f>
        <v>13.662530932992933</v>
      </c>
      <c r="AB4" s="58">
        <f>VLOOKUP(Table1[[#This Row],[Yield Cluster]],'Cluster Details'!$B$3:$C$16,2,0)</f>
        <v>3.4641747232266588E-2</v>
      </c>
      <c r="AC4" s="78">
        <f>PRICE(Table1[[#This Row],[Issue date]],Table1[[#This Row],[Maturity date]],Table1[[#This Row],[Current coupon %]],Table1[[#This Row],[Average Cluster Yield]],100,Table1[[#This Row],[Coupon Frequency2]])*Table1[[#This Row],[Face value]]/100</f>
        <v>1556.9154156725212</v>
      </c>
      <c r="AD4" s="58" t="str">
        <f>IF(Table1[[#This Row],[Ask Price]]&gt;Table1[[#This Row],[Calculated Bond Price]],"Rich","Cheap")</f>
        <v>Rich</v>
      </c>
      <c r="AE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1827.1753277213613</v>
      </c>
      <c r="AF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2401.3230994969267</v>
      </c>
      <c r="AG4" s="78">
        <f>(Table1[[#This Row],[P (+ shock)]]+Table1[[#This Row],[P (-shock)]]-2*Table1[[#This Row],[Ask Price]])/(2*Table1[[#This Row],[Ask Price]]*($AF$2^2))</f>
        <v>121.83652627893503</v>
      </c>
      <c r="AH4">
        <v>11.444720596488301</v>
      </c>
      <c r="AI4" s="6">
        <f t="shared" ref="AI4:AI67" si="1">(L4*F4)/H4</f>
        <v>3.5283416315587894E-2</v>
      </c>
      <c r="AK4" s="47">
        <f>RATE(Table1[[#This Row],[Total No. of Coupons]],Table1[[#This Row],[Coupon Amount]],-Table1[[#This Row],[Ask Price]],Table1[[#This Row],[Face value]])</f>
        <v>1.2087752856210084E-2</v>
      </c>
      <c r="AL4" s="27">
        <f>Table1[[#This Row],[IRR]]*Table1[[#This Row],[Coupon Frequency2]]</f>
        <v>1.2087752856210084E-2</v>
      </c>
      <c r="AM4" s="5">
        <f t="shared" ref="AM4:AM67" si="2">-AA4*H4</f>
        <v>-28538.294612835642</v>
      </c>
      <c r="AN4" t="s">
        <v>64</v>
      </c>
      <c r="AO4" t="s">
        <v>62</v>
      </c>
      <c r="AP4">
        <f t="shared" ref="AP4:AP67" si="3">_xlfn.SWITCH(PROPER(TRIM(M4)),
   "Annual",1,
   "Semi-Annual",2,
   "Quarterly",4,
   "Monthly",12,
   "")</f>
        <v>1</v>
      </c>
    </row>
    <row r="5" spans="1:42" x14ac:dyDescent="0.35">
      <c r="A5" s="48" t="s">
        <v>2064</v>
      </c>
      <c r="B5" s="49" t="s">
        <v>2276</v>
      </c>
      <c r="C5" s="49" t="s">
        <v>2273</v>
      </c>
      <c r="D5" s="50">
        <v>45601</v>
      </c>
      <c r="E5" s="50">
        <v>45996</v>
      </c>
      <c r="F5" s="49">
        <v>100000</v>
      </c>
      <c r="G5" s="49" t="s">
        <v>76</v>
      </c>
      <c r="H5" s="49">
        <v>107624.42</v>
      </c>
      <c r="I5" s="49" t="s">
        <v>76</v>
      </c>
      <c r="J5" s="49">
        <v>107.62441999999901</v>
      </c>
      <c r="K5" s="49">
        <v>2</v>
      </c>
      <c r="L5" s="51">
        <v>9.9700000000000011E-2</v>
      </c>
      <c r="M5" s="49" t="s">
        <v>93</v>
      </c>
      <c r="N5" s="49">
        <v>79</v>
      </c>
      <c r="O5" s="49">
        <v>9.2636968450097097</v>
      </c>
      <c r="P5" s="49"/>
      <c r="Q5" s="49"/>
      <c r="R5" s="49" t="s">
        <v>2275</v>
      </c>
      <c r="S5">
        <f t="shared" si="0"/>
        <v>1</v>
      </c>
      <c r="T5" s="5" cm="1">
        <f t="array" ref="T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">
        <f>Table1[[#This Row],[Term to Maturity (Years)]]*Table1[[#This Row],[Coupon Frequency2]]</f>
        <v>1</v>
      </c>
      <c r="V5">
        <f>Table1[[#This Row],[Face value]]*Table1[[#This Row],[Current coupon %]]</f>
        <v>9970.0000000000018</v>
      </c>
      <c r="W5" s="36">
        <f>RATE(Table1[[#This Row],[Total No. of Coupons]],Table1[[#This Row],[Coupon Amount]],-Table1[[#This Row],[Ask Price]],Table1[[#This Row],[Face value]])</f>
        <v>2.179412441897461E-2</v>
      </c>
      <c r="X5" s="27">
        <f>Table1[[#This Row],[IRR]]*Table1[[#This Row],[Coupon Frequency2]]</f>
        <v>2.179412441897461E-2</v>
      </c>
      <c r="Y5" s="19" cm="1">
        <f t="array" ref="Y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5" s="33">
        <f>DURATION(Table1[[#This Row],[Issue date]],Table1[[#This Row],[Maturity date]],Table1[[#This Row],[Current coupon %]],Table1[[#This Row],[Yield (Annualised)]],Table1[[#This Row],[Coupon Frequency2]])</f>
        <v>0.99855039890498221</v>
      </c>
      <c r="AA5" s="33">
        <f>Table1[[#This Row],[Macaulay Duration in Years]]/(1+Table1[[#This Row],[IRR]])</f>
        <v>0.97725204622094541</v>
      </c>
      <c r="AB5" s="58">
        <f>VLOOKUP(Table1[[#This Row],[Yield Cluster]],'Cluster Details'!$B$3:$C$16,2,0)</f>
        <v>3.4641747232266588E-2</v>
      </c>
      <c r="AC5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106789.36636537322</v>
      </c>
      <c r="AD5" s="58" t="str">
        <f>IF(Table1[[#This Row],[Ask Price]]&gt;Table1[[#This Row],[Calculated Bond Price]],"Rich","Cheap")</f>
        <v>Rich</v>
      </c>
      <c r="AE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107108.57252737529</v>
      </c>
      <c r="AF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109403.06874562945</v>
      </c>
      <c r="AG5" s="78">
        <f>(Table1[[#This Row],[P (+ shock)]]+Table1[[#This Row],[P (-shock)]]-2*Table1[[#This Row],[Ask Price]])/(2*Table1[[#This Row],[Ask Price]]*($AF$2^2))</f>
        <v>58.667041968949199</v>
      </c>
      <c r="AH5">
        <v>9.5</v>
      </c>
      <c r="AI5" s="6">
        <f t="shared" si="1"/>
        <v>9.2636968450097126E-2</v>
      </c>
      <c r="AK5" s="47">
        <f>RATE(Table1[[#This Row],[Total No. of Coupons]],Table1[[#This Row],[Coupon Amount]],-Table1[[#This Row],[Ask Price]],Table1[[#This Row],[Face value]])</f>
        <v>2.179412441897461E-2</v>
      </c>
      <c r="AL5" s="27">
        <f>Table1[[#This Row],[IRR]]*Table1[[#This Row],[Coupon Frequency2]]</f>
        <v>2.179412441897461E-2</v>
      </c>
      <c r="AM5" s="5">
        <f t="shared" si="2"/>
        <v>-105176.18466834244</v>
      </c>
      <c r="AN5" t="s">
        <v>64</v>
      </c>
      <c r="AO5" t="s">
        <v>62</v>
      </c>
      <c r="AP5">
        <f t="shared" si="3"/>
        <v>1</v>
      </c>
    </row>
    <row r="6" spans="1:42" x14ac:dyDescent="0.35">
      <c r="A6" s="48" t="s">
        <v>1644</v>
      </c>
      <c r="B6" s="49" t="s">
        <v>2277</v>
      </c>
      <c r="C6" s="49" t="s">
        <v>2273</v>
      </c>
      <c r="D6" s="50">
        <v>45147</v>
      </c>
      <c r="E6" s="50">
        <v>46274</v>
      </c>
      <c r="F6" s="49">
        <v>1000</v>
      </c>
      <c r="G6" s="49" t="s">
        <v>76</v>
      </c>
      <c r="H6" s="49">
        <v>1168.8</v>
      </c>
      <c r="I6" s="49" t="s">
        <v>76</v>
      </c>
      <c r="J6" s="49">
        <v>116.88</v>
      </c>
      <c r="K6" s="49">
        <v>120</v>
      </c>
      <c r="L6" s="51">
        <v>8.3000000000000004E-2</v>
      </c>
      <c r="M6" s="49" t="s">
        <v>93</v>
      </c>
      <c r="N6" s="49">
        <v>357</v>
      </c>
      <c r="O6" s="49">
        <v>7.1013004791238803</v>
      </c>
      <c r="P6" s="49"/>
      <c r="Q6" s="49"/>
      <c r="R6" s="49" t="s">
        <v>2275</v>
      </c>
      <c r="S6">
        <f t="shared" si="0"/>
        <v>3</v>
      </c>
      <c r="T6" s="5" cm="1">
        <f t="array" ref="T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">
        <f>Table1[[#This Row],[Term to Maturity (Years)]]*Table1[[#This Row],[Coupon Frequency2]]</f>
        <v>3</v>
      </c>
      <c r="V6">
        <f>Table1[[#This Row],[Face value]]*Table1[[#This Row],[Current coupon %]]</f>
        <v>83</v>
      </c>
      <c r="W6" s="36">
        <f>RATE(Table1[[#This Row],[Total No. of Coupons]],Table1[[#This Row],[Coupon Amount]],-Table1[[#This Row],[Ask Price]],Table1[[#This Row],[Face value]])</f>
        <v>2.4010036897219811E-2</v>
      </c>
      <c r="X6" s="27">
        <f>Table1[[#This Row],[IRR]]*Table1[[#This Row],[Coupon Frequency2]]</f>
        <v>2.4010036897219811E-2</v>
      </c>
      <c r="Y6" s="19" cm="1">
        <f t="array" ref="Y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6" s="33">
        <f>DURATION(Table1[[#This Row],[Issue date]],Table1[[#This Row],[Maturity date]],Table1[[#This Row],[Current coupon %]],Table1[[#This Row],[Yield (Annualised)]],Table1[[#This Row],[Coupon Frequency2]])</f>
        <v>2.6916883399959151</v>
      </c>
      <c r="AA6" s="33">
        <f>Table1[[#This Row],[Macaulay Duration in Years]]/(1+Table1[[#This Row],[IRR]])</f>
        <v>2.628576130124475</v>
      </c>
      <c r="AB6" s="58">
        <f>VLOOKUP(Table1[[#This Row],[Yield Cluster]],'Cluster Details'!$B$3:$C$16,2,0)</f>
        <v>3.4641747232266588E-2</v>
      </c>
      <c r="AC6" s="78">
        <f>PRICE(Table1[[#This Row],[Issue date]],Table1[[#This Row],[Maturity date]],Table1[[#This Row],[Current coupon %]],Table1[[#This Row],[Average Cluster Yield]],100,Table1[[#This Row],[Coupon Frequency2]])*Table1[[#This Row],[Face value]]/100</f>
        <v>1139.0383698007943</v>
      </c>
      <c r="AD6" s="58" t="str">
        <f>IF(Table1[[#This Row],[Ask Price]]&gt;Table1[[#This Row],[Calculated Bond Price]],"Rich","Cheap")</f>
        <v>Rich</v>
      </c>
      <c r="AE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1141.0318397781564</v>
      </c>
      <c r="AF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1206.7317090917425</v>
      </c>
      <c r="AG6" s="78">
        <f>(Table1[[#This Row],[P (+ shock)]]+Table1[[#This Row],[P (-shock)]]-2*Table1[[#This Row],[Ask Price]])/(2*Table1[[#This Row],[Ask Price]]*($AF$2^2))</f>
        <v>43.478562927356826</v>
      </c>
      <c r="AI6" s="6">
        <f t="shared" si="1"/>
        <v>7.1013004791238885E-2</v>
      </c>
      <c r="AK6" s="47">
        <f>RATE(Table1[[#This Row],[Total No. of Coupons]],Table1[[#This Row],[Coupon Amount]],-Table1[[#This Row],[Ask Price]],Table1[[#This Row],[Face value]])</f>
        <v>2.4010036897219811E-2</v>
      </c>
      <c r="AL6" s="27">
        <f>Table1[[#This Row],[IRR]]*Table1[[#This Row],[Coupon Frequency2]]</f>
        <v>2.4010036897219811E-2</v>
      </c>
      <c r="AM6" s="5">
        <f t="shared" si="2"/>
        <v>-3072.2797808894861</v>
      </c>
      <c r="AN6" t="s">
        <v>64</v>
      </c>
      <c r="AO6" t="s">
        <v>62</v>
      </c>
      <c r="AP6">
        <f t="shared" si="3"/>
        <v>1</v>
      </c>
    </row>
    <row r="7" spans="1:42" x14ac:dyDescent="0.35">
      <c r="A7" s="48" t="s">
        <v>1078</v>
      </c>
      <c r="B7" s="49" t="s">
        <v>2278</v>
      </c>
      <c r="C7" s="49" t="s">
        <v>2273</v>
      </c>
      <c r="D7" s="50">
        <v>45653</v>
      </c>
      <c r="E7" s="50">
        <v>46748</v>
      </c>
      <c r="F7" s="49">
        <v>1000</v>
      </c>
      <c r="G7" s="49" t="s">
        <v>76</v>
      </c>
      <c r="H7" s="49">
        <v>1199</v>
      </c>
      <c r="I7" s="49" t="s">
        <v>76</v>
      </c>
      <c r="J7" s="49">
        <v>119.9</v>
      </c>
      <c r="K7" s="49">
        <v>401</v>
      </c>
      <c r="L7" s="51">
        <v>9.9000000000000005E-2</v>
      </c>
      <c r="M7" s="49" t="s">
        <v>93</v>
      </c>
      <c r="N7" s="49">
        <v>831</v>
      </c>
      <c r="O7" s="49">
        <v>8.2568807339449499</v>
      </c>
      <c r="P7" s="49" t="s">
        <v>2279</v>
      </c>
      <c r="Q7" s="49"/>
      <c r="R7" s="49" t="s">
        <v>2275</v>
      </c>
      <c r="S7">
        <f t="shared" si="0"/>
        <v>3</v>
      </c>
      <c r="T7" s="5" cm="1">
        <f t="array" ref="T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">
        <f>Table1[[#This Row],[Term to Maturity (Years)]]*Table1[[#This Row],[Coupon Frequency2]]</f>
        <v>3</v>
      </c>
      <c r="V7">
        <f>Table1[[#This Row],[Face value]]*Table1[[#This Row],[Current coupon %]]</f>
        <v>99</v>
      </c>
      <c r="W7" s="36">
        <f>RATE(Table1[[#This Row],[Total No. of Coupons]],Table1[[#This Row],[Coupon Amount]],-Table1[[#This Row],[Ask Price]],Table1[[#This Row],[Face value]])</f>
        <v>2.8808553953244009E-2</v>
      </c>
      <c r="X7" s="27">
        <f>Table1[[#This Row],[IRR]]*Table1[[#This Row],[Coupon Frequency2]]</f>
        <v>2.8808553953244009E-2</v>
      </c>
      <c r="Y7" s="19" cm="1">
        <f t="array" ref="Y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7" s="33">
        <f>DURATION(Table1[[#This Row],[Issue date]],Table1[[#This Row],[Maturity date]],Table1[[#This Row],[Current coupon %]],Table1[[#This Row],[Yield (Annualised)]],Table1[[#This Row],[Coupon Frequency2]])</f>
        <v>2.7614771564417766</v>
      </c>
      <c r="AA7" s="33">
        <f>Table1[[#This Row],[Macaulay Duration in Years]]/(1+Table1[[#This Row],[IRR]])</f>
        <v>2.6841506574091687</v>
      </c>
      <c r="AB7" s="58">
        <f>VLOOKUP(Table1[[#This Row],[Yield Cluster]],'Cluster Details'!$B$3:$C$16,2,0)</f>
        <v>3.4641747232266588E-2</v>
      </c>
      <c r="AC7" s="78">
        <f>PRICE(Table1[[#This Row],[Issue date]],Table1[[#This Row],[Maturity date]],Table1[[#This Row],[Current coupon %]],Table1[[#This Row],[Average Cluster Yield]],100,Table1[[#This Row],[Coupon Frequency2]])*Table1[[#This Row],[Face value]]/100</f>
        <v>1180.4319239061419</v>
      </c>
      <c r="AD7" s="58" t="str">
        <f>IF(Table1[[#This Row],[Ask Price]]&gt;Table1[[#This Row],[Calculated Bond Price]],"Rich","Cheap")</f>
        <v>Rich</v>
      </c>
      <c r="AE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1167.4151792874914</v>
      </c>
      <c r="AF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1231.8005159147133</v>
      </c>
      <c r="AG7" s="78">
        <f>(Table1[[#This Row],[P (+ shock)]]+Table1[[#This Row],[P (-shock)]]-2*Table1[[#This Row],[Ask Price]])/(2*Table1[[#This Row],[Ask Price]]*($AF$2^2))</f>
        <v>5.0696213603196103</v>
      </c>
      <c r="AI7" s="6">
        <f t="shared" si="1"/>
        <v>8.2568807339449546E-2</v>
      </c>
      <c r="AK7" s="47">
        <f>RATE(Table1[[#This Row],[Total No. of Coupons]],Table1[[#This Row],[Coupon Amount]],-Table1[[#This Row],[Ask Price]],Table1[[#This Row],[Face value]])</f>
        <v>2.8808553953244009E-2</v>
      </c>
      <c r="AL7" s="27">
        <f>Table1[[#This Row],[IRR]]*Table1[[#This Row],[Coupon Frequency2]]</f>
        <v>2.8808553953244009E-2</v>
      </c>
      <c r="AM7" s="5">
        <f t="shared" si="2"/>
        <v>-3218.2966382335931</v>
      </c>
      <c r="AN7" t="s">
        <v>69</v>
      </c>
      <c r="AO7" t="s">
        <v>62</v>
      </c>
      <c r="AP7">
        <f t="shared" si="3"/>
        <v>1</v>
      </c>
    </row>
    <row r="8" spans="1:42" x14ac:dyDescent="0.35">
      <c r="A8" s="48" t="s">
        <v>108</v>
      </c>
      <c r="B8" s="49" t="s">
        <v>2280</v>
      </c>
      <c r="C8" s="49" t="s">
        <v>2273</v>
      </c>
      <c r="D8" s="50">
        <v>42359</v>
      </c>
      <c r="E8" s="50">
        <v>49664</v>
      </c>
      <c r="F8" s="49">
        <v>1000</v>
      </c>
      <c r="G8" s="49" t="s">
        <v>76</v>
      </c>
      <c r="H8" s="49">
        <v>1475</v>
      </c>
      <c r="I8" s="49" t="s">
        <v>76</v>
      </c>
      <c r="J8" s="49">
        <v>147.5</v>
      </c>
      <c r="K8" s="49">
        <v>5</v>
      </c>
      <c r="L8" s="51">
        <v>7.2499999999999995E-2</v>
      </c>
      <c r="M8" s="49" t="s">
        <v>93</v>
      </c>
      <c r="N8" s="49">
        <v>3747</v>
      </c>
      <c r="O8" s="49">
        <v>4.9152542372881296</v>
      </c>
      <c r="P8" s="49" t="s">
        <v>2274</v>
      </c>
      <c r="Q8" s="49"/>
      <c r="R8" s="49" t="s">
        <v>2275</v>
      </c>
      <c r="S8">
        <f t="shared" si="0"/>
        <v>20</v>
      </c>
      <c r="T8" s="5" cm="1">
        <f t="array" ref="T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">
        <f>Table1[[#This Row],[Term to Maturity (Years)]]*Table1[[#This Row],[Coupon Frequency2]]</f>
        <v>20</v>
      </c>
      <c r="V8">
        <f>Table1[[#This Row],[Face value]]*Table1[[#This Row],[Current coupon %]]</f>
        <v>72.5</v>
      </c>
      <c r="W8" s="36">
        <f>RATE(Table1[[#This Row],[Total No. of Coupons]],Table1[[#This Row],[Coupon Amount]],-Table1[[#This Row],[Ask Price]],Table1[[#This Row],[Face value]])</f>
        <v>3.8126144746977286E-2</v>
      </c>
      <c r="X8" s="27">
        <f>Table1[[#This Row],[IRR]]*Table1[[#This Row],[Coupon Frequency2]]</f>
        <v>3.8126144746977286E-2</v>
      </c>
      <c r="Y8" s="19" cm="1">
        <f t="array" ref="Y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8" s="33">
        <f>DURATION(Table1[[#This Row],[Issue date]],Table1[[#This Row],[Maturity date]],Table1[[#This Row],[Current coupon %]],Table1[[#This Row],[Yield (Annualised)]],Table1[[#This Row],[Coupon Frequency2]])</f>
        <v>12.710163332266941</v>
      </c>
      <c r="AA8" s="33">
        <f>Table1[[#This Row],[Macaulay Duration in Years]]/(1+Table1[[#This Row],[IRR]])</f>
        <v>12.243370804773242</v>
      </c>
      <c r="AB8" s="58">
        <f>VLOOKUP(Table1[[#This Row],[Yield Cluster]],'Cluster Details'!$B$3:$C$16,2,0)</f>
        <v>3.4641747232266588E-2</v>
      </c>
      <c r="AC8" s="78">
        <f>PRICE(Table1[[#This Row],[Issue date]],Table1[[#This Row],[Maturity date]],Table1[[#This Row],[Current coupon %]],Table1[[#This Row],[Average Cluster Yield]],100,Table1[[#This Row],[Coupon Frequency2]])*Table1[[#This Row],[Face value]]/100</f>
        <v>1539.8051137145417</v>
      </c>
      <c r="AD8" s="58" t="str">
        <f>IF(Table1[[#This Row],[Ask Price]]&gt;Table1[[#This Row],[Calculated Bond Price]],"Rich","Cheap")</f>
        <v>Cheap</v>
      </c>
      <c r="AE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1308.6368199345861</v>
      </c>
      <c r="AF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1671.754856290099</v>
      </c>
      <c r="AG8" s="78">
        <f>(Table1[[#This Row],[P (+ shock)]]+Table1[[#This Row],[P (-shock)]]-2*Table1[[#This Row],[Ask Price]])/(2*Table1[[#This Row],[Ask Price]]*($AF$2^2))</f>
        <v>103.02263127011997</v>
      </c>
      <c r="AH8">
        <v>3.47599555417789</v>
      </c>
      <c r="AI8" s="6">
        <f t="shared" si="1"/>
        <v>4.9152542372881358E-2</v>
      </c>
      <c r="AK8" s="47">
        <f>RATE(Table1[[#This Row],[Total No. of Coupons]],Table1[[#This Row],[Coupon Amount]],-Table1[[#This Row],[Ask Price]],Table1[[#This Row],[Face value]])</f>
        <v>3.8126144746977286E-2</v>
      </c>
      <c r="AL8" s="27">
        <f>Table1[[#This Row],[IRR]]*Table1[[#This Row],[Coupon Frequency2]]</f>
        <v>3.8126144746977286E-2</v>
      </c>
      <c r="AM8" s="5">
        <f t="shared" si="2"/>
        <v>-18058.971937040533</v>
      </c>
      <c r="AN8" t="s">
        <v>64</v>
      </c>
      <c r="AO8" t="s">
        <v>62</v>
      </c>
      <c r="AP8">
        <f t="shared" si="3"/>
        <v>1</v>
      </c>
    </row>
    <row r="9" spans="1:42" x14ac:dyDescent="0.35">
      <c r="A9" s="48" t="s">
        <v>2130</v>
      </c>
      <c r="B9" s="49" t="s">
        <v>2281</v>
      </c>
      <c r="C9" s="49" t="s">
        <v>2273</v>
      </c>
      <c r="D9" s="50">
        <v>42294</v>
      </c>
      <c r="E9" s="50">
        <v>45947</v>
      </c>
      <c r="F9" s="49">
        <v>1000</v>
      </c>
      <c r="G9" s="49" t="s">
        <v>76</v>
      </c>
      <c r="H9" s="49">
        <v>1235.8</v>
      </c>
      <c r="I9" s="49" t="s">
        <v>76</v>
      </c>
      <c r="J9" s="49">
        <v>123.58</v>
      </c>
      <c r="K9" s="49">
        <v>8</v>
      </c>
      <c r="L9" s="51">
        <v>7.1099999999999997E-2</v>
      </c>
      <c r="M9" s="49" t="s">
        <v>93</v>
      </c>
      <c r="N9" s="49">
        <v>30</v>
      </c>
      <c r="O9" s="49">
        <v>5.7533581485677203</v>
      </c>
      <c r="P9" s="49" t="s">
        <v>2282</v>
      </c>
      <c r="Q9" s="49"/>
      <c r="R9" s="49" t="s">
        <v>2275</v>
      </c>
      <c r="S9">
        <f t="shared" si="0"/>
        <v>10</v>
      </c>
      <c r="T9" s="5" cm="1">
        <f t="array" ref="T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">
        <f>Table1[[#This Row],[Term to Maturity (Years)]]*Table1[[#This Row],[Coupon Frequency2]]</f>
        <v>10</v>
      </c>
      <c r="V9">
        <f>Table1[[#This Row],[Face value]]*Table1[[#This Row],[Current coupon %]]</f>
        <v>71.099999999999994</v>
      </c>
      <c r="W9" s="36">
        <f>RATE(Table1[[#This Row],[Total No. of Coupons]],Table1[[#This Row],[Coupon Amount]],-Table1[[#This Row],[Ask Price]],Table1[[#This Row],[Face value]])</f>
        <v>4.1771106952096987E-2</v>
      </c>
      <c r="X9" s="27">
        <f>Table1[[#This Row],[IRR]]*Table1[[#This Row],[Coupon Frequency2]]</f>
        <v>4.1771106952096987E-2</v>
      </c>
      <c r="Y9" s="19" cm="1">
        <f t="array" ref="Y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9" s="33">
        <f>DURATION(Table1[[#This Row],[Issue date]],Table1[[#This Row],[Maturity date]],Table1[[#This Row],[Current coupon %]],Table1[[#This Row],[Yield (Annualised)]],Table1[[#This Row],[Coupon Frequency2]])</f>
        <v>7.7627467038803344</v>
      </c>
      <c r="AA9" s="33">
        <f>Table1[[#This Row],[Macaulay Duration in Years]]/(1+Table1[[#This Row],[IRR]])</f>
        <v>7.4514897294394666</v>
      </c>
      <c r="AB9" s="58">
        <f>VLOOKUP(Table1[[#This Row],[Yield Cluster]],'Cluster Details'!$B$3:$C$16,2,0)</f>
        <v>3.4641747232266588E-2</v>
      </c>
      <c r="AC9" s="78">
        <f>PRICE(Table1[[#This Row],[Issue date]],Table1[[#This Row],[Maturity date]],Table1[[#This Row],[Current coupon %]],Table1[[#This Row],[Average Cluster Yield]],100,Table1[[#This Row],[Coupon Frequency2]])*Table1[[#This Row],[Face value]]/100</f>
        <v>1303.7571469793529</v>
      </c>
      <c r="AD9" s="58" t="str">
        <f>IF(Table1[[#This Row],[Ask Price]]&gt;Table1[[#This Row],[Calculated Bond Price]],"Rich","Cheap")</f>
        <v>Cheap</v>
      </c>
      <c r="AE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1147.9771603191473</v>
      </c>
      <c r="AF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1332.471387408018</v>
      </c>
      <c r="AG9" s="78">
        <f>(Table1[[#This Row],[P (+ shock)]]+Table1[[#This Row],[P (-shock)]]-2*Table1[[#This Row],[Ask Price]])/(2*Table1[[#This Row],[Ask Price]]*($AF$2^2))</f>
        <v>35.800889007791</v>
      </c>
      <c r="AH9">
        <v>0.84322570433681598</v>
      </c>
      <c r="AI9" s="6">
        <f t="shared" si="1"/>
        <v>5.753358148567729E-2</v>
      </c>
      <c r="AK9" s="47">
        <f>RATE(Table1[[#This Row],[Total No. of Coupons]],Table1[[#This Row],[Coupon Amount]],-Table1[[#This Row],[Ask Price]],Table1[[#This Row],[Face value]])</f>
        <v>4.1771106952096987E-2</v>
      </c>
      <c r="AL9" s="27">
        <f>Table1[[#This Row],[IRR]]*Table1[[#This Row],[Coupon Frequency2]]</f>
        <v>4.1771106952096987E-2</v>
      </c>
      <c r="AM9" s="5">
        <f t="shared" si="2"/>
        <v>-9208.551007641292</v>
      </c>
      <c r="AN9" t="s">
        <v>64</v>
      </c>
      <c r="AO9" t="s">
        <v>62</v>
      </c>
      <c r="AP9">
        <f t="shared" si="3"/>
        <v>1</v>
      </c>
    </row>
    <row r="10" spans="1:42" x14ac:dyDescent="0.35">
      <c r="A10" s="48" t="s">
        <v>1617</v>
      </c>
      <c r="B10" s="49" t="s">
        <v>2283</v>
      </c>
      <c r="C10" s="49" t="s">
        <v>2273</v>
      </c>
      <c r="D10" s="50">
        <v>45560</v>
      </c>
      <c r="E10" s="50">
        <v>46290</v>
      </c>
      <c r="F10" s="49">
        <v>1000</v>
      </c>
      <c r="G10" s="49" t="s">
        <v>76</v>
      </c>
      <c r="H10" s="49">
        <v>1109.52</v>
      </c>
      <c r="I10" s="49" t="s">
        <v>76</v>
      </c>
      <c r="J10" s="49">
        <v>110.952</v>
      </c>
      <c r="K10" s="49">
        <v>5</v>
      </c>
      <c r="L10" s="51">
        <v>0.105</v>
      </c>
      <c r="M10" s="49" t="s">
        <v>93</v>
      </c>
      <c r="N10" s="49">
        <v>373</v>
      </c>
      <c r="O10" s="49">
        <v>9.4635518061864499</v>
      </c>
      <c r="P10" s="49"/>
      <c r="Q10" s="49"/>
      <c r="R10" s="49" t="s">
        <v>2275</v>
      </c>
      <c r="S10">
        <f t="shared" si="0"/>
        <v>2</v>
      </c>
      <c r="T10" s="5" cm="1">
        <f t="array" ref="T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">
        <f>Table1[[#This Row],[Term to Maturity (Years)]]*Table1[[#This Row],[Coupon Frequency2]]</f>
        <v>2</v>
      </c>
      <c r="V10">
        <f>Table1[[#This Row],[Face value]]*Table1[[#This Row],[Current coupon %]]</f>
        <v>105</v>
      </c>
      <c r="W10" s="36">
        <f>RATE(Table1[[#This Row],[Total No. of Coupons]],Table1[[#This Row],[Coupon Amount]],-Table1[[#This Row],[Ask Price]],Table1[[#This Row],[Face value]])</f>
        <v>4.6399906099308129E-2</v>
      </c>
      <c r="X10" s="27">
        <f>Table1[[#This Row],[IRR]]*Table1[[#This Row],[Coupon Frequency2]]</f>
        <v>4.6399906099308129E-2</v>
      </c>
      <c r="Y10" s="19" cm="1">
        <f t="array" ref="Y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10" s="33">
        <f>DURATION(Table1[[#This Row],[Issue date]],Table1[[#This Row],[Maturity date]],Table1[[#This Row],[Current coupon %]],Table1[[#This Row],[Yield (Annualised)]],Table1[[#This Row],[Coupon Frequency2]])</f>
        <v>1.9095608500054997</v>
      </c>
      <c r="AA10" s="33">
        <f>Table1[[#This Row],[Macaulay Duration in Years]]/(1+Table1[[#This Row],[IRR]])</f>
        <v>1.8248862971746804</v>
      </c>
      <c r="AB10" s="58">
        <f>VLOOKUP(Table1[[#This Row],[Yield Cluster]],'Cluster Details'!$B$3:$C$16,2,0)</f>
        <v>3.4641747232266588E-2</v>
      </c>
      <c r="AC10" s="78">
        <f>PRICE(Table1[[#This Row],[Issue date]],Table1[[#This Row],[Maturity date]],Table1[[#This Row],[Current coupon %]],Table1[[#This Row],[Average Cluster Yield]],100,Table1[[#This Row],[Coupon Frequency2]])*Table1[[#This Row],[Face value]]/100</f>
        <v>1133.7282006778157</v>
      </c>
      <c r="AD10" s="58" t="str">
        <f>IF(Table1[[#This Row],[Ask Price]]&gt;Table1[[#This Row],[Calculated Bond Price]],"Rich","Cheap")</f>
        <v>Cheap</v>
      </c>
      <c r="AE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1089.5546159683968</v>
      </c>
      <c r="AF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1130.0567953394195</v>
      </c>
      <c r="AG10" s="78">
        <f>(Table1[[#This Row],[P (+ shock)]]+Table1[[#This Row],[P (-shock)]]-2*Table1[[#This Row],[Ask Price]])/(2*Table1[[#This Row],[Ask Price]]*($AF$2^2))</f>
        <v>2.5750383400775152</v>
      </c>
      <c r="AI10" s="6">
        <f t="shared" si="1"/>
        <v>9.4635518061864599E-2</v>
      </c>
      <c r="AK10" s="47">
        <f>RATE(Table1[[#This Row],[Total No. of Coupons]],Table1[[#This Row],[Coupon Amount]],-Table1[[#This Row],[Ask Price]],Table1[[#This Row],[Face value]])</f>
        <v>4.6399906099308129E-2</v>
      </c>
      <c r="AL10" s="27">
        <f>Table1[[#This Row],[IRR]]*Table1[[#This Row],[Coupon Frequency2]]</f>
        <v>4.6399906099308129E-2</v>
      </c>
      <c r="AM10" s="5">
        <f t="shared" si="2"/>
        <v>-2024.7478444412513</v>
      </c>
      <c r="AN10" t="s">
        <v>64</v>
      </c>
      <c r="AO10" t="s">
        <v>62</v>
      </c>
      <c r="AP10">
        <f t="shared" si="3"/>
        <v>1</v>
      </c>
    </row>
    <row r="11" spans="1:42" x14ac:dyDescent="0.35">
      <c r="A11" s="48" t="s">
        <v>2143</v>
      </c>
      <c r="B11" s="49" t="s">
        <v>2284</v>
      </c>
      <c r="C11" s="49" t="s">
        <v>2273</v>
      </c>
      <c r="D11" s="50">
        <v>45203</v>
      </c>
      <c r="E11" s="50">
        <v>45934</v>
      </c>
      <c r="F11" s="49">
        <v>1000</v>
      </c>
      <c r="G11" s="49" t="s">
        <v>76</v>
      </c>
      <c r="H11" s="49">
        <v>1052.52</v>
      </c>
      <c r="I11" s="49" t="s">
        <v>76</v>
      </c>
      <c r="J11" s="49">
        <v>105.252</v>
      </c>
      <c r="K11" s="49">
        <v>31</v>
      </c>
      <c r="L11" s="51">
        <v>7.7499999999999999E-2</v>
      </c>
      <c r="M11" s="49" t="s">
        <v>93</v>
      </c>
      <c r="N11" s="49">
        <v>17</v>
      </c>
      <c r="O11" s="49">
        <v>7.3632805077338199</v>
      </c>
      <c r="P11" s="49" t="s">
        <v>2285</v>
      </c>
      <c r="Q11" s="49"/>
      <c r="R11" s="49" t="s">
        <v>2275</v>
      </c>
      <c r="S11">
        <f t="shared" si="0"/>
        <v>2</v>
      </c>
      <c r="T11" s="5" cm="1">
        <f t="array" ref="T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">
        <f>Table1[[#This Row],[Term to Maturity (Years)]]*Table1[[#This Row],[Coupon Frequency2]]</f>
        <v>2</v>
      </c>
      <c r="V11">
        <f>Table1[[#This Row],[Face value]]*Table1[[#This Row],[Current coupon %]]</f>
        <v>77.5</v>
      </c>
      <c r="W11" s="36">
        <f>RATE(Table1[[#This Row],[Total No. of Coupons]],Table1[[#This Row],[Coupon Amount]],-Table1[[#This Row],[Ask Price]],Table1[[#This Row],[Face value]])</f>
        <v>4.9283173968295818E-2</v>
      </c>
      <c r="X11" s="27">
        <f>Table1[[#This Row],[IRR]]*Table1[[#This Row],[Coupon Frequency2]]</f>
        <v>4.9283173968295818E-2</v>
      </c>
      <c r="Y11" s="19" cm="1">
        <f t="array" ref="Y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11" s="33">
        <f>DURATION(Table1[[#This Row],[Issue date]],Table1[[#This Row],[Maturity date]],Table1[[#This Row],[Current coupon %]],Table1[[#This Row],[Yield (Annualised)]],Table1[[#This Row],[Coupon Frequency2]])</f>
        <v>1.9298256115182866</v>
      </c>
      <c r="AA11" s="33">
        <f>Table1[[#This Row],[Macaulay Duration in Years]]/(1+Table1[[#This Row],[IRR]])</f>
        <v>1.8391847495465476</v>
      </c>
      <c r="AB11" s="58">
        <f>VLOOKUP(Table1[[#This Row],[Yield Cluster]],'Cluster Details'!$B$3:$C$16,2,0)</f>
        <v>3.4641747232266588E-2</v>
      </c>
      <c r="AC11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1081.4596269998965</v>
      </c>
      <c r="AD11" s="58" t="str">
        <f>IF(Table1[[#This Row],[Ask Price]]&gt;Table1[[#This Row],[Calculated Bond Price]],"Rich","Cheap")</f>
        <v>Cheap</v>
      </c>
      <c r="AE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1033.4321752089827</v>
      </c>
      <c r="AF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1072.1546557608842</v>
      </c>
      <c r="AG11" s="78">
        <f>(Table1[[#This Row],[P (+ shock)]]+Table1[[#This Row],[P (-shock)]]-2*Table1[[#This Row],[Ask Price]])/(2*Table1[[#This Row],[Ask Price]]*($AF$2^2))</f>
        <v>2.5977224654504778</v>
      </c>
      <c r="AH11">
        <v>9.5</v>
      </c>
      <c r="AI11" s="6">
        <f t="shared" si="1"/>
        <v>7.3632805077338201E-2</v>
      </c>
      <c r="AK11" s="47">
        <f>RATE(Table1[[#This Row],[Total No. of Coupons]],Table1[[#This Row],[Coupon Amount]],-Table1[[#This Row],[Ask Price]],Table1[[#This Row],[Face value]])</f>
        <v>4.9283173968295818E-2</v>
      </c>
      <c r="AL11" s="27">
        <f>Table1[[#This Row],[IRR]]*Table1[[#This Row],[Coupon Frequency2]]</f>
        <v>4.9283173968295818E-2</v>
      </c>
      <c r="AM11" s="5">
        <f t="shared" si="2"/>
        <v>-1935.7787325927322</v>
      </c>
      <c r="AN11" t="s">
        <v>64</v>
      </c>
      <c r="AO11" t="s">
        <v>62</v>
      </c>
      <c r="AP11">
        <f t="shared" si="3"/>
        <v>1</v>
      </c>
    </row>
    <row r="12" spans="1:42" x14ac:dyDescent="0.35">
      <c r="A12" s="48" t="s">
        <v>2286</v>
      </c>
      <c r="B12" s="49" t="s">
        <v>2287</v>
      </c>
      <c r="C12" s="49" t="s">
        <v>2273</v>
      </c>
      <c r="D12" s="50">
        <v>45715</v>
      </c>
      <c r="E12" s="50">
        <v>46199</v>
      </c>
      <c r="F12" s="49">
        <v>100000</v>
      </c>
      <c r="G12" s="49" t="s">
        <v>76</v>
      </c>
      <c r="H12" s="49">
        <v>104764.68</v>
      </c>
      <c r="I12" s="49" t="s">
        <v>76</v>
      </c>
      <c r="J12" s="49">
        <v>104.764679999999</v>
      </c>
      <c r="K12" s="49">
        <v>1</v>
      </c>
      <c r="L12" s="51">
        <v>9.9499999999999991E-2</v>
      </c>
      <c r="M12" s="49" t="s">
        <v>93</v>
      </c>
      <c r="N12" s="49">
        <v>282</v>
      </c>
      <c r="O12" s="49">
        <v>9.4974756759625407</v>
      </c>
      <c r="P12" s="49"/>
      <c r="Q12" s="49"/>
      <c r="R12" s="49" t="s">
        <v>2275</v>
      </c>
      <c r="S12">
        <f t="shared" si="0"/>
        <v>1</v>
      </c>
      <c r="T12" s="5" cm="1">
        <f t="array" ref="T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">
        <f>Table1[[#This Row],[Term to Maturity (Years)]]*Table1[[#This Row],[Coupon Frequency2]]</f>
        <v>1</v>
      </c>
      <c r="V12">
        <f>Table1[[#This Row],[Face value]]*Table1[[#This Row],[Current coupon %]]</f>
        <v>9950</v>
      </c>
      <c r="W12" s="36">
        <f>RATE(Table1[[#This Row],[Total No. of Coupons]],Table1[[#This Row],[Coupon Amount]],-Table1[[#This Row],[Ask Price]],Table1[[#This Row],[Face value]])</f>
        <v>4.9494925198072581E-2</v>
      </c>
      <c r="X12" s="27">
        <f>Table1[[#This Row],[IRR]]*Table1[[#This Row],[Coupon Frequency2]]</f>
        <v>4.9494925198072581E-2</v>
      </c>
      <c r="Y12" s="19" cm="1">
        <f t="array" ref="Y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</v>
      </c>
      <c r="Z12" s="33">
        <f>DURATION(Table1[[#This Row],[Issue date]],Table1[[#This Row],[Maturity date]],Table1[[#This Row],[Current coupon %]],Table1[[#This Row],[Yield (Annualised)]],Table1[[#This Row],[Coupon Frequency2]])</f>
        <v>1.2438186183126501</v>
      </c>
      <c r="AA12" s="33">
        <f>Table1[[#This Row],[Macaulay Duration in Years]]/(1+Table1[[#This Row],[IRR]])</f>
        <v>1.185159249891468</v>
      </c>
      <c r="AB12" s="58">
        <f>VLOOKUP(Table1[[#This Row],[Yield Cluster]],'Cluster Details'!$B$3:$C$16,2,0)</f>
        <v>3.4641747232266588E-2</v>
      </c>
      <c r="AC12" s="78">
        <f>PRICE(Table1[[#This Row],[Issue date]],Table1[[#This Row],[Maturity date]],Table1[[#This Row],[Current coupon %]],Table1[[#This Row],[Average Cluster Yield]],100,Table1[[#This Row],[Coupon Frequency2]])*Table1[[#This Row],[Face value]]/100</f>
        <v>108256.74130193808</v>
      </c>
      <c r="AD12" s="58" t="str">
        <f>IF(Table1[[#This Row],[Ask Price]]&gt;Table1[[#This Row],[Calculated Bond Price]],"Rich","Cheap")</f>
        <v>Cheap</v>
      </c>
      <c r="AE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104912.94114313209</v>
      </c>
      <c r="AF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107589.27840466585</v>
      </c>
      <c r="AG12" s="78">
        <f>(Table1[[#This Row],[P (+ shock)]]+Table1[[#This Row],[P (-shock)]]-2*Table1[[#This Row],[Ask Price]])/(2*Table1[[#This Row],[Ask Price]]*($AF$2^2))</f>
        <v>141.88271981539674</v>
      </c>
      <c r="AH12">
        <v>23.811976209786401</v>
      </c>
      <c r="AI12" s="6">
        <f t="shared" si="1"/>
        <v>9.4974756759625481E-2</v>
      </c>
      <c r="AK12" s="47">
        <f>RATE(Table1[[#This Row],[Total No. of Coupons]],Table1[[#This Row],[Coupon Amount]],-Table1[[#This Row],[Ask Price]],Table1[[#This Row],[Face value]])</f>
        <v>4.9494925198072581E-2</v>
      </c>
      <c r="AL12" s="27">
        <f>Table1[[#This Row],[IRR]]*Table1[[#This Row],[Coupon Frequency2]]</f>
        <v>4.9494925198072581E-2</v>
      </c>
      <c r="AM12" s="5">
        <f t="shared" si="2"/>
        <v>-124162.82956391967</v>
      </c>
      <c r="AN12" t="s">
        <v>79</v>
      </c>
      <c r="AO12" t="s">
        <v>62</v>
      </c>
      <c r="AP12">
        <f t="shared" si="3"/>
        <v>1</v>
      </c>
    </row>
    <row r="13" spans="1:42" x14ac:dyDescent="0.35">
      <c r="A13" s="48" t="s">
        <v>2104</v>
      </c>
      <c r="B13" s="49" t="s">
        <v>2288</v>
      </c>
      <c r="C13" s="49" t="s">
        <v>2273</v>
      </c>
      <c r="D13" s="50">
        <v>45233</v>
      </c>
      <c r="E13" s="50">
        <v>45964</v>
      </c>
      <c r="F13" s="49">
        <v>1000</v>
      </c>
      <c r="G13" s="49" t="s">
        <v>76</v>
      </c>
      <c r="H13" s="49">
        <v>1074</v>
      </c>
      <c r="I13" s="49" t="s">
        <v>76</v>
      </c>
      <c r="J13" s="49">
        <v>107.4</v>
      </c>
      <c r="K13" s="49">
        <v>6</v>
      </c>
      <c r="L13" s="51">
        <v>0.09</v>
      </c>
      <c r="M13" s="49" t="s">
        <v>93</v>
      </c>
      <c r="N13" s="49">
        <v>47</v>
      </c>
      <c r="O13" s="49">
        <v>8.3798882681564208</v>
      </c>
      <c r="P13" s="49"/>
      <c r="Q13" s="49"/>
      <c r="R13" s="49" t="s">
        <v>2275</v>
      </c>
      <c r="S13">
        <f t="shared" si="0"/>
        <v>2</v>
      </c>
      <c r="T13" s="5" cm="1">
        <f t="array" ref="T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">
        <f>Table1[[#This Row],[Term to Maturity (Years)]]*Table1[[#This Row],[Coupon Frequency2]]</f>
        <v>2</v>
      </c>
      <c r="V13">
        <f>Table1[[#This Row],[Face value]]*Table1[[#This Row],[Current coupon %]]</f>
        <v>90</v>
      </c>
      <c r="W13" s="36">
        <f>RATE(Table1[[#This Row],[Total No. of Coupons]],Table1[[#This Row],[Coupon Amount]],-Table1[[#This Row],[Ask Price]],Table1[[#This Row],[Face value]])</f>
        <v>5.019163228970025E-2</v>
      </c>
      <c r="X13" s="27">
        <f>Table1[[#This Row],[IRR]]*Table1[[#This Row],[Coupon Frequency2]]</f>
        <v>5.019163228970025E-2</v>
      </c>
      <c r="Y13" s="19" cm="1">
        <f t="array" ref="Y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" s="33">
        <f>DURATION(Table1[[#This Row],[Issue date]],Table1[[#This Row],[Maturity date]],Table1[[#This Row],[Current coupon %]],Table1[[#This Row],[Yield (Annualised)]],Table1[[#This Row],[Coupon Frequency2]])</f>
        <v>1.9202061032433682</v>
      </c>
      <c r="AA13" s="33">
        <f>Table1[[#This Row],[Macaulay Duration in Years]]/(1+Table1[[#This Row],[IRR]])</f>
        <v>1.8284340154727783</v>
      </c>
      <c r="AB13" s="58">
        <f>VLOOKUP(Table1[[#This Row],[Yield Cluster]],'Cluster Details'!$B$3:$C$16,2,0)</f>
        <v>7.8548801574189142E-2</v>
      </c>
      <c r="AC13" s="78">
        <f>PRICE(Table1[[#This Row],[Issue date]],Table1[[#This Row],[Maturity date]],Table1[[#This Row],[Current coupon %]],Table1[[#This Row],[Average Cluster Yield]],100,Table1[[#This Row],[Coupon Frequency2]])*Table1[[#This Row],[Face value]]/100</f>
        <v>1020.4612218677136</v>
      </c>
      <c r="AD13" s="58" t="str">
        <f>IF(Table1[[#This Row],[Ask Price]]&gt;Table1[[#This Row],[Calculated Bond Price]],"Rich","Cheap")</f>
        <v>Rich</v>
      </c>
      <c r="AE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1054.635770176026</v>
      </c>
      <c r="AF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1093.9175078654946</v>
      </c>
      <c r="AG13" s="78">
        <f>(Table1[[#This Row],[P (+ shock)]]+Table1[[#This Row],[P (-shock)]]-2*Table1[[#This Row],[Ask Price]])/(2*Table1[[#This Row],[Ask Price]]*($AF$2^2))</f>
        <v>2.5757823162037741</v>
      </c>
      <c r="AH13">
        <v>11.863722924646099</v>
      </c>
      <c r="AI13" s="6">
        <f t="shared" si="1"/>
        <v>8.3798882681564241E-2</v>
      </c>
      <c r="AK13" s="47">
        <f>RATE(Table1[[#This Row],[Total No. of Coupons]],Table1[[#This Row],[Coupon Amount]],-Table1[[#This Row],[Ask Price]],Table1[[#This Row],[Face value]])</f>
        <v>5.019163228970025E-2</v>
      </c>
      <c r="AL13" s="27">
        <f>Table1[[#This Row],[IRR]]*Table1[[#This Row],[Coupon Frequency2]]</f>
        <v>5.019163228970025E-2</v>
      </c>
      <c r="AM13" s="5">
        <f t="shared" si="2"/>
        <v>-1963.7381326177638</v>
      </c>
      <c r="AN13" t="s">
        <v>64</v>
      </c>
      <c r="AO13" t="s">
        <v>62</v>
      </c>
      <c r="AP13">
        <f t="shared" si="3"/>
        <v>1</v>
      </c>
    </row>
    <row r="14" spans="1:42" x14ac:dyDescent="0.35">
      <c r="A14" s="48" t="s">
        <v>1987</v>
      </c>
      <c r="B14" s="49" t="s">
        <v>2289</v>
      </c>
      <c r="C14" s="49" t="s">
        <v>2273</v>
      </c>
      <c r="D14" s="50">
        <v>44218</v>
      </c>
      <c r="E14" s="50">
        <v>46044</v>
      </c>
      <c r="F14" s="49">
        <v>1000</v>
      </c>
      <c r="G14" s="49" t="s">
        <v>76</v>
      </c>
      <c r="H14" s="49">
        <v>1021.2</v>
      </c>
      <c r="I14" s="49" t="s">
        <v>76</v>
      </c>
      <c r="J14" s="49">
        <v>102.12</v>
      </c>
      <c r="K14" s="49">
        <v>50</v>
      </c>
      <c r="L14" s="51">
        <v>5.7999999999999996E-2</v>
      </c>
      <c r="M14" s="49" t="s">
        <v>93</v>
      </c>
      <c r="N14" s="49">
        <v>127</v>
      </c>
      <c r="O14" s="49">
        <v>5.6795926361143696</v>
      </c>
      <c r="P14" s="49" t="s">
        <v>2282</v>
      </c>
      <c r="Q14" s="49"/>
      <c r="R14" s="49" t="s">
        <v>2275</v>
      </c>
      <c r="S14">
        <f t="shared" si="0"/>
        <v>5</v>
      </c>
      <c r="T14" s="5" cm="1">
        <f t="array" ref="T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">
        <f>Table1[[#This Row],[Term to Maturity (Years)]]*Table1[[#This Row],[Coupon Frequency2]]</f>
        <v>5</v>
      </c>
      <c r="V14">
        <f>Table1[[#This Row],[Face value]]*Table1[[#This Row],[Current coupon %]]</f>
        <v>57.999999999999993</v>
      </c>
      <c r="W14" s="36">
        <f>RATE(Table1[[#This Row],[Total No. of Coupons]],Table1[[#This Row],[Coupon Amount]],-Table1[[#This Row],[Ask Price]],Table1[[#This Row],[Face value]])</f>
        <v>5.3061816577116408E-2</v>
      </c>
      <c r="X14" s="27">
        <f>Table1[[#This Row],[IRR]]*Table1[[#This Row],[Coupon Frequency2]]</f>
        <v>5.3061816577116408E-2</v>
      </c>
      <c r="Y14" s="19" cm="1">
        <f t="array" ref="Y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" s="33">
        <f>DURATION(Table1[[#This Row],[Issue date]],Table1[[#This Row],[Maturity date]],Table1[[#This Row],[Current coupon %]],Table1[[#This Row],[Yield (Annualised)]],Table1[[#This Row],[Coupon Frequency2]])</f>
        <v>4.4871577363181405</v>
      </c>
      <c r="AA14" s="33">
        <f>Table1[[#This Row],[Macaulay Duration in Years]]/(1+Table1[[#This Row],[IRR]])</f>
        <v>4.2610582452825483</v>
      </c>
      <c r="AB14" s="58">
        <f>VLOOKUP(Table1[[#This Row],[Yield Cluster]],'Cluster Details'!$B$3:$C$16,2,0)</f>
        <v>7.8548801574189142E-2</v>
      </c>
      <c r="AC14" s="78">
        <f>PRICE(Table1[[#This Row],[Issue date]],Table1[[#This Row],[Maturity date]],Table1[[#This Row],[Current coupon %]],Table1[[#This Row],[Average Cluster Yield]],100,Table1[[#This Row],[Coupon Frequency2]])*Table1[[#This Row],[Face value]]/100</f>
        <v>917.63982509043649</v>
      </c>
      <c r="AD14" s="58" t="str">
        <f>IF(Table1[[#This Row],[Ask Price]]&gt;Table1[[#This Row],[Calculated Bond Price]],"Rich","Cheap")</f>
        <v>Rich</v>
      </c>
      <c r="AE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978.85422163299302</v>
      </c>
      <c r="AF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1065.9339830828842</v>
      </c>
      <c r="AG14" s="78">
        <f>(Table1[[#This Row],[P (+ shock)]]+Table1[[#This Row],[P (-shock)]]-2*Table1[[#This Row],[Ask Price]])/(2*Table1[[#This Row],[Ask Price]]*($AF$2^2))</f>
        <v>11.693129239508599</v>
      </c>
      <c r="AH14">
        <v>-19.204811410829301</v>
      </c>
      <c r="AI14" s="6">
        <f t="shared" si="1"/>
        <v>5.6795926361143743E-2</v>
      </c>
      <c r="AK14" s="47">
        <f>RATE(Table1[[#This Row],[Total No. of Coupons]],Table1[[#This Row],[Coupon Amount]],-Table1[[#This Row],[Ask Price]],Table1[[#This Row],[Face value]])</f>
        <v>5.3061816577116408E-2</v>
      </c>
      <c r="AL14" s="27">
        <f>Table1[[#This Row],[IRR]]*Table1[[#This Row],[Coupon Frequency2]]</f>
        <v>5.3061816577116408E-2</v>
      </c>
      <c r="AM14" s="5">
        <f t="shared" si="2"/>
        <v>-4351.3926800825384</v>
      </c>
      <c r="AN14" t="s">
        <v>64</v>
      </c>
      <c r="AO14" t="s">
        <v>62</v>
      </c>
      <c r="AP14">
        <f t="shared" si="3"/>
        <v>1</v>
      </c>
    </row>
    <row r="15" spans="1:42" x14ac:dyDescent="0.35">
      <c r="A15" s="48" t="s">
        <v>2103</v>
      </c>
      <c r="B15" s="49" t="s">
        <v>2290</v>
      </c>
      <c r="C15" s="49" t="s">
        <v>2273</v>
      </c>
      <c r="D15" s="50">
        <v>44868</v>
      </c>
      <c r="E15" s="50">
        <v>45964</v>
      </c>
      <c r="F15" s="49">
        <v>1000</v>
      </c>
      <c r="G15" s="49" t="s">
        <v>76</v>
      </c>
      <c r="H15" s="49">
        <v>1052</v>
      </c>
      <c r="I15" s="49" t="s">
        <v>76</v>
      </c>
      <c r="J15" s="49">
        <v>105.2</v>
      </c>
      <c r="K15" s="49">
        <v>80</v>
      </c>
      <c r="L15" s="51">
        <v>7.2499999999999995E-2</v>
      </c>
      <c r="M15" s="49" t="s">
        <v>93</v>
      </c>
      <c r="N15" s="49">
        <v>47</v>
      </c>
      <c r="O15" s="49">
        <v>6.8916349809885897</v>
      </c>
      <c r="P15" s="49" t="s">
        <v>2285</v>
      </c>
      <c r="Q15" s="49"/>
      <c r="R15" s="49" t="s">
        <v>2275</v>
      </c>
      <c r="S15">
        <f t="shared" si="0"/>
        <v>3</v>
      </c>
      <c r="T15" s="5" cm="1">
        <f t="array" ref="T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">
        <f>Table1[[#This Row],[Term to Maturity (Years)]]*Table1[[#This Row],[Coupon Frequency2]]</f>
        <v>3</v>
      </c>
      <c r="V15">
        <f>Table1[[#This Row],[Face value]]*Table1[[#This Row],[Current coupon %]]</f>
        <v>72.5</v>
      </c>
      <c r="W15" s="36">
        <f>RATE(Table1[[#This Row],[Total No. of Coupons]],Table1[[#This Row],[Coupon Amount]],-Table1[[#This Row],[Ask Price]],Table1[[#This Row],[Face value]])</f>
        <v>5.3287415758013046E-2</v>
      </c>
      <c r="X15" s="27">
        <f>Table1[[#This Row],[IRR]]*Table1[[#This Row],[Coupon Frequency2]]</f>
        <v>5.3287415758013046E-2</v>
      </c>
      <c r="Y15" s="19" cm="1">
        <f t="array" ref="Y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" s="33">
        <f>DURATION(Table1[[#This Row],[Issue date]],Table1[[#This Row],[Maturity date]],Table1[[#This Row],[Current coupon %]],Table1[[#This Row],[Yield (Annualised)]],Table1[[#This Row],[Coupon Frequency2]])</f>
        <v>2.8070208917231896</v>
      </c>
      <c r="AA15" s="33">
        <f>Table1[[#This Row],[Macaulay Duration in Years]]/(1+Table1[[#This Row],[IRR]])</f>
        <v>2.6650094264185982</v>
      </c>
      <c r="AB15" s="58">
        <f>VLOOKUP(Table1[[#This Row],[Yield Cluster]],'Cluster Details'!$B$3:$C$16,2,0)</f>
        <v>7.8548801574189142E-2</v>
      </c>
      <c r="AC15" s="78">
        <f>PRICE(Table1[[#This Row],[Issue date]],Table1[[#This Row],[Maturity date]],Table1[[#This Row],[Current coupon %]],Table1[[#This Row],[Average Cluster Yield]],100,Table1[[#This Row],[Coupon Frequency2]])*Table1[[#This Row],[Face value]]/100</f>
        <v>984.37074271778363</v>
      </c>
      <c r="AD15" s="58" t="str">
        <f>IF(Table1[[#This Row],[Ask Price]]&gt;Table1[[#This Row],[Calculated Bond Price]],"Rich","Cheap")</f>
        <v>Rich</v>
      </c>
      <c r="AE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1024.4763329095438</v>
      </c>
      <c r="AF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1080.5644083988657</v>
      </c>
      <c r="AG15" s="78">
        <f>(Table1[[#This Row],[P (+ shock)]]+Table1[[#This Row],[P (-shock)]]-2*Table1[[#This Row],[Ask Price]])/(2*Table1[[#This Row],[Ask Price]]*($AF$2^2))</f>
        <v>4.9464891084099403</v>
      </c>
      <c r="AH15">
        <v>12.0510145465172</v>
      </c>
      <c r="AI15" s="6">
        <f t="shared" si="1"/>
        <v>6.8916349809885938E-2</v>
      </c>
      <c r="AK15" s="47">
        <f>RATE(Table1[[#This Row],[Total No. of Coupons]],Table1[[#This Row],[Coupon Amount]],-Table1[[#This Row],[Ask Price]],Table1[[#This Row],[Face value]])</f>
        <v>5.3287415758013046E-2</v>
      </c>
      <c r="AL15" s="27">
        <f>Table1[[#This Row],[IRR]]*Table1[[#This Row],[Coupon Frequency2]]</f>
        <v>5.3287415758013046E-2</v>
      </c>
      <c r="AM15" s="5">
        <f t="shared" si="2"/>
        <v>-2803.5899165923652</v>
      </c>
      <c r="AN15" t="s">
        <v>64</v>
      </c>
      <c r="AO15" t="s">
        <v>62</v>
      </c>
      <c r="AP15">
        <f t="shared" si="3"/>
        <v>1</v>
      </c>
    </row>
    <row r="16" spans="1:42" x14ac:dyDescent="0.35">
      <c r="A16" s="48" t="s">
        <v>2118</v>
      </c>
      <c r="B16" s="49" t="s">
        <v>2291</v>
      </c>
      <c r="C16" s="49" t="s">
        <v>2273</v>
      </c>
      <c r="D16" s="50">
        <v>45225</v>
      </c>
      <c r="E16" s="50">
        <v>45956</v>
      </c>
      <c r="F16" s="49">
        <v>1000</v>
      </c>
      <c r="G16" s="49" t="s">
        <v>76</v>
      </c>
      <c r="H16" s="49">
        <v>1066.5</v>
      </c>
      <c r="I16" s="49" t="s">
        <v>76</v>
      </c>
      <c r="J16" s="49">
        <v>106.65</v>
      </c>
      <c r="K16" s="49">
        <v>5</v>
      </c>
      <c r="L16" s="51">
        <v>8.9499999999999996E-2</v>
      </c>
      <c r="M16" s="49" t="s">
        <v>93</v>
      </c>
      <c r="N16" s="49">
        <v>39</v>
      </c>
      <c r="O16" s="49">
        <v>8.3919362400375004</v>
      </c>
      <c r="P16" s="49"/>
      <c r="Q16" s="49"/>
      <c r="R16" s="49" t="s">
        <v>2275</v>
      </c>
      <c r="S16">
        <f t="shared" si="0"/>
        <v>2</v>
      </c>
      <c r="T16" s="5" cm="1">
        <f t="array" ref="T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">
        <f>Table1[[#This Row],[Term to Maturity (Years)]]*Table1[[#This Row],[Coupon Frequency2]]</f>
        <v>2</v>
      </c>
      <c r="V16">
        <f>Table1[[#This Row],[Face value]]*Table1[[#This Row],[Current coupon %]]</f>
        <v>89.5</v>
      </c>
      <c r="W16" s="36">
        <f>RATE(Table1[[#This Row],[Total No. of Coupons]],Table1[[#This Row],[Coupon Amount]],-Table1[[#This Row],[Ask Price]],Table1[[#This Row],[Face value]])</f>
        <v>5.3555689749968688E-2</v>
      </c>
      <c r="X16" s="27">
        <f>Table1[[#This Row],[IRR]]*Table1[[#This Row],[Coupon Frequency2]]</f>
        <v>5.3555689749968688E-2</v>
      </c>
      <c r="Y16" s="19" cm="1">
        <f t="array" ref="Y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" s="33">
        <f>DURATION(Table1[[#This Row],[Issue date]],Table1[[#This Row],[Maturity date]],Table1[[#This Row],[Current coupon %]],Table1[[#This Row],[Yield (Annualised)]],Table1[[#This Row],[Coupon Frequency2]])</f>
        <v>1.9203465339166712</v>
      </c>
      <c r="AA16" s="33">
        <f>Table1[[#This Row],[Macaulay Duration in Years]]/(1+Table1[[#This Row],[IRR]])</f>
        <v>1.8227290238187699</v>
      </c>
      <c r="AB16" s="58">
        <f>VLOOKUP(Table1[[#This Row],[Yield Cluster]],'Cluster Details'!$B$3:$C$16,2,0)</f>
        <v>7.8548801574189142E-2</v>
      </c>
      <c r="AC16" s="78">
        <f>PRICE(Table1[[#This Row],[Issue date]],Table1[[#This Row],[Maturity date]],Table1[[#This Row],[Current coupon %]],Table1[[#This Row],[Average Cluster Yield]],100,Table1[[#This Row],[Coupon Frequency2]])*Table1[[#This Row],[Face value]]/100</f>
        <v>1019.5678122390063</v>
      </c>
      <c r="AD16" s="58" t="str">
        <f>IF(Table1[[#This Row],[Ask Price]]&gt;Table1[[#This Row],[Calculated Bond Price]],"Rich","Cheap")</f>
        <v>Rich</v>
      </c>
      <c r="AE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1047.3301468911222</v>
      </c>
      <c r="AF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1086.2158179238284</v>
      </c>
      <c r="AG16" s="78">
        <f>(Table1[[#This Row],[P (+ shock)]]+Table1[[#This Row],[P (-shock)]]-2*Table1[[#This Row],[Ask Price]])/(2*Table1[[#This Row],[Ask Price]]*($AF$2^2))</f>
        <v>2.5596100091459029</v>
      </c>
      <c r="AH16">
        <v>14.4839438398756</v>
      </c>
      <c r="AI16" s="6">
        <f t="shared" si="1"/>
        <v>8.3919362400375064E-2</v>
      </c>
      <c r="AK16" s="47">
        <f>RATE(Table1[[#This Row],[Total No. of Coupons]],Table1[[#This Row],[Coupon Amount]],-Table1[[#This Row],[Ask Price]],Table1[[#This Row],[Face value]])</f>
        <v>5.3555689749968688E-2</v>
      </c>
      <c r="AL16" s="27">
        <f>Table1[[#This Row],[IRR]]*Table1[[#This Row],[Coupon Frequency2]]</f>
        <v>5.3555689749968688E-2</v>
      </c>
      <c r="AM16" s="5">
        <f t="shared" si="2"/>
        <v>-1943.9405039027181</v>
      </c>
      <c r="AN16" t="s">
        <v>64</v>
      </c>
      <c r="AO16" t="s">
        <v>62</v>
      </c>
      <c r="AP16">
        <f t="shared" si="3"/>
        <v>1</v>
      </c>
    </row>
    <row r="17" spans="1:42" x14ac:dyDescent="0.35">
      <c r="A17" s="48" t="s">
        <v>2031</v>
      </c>
      <c r="B17" s="49" t="s">
        <v>2292</v>
      </c>
      <c r="C17" s="49" t="s">
        <v>2273</v>
      </c>
      <c r="D17" s="50">
        <v>45287</v>
      </c>
      <c r="E17" s="50">
        <v>46018</v>
      </c>
      <c r="F17" s="49">
        <v>1000</v>
      </c>
      <c r="G17" s="49" t="s">
        <v>76</v>
      </c>
      <c r="H17" s="49">
        <v>1072.8499999999999</v>
      </c>
      <c r="I17" s="49" t="s">
        <v>76</v>
      </c>
      <c r="J17" s="49">
        <v>107.284999999999</v>
      </c>
      <c r="K17" s="49">
        <v>3</v>
      </c>
      <c r="L17" s="51">
        <v>9.3000000000000013E-2</v>
      </c>
      <c r="M17" s="49" t="s">
        <v>93</v>
      </c>
      <c r="N17" s="49">
        <v>101</v>
      </c>
      <c r="O17" s="49">
        <v>8.6684997902782293</v>
      </c>
      <c r="P17" s="49"/>
      <c r="Q17" s="49"/>
      <c r="R17" s="49" t="s">
        <v>2275</v>
      </c>
      <c r="S17">
        <f t="shared" si="0"/>
        <v>2</v>
      </c>
      <c r="T17" s="5" cm="1">
        <f t="array" ref="T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">
        <f>Table1[[#This Row],[Term to Maturity (Years)]]*Table1[[#This Row],[Coupon Frequency2]]</f>
        <v>2</v>
      </c>
      <c r="V17">
        <f>Table1[[#This Row],[Face value]]*Table1[[#This Row],[Current coupon %]]</f>
        <v>93.000000000000014</v>
      </c>
      <c r="W17" s="36">
        <f>RATE(Table1[[#This Row],[Total No. of Coupons]],Table1[[#This Row],[Coupon Amount]],-Table1[[#This Row],[Ask Price]],Table1[[#This Row],[Face value]])</f>
        <v>5.3619847881498296E-2</v>
      </c>
      <c r="X17" s="27">
        <f>Table1[[#This Row],[IRR]]*Table1[[#This Row],[Coupon Frequency2]]</f>
        <v>5.3619847881498296E-2</v>
      </c>
      <c r="Y17" s="19" cm="1">
        <f t="array" ref="Y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" s="33">
        <f>DURATION(Table1[[#This Row],[Issue date]],Table1[[#This Row],[Maturity date]],Table1[[#This Row],[Current coupon %]],Table1[[#This Row],[Yield (Annualised)]],Table1[[#This Row],[Coupon Frequency2]])</f>
        <v>1.9177264949240453</v>
      </c>
      <c r="AA17" s="33">
        <f>Table1[[#This Row],[Macaulay Duration in Years]]/(1+Table1[[#This Row],[IRR]])</f>
        <v>1.8201313298909438</v>
      </c>
      <c r="AB17" s="58">
        <f>VLOOKUP(Table1[[#This Row],[Yield Cluster]],'Cluster Details'!$B$3:$C$16,2,0)</f>
        <v>7.8548801574189142E-2</v>
      </c>
      <c r="AC17" s="78">
        <f>PRICE(Table1[[#This Row],[Issue date]],Table1[[#This Row],[Maturity date]],Table1[[#This Row],[Current coupon %]],Table1[[#This Row],[Average Cluster Yield]],100,Table1[[#This Row],[Coupon Frequency2]])*Table1[[#This Row],[Face value]]/100</f>
        <v>1025.8216796399572</v>
      </c>
      <c r="AD17" s="58" t="str">
        <f>IF(Table1[[#This Row],[Ask Price]]&gt;Table1[[#This Row],[Calculated Bond Price]],"Rich","Cheap")</f>
        <v>Rich</v>
      </c>
      <c r="AE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1053.5933457694125</v>
      </c>
      <c r="AF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1092.6547898376541</v>
      </c>
      <c r="AG17" s="78">
        <f>(Table1[[#This Row],[P (+ shock)]]+Table1[[#This Row],[P (-shock)]]-2*Table1[[#This Row],[Ask Price]])/(2*Table1[[#This Row],[Ask Price]]*($AF$2^2))</f>
        <v>2.5545770940336352</v>
      </c>
      <c r="AH17">
        <v>-50.500936040650899</v>
      </c>
      <c r="AI17" s="6">
        <f t="shared" si="1"/>
        <v>8.6684997902782335E-2</v>
      </c>
      <c r="AK17" s="47">
        <f>RATE(Table1[[#This Row],[Total No. of Coupons]],Table1[[#This Row],[Coupon Amount]],-Table1[[#This Row],[Ask Price]],Table1[[#This Row],[Face value]])</f>
        <v>5.3619847881498296E-2</v>
      </c>
      <c r="AL17" s="27">
        <f>Table1[[#This Row],[IRR]]*Table1[[#This Row],[Coupon Frequency2]]</f>
        <v>5.3619847881498296E-2</v>
      </c>
      <c r="AM17" s="5">
        <f t="shared" si="2"/>
        <v>-1952.7278972734989</v>
      </c>
      <c r="AN17" t="s">
        <v>64</v>
      </c>
      <c r="AO17" t="s">
        <v>62</v>
      </c>
      <c r="AP17">
        <f t="shared" si="3"/>
        <v>1</v>
      </c>
    </row>
    <row r="18" spans="1:42" x14ac:dyDescent="0.35">
      <c r="A18" s="48" t="s">
        <v>116</v>
      </c>
      <c r="B18" s="49" t="s">
        <v>2293</v>
      </c>
      <c r="C18" s="49" t="s">
        <v>2273</v>
      </c>
      <c r="D18" s="50">
        <v>42282</v>
      </c>
      <c r="E18" s="50">
        <v>49587</v>
      </c>
      <c r="F18" s="49">
        <v>1000</v>
      </c>
      <c r="G18" s="49" t="s">
        <v>76</v>
      </c>
      <c r="H18" s="49">
        <v>1269</v>
      </c>
      <c r="I18" s="49" t="s">
        <v>76</v>
      </c>
      <c r="J18" s="49">
        <v>126.899999999999</v>
      </c>
      <c r="K18" s="49">
        <v>5</v>
      </c>
      <c r="L18" s="51">
        <v>7.6200000000000004E-2</v>
      </c>
      <c r="M18" s="49" t="s">
        <v>93</v>
      </c>
      <c r="N18" s="49">
        <v>3670</v>
      </c>
      <c r="O18" s="49">
        <v>6.0047281323877</v>
      </c>
      <c r="P18" s="49" t="s">
        <v>2274</v>
      </c>
      <c r="Q18" s="49"/>
      <c r="R18" s="49" t="s">
        <v>2275</v>
      </c>
      <c r="S18">
        <f t="shared" si="0"/>
        <v>20</v>
      </c>
      <c r="T18" s="5" cm="1">
        <f t="array" ref="T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">
        <f>Table1[[#This Row],[Term to Maturity (Years)]]*Table1[[#This Row],[Coupon Frequency2]]</f>
        <v>20</v>
      </c>
      <c r="V18">
        <f>Table1[[#This Row],[Face value]]*Table1[[#This Row],[Current coupon %]]</f>
        <v>76.2</v>
      </c>
      <c r="W18" s="36">
        <f>RATE(Table1[[#This Row],[Total No. of Coupons]],Table1[[#This Row],[Coupon Amount]],-Table1[[#This Row],[Ask Price]],Table1[[#This Row],[Face value]])</f>
        <v>5.3895990178756008E-2</v>
      </c>
      <c r="X18" s="27">
        <f>Table1[[#This Row],[IRR]]*Table1[[#This Row],[Coupon Frequency2]]</f>
        <v>5.3895990178756008E-2</v>
      </c>
      <c r="Y18" s="19" cm="1">
        <f t="array" ref="Y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" s="33">
        <f>DURATION(Table1[[#This Row],[Issue date]],Table1[[#This Row],[Maturity date]],Table1[[#This Row],[Current coupon %]],Table1[[#This Row],[Yield (Annualised)]],Table1[[#This Row],[Coupon Frequency2]])</f>
        <v>11.878675275455974</v>
      </c>
      <c r="AA18" s="33">
        <f>Table1[[#This Row],[Macaulay Duration in Years]]/(1+Table1[[#This Row],[IRR]])</f>
        <v>11.271202648224499</v>
      </c>
      <c r="AB18" s="58">
        <f>VLOOKUP(Table1[[#This Row],[Yield Cluster]],'Cluster Details'!$B$3:$C$16,2,0)</f>
        <v>7.8548801574189142E-2</v>
      </c>
      <c r="AC18" s="78">
        <f>PRICE(Table1[[#This Row],[Issue date]],Table1[[#This Row],[Maturity date]],Table1[[#This Row],[Current coupon %]],Table1[[#This Row],[Average Cluster Yield]],100,Table1[[#This Row],[Coupon Frequency2]])*Table1[[#This Row],[Face value]]/100</f>
        <v>976.68793498890477</v>
      </c>
      <c r="AD18" s="58" t="str">
        <f>IF(Table1[[#This Row],[Ask Price]]&gt;Table1[[#This Row],[Calculated Bond Price]],"Rich","Cheap")</f>
        <v>Rich</v>
      </c>
      <c r="AE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1136.7688249664341</v>
      </c>
      <c r="AF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1424.2574014406314</v>
      </c>
      <c r="AG18" s="78">
        <f>(Table1[[#This Row],[P (+ shock)]]+Table1[[#This Row],[P (-shock)]]-2*Table1[[#This Row],[Ask Price]])/(2*Table1[[#This Row],[Ask Price]]*($AF$2^2))</f>
        <v>90.725872368263282</v>
      </c>
      <c r="AH18">
        <v>26.787981859410401</v>
      </c>
      <c r="AI18" s="6">
        <f t="shared" si="1"/>
        <v>6.0047281323877072E-2</v>
      </c>
      <c r="AK18" s="47">
        <f>RATE(Table1[[#This Row],[Total No. of Coupons]],Table1[[#This Row],[Coupon Amount]],-Table1[[#This Row],[Ask Price]],Table1[[#This Row],[Face value]])</f>
        <v>5.3895990178756008E-2</v>
      </c>
      <c r="AL18" s="27">
        <f>Table1[[#This Row],[IRR]]*Table1[[#This Row],[Coupon Frequency2]]</f>
        <v>5.3895990178756008E-2</v>
      </c>
      <c r="AM18" s="5">
        <f t="shared" si="2"/>
        <v>-14303.156160596889</v>
      </c>
      <c r="AN18" t="s">
        <v>64</v>
      </c>
      <c r="AO18" t="s">
        <v>62</v>
      </c>
      <c r="AP18">
        <f t="shared" si="3"/>
        <v>1</v>
      </c>
    </row>
    <row r="19" spans="1:42" x14ac:dyDescent="0.35">
      <c r="A19" s="48" t="s">
        <v>2059</v>
      </c>
      <c r="B19" s="49" t="s">
        <v>2294</v>
      </c>
      <c r="C19" s="49" t="s">
        <v>2273</v>
      </c>
      <c r="D19" s="50">
        <v>45267</v>
      </c>
      <c r="E19" s="50">
        <v>45998</v>
      </c>
      <c r="F19" s="49">
        <v>1000</v>
      </c>
      <c r="G19" s="49" t="s">
        <v>76</v>
      </c>
      <c r="H19" s="49">
        <v>1055</v>
      </c>
      <c r="I19" s="49" t="s">
        <v>76</v>
      </c>
      <c r="J19" s="49">
        <v>105.5</v>
      </c>
      <c r="K19" s="49">
        <v>100</v>
      </c>
      <c r="L19" s="51">
        <v>8.4000000000000005E-2</v>
      </c>
      <c r="M19" s="49" t="s">
        <v>93</v>
      </c>
      <c r="N19" s="49">
        <v>81</v>
      </c>
      <c r="O19" s="49">
        <v>7.9620853080568699</v>
      </c>
      <c r="P19" s="49"/>
      <c r="Q19" s="49"/>
      <c r="R19" s="49" t="s">
        <v>2275</v>
      </c>
      <c r="S19">
        <f t="shared" si="0"/>
        <v>2</v>
      </c>
      <c r="T19" s="5" cm="1">
        <f t="array" ref="T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">
        <f>Table1[[#This Row],[Term to Maturity (Years)]]*Table1[[#This Row],[Coupon Frequency2]]</f>
        <v>2</v>
      </c>
      <c r="V19">
        <f>Table1[[#This Row],[Face value]]*Table1[[#This Row],[Current coupon %]]</f>
        <v>84</v>
      </c>
      <c r="W19" s="36">
        <f>RATE(Table1[[#This Row],[Total No. of Coupons]],Table1[[#This Row],[Coupon Amount]],-Table1[[#This Row],[Ask Price]],Table1[[#This Row],[Face value]])</f>
        <v>5.4242790830946831E-2</v>
      </c>
      <c r="X19" s="27">
        <f>Table1[[#This Row],[IRR]]*Table1[[#This Row],[Coupon Frequency2]]</f>
        <v>5.4242790830946831E-2</v>
      </c>
      <c r="Y19" s="19" cm="1">
        <f t="array" ref="Y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" s="33">
        <f>DURATION(Table1[[#This Row],[Issue date]],Table1[[#This Row],[Maturity date]],Table1[[#This Row],[Current coupon %]],Table1[[#This Row],[Yield (Annualised)]],Table1[[#This Row],[Coupon Frequency2]])</f>
        <v>1.9244757908016326</v>
      </c>
      <c r="AA19" s="33">
        <f>Table1[[#This Row],[Macaulay Duration in Years]]/(1+Table1[[#This Row],[IRR]])</f>
        <v>1.825457861831594</v>
      </c>
      <c r="AB19" s="58">
        <f>VLOOKUP(Table1[[#This Row],[Yield Cluster]],'Cluster Details'!$B$3:$C$16,2,0)</f>
        <v>7.8548801574189142E-2</v>
      </c>
      <c r="AC19" s="78">
        <f>PRICE(Table1[[#This Row],[Issue date]],Table1[[#This Row],[Maturity date]],Table1[[#This Row],[Current coupon %]],Table1[[#This Row],[Average Cluster Yield]],100,Table1[[#This Row],[Coupon Frequency2]])*Table1[[#This Row],[Face value]]/100</f>
        <v>1009.7403063232267</v>
      </c>
      <c r="AD19" s="58" t="str">
        <f>IF(Table1[[#This Row],[Ask Price]]&gt;Table1[[#This Row],[Calculated Bond Price]],"Rich","Cheap")</f>
        <v>Rich</v>
      </c>
      <c r="AE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1036.008492534052</v>
      </c>
      <c r="AF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1074.5324494403785</v>
      </c>
      <c r="AG19" s="78">
        <f>(Table1[[#This Row],[P (+ shock)]]+Table1[[#This Row],[P (-shock)]]-2*Table1[[#This Row],[Ask Price]])/(2*Table1[[#This Row],[Ask Price]]*($AF$2^2))</f>
        <v>2.5637060399552243</v>
      </c>
      <c r="AI19" s="6">
        <f t="shared" si="1"/>
        <v>7.9620853080568724E-2</v>
      </c>
      <c r="AK19" s="47">
        <f>RATE(Table1[[#This Row],[Total No. of Coupons]],Table1[[#This Row],[Coupon Amount]],-Table1[[#This Row],[Ask Price]],Table1[[#This Row],[Face value]])</f>
        <v>5.4242790830946831E-2</v>
      </c>
      <c r="AL19" s="27">
        <f>Table1[[#This Row],[IRR]]*Table1[[#This Row],[Coupon Frequency2]]</f>
        <v>5.4242790830946831E-2</v>
      </c>
      <c r="AM19" s="5">
        <f t="shared" si="2"/>
        <v>-1925.8580442323316</v>
      </c>
      <c r="AN19" t="s">
        <v>64</v>
      </c>
      <c r="AO19" t="s">
        <v>62</v>
      </c>
      <c r="AP19">
        <f t="shared" si="3"/>
        <v>1</v>
      </c>
    </row>
    <row r="20" spans="1:42" x14ac:dyDescent="0.35">
      <c r="A20" s="48" t="s">
        <v>2034</v>
      </c>
      <c r="B20" s="49" t="s">
        <v>2295</v>
      </c>
      <c r="C20" s="49" t="s">
        <v>2273</v>
      </c>
      <c r="D20" s="50">
        <v>44918</v>
      </c>
      <c r="E20" s="50">
        <v>46014</v>
      </c>
      <c r="F20" s="49">
        <v>1000</v>
      </c>
      <c r="G20" s="49" t="s">
        <v>76</v>
      </c>
      <c r="H20" s="49">
        <v>1057</v>
      </c>
      <c r="I20" s="49" t="s">
        <v>76</v>
      </c>
      <c r="J20" s="49">
        <v>105.69999999999899</v>
      </c>
      <c r="K20" s="49">
        <v>2</v>
      </c>
      <c r="L20" s="51">
        <v>7.5999999999999998E-2</v>
      </c>
      <c r="M20" s="49" t="s">
        <v>93</v>
      </c>
      <c r="N20" s="49">
        <v>97</v>
      </c>
      <c r="O20" s="49">
        <v>7.1901608325449304</v>
      </c>
      <c r="P20" s="49" t="s">
        <v>2285</v>
      </c>
      <c r="Q20" s="49"/>
      <c r="R20" s="49" t="s">
        <v>2275</v>
      </c>
      <c r="S20">
        <f t="shared" si="0"/>
        <v>3</v>
      </c>
      <c r="T20" s="5" cm="1">
        <f t="array" ref="T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">
        <f>Table1[[#This Row],[Term to Maturity (Years)]]*Table1[[#This Row],[Coupon Frequency2]]</f>
        <v>3</v>
      </c>
      <c r="V20">
        <f>Table1[[#This Row],[Face value]]*Table1[[#This Row],[Current coupon %]]</f>
        <v>76</v>
      </c>
      <c r="W20" s="36">
        <f>RATE(Table1[[#This Row],[Total No. of Coupons]],Table1[[#This Row],[Coupon Amount]],-Table1[[#This Row],[Ask Price]],Table1[[#This Row],[Face value]])</f>
        <v>5.4877535004760142E-2</v>
      </c>
      <c r="X20" s="27">
        <f>Table1[[#This Row],[IRR]]*Table1[[#This Row],[Coupon Frequency2]]</f>
        <v>5.4877535004760142E-2</v>
      </c>
      <c r="Y20" s="19" cm="1">
        <f t="array" ref="Y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" s="33">
        <f>DURATION(Table1[[#This Row],[Issue date]],Table1[[#This Row],[Maturity date]],Table1[[#This Row],[Current coupon %]],Table1[[#This Row],[Yield (Annualised)]],Table1[[#This Row],[Coupon Frequency2]])</f>
        <v>2.7990626351946841</v>
      </c>
      <c r="AA20" s="33">
        <f>Table1[[#This Row],[Macaulay Duration in Years]]/(1+Table1[[#This Row],[IRR]])</f>
        <v>2.6534479523085621</v>
      </c>
      <c r="AB20" s="58">
        <f>VLOOKUP(Table1[[#This Row],[Yield Cluster]],'Cluster Details'!$B$3:$C$16,2,0)</f>
        <v>7.8548801574189142E-2</v>
      </c>
      <c r="AC20" s="78">
        <f>PRICE(Table1[[#This Row],[Issue date]],Table1[[#This Row],[Maturity date]],Table1[[#This Row],[Current coupon %]],Table1[[#This Row],[Average Cluster Yield]],100,Table1[[#This Row],[Coupon Frequency2]])*Table1[[#This Row],[Face value]]/100</f>
        <v>993.41425320772566</v>
      </c>
      <c r="AD20" s="58" t="str">
        <f>IF(Table1[[#This Row],[Ask Price]]&gt;Table1[[#This Row],[Calculated Bond Price]],"Rich","Cheap")</f>
        <v>Rich</v>
      </c>
      <c r="AE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1029.4642099880082</v>
      </c>
      <c r="AF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1085.5743091121726</v>
      </c>
      <c r="AG20" s="78">
        <f>(Table1[[#This Row],[P (+ shock)]]+Table1[[#This Row],[P (-shock)]]-2*Table1[[#This Row],[Ask Price]])/(2*Table1[[#This Row],[Ask Price]]*($AF$2^2))</f>
        <v>4.912578524979021</v>
      </c>
      <c r="AH20">
        <v>8.4053452089021192</v>
      </c>
      <c r="AI20" s="6">
        <f t="shared" si="1"/>
        <v>7.1901608325449382E-2</v>
      </c>
      <c r="AK20" s="47">
        <f>RATE(Table1[[#This Row],[Total No. of Coupons]],Table1[[#This Row],[Coupon Amount]],-Table1[[#This Row],[Ask Price]],Table1[[#This Row],[Face value]])</f>
        <v>5.4877535004760142E-2</v>
      </c>
      <c r="AL20" s="27">
        <f>Table1[[#This Row],[IRR]]*Table1[[#This Row],[Coupon Frequency2]]</f>
        <v>5.4877535004760142E-2</v>
      </c>
      <c r="AM20" s="5">
        <f t="shared" si="2"/>
        <v>-2804.6944855901502</v>
      </c>
      <c r="AN20" t="s">
        <v>64</v>
      </c>
      <c r="AO20" t="s">
        <v>62</v>
      </c>
      <c r="AP20">
        <f t="shared" si="3"/>
        <v>1</v>
      </c>
    </row>
    <row r="21" spans="1:42" x14ac:dyDescent="0.35">
      <c r="A21" s="48" t="s">
        <v>222</v>
      </c>
      <c r="B21" s="49" t="s">
        <v>2296</v>
      </c>
      <c r="C21" s="49" t="s">
        <v>2273</v>
      </c>
      <c r="D21" s="50">
        <v>41541</v>
      </c>
      <c r="E21" s="50">
        <v>48846</v>
      </c>
      <c r="F21" s="49">
        <v>1000</v>
      </c>
      <c r="G21" s="49" t="s">
        <v>76</v>
      </c>
      <c r="H21" s="49">
        <v>1340</v>
      </c>
      <c r="I21" s="49" t="s">
        <v>76</v>
      </c>
      <c r="J21" s="49">
        <v>134</v>
      </c>
      <c r="K21" s="49">
        <v>3</v>
      </c>
      <c r="L21" s="51">
        <v>8.3699999999999997E-2</v>
      </c>
      <c r="M21" s="49" t="s">
        <v>93</v>
      </c>
      <c r="N21" s="49">
        <v>2929</v>
      </c>
      <c r="O21" s="49">
        <v>6.2462686567164099</v>
      </c>
      <c r="P21" s="49"/>
      <c r="Q21" s="49"/>
      <c r="R21" s="49" t="s">
        <v>2275</v>
      </c>
      <c r="S21">
        <f t="shared" si="0"/>
        <v>20</v>
      </c>
      <c r="T21" s="5" cm="1">
        <f t="array" ref="T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">
        <f>Table1[[#This Row],[Term to Maturity (Years)]]*Table1[[#This Row],[Coupon Frequency2]]</f>
        <v>20</v>
      </c>
      <c r="V21">
        <f>Table1[[#This Row],[Face value]]*Table1[[#This Row],[Current coupon %]]</f>
        <v>83.7</v>
      </c>
      <c r="W21" s="36">
        <f>RATE(Table1[[#This Row],[Total No. of Coupons]],Table1[[#This Row],[Coupon Amount]],-Table1[[#This Row],[Ask Price]],Table1[[#This Row],[Face value]])</f>
        <v>5.5201455699548735E-2</v>
      </c>
      <c r="X21" s="27">
        <f>Table1[[#This Row],[IRR]]*Table1[[#This Row],[Coupon Frequency2]]</f>
        <v>5.5201455699548735E-2</v>
      </c>
      <c r="Y21" s="19" cm="1">
        <f t="array" ref="Y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" s="33">
        <f>DURATION(Table1[[#This Row],[Issue date]],Table1[[#This Row],[Maturity date]],Table1[[#This Row],[Current coupon %]],Table1[[#This Row],[Yield (Annualised)]],Table1[[#This Row],[Coupon Frequency2]])</f>
        <v>11.614165581485675</v>
      </c>
      <c r="AA21" s="33">
        <f>Table1[[#This Row],[Macaulay Duration in Years]]/(1+Table1[[#This Row],[IRR]])</f>
        <v>11.006586011375459</v>
      </c>
      <c r="AB21" s="58">
        <f>VLOOKUP(Table1[[#This Row],[Yield Cluster]],'Cluster Details'!$B$3:$C$16,2,0)</f>
        <v>7.8548801574189142E-2</v>
      </c>
      <c r="AC21" s="78">
        <f>PRICE(Table1[[#This Row],[Issue date]],Table1[[#This Row],[Maturity date]],Table1[[#This Row],[Current coupon %]],Table1[[#This Row],[Average Cluster Yield]],100,Table1[[#This Row],[Coupon Frequency2]])*Table1[[#This Row],[Face value]]/100</f>
        <v>1051.1261035871109</v>
      </c>
      <c r="AD21" s="58" t="str">
        <f>IF(Table1[[#This Row],[Ask Price]]&gt;Table1[[#This Row],[Calculated Bond Price]],"Rich","Cheap")</f>
        <v>Rich</v>
      </c>
      <c r="AE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1203.5005821046739</v>
      </c>
      <c r="AF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1499.9135698280602</v>
      </c>
      <c r="AG21" s="78">
        <f>(Table1[[#This Row],[P (+ shock)]]+Table1[[#This Row],[P (-shock)]]-2*Table1[[#This Row],[Ask Price]])/(2*Table1[[#This Row],[Ask Price]]*($AF$2^2))</f>
        <v>87.366238554977826</v>
      </c>
      <c r="AH21">
        <v>13.418655778894401</v>
      </c>
      <c r="AI21" s="6">
        <f t="shared" si="1"/>
        <v>6.246268656716418E-2</v>
      </c>
      <c r="AK21" s="47">
        <f>RATE(Table1[[#This Row],[Total No. of Coupons]],Table1[[#This Row],[Coupon Amount]],-Table1[[#This Row],[Ask Price]],Table1[[#This Row],[Face value]])</f>
        <v>5.5201455699548735E-2</v>
      </c>
      <c r="AL21" s="27">
        <f>Table1[[#This Row],[IRR]]*Table1[[#This Row],[Coupon Frequency2]]</f>
        <v>5.5201455699548735E-2</v>
      </c>
      <c r="AM21" s="5">
        <f t="shared" si="2"/>
        <v>-14748.825255243115</v>
      </c>
      <c r="AN21" t="s">
        <v>64</v>
      </c>
      <c r="AO21" t="s">
        <v>62</v>
      </c>
      <c r="AP21">
        <f t="shared" si="3"/>
        <v>1</v>
      </c>
    </row>
    <row r="22" spans="1:42" x14ac:dyDescent="0.35">
      <c r="A22" s="48" t="s">
        <v>110</v>
      </c>
      <c r="B22" s="49" t="s">
        <v>2297</v>
      </c>
      <c r="C22" s="49" t="s">
        <v>2273</v>
      </c>
      <c r="D22" s="50">
        <v>42313</v>
      </c>
      <c r="E22" s="50">
        <v>49618</v>
      </c>
      <c r="F22" s="49">
        <v>1000</v>
      </c>
      <c r="G22" s="49" t="s">
        <v>76</v>
      </c>
      <c r="H22" s="49">
        <v>1224</v>
      </c>
      <c r="I22" s="49" t="s">
        <v>76</v>
      </c>
      <c r="J22" s="49">
        <v>122.399999999999</v>
      </c>
      <c r="K22" s="49">
        <v>20</v>
      </c>
      <c r="L22" s="51">
        <v>7.4299999999999991E-2</v>
      </c>
      <c r="M22" s="49" t="s">
        <v>93</v>
      </c>
      <c r="N22" s="49">
        <v>3701</v>
      </c>
      <c r="O22" s="49">
        <v>6.0702614379084903</v>
      </c>
      <c r="P22" s="49"/>
      <c r="Q22" s="49"/>
      <c r="R22" s="49" t="s">
        <v>2275</v>
      </c>
      <c r="S22">
        <f t="shared" si="0"/>
        <v>20</v>
      </c>
      <c r="T22" s="5" cm="1">
        <f t="array" ref="T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">
        <f>Table1[[#This Row],[Term to Maturity (Years)]]*Table1[[#This Row],[Coupon Frequency2]]</f>
        <v>20</v>
      </c>
      <c r="V22">
        <f>Table1[[#This Row],[Face value]]*Table1[[#This Row],[Current coupon %]]</f>
        <v>74.3</v>
      </c>
      <c r="W22" s="36">
        <f>RATE(Table1[[#This Row],[Total No. of Coupons]],Table1[[#This Row],[Coupon Amount]],-Table1[[#This Row],[Ask Price]],Table1[[#This Row],[Face value]])</f>
        <v>5.54809627576398E-2</v>
      </c>
      <c r="X22" s="27">
        <f>Table1[[#This Row],[IRR]]*Table1[[#This Row],[Coupon Frequency2]]</f>
        <v>5.54809627576398E-2</v>
      </c>
      <c r="Y22" s="19" cm="1">
        <f t="array" ref="Y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" s="33">
        <f>DURATION(Table1[[#This Row],[Issue date]],Table1[[#This Row],[Maturity date]],Table1[[#This Row],[Current coupon %]],Table1[[#This Row],[Yield (Annualised)]],Table1[[#This Row],[Coupon Frequency2]])</f>
        <v>11.863301077684278</v>
      </c>
      <c r="AA22" s="33">
        <f>Table1[[#This Row],[Macaulay Duration in Years]]/(1+Table1[[#This Row],[IRR]])</f>
        <v>11.23971108554076</v>
      </c>
      <c r="AB22" s="58">
        <f>VLOOKUP(Table1[[#This Row],[Yield Cluster]],'Cluster Details'!$B$3:$C$16,2,0)</f>
        <v>7.8548801574189142E-2</v>
      </c>
      <c r="AC22" s="78">
        <f>PRICE(Table1[[#This Row],[Issue date]],Table1[[#This Row],[Maturity date]],Table1[[#This Row],[Current coupon %]],Table1[[#This Row],[Average Cluster Yield]],100,Table1[[#This Row],[Coupon Frequency2]])*Table1[[#This Row],[Face value]]/100</f>
        <v>957.83026561069255</v>
      </c>
      <c r="AD22" s="58" t="str">
        <f>IF(Table1[[#This Row],[Ask Price]]&gt;Table1[[#This Row],[Calculated Bond Price]],"Rich","Cheap")</f>
        <v>Rich</v>
      </c>
      <c r="AE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1096.8024814946375</v>
      </c>
      <c r="AF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1373.3187448091164</v>
      </c>
      <c r="AG22" s="78">
        <f>(Table1[[#This Row],[P (+ shock)]]+Table1[[#This Row],[P (-shock)]]-2*Table1[[#This Row],[Ask Price]])/(2*Table1[[#This Row],[Ask Price]]*($AF$2^2))</f>
        <v>90.364486534943438</v>
      </c>
      <c r="AH22">
        <v>12.476325757575699</v>
      </c>
      <c r="AI22" s="6">
        <f t="shared" si="1"/>
        <v>6.0702614379084967E-2</v>
      </c>
      <c r="AK22" s="47">
        <f>RATE(Table1[[#This Row],[Total No. of Coupons]],Table1[[#This Row],[Coupon Amount]],-Table1[[#This Row],[Ask Price]],Table1[[#This Row],[Face value]])</f>
        <v>5.54809627576398E-2</v>
      </c>
      <c r="AL22" s="27">
        <f>Table1[[#This Row],[IRR]]*Table1[[#This Row],[Coupon Frequency2]]</f>
        <v>5.54809627576398E-2</v>
      </c>
      <c r="AM22" s="5">
        <f t="shared" si="2"/>
        <v>-13757.40636870189</v>
      </c>
      <c r="AN22" t="s">
        <v>64</v>
      </c>
      <c r="AO22" t="s">
        <v>62</v>
      </c>
      <c r="AP22">
        <f t="shared" si="3"/>
        <v>1</v>
      </c>
    </row>
    <row r="23" spans="1:42" x14ac:dyDescent="0.35">
      <c r="A23" s="48" t="s">
        <v>2090</v>
      </c>
      <c r="B23" s="49" t="s">
        <v>2298</v>
      </c>
      <c r="C23" s="49" t="s">
        <v>2273</v>
      </c>
      <c r="D23" s="50">
        <v>45239</v>
      </c>
      <c r="E23" s="50">
        <v>45970</v>
      </c>
      <c r="F23" s="49">
        <v>1000</v>
      </c>
      <c r="G23" s="49" t="s">
        <v>76</v>
      </c>
      <c r="H23" s="49">
        <v>1075</v>
      </c>
      <c r="I23" s="49" t="s">
        <v>76</v>
      </c>
      <c r="J23" s="49">
        <v>107.5</v>
      </c>
      <c r="K23" s="49">
        <v>50</v>
      </c>
      <c r="L23" s="51">
        <v>9.6500000000000002E-2</v>
      </c>
      <c r="M23" s="49" t="s">
        <v>93</v>
      </c>
      <c r="N23" s="49">
        <v>53</v>
      </c>
      <c r="O23" s="49">
        <v>8.9767441860465098</v>
      </c>
      <c r="P23" s="49" t="s">
        <v>2279</v>
      </c>
      <c r="Q23" s="49"/>
      <c r="R23" s="49" t="s">
        <v>2275</v>
      </c>
      <c r="S23">
        <f t="shared" si="0"/>
        <v>2</v>
      </c>
      <c r="T23" s="5" cm="1">
        <f t="array" ref="T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">
        <f>Table1[[#This Row],[Term to Maturity (Years)]]*Table1[[#This Row],[Coupon Frequency2]]</f>
        <v>2</v>
      </c>
      <c r="V23">
        <f>Table1[[#This Row],[Face value]]*Table1[[#This Row],[Current coupon %]]</f>
        <v>96.5</v>
      </c>
      <c r="W23" s="36">
        <f>RATE(Table1[[#This Row],[Total No. of Coupons]],Table1[[#This Row],[Coupon Amount]],-Table1[[#This Row],[Ask Price]],Table1[[#This Row],[Face value]])</f>
        <v>5.5831072875298898E-2</v>
      </c>
      <c r="X23" s="27">
        <f>Table1[[#This Row],[IRR]]*Table1[[#This Row],[Coupon Frequency2]]</f>
        <v>5.5831072875298898E-2</v>
      </c>
      <c r="Y23" s="19" cm="1">
        <f t="array" ref="Y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" s="33">
        <f>DURATION(Table1[[#This Row],[Issue date]],Table1[[#This Row],[Maturity date]],Table1[[#This Row],[Current coupon %]],Table1[[#This Row],[Yield (Annualised)]],Table1[[#This Row],[Coupon Frequency2]])</f>
        <v>1.914979352126831</v>
      </c>
      <c r="AA23" s="33">
        <f>Table1[[#This Row],[Macaulay Duration in Years]]/(1+Table1[[#This Row],[IRR]])</f>
        <v>1.8137175551310978</v>
      </c>
      <c r="AB23" s="58">
        <f>VLOOKUP(Table1[[#This Row],[Yield Cluster]],'Cluster Details'!$B$3:$C$16,2,0)</f>
        <v>7.8548801574189142E-2</v>
      </c>
      <c r="AC23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1032.0755470409078</v>
      </c>
      <c r="AD23" s="58" t="str">
        <f>IF(Table1[[#This Row],[Ask Price]]&gt;Table1[[#This Row],[Calculated Bond Price]],"Rich","Cheap")</f>
        <v>Rich</v>
      </c>
      <c r="AE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1055.7720533759839</v>
      </c>
      <c r="AF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1094.7738224128684</v>
      </c>
      <c r="AG23" s="78">
        <f>(Table1[[#This Row],[P (+ shock)]]+Table1[[#This Row],[P (-shock)]]-2*Table1[[#This Row],[Ask Price]])/(2*Table1[[#This Row],[Ask Price]]*($AF$2^2))</f>
        <v>2.5389571574525562</v>
      </c>
      <c r="AH23">
        <v>22.086306489976199</v>
      </c>
      <c r="AI23" s="6">
        <f t="shared" si="1"/>
        <v>8.9767441860465119E-2</v>
      </c>
      <c r="AK23" s="47">
        <f>RATE(Table1[[#This Row],[Total No. of Coupons]],Table1[[#This Row],[Coupon Amount]],-Table1[[#This Row],[Ask Price]],Table1[[#This Row],[Face value]])</f>
        <v>5.5831072875298898E-2</v>
      </c>
      <c r="AL23" s="27">
        <f>Table1[[#This Row],[IRR]]*Table1[[#This Row],[Coupon Frequency2]]</f>
        <v>5.5831072875298898E-2</v>
      </c>
      <c r="AM23" s="5">
        <f t="shared" si="2"/>
        <v>-1949.74637176593</v>
      </c>
      <c r="AN23" t="s">
        <v>64</v>
      </c>
      <c r="AO23" t="s">
        <v>62</v>
      </c>
      <c r="AP23">
        <f t="shared" si="3"/>
        <v>1</v>
      </c>
    </row>
    <row r="24" spans="1:42" x14ac:dyDescent="0.35">
      <c r="A24" s="48" t="s">
        <v>113</v>
      </c>
      <c r="B24" s="49" t="s">
        <v>2299</v>
      </c>
      <c r="C24" s="49" t="s">
        <v>2273</v>
      </c>
      <c r="D24" s="50">
        <v>42294</v>
      </c>
      <c r="E24" s="50">
        <v>49599</v>
      </c>
      <c r="F24" s="49">
        <v>1000</v>
      </c>
      <c r="G24" s="49" t="s">
        <v>76</v>
      </c>
      <c r="H24" s="49">
        <v>1237.8499999999999</v>
      </c>
      <c r="I24" s="49" t="s">
        <v>76</v>
      </c>
      <c r="J24" s="49">
        <v>123.785</v>
      </c>
      <c r="K24" s="49">
        <v>70</v>
      </c>
      <c r="L24" s="51">
        <v>7.5999999999999998E-2</v>
      </c>
      <c r="M24" s="49" t="s">
        <v>93</v>
      </c>
      <c r="N24" s="49">
        <v>3682</v>
      </c>
      <c r="O24" s="49">
        <v>6.1396776669224797</v>
      </c>
      <c r="P24" s="49" t="s">
        <v>2282</v>
      </c>
      <c r="Q24" s="49"/>
      <c r="R24" s="49" t="s">
        <v>2275</v>
      </c>
      <c r="S24">
        <f t="shared" si="0"/>
        <v>20</v>
      </c>
      <c r="T24" s="5" cm="1">
        <f t="array" ref="T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">
        <f>Table1[[#This Row],[Term to Maturity (Years)]]*Table1[[#This Row],[Coupon Frequency2]]</f>
        <v>20</v>
      </c>
      <c r="V24">
        <f>Table1[[#This Row],[Face value]]*Table1[[#This Row],[Current coupon %]]</f>
        <v>76</v>
      </c>
      <c r="W24" s="36">
        <f>RATE(Table1[[#This Row],[Total No. of Coupons]],Table1[[#This Row],[Coupon Amount]],-Table1[[#This Row],[Ask Price]],Table1[[#This Row],[Face value]])</f>
        <v>5.5941168642584152E-2</v>
      </c>
      <c r="X24" s="27">
        <f>Table1[[#This Row],[IRR]]*Table1[[#This Row],[Coupon Frequency2]]</f>
        <v>5.5941168642584152E-2</v>
      </c>
      <c r="Y24" s="19" cm="1">
        <f t="array" ref="Y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" s="33">
        <f>DURATION(Table1[[#This Row],[Issue date]],Table1[[#This Row],[Maturity date]],Table1[[#This Row],[Current coupon %]],Table1[[#This Row],[Yield (Annualised)]],Table1[[#This Row],[Coupon Frequency2]])</f>
        <v>11.791561969023546</v>
      </c>
      <c r="AA24" s="33">
        <f>Table1[[#This Row],[Macaulay Duration in Years]]/(1+Table1[[#This Row],[IRR]])</f>
        <v>11.166873988047683</v>
      </c>
      <c r="AB24" s="58">
        <f>VLOOKUP(Table1[[#This Row],[Yield Cluster]],'Cluster Details'!$B$3:$C$16,2,0)</f>
        <v>7.8548801574189142E-2</v>
      </c>
      <c r="AC24" s="78">
        <f>PRICE(Table1[[#This Row],[Issue date]],Table1[[#This Row],[Maturity date]],Table1[[#This Row],[Current coupon %]],Table1[[#This Row],[Average Cluster Yield]],100,Table1[[#This Row],[Coupon Frequency2]])*Table1[[#This Row],[Face value]]/100</f>
        <v>974.70291715961935</v>
      </c>
      <c r="AD24" s="58" t="str">
        <f>IF(Table1[[#This Row],[Ask Price]]&gt;Table1[[#This Row],[Calculated Bond Price]],"Rich","Cheap")</f>
        <v>Rich</v>
      </c>
      <c r="AE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1110.009494495305</v>
      </c>
      <c r="AF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1387.8340209315866</v>
      </c>
      <c r="AG24" s="78">
        <f>(Table1[[#This Row],[P (+ shock)]]+Table1[[#This Row],[P (-shock)]]-2*Table1[[#This Row],[Ask Price]])/(2*Table1[[#This Row],[Ask Price]]*($AF$2^2))</f>
        <v>89.443452061606862</v>
      </c>
      <c r="AH24">
        <v>12.102344770159499</v>
      </c>
      <c r="AI24" s="6">
        <f t="shared" si="1"/>
        <v>6.139677666922487E-2</v>
      </c>
      <c r="AK24" s="47">
        <f>RATE(Table1[[#This Row],[Total No. of Coupons]],Table1[[#This Row],[Coupon Amount]],-Table1[[#This Row],[Ask Price]],Table1[[#This Row],[Face value]])</f>
        <v>5.5941168642584152E-2</v>
      </c>
      <c r="AL24" s="27">
        <f>Table1[[#This Row],[IRR]]*Table1[[#This Row],[Coupon Frequency2]]</f>
        <v>5.5941168642584152E-2</v>
      </c>
      <c r="AM24" s="5">
        <f t="shared" si="2"/>
        <v>-13822.914966104823</v>
      </c>
      <c r="AN24" t="s">
        <v>64</v>
      </c>
      <c r="AO24" t="s">
        <v>62</v>
      </c>
      <c r="AP24">
        <f t="shared" si="3"/>
        <v>1</v>
      </c>
    </row>
    <row r="25" spans="1:42" x14ac:dyDescent="0.35">
      <c r="A25" s="48" t="s">
        <v>109</v>
      </c>
      <c r="B25" s="49" t="s">
        <v>2300</v>
      </c>
      <c r="C25" s="49" t="s">
        <v>2273</v>
      </c>
      <c r="D25" s="50">
        <v>42313</v>
      </c>
      <c r="E25" s="50">
        <v>49618</v>
      </c>
      <c r="F25" s="49">
        <v>1000</v>
      </c>
      <c r="G25" s="49" t="s">
        <v>76</v>
      </c>
      <c r="H25" s="49">
        <v>1186</v>
      </c>
      <c r="I25" s="49" t="s">
        <v>76</v>
      </c>
      <c r="J25" s="49">
        <v>118.6</v>
      </c>
      <c r="K25" s="49">
        <v>2000</v>
      </c>
      <c r="L25" s="51">
        <v>7.1800000000000003E-2</v>
      </c>
      <c r="M25" s="49" t="s">
        <v>93</v>
      </c>
      <c r="N25" s="49">
        <v>3701</v>
      </c>
      <c r="O25" s="49">
        <v>6.0539629005059004</v>
      </c>
      <c r="P25" s="49"/>
      <c r="Q25" s="49"/>
      <c r="R25" s="49" t="s">
        <v>2275</v>
      </c>
      <c r="S25">
        <f t="shared" si="0"/>
        <v>20</v>
      </c>
      <c r="T25" s="5" cm="1">
        <f t="array" ref="T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">
        <f>Table1[[#This Row],[Term to Maturity (Years)]]*Table1[[#This Row],[Coupon Frequency2]]</f>
        <v>20</v>
      </c>
      <c r="V25">
        <f>Table1[[#This Row],[Face value]]*Table1[[#This Row],[Current coupon %]]</f>
        <v>71.8</v>
      </c>
      <c r="W25" s="36">
        <f>RATE(Table1[[#This Row],[Total No. of Coupons]],Table1[[#This Row],[Coupon Amount]],-Table1[[#This Row],[Ask Price]],Table1[[#This Row],[Face value]])</f>
        <v>5.6094061773830681E-2</v>
      </c>
      <c r="X25" s="27">
        <f>Table1[[#This Row],[IRR]]*Table1[[#This Row],[Coupon Frequency2]]</f>
        <v>5.6094061773830681E-2</v>
      </c>
      <c r="Y25" s="19" cm="1">
        <f t="array" ref="Y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" s="33">
        <f>DURATION(Table1[[#This Row],[Issue date]],Table1[[#This Row],[Maturity date]],Table1[[#This Row],[Current coupon %]],Table1[[#This Row],[Yield (Annualised)]],Table1[[#This Row],[Coupon Frequency2]])</f>
        <v>11.913118369343762</v>
      </c>
      <c r="AA25" s="33">
        <f>Table1[[#This Row],[Macaulay Duration in Years]]/(1+Table1[[#This Row],[IRR]])</f>
        <v>11.280357309588807</v>
      </c>
      <c r="AB25" s="58">
        <f>VLOOKUP(Table1[[#This Row],[Yield Cluster]],'Cluster Details'!$B$3:$C$16,2,0)</f>
        <v>7.8548801574189142E-2</v>
      </c>
      <c r="AC25" s="78">
        <f>PRICE(Table1[[#This Row],[Issue date]],Table1[[#This Row],[Maturity date]],Table1[[#This Row],[Current coupon %]],Table1[[#This Row],[Average Cluster Yield]],100,Table1[[#This Row],[Coupon Frequency2]])*Table1[[#This Row],[Face value]]/100</f>
        <v>933.01754274462348</v>
      </c>
      <c r="AD25" s="58" t="str">
        <f>IF(Table1[[#This Row],[Ask Price]]&gt;Table1[[#This Row],[Calculated Bond Price]],"Rich","Cheap")</f>
        <v>Rich</v>
      </c>
      <c r="AE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1062.3282023948257</v>
      </c>
      <c r="AF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1331.2336393085266</v>
      </c>
      <c r="AG25" s="78">
        <f>(Table1[[#This Row],[P (+ shock)]]+Table1[[#This Row],[P (-shock)]]-2*Table1[[#This Row],[Ask Price]])/(2*Table1[[#This Row],[Ask Price]]*($AF$2^2))</f>
        <v>90.901524887655981</v>
      </c>
      <c r="AH25">
        <v>-29.629328111677101</v>
      </c>
      <c r="AI25" s="6">
        <f t="shared" si="1"/>
        <v>6.053962900505902E-2</v>
      </c>
      <c r="AK25" s="47">
        <f>RATE(Table1[[#This Row],[Total No. of Coupons]],Table1[[#This Row],[Coupon Amount]],-Table1[[#This Row],[Ask Price]],Table1[[#This Row],[Face value]])</f>
        <v>5.6094061773830681E-2</v>
      </c>
      <c r="AL25" s="27">
        <f>Table1[[#This Row],[IRR]]*Table1[[#This Row],[Coupon Frequency2]]</f>
        <v>5.6094061773830681E-2</v>
      </c>
      <c r="AM25" s="5">
        <f t="shared" si="2"/>
        <v>-13378.503769172325</v>
      </c>
      <c r="AN25" t="s">
        <v>64</v>
      </c>
      <c r="AO25" t="s">
        <v>62</v>
      </c>
      <c r="AP25">
        <f t="shared" si="3"/>
        <v>1</v>
      </c>
    </row>
    <row r="26" spans="1:42" x14ac:dyDescent="0.35">
      <c r="A26" s="48" t="s">
        <v>107</v>
      </c>
      <c r="B26" s="49" t="s">
        <v>2301</v>
      </c>
      <c r="C26" s="49" t="s">
        <v>2273</v>
      </c>
      <c r="D26" s="50">
        <v>42359</v>
      </c>
      <c r="E26" s="50">
        <v>49664</v>
      </c>
      <c r="F26" s="49">
        <v>1000</v>
      </c>
      <c r="G26" s="49" t="s">
        <v>76</v>
      </c>
      <c r="H26" s="49">
        <v>1218</v>
      </c>
      <c r="I26" s="49" t="s">
        <v>76</v>
      </c>
      <c r="J26" s="49">
        <v>121.8</v>
      </c>
      <c r="K26" s="49">
        <v>300</v>
      </c>
      <c r="L26" s="51">
        <v>7.4999999999999997E-2</v>
      </c>
      <c r="M26" s="49" t="s">
        <v>93</v>
      </c>
      <c r="N26" s="49">
        <v>3747</v>
      </c>
      <c r="O26" s="49">
        <v>6.15763546798029</v>
      </c>
      <c r="P26" s="49" t="s">
        <v>2274</v>
      </c>
      <c r="Q26" s="49"/>
      <c r="R26" s="49" t="s">
        <v>2275</v>
      </c>
      <c r="S26">
        <f t="shared" si="0"/>
        <v>20</v>
      </c>
      <c r="T26" s="5" cm="1">
        <f t="array" ref="T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">
        <f>Table1[[#This Row],[Term to Maturity (Years)]]*Table1[[#This Row],[Coupon Frequency2]]</f>
        <v>20</v>
      </c>
      <c r="V26">
        <f>Table1[[#This Row],[Face value]]*Table1[[#This Row],[Current coupon %]]</f>
        <v>75</v>
      </c>
      <c r="W26" s="36">
        <f>RATE(Table1[[#This Row],[Total No. of Coupons]],Table1[[#This Row],[Coupon Amount]],-Table1[[#This Row],[Ask Price]],Table1[[#This Row],[Face value]])</f>
        <v>5.652622130631229E-2</v>
      </c>
      <c r="X26" s="27">
        <f>Table1[[#This Row],[IRR]]*Table1[[#This Row],[Coupon Frequency2]]</f>
        <v>5.652622130631229E-2</v>
      </c>
      <c r="Y26" s="19" cm="1">
        <f t="array" ref="Y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" s="33">
        <f>DURATION(Table1[[#This Row],[Issue date]],Table1[[#This Row],[Maturity date]],Table1[[#This Row],[Current coupon %]],Table1[[#This Row],[Yield (Annualised)]],Table1[[#This Row],[Coupon Frequency2]])</f>
        <v>11.794587601270193</v>
      </c>
      <c r="AA26" s="33">
        <f>Table1[[#This Row],[Macaulay Duration in Years]]/(1+Table1[[#This Row],[IRR]])</f>
        <v>11.163554073165459</v>
      </c>
      <c r="AB26" s="58">
        <f>VLOOKUP(Table1[[#This Row],[Yield Cluster]],'Cluster Details'!$B$3:$C$16,2,0)</f>
        <v>7.8548801574189142E-2</v>
      </c>
      <c r="AC26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964.77782801319177</v>
      </c>
      <c r="AD26" s="58" t="str">
        <f>IF(Table1[[#This Row],[Ask Price]]&gt;Table1[[#This Row],[Calculated Bond Price]],"Rich","Cheap")</f>
        <v>Rich</v>
      </c>
      <c r="AE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1092.2470115727172</v>
      </c>
      <c r="AF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1365.5350223023297</v>
      </c>
      <c r="AG26" s="78">
        <f>(Table1[[#This Row],[P (+ shock)]]+Table1[[#This Row],[P (-shock)]]-2*Table1[[#This Row],[Ask Price]])/(2*Table1[[#This Row],[Ask Price]]*($AF$2^2))</f>
        <v>89.417216235825492</v>
      </c>
      <c r="AI26" s="6">
        <f t="shared" si="1"/>
        <v>6.1576354679802957E-2</v>
      </c>
      <c r="AK26" s="47">
        <f>RATE(Table1[[#This Row],[Total No. of Coupons]],Table1[[#This Row],[Coupon Amount]],-Table1[[#This Row],[Ask Price]],Table1[[#This Row],[Face value]])</f>
        <v>5.652622130631229E-2</v>
      </c>
      <c r="AL26" s="27">
        <f>Table1[[#This Row],[IRR]]*Table1[[#This Row],[Coupon Frequency2]]</f>
        <v>5.652622130631229E-2</v>
      </c>
      <c r="AM26" s="5">
        <f t="shared" si="2"/>
        <v>-13597.208861115529</v>
      </c>
      <c r="AN26" t="s">
        <v>64</v>
      </c>
      <c r="AO26" t="s">
        <v>62</v>
      </c>
      <c r="AP26">
        <f t="shared" si="3"/>
        <v>1</v>
      </c>
    </row>
    <row r="27" spans="1:42" x14ac:dyDescent="0.35">
      <c r="A27" s="48" t="s">
        <v>1549</v>
      </c>
      <c r="B27" s="49" t="s">
        <v>2302</v>
      </c>
      <c r="C27" s="49" t="s">
        <v>2273</v>
      </c>
      <c r="D27" s="50">
        <v>45595</v>
      </c>
      <c r="E27" s="50">
        <v>46325</v>
      </c>
      <c r="F27" s="49">
        <v>1000</v>
      </c>
      <c r="G27" s="49" t="s">
        <v>76</v>
      </c>
      <c r="H27" s="49">
        <v>1069</v>
      </c>
      <c r="I27" s="49" t="s">
        <v>76</v>
      </c>
      <c r="J27" s="49">
        <v>106.899999999999</v>
      </c>
      <c r="K27" s="49">
        <v>2179</v>
      </c>
      <c r="L27" s="51">
        <v>9.4E-2</v>
      </c>
      <c r="M27" s="49" t="s">
        <v>93</v>
      </c>
      <c r="N27" s="49">
        <v>408</v>
      </c>
      <c r="O27" s="49">
        <v>8.7932647333956897</v>
      </c>
      <c r="P27" s="49"/>
      <c r="Q27" s="49"/>
      <c r="R27" s="49" t="s">
        <v>2275</v>
      </c>
      <c r="S27">
        <f t="shared" si="0"/>
        <v>2</v>
      </c>
      <c r="T27" s="5" cm="1">
        <f t="array" ref="T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">
        <f>Table1[[#This Row],[Term to Maturity (Years)]]*Table1[[#This Row],[Coupon Frequency2]]</f>
        <v>2</v>
      </c>
      <c r="V27">
        <f>Table1[[#This Row],[Face value]]*Table1[[#This Row],[Current coupon %]]</f>
        <v>94</v>
      </c>
      <c r="W27" s="36">
        <f>RATE(Table1[[#This Row],[Total No. of Coupons]],Table1[[#This Row],[Coupon Amount]],-Table1[[#This Row],[Ask Price]],Table1[[#This Row],[Face value]])</f>
        <v>5.6546878483737573E-2</v>
      </c>
      <c r="X27" s="27">
        <f>Table1[[#This Row],[IRR]]*Table1[[#This Row],[Coupon Frequency2]]</f>
        <v>5.6546878483737573E-2</v>
      </c>
      <c r="Y27" s="19" cm="1">
        <f t="array" ref="Y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" s="33">
        <f>DURATION(Table1[[#This Row],[Issue date]],Table1[[#This Row],[Maturity date]],Table1[[#This Row],[Current coupon %]],Table1[[#This Row],[Yield (Annualised)]],Table1[[#This Row],[Coupon Frequency2]])</f>
        <v>1.9167735486946271</v>
      </c>
      <c r="AA27" s="33">
        <f>Table1[[#This Row],[Macaulay Duration in Years]]/(1+Table1[[#This Row],[IRR]])</f>
        <v>1.8141869402381943</v>
      </c>
      <c r="AB27" s="58">
        <f>VLOOKUP(Table1[[#This Row],[Yield Cluster]],'Cluster Details'!$B$3:$C$16,2,0)</f>
        <v>7.8548801574189142E-2</v>
      </c>
      <c r="AC27" s="78">
        <f>PRICE(Table1[[#This Row],[Issue date]],Table1[[#This Row],[Maturity date]],Table1[[#This Row],[Current coupon %]],Table1[[#This Row],[Average Cluster Yield]],100,Table1[[#This Row],[Coupon Frequency2]])*Table1[[#This Row],[Face value]]/100</f>
        <v>1027.6084988973716</v>
      </c>
      <c r="AD27" s="58" t="str">
        <f>IF(Table1[[#This Row],[Ask Price]]&gt;Table1[[#This Row],[Calculated Bond Price]],"Rich","Cheap")</f>
        <v>Rich</v>
      </c>
      <c r="AE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1049.87433245648</v>
      </c>
      <c r="AF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1088.6684485937703</v>
      </c>
      <c r="AG27" s="78">
        <f>(Table1[[#This Row],[P (+ shock)]]+Table1[[#This Row],[P (-shock)]]-2*Table1[[#This Row],[Ask Price]])/(2*Table1[[#This Row],[Ask Price]]*($AF$2^2))</f>
        <v>2.5387326952787479</v>
      </c>
      <c r="AH27">
        <v>13.108561008018301</v>
      </c>
      <c r="AI27" s="6">
        <f t="shared" si="1"/>
        <v>8.7932647333956976E-2</v>
      </c>
      <c r="AK27" s="47">
        <f>RATE(Table1[[#This Row],[Total No. of Coupons]],Table1[[#This Row],[Coupon Amount]],-Table1[[#This Row],[Ask Price]],Table1[[#This Row],[Face value]])</f>
        <v>5.6546878483737573E-2</v>
      </c>
      <c r="AL27" s="27">
        <f>Table1[[#This Row],[IRR]]*Table1[[#This Row],[Coupon Frequency2]]</f>
        <v>5.6546878483737573E-2</v>
      </c>
      <c r="AM27" s="5">
        <f t="shared" si="2"/>
        <v>-1939.3658391146296</v>
      </c>
      <c r="AN27" t="s">
        <v>64</v>
      </c>
      <c r="AO27" t="s">
        <v>62</v>
      </c>
      <c r="AP27">
        <f t="shared" si="3"/>
        <v>1</v>
      </c>
    </row>
    <row r="28" spans="1:42" x14ac:dyDescent="0.35">
      <c r="A28" s="48" t="s">
        <v>1925</v>
      </c>
      <c r="B28" s="49" t="s">
        <v>2303</v>
      </c>
      <c r="C28" s="49" t="s">
        <v>2273</v>
      </c>
      <c r="D28" s="50">
        <v>42432</v>
      </c>
      <c r="E28" s="50">
        <v>46084</v>
      </c>
      <c r="F28" s="49">
        <v>1000000</v>
      </c>
      <c r="G28" s="49" t="s">
        <v>76</v>
      </c>
      <c r="H28" s="49">
        <v>1100874</v>
      </c>
      <c r="I28" s="49" t="s">
        <v>76</v>
      </c>
      <c r="J28" s="49">
        <v>110.08739999999899</v>
      </c>
      <c r="K28" s="49">
        <v>3</v>
      </c>
      <c r="L28" s="51">
        <v>7.0400000000000004E-2</v>
      </c>
      <c r="M28" s="49" t="s">
        <v>93</v>
      </c>
      <c r="N28" s="49">
        <v>167</v>
      </c>
      <c r="O28" s="49">
        <v>6.3949189462190903</v>
      </c>
      <c r="P28" s="49" t="s">
        <v>2274</v>
      </c>
      <c r="Q28" s="49"/>
      <c r="R28" s="49" t="s">
        <v>2275</v>
      </c>
      <c r="S28">
        <f t="shared" si="0"/>
        <v>10</v>
      </c>
      <c r="T28" s="5" cm="1">
        <f t="array" ref="T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">
        <f>Table1[[#This Row],[Term to Maturity (Years)]]*Table1[[#This Row],[Coupon Frequency2]]</f>
        <v>10</v>
      </c>
      <c r="V28">
        <f>Table1[[#This Row],[Face value]]*Table1[[#This Row],[Current coupon %]]</f>
        <v>70400</v>
      </c>
      <c r="W28" s="36">
        <f>RATE(Table1[[#This Row],[Total No. of Coupons]],Table1[[#This Row],[Coupon Amount]],-Table1[[#This Row],[Ask Price]],Table1[[#This Row],[Face value]])</f>
        <v>5.6895339116763317E-2</v>
      </c>
      <c r="X28" s="27">
        <f>Table1[[#This Row],[IRR]]*Table1[[#This Row],[Coupon Frequency2]]</f>
        <v>5.6895339116763317E-2</v>
      </c>
      <c r="Y28" s="19" cm="1">
        <f t="array" ref="Y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" s="33">
        <f>DURATION(Table1[[#This Row],[Issue date]],Table1[[#This Row],[Maturity date]],Table1[[#This Row],[Current coupon %]],Table1[[#This Row],[Yield (Annualised)]],Table1[[#This Row],[Coupon Frequency2]])</f>
        <v>7.6335208774273839</v>
      </c>
      <c r="AA28" s="33">
        <f>Table1[[#This Row],[Macaulay Duration in Years]]/(1+Table1[[#This Row],[IRR]])</f>
        <v>7.2225892147529382</v>
      </c>
      <c r="AB28" s="58">
        <f>VLOOKUP(Table1[[#This Row],[Yield Cluster]],'Cluster Details'!$B$3:$C$16,2,0)</f>
        <v>7.8548801574189142E-2</v>
      </c>
      <c r="AC28" s="78">
        <f>PRICE(Table1[[#This Row],[Issue date]],Table1[[#This Row],[Maturity date]],Table1[[#This Row],[Current coupon %]],Table1[[#This Row],[Average Cluster Yield]],100,Table1[[#This Row],[Coupon Frequency2]])*Table1[[#This Row],[Face value]]/100</f>
        <v>944961.15593533078</v>
      </c>
      <c r="AD28" s="58" t="str">
        <f>IF(Table1[[#This Row],[Ask Price]]&gt;Table1[[#This Row],[Calculated Bond Price]],"Rich","Cheap")</f>
        <v>Rich</v>
      </c>
      <c r="AE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1024972.4507549001</v>
      </c>
      <c r="AF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1184264.6380807767</v>
      </c>
      <c r="AG28" s="78">
        <f>(Table1[[#This Row],[P (+ shock)]]+Table1[[#This Row],[P (-shock)]]-2*Table1[[#This Row],[Ask Price]])/(2*Table1[[#This Row],[Ask Price]]*($AF$2^2))</f>
        <v>34.014286992320038</v>
      </c>
      <c r="AH28">
        <v>-29.815757401964198</v>
      </c>
      <c r="AI28" s="6">
        <f t="shared" si="1"/>
        <v>6.3949189462190956E-2</v>
      </c>
      <c r="AK28" s="47">
        <f>RATE(Table1[[#This Row],[Total No. of Coupons]],Table1[[#This Row],[Coupon Amount]],-Table1[[#This Row],[Ask Price]],Table1[[#This Row],[Face value]])</f>
        <v>5.6895339116763317E-2</v>
      </c>
      <c r="AL28" s="27">
        <f>Table1[[#This Row],[IRR]]*Table1[[#This Row],[Coupon Frequency2]]</f>
        <v>5.6895339116763317E-2</v>
      </c>
      <c r="AM28" s="5">
        <f t="shared" si="2"/>
        <v>-7951160.6792019261</v>
      </c>
      <c r="AN28" t="s">
        <v>64</v>
      </c>
      <c r="AO28" t="s">
        <v>62</v>
      </c>
      <c r="AP28">
        <f t="shared" si="3"/>
        <v>1</v>
      </c>
    </row>
    <row r="29" spans="1:42" x14ac:dyDescent="0.35">
      <c r="A29" s="48" t="s">
        <v>365</v>
      </c>
      <c r="B29" s="49" t="s">
        <v>2304</v>
      </c>
      <c r="C29" s="49" t="s">
        <v>2273</v>
      </c>
      <c r="D29" s="50">
        <v>42451</v>
      </c>
      <c r="E29" s="50">
        <v>47929</v>
      </c>
      <c r="F29" s="49">
        <v>1000</v>
      </c>
      <c r="G29" s="49" t="s">
        <v>76</v>
      </c>
      <c r="H29" s="49">
        <v>1161</v>
      </c>
      <c r="I29" s="49" t="s">
        <v>76</v>
      </c>
      <c r="J29" s="49">
        <v>116.1</v>
      </c>
      <c r="K29" s="49">
        <v>70540</v>
      </c>
      <c r="L29" s="51">
        <v>7.3499999999999996E-2</v>
      </c>
      <c r="M29" s="49" t="s">
        <v>93</v>
      </c>
      <c r="N29" s="49">
        <v>2012</v>
      </c>
      <c r="O29" s="49">
        <v>6.3307493540051603</v>
      </c>
      <c r="P29" s="49" t="s">
        <v>2274</v>
      </c>
      <c r="Q29" s="49"/>
      <c r="R29" s="49" t="s">
        <v>2275</v>
      </c>
      <c r="S29">
        <f t="shared" si="0"/>
        <v>15</v>
      </c>
      <c r="T29" s="5" cm="1">
        <f t="array" ref="T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">
        <f>Table1[[#This Row],[Term to Maturity (Years)]]*Table1[[#This Row],[Coupon Frequency2]]</f>
        <v>15</v>
      </c>
      <c r="V29">
        <f>Table1[[#This Row],[Face value]]*Table1[[#This Row],[Current coupon %]]</f>
        <v>73.5</v>
      </c>
      <c r="W29" s="36">
        <f>RATE(Table1[[#This Row],[Total No. of Coupons]],Table1[[#This Row],[Coupon Amount]],-Table1[[#This Row],[Ask Price]],Table1[[#This Row],[Face value]])</f>
        <v>5.7222515485196683E-2</v>
      </c>
      <c r="X29" s="27">
        <f>Table1[[#This Row],[IRR]]*Table1[[#This Row],[Coupon Frequency2]]</f>
        <v>5.7222515485196683E-2</v>
      </c>
      <c r="Y29" s="19" cm="1">
        <f t="array" ref="Y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" s="33">
        <f>DURATION(Table1[[#This Row],[Issue date]],Table1[[#This Row],[Maturity date]],Table1[[#This Row],[Current coupon %]],Table1[[#This Row],[Yield (Annualised)]],Table1[[#This Row],[Coupon Frequency2]])</f>
        <v>9.9738460274607448</v>
      </c>
      <c r="AA29" s="33">
        <f>Table1[[#This Row],[Macaulay Duration in Years]]/(1+Table1[[#This Row],[IRR]])</f>
        <v>9.434008339184297</v>
      </c>
      <c r="AB29" s="58">
        <f>VLOOKUP(Table1[[#This Row],[Yield Cluster]],'Cluster Details'!$B$3:$C$16,2,0)</f>
        <v>7.8548801574189142E-2</v>
      </c>
      <c r="AC29" s="78">
        <f>PRICE(Table1[[#This Row],[Issue date]],Table1[[#This Row],[Maturity date]],Table1[[#This Row],[Current coupon %]],Table1[[#This Row],[Average Cluster Yield]],100,Table1[[#This Row],[Coupon Frequency2]])*Table1[[#This Row],[Face value]]/100</f>
        <v>956.3993109553769</v>
      </c>
      <c r="AD29" s="58" t="str">
        <f>IF(Table1[[#This Row],[Ask Price]]&gt;Table1[[#This Row],[Calculated Bond Price]],"Rich","Cheap")</f>
        <v>Rich</v>
      </c>
      <c r="AE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1058.1914770573974</v>
      </c>
      <c r="AF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1277.9449504094855</v>
      </c>
      <c r="AG29" s="78">
        <f>(Table1[[#This Row],[P (+ shock)]]+Table1[[#This Row],[P (-shock)]]-2*Table1[[#This Row],[Ask Price]])/(2*Table1[[#This Row],[Ask Price]]*($AF$2^2))</f>
        <v>60.880393914225259</v>
      </c>
      <c r="AH29">
        <v>14.7562781929576</v>
      </c>
      <c r="AI29" s="6">
        <f t="shared" si="1"/>
        <v>6.3307493540051676E-2</v>
      </c>
      <c r="AK29" s="47">
        <f>RATE(Table1[[#This Row],[Total No. of Coupons]],Table1[[#This Row],[Coupon Amount]],-Table1[[#This Row],[Ask Price]],Table1[[#This Row],[Face value]])</f>
        <v>5.7222515485196683E-2</v>
      </c>
      <c r="AL29" s="27">
        <f>Table1[[#This Row],[IRR]]*Table1[[#This Row],[Coupon Frequency2]]</f>
        <v>5.7222515485196683E-2</v>
      </c>
      <c r="AM29" s="5">
        <f t="shared" si="2"/>
        <v>-10952.88368179297</v>
      </c>
      <c r="AN29" t="s">
        <v>64</v>
      </c>
      <c r="AO29" t="s">
        <v>62</v>
      </c>
      <c r="AP29">
        <f t="shared" si="3"/>
        <v>1</v>
      </c>
    </row>
    <row r="30" spans="1:42" x14ac:dyDescent="0.35">
      <c r="A30" s="48" t="s">
        <v>1119</v>
      </c>
      <c r="B30" s="49" t="s">
        <v>2305</v>
      </c>
      <c r="C30" s="49" t="s">
        <v>2273</v>
      </c>
      <c r="D30" s="50">
        <v>44868</v>
      </c>
      <c r="E30" s="50">
        <v>46694</v>
      </c>
      <c r="F30" s="49">
        <v>1000</v>
      </c>
      <c r="G30" s="49" t="s">
        <v>76</v>
      </c>
      <c r="H30" s="49">
        <v>1075</v>
      </c>
      <c r="I30" s="49" t="s">
        <v>76</v>
      </c>
      <c r="J30" s="49">
        <v>107.5</v>
      </c>
      <c r="K30" s="49">
        <v>294</v>
      </c>
      <c r="L30" s="51">
        <v>7.4999999999999997E-2</v>
      </c>
      <c r="M30" s="49" t="s">
        <v>93</v>
      </c>
      <c r="N30" s="49">
        <v>777</v>
      </c>
      <c r="O30" s="49">
        <v>6.9767441860465098</v>
      </c>
      <c r="P30" s="49" t="s">
        <v>2285</v>
      </c>
      <c r="Q30" s="49"/>
      <c r="R30" s="49" t="s">
        <v>2275</v>
      </c>
      <c r="S30">
        <f t="shared" si="0"/>
        <v>5</v>
      </c>
      <c r="T30" s="5" cm="1">
        <f t="array" ref="T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">
        <f>Table1[[#This Row],[Term to Maturity (Years)]]*Table1[[#This Row],[Coupon Frequency2]]</f>
        <v>5</v>
      </c>
      <c r="V30">
        <f>Table1[[#This Row],[Face value]]*Table1[[#This Row],[Current coupon %]]</f>
        <v>75</v>
      </c>
      <c r="W30" s="36">
        <f>RATE(Table1[[#This Row],[Total No. of Coupons]],Table1[[#This Row],[Coupon Amount]],-Table1[[#This Row],[Ask Price]],Table1[[#This Row],[Face value]])</f>
        <v>5.7324657824565833E-2</v>
      </c>
      <c r="X30" s="27">
        <f>Table1[[#This Row],[IRR]]*Table1[[#This Row],[Coupon Frequency2]]</f>
        <v>5.7324657824565833E-2</v>
      </c>
      <c r="Y30" s="19" cm="1">
        <f t="array" ref="Y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" s="33">
        <f>DURATION(Table1[[#This Row],[Issue date]],Table1[[#This Row],[Maturity date]],Table1[[#This Row],[Current coupon %]],Table1[[#This Row],[Yield (Annualised)]],Table1[[#This Row],[Coupon Frequency2]])</f>
        <v>4.3749667355109692</v>
      </c>
      <c r="AA30" s="33">
        <f>Table1[[#This Row],[Macaulay Duration in Years]]/(1+Table1[[#This Row],[IRR]])</f>
        <v>4.1377704597492473</v>
      </c>
      <c r="AB30" s="58">
        <f>VLOOKUP(Table1[[#This Row],[Yield Cluster]],'Cluster Details'!$B$3:$C$16,2,0)</f>
        <v>7.8548801574189142E-2</v>
      </c>
      <c r="AC30" s="78">
        <f>PRICE(Table1[[#This Row],[Issue date]],Table1[[#This Row],[Maturity date]],Table1[[#This Row],[Current coupon %]],Table1[[#This Row],[Average Cluster Yield]],100,Table1[[#This Row],[Coupon Frequency2]])*Table1[[#This Row],[Face value]]/100</f>
        <v>985.77630343481087</v>
      </c>
      <c r="AD30" s="58" t="str">
        <f>IF(Table1[[#This Row],[Ask Price]]&gt;Table1[[#This Row],[Calculated Bond Price]],"Rich","Cheap")</f>
        <v>Rich</v>
      </c>
      <c r="AE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1031.6971412900195</v>
      </c>
      <c r="AF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1120.711077912752</v>
      </c>
      <c r="AG30" s="78">
        <f>(Table1[[#This Row],[P (+ shock)]]+Table1[[#This Row],[P (-shock)]]-2*Table1[[#This Row],[Ask Price]])/(2*Table1[[#This Row],[Ask Price]]*($AF$2^2))</f>
        <v>11.201019547775633</v>
      </c>
      <c r="AH30">
        <v>11.2006108976253</v>
      </c>
      <c r="AI30" s="6">
        <f t="shared" si="1"/>
        <v>6.9767441860465115E-2</v>
      </c>
      <c r="AK30" s="47">
        <f>RATE(Table1[[#This Row],[Total No. of Coupons]],Table1[[#This Row],[Coupon Amount]],-Table1[[#This Row],[Ask Price]],Table1[[#This Row],[Face value]])</f>
        <v>5.7324657824565833E-2</v>
      </c>
      <c r="AL30" s="27">
        <f>Table1[[#This Row],[IRR]]*Table1[[#This Row],[Coupon Frequency2]]</f>
        <v>5.7324657824565833E-2</v>
      </c>
      <c r="AM30" s="5">
        <f t="shared" si="2"/>
        <v>-4448.1032442304404</v>
      </c>
      <c r="AN30" t="s">
        <v>64</v>
      </c>
      <c r="AO30" t="s">
        <v>62</v>
      </c>
      <c r="AP30">
        <f t="shared" si="3"/>
        <v>1</v>
      </c>
    </row>
    <row r="31" spans="1:42" x14ac:dyDescent="0.35">
      <c r="A31" s="48" t="s">
        <v>2306</v>
      </c>
      <c r="B31" s="49" t="s">
        <v>2307</v>
      </c>
      <c r="C31" s="49" t="s">
        <v>2273</v>
      </c>
      <c r="D31" s="50">
        <v>45670</v>
      </c>
      <c r="E31" s="50">
        <v>46836</v>
      </c>
      <c r="F31" s="49">
        <v>100000</v>
      </c>
      <c r="G31" s="49" t="s">
        <v>76</v>
      </c>
      <c r="H31" s="49">
        <v>104713</v>
      </c>
      <c r="I31" s="49" t="s">
        <v>76</v>
      </c>
      <c r="J31" s="49">
        <v>104.71299999999999</v>
      </c>
      <c r="K31" s="49">
        <v>1500</v>
      </c>
      <c r="L31" s="51">
        <v>7.5300000000000006E-2</v>
      </c>
      <c r="M31" s="49" t="s">
        <v>93</v>
      </c>
      <c r="N31" s="49">
        <v>919</v>
      </c>
      <c r="O31" s="49">
        <v>7.1910842015795504</v>
      </c>
      <c r="P31" s="49"/>
      <c r="Q31" s="49"/>
      <c r="R31" s="49" t="s">
        <v>2275</v>
      </c>
      <c r="S31">
        <f t="shared" si="0"/>
        <v>3</v>
      </c>
      <c r="T31" s="5" cm="1">
        <f t="array" ref="T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">
        <f>Table1[[#This Row],[Term to Maturity (Years)]]*Table1[[#This Row],[Coupon Frequency2]]</f>
        <v>3</v>
      </c>
      <c r="V31">
        <f>Table1[[#This Row],[Face value]]*Table1[[#This Row],[Current coupon %]]</f>
        <v>7530.0000000000009</v>
      </c>
      <c r="W31" s="36">
        <f>RATE(Table1[[#This Row],[Total No. of Coupons]],Table1[[#This Row],[Coupon Amount]],-Table1[[#This Row],[Ask Price]],Table1[[#This Row],[Face value]])</f>
        <v>5.7741821411677531E-2</v>
      </c>
      <c r="X31" s="27">
        <f>Table1[[#This Row],[IRR]]*Table1[[#This Row],[Coupon Frequency2]]</f>
        <v>5.7741821411677531E-2</v>
      </c>
      <c r="Y31" s="19" cm="1">
        <f t="array" ref="Y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" s="33">
        <f>DURATION(Table1[[#This Row],[Issue date]],Table1[[#This Row],[Maturity date]],Table1[[#This Row],[Current coupon %]],Table1[[#This Row],[Yield (Annualised)]],Table1[[#This Row],[Coupon Frequency2]])</f>
        <v>2.8091517184911039</v>
      </c>
      <c r="AA31" s="33">
        <f>Table1[[#This Row],[Macaulay Duration in Years]]/(1+Table1[[#This Row],[IRR]])</f>
        <v>2.6558009351865932</v>
      </c>
      <c r="AB31" s="58">
        <f>VLOOKUP(Table1[[#This Row],[Yield Cluster]],'Cluster Details'!$B$3:$C$16,2,0)</f>
        <v>7.8548801574189142E-2</v>
      </c>
      <c r="AC31" s="78">
        <f>PRICE(Table1[[#This Row],[Issue date]],Table1[[#This Row],[Maturity date]],Table1[[#This Row],[Current coupon %]],Table1[[#This Row],[Average Cluster Yield]],100,Table1[[#This Row],[Coupon Frequency2]])*Table1[[#This Row],[Face value]]/100</f>
        <v>99066.341925160901</v>
      </c>
      <c r="AD31" s="58" t="str">
        <f>IF(Table1[[#This Row],[Ask Price]]&gt;Table1[[#This Row],[Calculated Bond Price]],"Rich","Cheap")</f>
        <v>Rich</v>
      </c>
      <c r="AE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102070.11150794599</v>
      </c>
      <c r="AF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107968.20946073422</v>
      </c>
      <c r="AG31" s="78">
        <f>(Table1[[#This Row],[P (+ shock)]]+Table1[[#This Row],[P (-shock)]]-2*Table1[[#This Row],[Ask Price]])/(2*Table1[[#This Row],[Ask Price]]*($AF$2^2))</f>
        <v>29.238058726242208</v>
      </c>
      <c r="AH31">
        <v>15.474702597213801</v>
      </c>
      <c r="AI31" s="6">
        <f t="shared" si="1"/>
        <v>7.1910842015795562E-2</v>
      </c>
      <c r="AK31" s="47">
        <f>RATE(Table1[[#This Row],[Total No. of Coupons]],Table1[[#This Row],[Coupon Amount]],-Table1[[#This Row],[Ask Price]],Table1[[#This Row],[Face value]])</f>
        <v>5.7741821411677531E-2</v>
      </c>
      <c r="AL31" s="27">
        <f>Table1[[#This Row],[IRR]]*Table1[[#This Row],[Coupon Frequency2]]</f>
        <v>5.7741821411677531E-2</v>
      </c>
      <c r="AM31" s="5">
        <f t="shared" si="2"/>
        <v>-278096.88332619373</v>
      </c>
      <c r="AN31" t="s">
        <v>64</v>
      </c>
      <c r="AO31" t="s">
        <v>62</v>
      </c>
      <c r="AP31">
        <f t="shared" si="3"/>
        <v>1</v>
      </c>
    </row>
    <row r="32" spans="1:42" x14ac:dyDescent="0.35">
      <c r="A32" s="48" t="s">
        <v>2110</v>
      </c>
      <c r="B32" s="49" t="s">
        <v>2308</v>
      </c>
      <c r="C32" s="49" t="s">
        <v>2273</v>
      </c>
      <c r="D32" s="50">
        <v>45231</v>
      </c>
      <c r="E32" s="50">
        <v>45962</v>
      </c>
      <c r="F32" s="49">
        <v>1000</v>
      </c>
      <c r="G32" s="49" t="s">
        <v>76</v>
      </c>
      <c r="H32" s="49">
        <v>1059.0999999999999</v>
      </c>
      <c r="I32" s="49" t="s">
        <v>76</v>
      </c>
      <c r="J32" s="49">
        <v>105.91</v>
      </c>
      <c r="K32" s="49">
        <v>50</v>
      </c>
      <c r="L32" s="51">
        <v>0.09</v>
      </c>
      <c r="M32" s="49" t="s">
        <v>93</v>
      </c>
      <c r="N32" s="49">
        <v>45</v>
      </c>
      <c r="O32" s="49">
        <v>8.4977811349258801</v>
      </c>
      <c r="P32" s="49"/>
      <c r="Q32" s="49"/>
      <c r="R32" s="49" t="s">
        <v>2275</v>
      </c>
      <c r="S32">
        <f t="shared" si="0"/>
        <v>2</v>
      </c>
      <c r="T32" s="5" cm="1">
        <f t="array" ref="T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">
        <f>Table1[[#This Row],[Term to Maturity (Years)]]*Table1[[#This Row],[Coupon Frequency2]]</f>
        <v>2</v>
      </c>
      <c r="V32">
        <f>Table1[[#This Row],[Face value]]*Table1[[#This Row],[Current coupon %]]</f>
        <v>90</v>
      </c>
      <c r="W32" s="36">
        <f>RATE(Table1[[#This Row],[Total No. of Coupons]],Table1[[#This Row],[Coupon Amount]],-Table1[[#This Row],[Ask Price]],Table1[[#This Row],[Face value]])</f>
        <v>5.7861262170252545E-2</v>
      </c>
      <c r="X32" s="27">
        <f>Table1[[#This Row],[IRR]]*Table1[[#This Row],[Coupon Frequency2]]</f>
        <v>5.7861262170252545E-2</v>
      </c>
      <c r="Y32" s="19" cm="1">
        <f t="array" ref="Y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" s="33">
        <f>DURATION(Table1[[#This Row],[Issue date]],Table1[[#This Row],[Maturity date]],Table1[[#This Row],[Current coupon %]],Table1[[#This Row],[Yield (Annualised)]],Table1[[#This Row],[Coupon Frequency2]])</f>
        <v>1.9196701737854236</v>
      </c>
      <c r="AA32" s="33">
        <f>Table1[[#This Row],[Macaulay Duration in Years]]/(1+Table1[[#This Row],[IRR]])</f>
        <v>1.8146710182459362</v>
      </c>
      <c r="AB32" s="58">
        <f>VLOOKUP(Table1[[#This Row],[Yield Cluster]],'Cluster Details'!$B$3:$C$16,2,0)</f>
        <v>7.8548801574189142E-2</v>
      </c>
      <c r="AC32" s="78">
        <f>PRICE(Table1[[#This Row],[Issue date]],Table1[[#This Row],[Maturity date]],Table1[[#This Row],[Current coupon %]],Table1[[#This Row],[Average Cluster Yield]],100,Table1[[#This Row],[Coupon Frequency2]])*Table1[[#This Row],[Face value]]/100</f>
        <v>1020.4612218677136</v>
      </c>
      <c r="AD32" s="58" t="str">
        <f>IF(Table1[[#This Row],[Ask Price]]&gt;Table1[[#This Row],[Calculated Bond Price]],"Rich","Cheap")</f>
        <v>Rich</v>
      </c>
      <c r="AE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1040.1462135361121</v>
      </c>
      <c r="AF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1078.591301901107</v>
      </c>
      <c r="AG32" s="78">
        <f>(Table1[[#This Row],[P (+ shock)]]+Table1[[#This Row],[P (-shock)]]-2*Table1[[#This Row],[Ask Price]])/(2*Table1[[#This Row],[Ask Price]]*($AF$2^2))</f>
        <v>2.5376047456309787</v>
      </c>
      <c r="AH32">
        <v>-25.854442168001398</v>
      </c>
      <c r="AI32" s="6">
        <f t="shared" si="1"/>
        <v>8.4977811349258817E-2</v>
      </c>
      <c r="AK32" s="47">
        <f>RATE(Table1[[#This Row],[Total No. of Coupons]],Table1[[#This Row],[Coupon Amount]],-Table1[[#This Row],[Ask Price]],Table1[[#This Row],[Face value]])</f>
        <v>5.7861262170252545E-2</v>
      </c>
      <c r="AL32" s="27">
        <f>Table1[[#This Row],[IRR]]*Table1[[#This Row],[Coupon Frequency2]]</f>
        <v>5.7861262170252545E-2</v>
      </c>
      <c r="AM32" s="5">
        <f t="shared" si="2"/>
        <v>-1921.9180754242709</v>
      </c>
      <c r="AN32" t="s">
        <v>64</v>
      </c>
      <c r="AO32" t="s">
        <v>62</v>
      </c>
      <c r="AP32">
        <f t="shared" si="3"/>
        <v>1</v>
      </c>
    </row>
    <row r="33" spans="1:42" x14ac:dyDescent="0.35">
      <c r="A33" s="48" t="s">
        <v>422</v>
      </c>
      <c r="B33" s="49" t="s">
        <v>2309</v>
      </c>
      <c r="C33" s="49" t="s">
        <v>2273</v>
      </c>
      <c r="D33" s="50">
        <v>42282</v>
      </c>
      <c r="E33" s="50">
        <v>47761</v>
      </c>
      <c r="F33" s="49">
        <v>1000</v>
      </c>
      <c r="G33" s="49" t="s">
        <v>76</v>
      </c>
      <c r="H33" s="49">
        <v>1140</v>
      </c>
      <c r="I33" s="49" t="s">
        <v>76</v>
      </c>
      <c r="J33" s="49">
        <v>113.99999999999901</v>
      </c>
      <c r="K33" s="49">
        <v>40</v>
      </c>
      <c r="L33" s="51">
        <v>7.2800000000000004E-2</v>
      </c>
      <c r="M33" s="49" t="s">
        <v>93</v>
      </c>
      <c r="N33" s="49">
        <v>1844</v>
      </c>
      <c r="O33" s="49">
        <v>6.3859649122807003</v>
      </c>
      <c r="P33" s="49" t="s">
        <v>2274</v>
      </c>
      <c r="Q33" s="49"/>
      <c r="R33" s="49" t="s">
        <v>2275</v>
      </c>
      <c r="S33">
        <f t="shared" si="0"/>
        <v>15</v>
      </c>
      <c r="T33" s="5" cm="1">
        <f t="array" ref="T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">
        <f>Table1[[#This Row],[Term to Maturity (Years)]]*Table1[[#This Row],[Coupon Frequency2]]</f>
        <v>15</v>
      </c>
      <c r="V33">
        <f>Table1[[#This Row],[Face value]]*Table1[[#This Row],[Current coupon %]]</f>
        <v>72.8</v>
      </c>
      <c r="W33" s="36">
        <f>RATE(Table1[[#This Row],[Total No. of Coupons]],Table1[[#This Row],[Coupon Amount]],-Table1[[#This Row],[Ask Price]],Table1[[#This Row],[Face value]])</f>
        <v>5.8523915509188708E-2</v>
      </c>
      <c r="X33" s="27">
        <f>Table1[[#This Row],[IRR]]*Table1[[#This Row],[Coupon Frequency2]]</f>
        <v>5.8523915509188708E-2</v>
      </c>
      <c r="Y33" s="19" cm="1">
        <f t="array" ref="Y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" s="33">
        <f>DURATION(Table1[[#This Row],[Issue date]],Table1[[#This Row],[Maturity date]],Table1[[#This Row],[Current coupon %]],Table1[[#This Row],[Yield (Annualised)]],Table1[[#This Row],[Coupon Frequency2]])</f>
        <v>9.9593662743003186</v>
      </c>
      <c r="AA33" s="33">
        <f>Table1[[#This Row],[Macaulay Duration in Years]]/(1+Table1[[#This Row],[IRR]])</f>
        <v>9.4087305240614221</v>
      </c>
      <c r="AB33" s="58">
        <f>VLOOKUP(Table1[[#This Row],[Yield Cluster]],'Cluster Details'!$B$3:$C$16,2,0)</f>
        <v>7.8548801574189142E-2</v>
      </c>
      <c r="AC33" s="78">
        <f>PRICE(Table1[[#This Row],[Issue date]],Table1[[#This Row],[Maturity date]],Table1[[#This Row],[Current coupon %]],Table1[[#This Row],[Average Cluster Yield]],100,Table1[[#This Row],[Coupon Frequency2]])*Table1[[#This Row],[Face value]]/100</f>
        <v>950.3542165141007</v>
      </c>
      <c r="AD33" s="58" t="str">
        <f>IF(Table1[[#This Row],[Ask Price]]&gt;Table1[[#This Row],[Calculated Bond Price]],"Rich","Cheap")</f>
        <v>Rich</v>
      </c>
      <c r="AE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1039.3119286312642</v>
      </c>
      <c r="AF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1254.5104767019482</v>
      </c>
      <c r="AG33" s="78">
        <f>(Table1[[#This Row],[P (+ shock)]]+Table1[[#This Row],[P (-shock)]]-2*Table1[[#This Row],[Ask Price]])/(2*Table1[[#This Row],[Ask Price]]*($AF$2^2))</f>
        <v>60.624584794791105</v>
      </c>
      <c r="AH33">
        <v>13.269204592274299</v>
      </c>
      <c r="AI33" s="6">
        <f t="shared" si="1"/>
        <v>6.3859649122807019E-2</v>
      </c>
      <c r="AK33" s="47">
        <f>RATE(Table1[[#This Row],[Total No. of Coupons]],Table1[[#This Row],[Coupon Amount]],-Table1[[#This Row],[Ask Price]],Table1[[#This Row],[Face value]])</f>
        <v>5.8523915509188708E-2</v>
      </c>
      <c r="AL33" s="27">
        <f>Table1[[#This Row],[IRR]]*Table1[[#This Row],[Coupon Frequency2]]</f>
        <v>5.8523915509188708E-2</v>
      </c>
      <c r="AM33" s="5">
        <f t="shared" si="2"/>
        <v>-10725.952797430022</v>
      </c>
      <c r="AN33" t="s">
        <v>64</v>
      </c>
      <c r="AO33" t="s">
        <v>62</v>
      </c>
      <c r="AP33">
        <f t="shared" si="3"/>
        <v>1</v>
      </c>
    </row>
    <row r="34" spans="1:42" x14ac:dyDescent="0.35">
      <c r="A34" s="48" t="s">
        <v>254</v>
      </c>
      <c r="B34" s="49" t="s">
        <v>2310</v>
      </c>
      <c r="C34" s="49" t="s">
        <v>2273</v>
      </c>
      <c r="D34" s="50">
        <v>41228</v>
      </c>
      <c r="E34" s="50">
        <v>48533</v>
      </c>
      <c r="F34" s="49">
        <v>1000000</v>
      </c>
      <c r="G34" s="49" t="s">
        <v>76</v>
      </c>
      <c r="H34" s="49">
        <v>1180000</v>
      </c>
      <c r="I34" s="49" t="s">
        <v>76</v>
      </c>
      <c r="J34" s="49">
        <v>118</v>
      </c>
      <c r="K34" s="49">
        <v>138</v>
      </c>
      <c r="L34" s="51">
        <v>7.4099999999999999E-2</v>
      </c>
      <c r="M34" s="49" t="s">
        <v>93</v>
      </c>
      <c r="N34" s="49">
        <v>2616</v>
      </c>
      <c r="O34" s="49">
        <v>6.2796610169491496</v>
      </c>
      <c r="P34" s="49" t="s">
        <v>2282</v>
      </c>
      <c r="Q34" s="49"/>
      <c r="R34" s="49" t="s">
        <v>2275</v>
      </c>
      <c r="S34">
        <f t="shared" si="0"/>
        <v>20</v>
      </c>
      <c r="T34" s="5" cm="1">
        <f t="array" ref="T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">
        <f>Table1[[#This Row],[Term to Maturity (Years)]]*Table1[[#This Row],[Coupon Frequency2]]</f>
        <v>20</v>
      </c>
      <c r="V34">
        <f>Table1[[#This Row],[Face value]]*Table1[[#This Row],[Current coupon %]]</f>
        <v>74100</v>
      </c>
      <c r="W34" s="36">
        <f>RATE(Table1[[#This Row],[Total No. of Coupons]],Table1[[#This Row],[Coupon Amount]],-Table1[[#This Row],[Ask Price]],Table1[[#This Row],[Face value]])</f>
        <v>5.8586390996003157E-2</v>
      </c>
      <c r="X34" s="27">
        <f>Table1[[#This Row],[IRR]]*Table1[[#This Row],[Coupon Frequency2]]</f>
        <v>5.8586390996003157E-2</v>
      </c>
      <c r="Y34" s="19" cm="1">
        <f t="array" ref="Y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" s="33">
        <f>DURATION(Table1[[#This Row],[Issue date]],Table1[[#This Row],[Maturity date]],Table1[[#This Row],[Current coupon %]],Table1[[#This Row],[Yield (Annualised)]],Table1[[#This Row],[Coupon Frequency2]])</f>
        <v>11.727869622225372</v>
      </c>
      <c r="AA34" s="33">
        <f>Table1[[#This Row],[Macaulay Duration in Years]]/(1+Table1[[#This Row],[IRR]])</f>
        <v>11.078802563474152</v>
      </c>
      <c r="AB34" s="58">
        <f>VLOOKUP(Table1[[#This Row],[Yield Cluster]],'Cluster Details'!$B$3:$C$16,2,0)</f>
        <v>7.8548801574189142E-2</v>
      </c>
      <c r="AC34" s="78">
        <f>PRICE(Table1[[#This Row],[Issue date]],Table1[[#This Row],[Maturity date]],Table1[[#This Row],[Current coupon %]],Table1[[#This Row],[Average Cluster Yield]],100,Table1[[#This Row],[Coupon Frequency2]])*Table1[[#This Row],[Face value]]/100</f>
        <v>955845.2477814072</v>
      </c>
      <c r="AD34" s="58" t="str">
        <f>IF(Table1[[#This Row],[Ask Price]]&gt;Table1[[#This Row],[Calculated Bond Price]],"Rich","Cheap")</f>
        <v>Rich</v>
      </c>
      <c r="AE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1059058.5505901037</v>
      </c>
      <c r="AF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1321801.786515183</v>
      </c>
      <c r="AG34" s="78">
        <f>(Table1[[#This Row],[P (+ shock)]]+Table1[[#This Row],[P (-shock)]]-2*Table1[[#This Row],[Ask Price]])/(2*Table1[[#This Row],[Ask Price]]*($AF$2^2))</f>
        <v>88.391258920706662</v>
      </c>
      <c r="AH34">
        <v>12.252151141040001</v>
      </c>
      <c r="AI34" s="6">
        <f t="shared" si="1"/>
        <v>6.2796610169491521E-2</v>
      </c>
      <c r="AK34" s="47">
        <f>RATE(Table1[[#This Row],[Total No. of Coupons]],Table1[[#This Row],[Coupon Amount]],-Table1[[#This Row],[Ask Price]],Table1[[#This Row],[Face value]])</f>
        <v>5.8586390996003157E-2</v>
      </c>
      <c r="AL34" s="27">
        <f>Table1[[#This Row],[IRR]]*Table1[[#This Row],[Coupon Frequency2]]</f>
        <v>5.8586390996003157E-2</v>
      </c>
      <c r="AM34" s="5">
        <f t="shared" si="2"/>
        <v>-13072987.024899499</v>
      </c>
      <c r="AN34" t="s">
        <v>64</v>
      </c>
      <c r="AO34" t="s">
        <v>62</v>
      </c>
      <c r="AP34">
        <f t="shared" si="3"/>
        <v>1</v>
      </c>
    </row>
    <row r="35" spans="1:42" x14ac:dyDescent="0.35">
      <c r="A35" s="48" t="s">
        <v>2092</v>
      </c>
      <c r="B35" s="49" t="s">
        <v>2311</v>
      </c>
      <c r="C35" s="49" t="s">
        <v>2273</v>
      </c>
      <c r="D35" s="50">
        <v>44140</v>
      </c>
      <c r="E35" s="50">
        <v>45966</v>
      </c>
      <c r="F35" s="49">
        <v>1000</v>
      </c>
      <c r="G35" s="49" t="s">
        <v>76</v>
      </c>
      <c r="H35" s="49">
        <v>1079.8</v>
      </c>
      <c r="I35" s="49" t="s">
        <v>76</v>
      </c>
      <c r="J35" s="49">
        <v>107.979999999999</v>
      </c>
      <c r="K35" s="49">
        <v>1</v>
      </c>
      <c r="L35" s="51">
        <v>7.7499999999999999E-2</v>
      </c>
      <c r="M35" s="49" t="s">
        <v>93</v>
      </c>
      <c r="N35" s="49">
        <v>49</v>
      </c>
      <c r="O35" s="49">
        <v>7.1772550472309602</v>
      </c>
      <c r="P35" s="49" t="s">
        <v>2285</v>
      </c>
      <c r="Q35" s="49"/>
      <c r="R35" s="49" t="s">
        <v>2275</v>
      </c>
      <c r="S35">
        <f t="shared" si="0"/>
        <v>5</v>
      </c>
      <c r="T35" s="5" cm="1">
        <f t="array" ref="T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">
        <f>Table1[[#This Row],[Term to Maturity (Years)]]*Table1[[#This Row],[Coupon Frequency2]]</f>
        <v>5</v>
      </c>
      <c r="V35">
        <f>Table1[[#This Row],[Face value]]*Table1[[#This Row],[Current coupon %]]</f>
        <v>77.5</v>
      </c>
      <c r="W35" s="36">
        <f>RATE(Table1[[#This Row],[Total No. of Coupons]],Table1[[#This Row],[Coupon Amount]],-Table1[[#This Row],[Ask Price]],Table1[[#This Row],[Face value]])</f>
        <v>5.8626497395503845E-2</v>
      </c>
      <c r="X35" s="27">
        <f>Table1[[#This Row],[IRR]]*Table1[[#This Row],[Coupon Frequency2]]</f>
        <v>5.8626497395503845E-2</v>
      </c>
      <c r="Y35" s="19" cm="1">
        <f t="array" ref="Y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" s="33">
        <f>DURATION(Table1[[#This Row],[Issue date]],Table1[[#This Row],[Maturity date]],Table1[[#This Row],[Current coupon %]],Table1[[#This Row],[Yield (Annualised)]],Table1[[#This Row],[Coupon Frequency2]])</f>
        <v>4.3585401062019242</v>
      </c>
      <c r="AA35" s="33">
        <f>Table1[[#This Row],[Macaulay Duration in Years]]/(1+Table1[[#This Row],[IRR]])</f>
        <v>4.117165135130346</v>
      </c>
      <c r="AB35" s="58">
        <f>VLOOKUP(Table1[[#This Row],[Yield Cluster]],'Cluster Details'!$B$3:$C$16,2,0)</f>
        <v>7.8548801574189142E-2</v>
      </c>
      <c r="AC35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995.79637377957192</v>
      </c>
      <c r="AD35" s="58" t="str">
        <f>IF(Table1[[#This Row],[Ask Price]]&gt;Table1[[#This Row],[Calculated Bond Price]],"Rich","Cheap")</f>
        <v>Rich</v>
      </c>
      <c r="AE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1036.5173071460435</v>
      </c>
      <c r="AF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1125.4832089903566</v>
      </c>
      <c r="AG35" s="78">
        <f>(Table1[[#This Row],[P (+ shock)]]+Table1[[#This Row],[P (-shock)]]-2*Table1[[#This Row],[Ask Price]])/(2*Table1[[#This Row],[Ask Price]]*($AF$2^2))</f>
        <v>11.115559068347174</v>
      </c>
      <c r="AH35">
        <v>-22.220766852499199</v>
      </c>
      <c r="AI35" s="6">
        <f t="shared" si="1"/>
        <v>7.1772550472309696E-2</v>
      </c>
      <c r="AK35" s="47">
        <f>RATE(Table1[[#This Row],[Total No. of Coupons]],Table1[[#This Row],[Coupon Amount]],-Table1[[#This Row],[Ask Price]],Table1[[#This Row],[Face value]])</f>
        <v>5.8626497395503845E-2</v>
      </c>
      <c r="AL35" s="27">
        <f>Table1[[#This Row],[IRR]]*Table1[[#This Row],[Coupon Frequency2]]</f>
        <v>5.8626497395503845E-2</v>
      </c>
      <c r="AM35" s="5">
        <f t="shared" si="2"/>
        <v>-4445.714912913747</v>
      </c>
      <c r="AN35" t="s">
        <v>64</v>
      </c>
      <c r="AO35" t="s">
        <v>62</v>
      </c>
      <c r="AP35">
        <f t="shared" si="3"/>
        <v>1</v>
      </c>
    </row>
    <row r="36" spans="1:42" x14ac:dyDescent="0.35">
      <c r="A36" s="48" t="s">
        <v>112</v>
      </c>
      <c r="B36" s="49" t="s">
        <v>2312</v>
      </c>
      <c r="C36" s="49" t="s">
        <v>2273</v>
      </c>
      <c r="D36" s="50">
        <v>42294</v>
      </c>
      <c r="E36" s="50">
        <v>49599</v>
      </c>
      <c r="F36" s="49">
        <v>1000</v>
      </c>
      <c r="G36" s="49" t="s">
        <v>76</v>
      </c>
      <c r="H36" s="49">
        <v>1171.0999999999999</v>
      </c>
      <c r="I36" s="49" t="s">
        <v>76</v>
      </c>
      <c r="J36" s="49">
        <v>117.109999999999</v>
      </c>
      <c r="K36" s="49">
        <v>244</v>
      </c>
      <c r="L36" s="51">
        <v>7.3499999999999996E-2</v>
      </c>
      <c r="M36" s="49" t="s">
        <v>93</v>
      </c>
      <c r="N36" s="49">
        <v>3682</v>
      </c>
      <c r="O36" s="49">
        <v>6.2761506276150598</v>
      </c>
      <c r="P36" s="49" t="s">
        <v>2282</v>
      </c>
      <c r="Q36" s="49"/>
      <c r="R36" s="49" t="s">
        <v>2275</v>
      </c>
      <c r="S36">
        <f t="shared" si="0"/>
        <v>20</v>
      </c>
      <c r="T36" s="5" cm="1">
        <f t="array" ref="T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">
        <f>Table1[[#This Row],[Term to Maturity (Years)]]*Table1[[#This Row],[Coupon Frequency2]]</f>
        <v>20</v>
      </c>
      <c r="V36">
        <f>Table1[[#This Row],[Face value]]*Table1[[#This Row],[Current coupon %]]</f>
        <v>73.5</v>
      </c>
      <c r="W36" s="36">
        <f>RATE(Table1[[#This Row],[Total No. of Coupons]],Table1[[#This Row],[Coupon Amount]],-Table1[[#This Row],[Ask Price]],Table1[[#This Row],[Face value]])</f>
        <v>5.8735488522365188E-2</v>
      </c>
      <c r="X36" s="27">
        <f>Table1[[#This Row],[IRR]]*Table1[[#This Row],[Coupon Frequency2]]</f>
        <v>5.8735488522365188E-2</v>
      </c>
      <c r="Y36" s="19" cm="1">
        <f t="array" ref="Y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" s="33">
        <f>DURATION(Table1[[#This Row],[Issue date]],Table1[[#This Row],[Maturity date]],Table1[[#This Row],[Current coupon %]],Table1[[#This Row],[Yield (Annualised)]],Table1[[#This Row],[Coupon Frequency2]])</f>
        <v>11.73935812486433</v>
      </c>
      <c r="AA36" s="33">
        <f>Table1[[#This Row],[Macaulay Duration in Years]]/(1+Table1[[#This Row],[IRR]])</f>
        <v>11.088093534343013</v>
      </c>
      <c r="AB36" s="58">
        <f>VLOOKUP(Table1[[#This Row],[Yield Cluster]],'Cluster Details'!$B$3:$C$16,2,0)</f>
        <v>7.8548801574189142E-2</v>
      </c>
      <c r="AC36" s="78">
        <f>PRICE(Table1[[#This Row],[Issue date]],Table1[[#This Row],[Maturity date]],Table1[[#This Row],[Current coupon %]],Table1[[#This Row],[Average Cluster Yield]],100,Table1[[#This Row],[Coupon Frequency2]])*Table1[[#This Row],[Face value]]/100</f>
        <v>949.89019429355073</v>
      </c>
      <c r="AD36" s="58" t="str">
        <f>IF(Table1[[#This Row],[Ask Price]]&gt;Table1[[#This Row],[Calculated Bond Price]],"Rich","Cheap")</f>
        <v>Rich</v>
      </c>
      <c r="AE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1050.9752054572355</v>
      </c>
      <c r="AF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1311.9565305076756</v>
      </c>
      <c r="AG36" s="78">
        <f>(Table1[[#This Row],[P (+ shock)]]+Table1[[#This Row],[P (-shock)]]-2*Table1[[#This Row],[Ask Price]])/(2*Table1[[#This Row],[Ask Price]]*($AF$2^2))</f>
        <v>88.513944005257557</v>
      </c>
      <c r="AH36">
        <v>11.6822347029263</v>
      </c>
      <c r="AI36" s="6">
        <f t="shared" si="1"/>
        <v>6.2761506276150639E-2</v>
      </c>
      <c r="AK36" s="47">
        <f>RATE(Table1[[#This Row],[Total No. of Coupons]],Table1[[#This Row],[Coupon Amount]],-Table1[[#This Row],[Ask Price]],Table1[[#This Row],[Face value]])</f>
        <v>5.8735488522365188E-2</v>
      </c>
      <c r="AL36" s="27">
        <f>Table1[[#This Row],[IRR]]*Table1[[#This Row],[Coupon Frequency2]]</f>
        <v>5.8735488522365188E-2</v>
      </c>
      <c r="AM36" s="5">
        <f t="shared" si="2"/>
        <v>-12985.266338069101</v>
      </c>
      <c r="AN36" t="s">
        <v>64</v>
      </c>
      <c r="AO36" t="s">
        <v>62</v>
      </c>
      <c r="AP36">
        <f t="shared" si="3"/>
        <v>1</v>
      </c>
    </row>
    <row r="37" spans="1:42" x14ac:dyDescent="0.35">
      <c r="A37" s="48" t="s">
        <v>405</v>
      </c>
      <c r="B37" s="49" t="s">
        <v>2313</v>
      </c>
      <c r="C37" s="49" t="s">
        <v>2273</v>
      </c>
      <c r="D37" s="50">
        <v>42359</v>
      </c>
      <c r="E37" s="50">
        <v>47838</v>
      </c>
      <c r="F37" s="49">
        <v>1000</v>
      </c>
      <c r="G37" s="49" t="s">
        <v>76</v>
      </c>
      <c r="H37" s="49">
        <v>1134.27</v>
      </c>
      <c r="I37" s="49" t="s">
        <v>76</v>
      </c>
      <c r="J37" s="49">
        <v>113.426999999999</v>
      </c>
      <c r="K37" s="49">
        <v>10</v>
      </c>
      <c r="L37" s="51">
        <v>7.2800000000000004E-2</v>
      </c>
      <c r="M37" s="49" t="s">
        <v>93</v>
      </c>
      <c r="N37" s="49">
        <v>1921</v>
      </c>
      <c r="O37" s="49">
        <v>6.4182249376250802</v>
      </c>
      <c r="P37" s="49" t="s">
        <v>2274</v>
      </c>
      <c r="Q37" s="49"/>
      <c r="R37" s="49" t="s">
        <v>2275</v>
      </c>
      <c r="S37">
        <f t="shared" si="0"/>
        <v>15</v>
      </c>
      <c r="T37" s="5" cm="1">
        <f t="array" ref="T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">
        <f>Table1[[#This Row],[Term to Maturity (Years)]]*Table1[[#This Row],[Coupon Frequency2]]</f>
        <v>15</v>
      </c>
      <c r="V37">
        <f>Table1[[#This Row],[Face value]]*Table1[[#This Row],[Current coupon %]]</f>
        <v>72.8</v>
      </c>
      <c r="W37" s="36">
        <f>RATE(Table1[[#This Row],[Total No. of Coupons]],Table1[[#This Row],[Coupon Amount]],-Table1[[#This Row],[Ask Price]],Table1[[#This Row],[Face value]])</f>
        <v>5.9059976846572354E-2</v>
      </c>
      <c r="X37" s="27">
        <f>Table1[[#This Row],[IRR]]*Table1[[#This Row],[Coupon Frequency2]]</f>
        <v>5.9059976846572354E-2</v>
      </c>
      <c r="Y37" s="19" cm="1">
        <f t="array" ref="Y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" s="33">
        <f>DURATION(Table1[[#This Row],[Issue date]],Table1[[#This Row],[Maturity date]],Table1[[#This Row],[Current coupon %]],Table1[[#This Row],[Yield (Annualised)]],Table1[[#This Row],[Coupon Frequency2]])</f>
        <v>9.9459733200721292</v>
      </c>
      <c r="AA37" s="33">
        <f>Table1[[#This Row],[Macaulay Duration in Years]]/(1+Table1[[#This Row],[IRR]])</f>
        <v>9.3913220568366533</v>
      </c>
      <c r="AB37" s="58">
        <f>VLOOKUP(Table1[[#This Row],[Yield Cluster]],'Cluster Details'!$B$3:$C$16,2,0)</f>
        <v>7.8548801574189142E-2</v>
      </c>
      <c r="AC37" s="78">
        <f>PRICE(Table1[[#This Row],[Issue date]],Table1[[#This Row],[Maturity date]],Table1[[#This Row],[Current coupon %]],Table1[[#This Row],[Average Cluster Yield]],100,Table1[[#This Row],[Coupon Frequency2]])*Table1[[#This Row],[Face value]]/100</f>
        <v>950.3542165141007</v>
      </c>
      <c r="AD37" s="58" t="str">
        <f>IF(Table1[[#This Row],[Ask Price]]&gt;Table1[[#This Row],[Calculated Bond Price]],"Rich","Cheap")</f>
        <v>Rich</v>
      </c>
      <c r="AE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1034.2669835729507</v>
      </c>
      <c r="AF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1247.9865170202299</v>
      </c>
      <c r="AG37" s="78">
        <f>(Table1[[#This Row],[P (+ shock)]]+Table1[[#This Row],[P (-shock)]]-2*Table1[[#This Row],[Ask Price]])/(2*Table1[[#This Row],[Ask Price]]*($AF$2^2))</f>
        <v>60.450777121763203</v>
      </c>
      <c r="AH37">
        <v>15.5332464325699</v>
      </c>
      <c r="AI37" s="6">
        <f t="shared" si="1"/>
        <v>6.4182249376250805E-2</v>
      </c>
      <c r="AK37" s="47">
        <f>RATE(Table1[[#This Row],[Total No. of Coupons]],Table1[[#This Row],[Coupon Amount]],-Table1[[#This Row],[Ask Price]],Table1[[#This Row],[Face value]])</f>
        <v>5.9059976846572354E-2</v>
      </c>
      <c r="AL37" s="27">
        <f>Table1[[#This Row],[IRR]]*Table1[[#This Row],[Coupon Frequency2]]</f>
        <v>5.9059976846572354E-2</v>
      </c>
      <c r="AM37" s="5">
        <f t="shared" si="2"/>
        <v>-10652.294869408111</v>
      </c>
      <c r="AN37" t="s">
        <v>64</v>
      </c>
      <c r="AO37" t="s">
        <v>62</v>
      </c>
      <c r="AP37">
        <f t="shared" si="3"/>
        <v>1</v>
      </c>
    </row>
    <row r="38" spans="1:42" x14ac:dyDescent="0.35">
      <c r="A38" s="48" t="s">
        <v>1582</v>
      </c>
      <c r="B38" s="49" t="s">
        <v>2314</v>
      </c>
      <c r="C38" s="49" t="s">
        <v>2273</v>
      </c>
      <c r="D38" s="50">
        <v>45203</v>
      </c>
      <c r="E38" s="50">
        <v>46299</v>
      </c>
      <c r="F38" s="49">
        <v>1000</v>
      </c>
      <c r="G38" s="49" t="s">
        <v>76</v>
      </c>
      <c r="H38" s="49">
        <v>1055</v>
      </c>
      <c r="I38" s="49" t="s">
        <v>76</v>
      </c>
      <c r="J38" s="49">
        <v>105.5</v>
      </c>
      <c r="K38" s="49">
        <v>10</v>
      </c>
      <c r="L38" s="51">
        <v>0.08</v>
      </c>
      <c r="M38" s="49" t="s">
        <v>93</v>
      </c>
      <c r="N38" s="49">
        <v>382</v>
      </c>
      <c r="O38" s="49">
        <v>7.5829383886255899</v>
      </c>
      <c r="P38" s="49" t="s">
        <v>2285</v>
      </c>
      <c r="Q38" s="49"/>
      <c r="R38" s="49" t="s">
        <v>2275</v>
      </c>
      <c r="S38">
        <f t="shared" si="0"/>
        <v>3</v>
      </c>
      <c r="T38" s="5" cm="1">
        <f t="array" ref="T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">
        <f>Table1[[#This Row],[Term to Maturity (Years)]]*Table1[[#This Row],[Coupon Frequency2]]</f>
        <v>3</v>
      </c>
      <c r="V38">
        <f>Table1[[#This Row],[Face value]]*Table1[[#This Row],[Current coupon %]]</f>
        <v>80</v>
      </c>
      <c r="W38" s="36">
        <f>RATE(Table1[[#This Row],[Total No. of Coupons]],Table1[[#This Row],[Coupon Amount]],-Table1[[#This Row],[Ask Price]],Table1[[#This Row],[Face value]])</f>
        <v>5.9445082083904519E-2</v>
      </c>
      <c r="X38" s="27">
        <f>Table1[[#This Row],[IRR]]*Table1[[#This Row],[Coupon Frequency2]]</f>
        <v>5.9445082083904519E-2</v>
      </c>
      <c r="Y38" s="19" cm="1">
        <f t="array" ref="Y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" s="33">
        <f>DURATION(Table1[[#This Row],[Issue date]],Table1[[#This Row],[Maturity date]],Table1[[#This Row],[Current coupon %]],Table1[[#This Row],[Yield (Annualised)]],Table1[[#This Row],[Coupon Frequency2]])</f>
        <v>2.7892921530229966</v>
      </c>
      <c r="AA38" s="33">
        <f>Table1[[#This Row],[Macaulay Duration in Years]]/(1+Table1[[#This Row],[IRR]])</f>
        <v>2.6327859746505426</v>
      </c>
      <c r="AB38" s="58">
        <f>VLOOKUP(Table1[[#This Row],[Yield Cluster]],'Cluster Details'!$B$3:$C$16,2,0)</f>
        <v>7.8548801574189142E-2</v>
      </c>
      <c r="AC38" s="78">
        <f>PRICE(Table1[[#This Row],[Issue date]],Table1[[#This Row],[Maturity date]],Table1[[#This Row],[Current coupon %]],Table1[[#This Row],[Average Cluster Yield]],100,Table1[[#This Row],[Coupon Frequency2]])*Table1[[#This Row],[Face value]]/100</f>
        <v>1003.7496937676597</v>
      </c>
      <c r="AD38" s="58" t="str">
        <f>IF(Table1[[#This Row],[Ask Price]]&gt;Table1[[#This Row],[Calculated Bond Price]],"Rich","Cheap")</f>
        <v>Rich</v>
      </c>
      <c r="AE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1027.7275476670848</v>
      </c>
      <c r="AF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1083.2952162293593</v>
      </c>
      <c r="AG38" s="78">
        <f>(Table1[[#This Row],[P (+ shock)]]+Table1[[#This Row],[P (-shock)]]-2*Table1[[#This Row],[Ask Price]])/(2*Table1[[#This Row],[Ask Price]]*($AF$2^2))</f>
        <v>4.8472222580298716</v>
      </c>
      <c r="AH38">
        <v>27.0996705497638</v>
      </c>
      <c r="AI38" s="6">
        <f t="shared" si="1"/>
        <v>7.582938388625593E-2</v>
      </c>
      <c r="AK38" s="47">
        <f>RATE(Table1[[#This Row],[Total No. of Coupons]],Table1[[#This Row],[Coupon Amount]],-Table1[[#This Row],[Ask Price]],Table1[[#This Row],[Face value]])</f>
        <v>5.9445082083904519E-2</v>
      </c>
      <c r="AL38" s="27">
        <f>Table1[[#This Row],[IRR]]*Table1[[#This Row],[Coupon Frequency2]]</f>
        <v>5.9445082083904519E-2</v>
      </c>
      <c r="AM38" s="5">
        <f t="shared" si="2"/>
        <v>-2777.5892032563224</v>
      </c>
      <c r="AN38" t="s">
        <v>64</v>
      </c>
      <c r="AO38" t="s">
        <v>62</v>
      </c>
      <c r="AP38">
        <f t="shared" si="3"/>
        <v>1</v>
      </c>
    </row>
    <row r="39" spans="1:42" x14ac:dyDescent="0.35">
      <c r="A39" s="48" t="s">
        <v>363</v>
      </c>
      <c r="B39" s="49" t="s">
        <v>2315</v>
      </c>
      <c r="C39" s="49" t="s">
        <v>2273</v>
      </c>
      <c r="D39" s="50">
        <v>42452</v>
      </c>
      <c r="E39" s="50">
        <v>47930</v>
      </c>
      <c r="F39" s="49">
        <v>1000</v>
      </c>
      <c r="G39" s="49" t="s">
        <v>76</v>
      </c>
      <c r="H39" s="49">
        <v>1135.76</v>
      </c>
      <c r="I39" s="49" t="s">
        <v>76</v>
      </c>
      <c r="J39" s="49">
        <v>113.57599999999999</v>
      </c>
      <c r="K39" s="49">
        <v>1000</v>
      </c>
      <c r="L39" s="51">
        <v>7.3499999999999996E-2</v>
      </c>
      <c r="M39" s="49" t="s">
        <v>93</v>
      </c>
      <c r="N39" s="49">
        <v>2013</v>
      </c>
      <c r="O39" s="49">
        <v>6.4714376276678101</v>
      </c>
      <c r="P39" s="49"/>
      <c r="Q39" s="49"/>
      <c r="R39" s="49" t="s">
        <v>2275</v>
      </c>
      <c r="S39">
        <f t="shared" si="0"/>
        <v>15</v>
      </c>
      <c r="T39" s="5" cm="1">
        <f t="array" ref="T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">
        <f>Table1[[#This Row],[Term to Maturity (Years)]]*Table1[[#This Row],[Coupon Frequency2]]</f>
        <v>15</v>
      </c>
      <c r="V39">
        <f>Table1[[#This Row],[Face value]]*Table1[[#This Row],[Current coupon %]]</f>
        <v>73.5</v>
      </c>
      <c r="W39" s="36">
        <f>RATE(Table1[[#This Row],[Total No. of Coupons]],Table1[[#This Row],[Coupon Amount]],-Table1[[#This Row],[Ask Price]],Table1[[#This Row],[Face value]])</f>
        <v>5.9561772194201411E-2</v>
      </c>
      <c r="X39" s="27">
        <f>Table1[[#This Row],[IRR]]*Table1[[#This Row],[Coupon Frequency2]]</f>
        <v>5.9561772194201411E-2</v>
      </c>
      <c r="Y39" s="19" cm="1">
        <f t="array" ref="Y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" s="33">
        <f>DURATION(Table1[[#This Row],[Issue date]],Table1[[#This Row],[Maturity date]],Table1[[#This Row],[Current coupon %]],Table1[[#This Row],[Yield (Annualised)]],Table1[[#This Row],[Coupon Frequency2]])</f>
        <v>9.9154201200644589</v>
      </c>
      <c r="AA39" s="33">
        <f>Table1[[#This Row],[Macaulay Duration in Years]]/(1+Table1[[#This Row],[IRR]])</f>
        <v>9.3580387479731701</v>
      </c>
      <c r="AB39" s="58">
        <f>VLOOKUP(Table1[[#This Row],[Yield Cluster]],'Cluster Details'!$B$3:$C$16,2,0)</f>
        <v>7.8548801574189142E-2</v>
      </c>
      <c r="AC39" s="78">
        <f>PRICE(Table1[[#This Row],[Issue date]],Table1[[#This Row],[Maturity date]],Table1[[#This Row],[Current coupon %]],Table1[[#This Row],[Average Cluster Yield]],100,Table1[[#This Row],[Coupon Frequency2]])*Table1[[#This Row],[Face value]]/100</f>
        <v>956.3993109553769</v>
      </c>
      <c r="AD39" s="58" t="str">
        <f>IF(Table1[[#This Row],[Ask Price]]&gt;Table1[[#This Row],[Calculated Bond Price]],"Rich","Cheap")</f>
        <v>Rich</v>
      </c>
      <c r="AE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1035.9685342315836</v>
      </c>
      <c r="AF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1249.2082617593019</v>
      </c>
      <c r="AG39" s="78">
        <f>(Table1[[#This Row],[P (+ shock)]]+Table1[[#This Row],[P (-shock)]]-2*Table1[[#This Row],[Ask Price]])/(2*Table1[[#This Row],[Ask Price]]*($AF$2^2))</f>
        <v>60.121839080816855</v>
      </c>
      <c r="AH39">
        <v>-13.171121097445599</v>
      </c>
      <c r="AI39" s="6">
        <f t="shared" si="1"/>
        <v>6.471437627667817E-2</v>
      </c>
      <c r="AK39" s="47">
        <f>RATE(Table1[[#This Row],[Total No. of Coupons]],Table1[[#This Row],[Coupon Amount]],-Table1[[#This Row],[Ask Price]],Table1[[#This Row],[Face value]])</f>
        <v>5.9561772194201411E-2</v>
      </c>
      <c r="AL39" s="27">
        <f>Table1[[#This Row],[IRR]]*Table1[[#This Row],[Coupon Frequency2]]</f>
        <v>5.9561772194201411E-2</v>
      </c>
      <c r="AM39" s="5">
        <f t="shared" si="2"/>
        <v>-10628.486088398007</v>
      </c>
      <c r="AN39" t="s">
        <v>64</v>
      </c>
      <c r="AO39" t="s">
        <v>62</v>
      </c>
      <c r="AP39">
        <f t="shared" si="3"/>
        <v>1</v>
      </c>
    </row>
    <row r="40" spans="1:42" x14ac:dyDescent="0.35">
      <c r="A40" s="48" t="s">
        <v>364</v>
      </c>
      <c r="B40" s="49" t="s">
        <v>2316</v>
      </c>
      <c r="C40" s="49" t="s">
        <v>2273</v>
      </c>
      <c r="D40" s="50">
        <v>42451</v>
      </c>
      <c r="E40" s="50">
        <v>47929</v>
      </c>
      <c r="F40" s="49">
        <v>1000</v>
      </c>
      <c r="G40" s="49" t="s">
        <v>76</v>
      </c>
      <c r="H40" s="49">
        <v>1163.01</v>
      </c>
      <c r="I40" s="49" t="s">
        <v>76</v>
      </c>
      <c r="J40" s="49">
        <v>116.301</v>
      </c>
      <c r="K40" s="49">
        <v>1975</v>
      </c>
      <c r="L40" s="51">
        <v>7.6399999999999996E-2</v>
      </c>
      <c r="M40" s="49" t="s">
        <v>93</v>
      </c>
      <c r="N40" s="49">
        <v>2012</v>
      </c>
      <c r="O40" s="49">
        <v>6.5691610562247904</v>
      </c>
      <c r="P40" s="49" t="s">
        <v>2274</v>
      </c>
      <c r="Q40" s="49"/>
      <c r="R40" s="49" t="s">
        <v>2275</v>
      </c>
      <c r="S40">
        <f t="shared" si="0"/>
        <v>15</v>
      </c>
      <c r="T40" s="5" cm="1">
        <f t="array" ref="T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">
        <f>Table1[[#This Row],[Term to Maturity (Years)]]*Table1[[#This Row],[Coupon Frequency2]]</f>
        <v>15</v>
      </c>
      <c r="V40">
        <f>Table1[[#This Row],[Face value]]*Table1[[#This Row],[Current coupon %]]</f>
        <v>76.399999999999991</v>
      </c>
      <c r="W40" s="36">
        <f>RATE(Table1[[#This Row],[Total No. of Coupons]],Table1[[#This Row],[Coupon Amount]],-Table1[[#This Row],[Ask Price]],Table1[[#This Row],[Face value]])</f>
        <v>5.9653967040672981E-2</v>
      </c>
      <c r="X40" s="27">
        <f>Table1[[#This Row],[IRR]]*Table1[[#This Row],[Coupon Frequency2]]</f>
        <v>5.9653967040672981E-2</v>
      </c>
      <c r="Y40" s="19" cm="1">
        <f t="array" ref="Y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" s="33">
        <f>DURATION(Table1[[#This Row],[Issue date]],Table1[[#This Row],[Maturity date]],Table1[[#This Row],[Current coupon %]],Table1[[#This Row],[Yield (Annualised)]],Table1[[#This Row],[Coupon Frequency2]])</f>
        <v>9.8407512483549962</v>
      </c>
      <c r="AA40" s="33">
        <f>Table1[[#This Row],[Macaulay Duration in Years]]/(1+Table1[[#This Row],[IRR]])</f>
        <v>9.2867592199343658</v>
      </c>
      <c r="AB40" s="58">
        <f>VLOOKUP(Table1[[#This Row],[Yield Cluster]],'Cluster Details'!$B$3:$C$16,2,0)</f>
        <v>7.8548801574189142E-2</v>
      </c>
      <c r="AC40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981.44327364066351</v>
      </c>
      <c r="AD40" s="58" t="str">
        <f>IF(Table1[[#This Row],[Ask Price]]&gt;Table1[[#This Row],[Calculated Bond Price]],"Rich","Cheap")</f>
        <v>Rich</v>
      </c>
      <c r="AE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1061.5768021463</v>
      </c>
      <c r="AF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1278.265146682601</v>
      </c>
      <c r="AG40" s="78">
        <f>(Table1[[#This Row],[P (+ shock)]]+Table1[[#This Row],[P (-shock)]]-2*Table1[[#This Row],[Ask Price]])/(2*Table1[[#This Row],[Ask Price]]*($AF$2^2))</f>
        <v>59.423172753892857</v>
      </c>
      <c r="AH40">
        <v>-16.743045827496399</v>
      </c>
      <c r="AI40" s="6">
        <f t="shared" si="1"/>
        <v>6.5691610562247954E-2</v>
      </c>
      <c r="AK40" s="47">
        <f>RATE(Table1[[#This Row],[Total No. of Coupons]],Table1[[#This Row],[Coupon Amount]],-Table1[[#This Row],[Ask Price]],Table1[[#This Row],[Face value]])</f>
        <v>5.9653967040672981E-2</v>
      </c>
      <c r="AL40" s="27">
        <f>Table1[[#This Row],[IRR]]*Table1[[#This Row],[Coupon Frequency2]]</f>
        <v>5.9653967040672981E-2</v>
      </c>
      <c r="AM40" s="5">
        <f t="shared" si="2"/>
        <v>-10800.593840375866</v>
      </c>
      <c r="AN40" t="s">
        <v>64</v>
      </c>
      <c r="AO40" t="s">
        <v>62</v>
      </c>
      <c r="AP40">
        <f t="shared" si="3"/>
        <v>1</v>
      </c>
    </row>
    <row r="41" spans="1:42" x14ac:dyDescent="0.35">
      <c r="A41" s="48" t="s">
        <v>1109</v>
      </c>
      <c r="B41" s="49" t="s">
        <v>2317</v>
      </c>
      <c r="C41" s="49" t="s">
        <v>2273</v>
      </c>
      <c r="D41" s="50">
        <v>41234</v>
      </c>
      <c r="E41" s="50">
        <v>46712</v>
      </c>
      <c r="F41" s="49">
        <v>1000000</v>
      </c>
      <c r="G41" s="49" t="s">
        <v>76</v>
      </c>
      <c r="H41" s="49">
        <v>1135924.6000000001</v>
      </c>
      <c r="I41" s="49" t="s">
        <v>76</v>
      </c>
      <c r="J41" s="49">
        <v>113.59246</v>
      </c>
      <c r="K41" s="49">
        <v>10</v>
      </c>
      <c r="L41" s="51">
        <v>7.3800000000000004E-2</v>
      </c>
      <c r="M41" s="49" t="s">
        <v>93</v>
      </c>
      <c r="N41" s="49">
        <v>795</v>
      </c>
      <c r="O41" s="49">
        <v>6.4969100942087099</v>
      </c>
      <c r="P41" s="49"/>
      <c r="Q41" s="49"/>
      <c r="R41" s="49" t="s">
        <v>2275</v>
      </c>
      <c r="S41">
        <f t="shared" si="0"/>
        <v>15</v>
      </c>
      <c r="T41" s="5" cm="1">
        <f t="array" ref="T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">
        <f>Table1[[#This Row],[Term to Maturity (Years)]]*Table1[[#This Row],[Coupon Frequency2]]</f>
        <v>15</v>
      </c>
      <c r="V41">
        <f>Table1[[#This Row],[Face value]]*Table1[[#This Row],[Current coupon %]]</f>
        <v>73800</v>
      </c>
      <c r="W41" s="36">
        <f>RATE(Table1[[#This Row],[Total No. of Coupons]],Table1[[#This Row],[Coupon Amount]],-Table1[[#This Row],[Ask Price]],Table1[[#This Row],[Face value]])</f>
        <v>5.9821175276509486E-2</v>
      </c>
      <c r="X41" s="27">
        <f>Table1[[#This Row],[IRR]]*Table1[[#This Row],[Coupon Frequency2]]</f>
        <v>5.9821175276509486E-2</v>
      </c>
      <c r="Y41" s="19" cm="1">
        <f t="array" ref="Y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" s="33">
        <f>DURATION(Table1[[#This Row],[Issue date]],Table1[[#This Row],[Maturity date]],Table1[[#This Row],[Current coupon %]],Table1[[#This Row],[Yield (Annualised)]],Table1[[#This Row],[Coupon Frequency2]])</f>
        <v>9.9012799027632834</v>
      </c>
      <c r="AA41" s="33">
        <f>Table1[[#This Row],[Macaulay Duration in Years]]/(1+Table1[[#This Row],[IRR]])</f>
        <v>9.3424061848736137</v>
      </c>
      <c r="AB41" s="58">
        <f>VLOOKUP(Table1[[#This Row],[Yield Cluster]],'Cluster Details'!$B$3:$C$16,2,0)</f>
        <v>7.8548801574189142E-2</v>
      </c>
      <c r="AC41" s="78">
        <f>PRICE(Table1[[#This Row],[Issue date]],Table1[[#This Row],[Maturity date]],Table1[[#This Row],[Current coupon %]],Table1[[#This Row],[Average Cluster Yield]],100,Table1[[#This Row],[Coupon Frequency2]])*Table1[[#This Row],[Face value]]/100</f>
        <v>958990.06571592391</v>
      </c>
      <c r="AD41" s="58" t="str">
        <f>IF(Table1[[#This Row],[Ask Price]]&gt;Table1[[#This Row],[Calculated Bond Price]],"Rich","Cheap")</f>
        <v>Rich</v>
      </c>
      <c r="AE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1036279.7601772655</v>
      </c>
      <c r="AF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1249193.119314946</v>
      </c>
      <c r="AG41" s="78">
        <f>(Table1[[#This Row],[P (+ shock)]]+Table1[[#This Row],[P (-shock)]]-2*Table1[[#This Row],[Ask Price]])/(2*Table1[[#This Row],[Ask Price]]*($AF$2^2))</f>
        <v>59.967358274534391</v>
      </c>
      <c r="AH41">
        <v>-14.1865253811828</v>
      </c>
      <c r="AI41" s="6">
        <f t="shared" si="1"/>
        <v>6.4969100942087174E-2</v>
      </c>
      <c r="AK41" s="47">
        <f>RATE(Table1[[#This Row],[Total No. of Coupons]],Table1[[#This Row],[Coupon Amount]],-Table1[[#This Row],[Ask Price]],Table1[[#This Row],[Face value]])</f>
        <v>5.9821175276509486E-2</v>
      </c>
      <c r="AL41" s="27">
        <f>Table1[[#This Row],[IRR]]*Table1[[#This Row],[Coupon Frequency2]]</f>
        <v>5.9821175276509486E-2</v>
      </c>
      <c r="AM41" s="5">
        <f t="shared" si="2"/>
        <v>-10612269.008590087</v>
      </c>
      <c r="AN41" t="s">
        <v>64</v>
      </c>
      <c r="AO41" t="s">
        <v>62</v>
      </c>
      <c r="AP41">
        <f t="shared" si="3"/>
        <v>1</v>
      </c>
    </row>
    <row r="42" spans="1:42" x14ac:dyDescent="0.35">
      <c r="A42" s="48" t="s">
        <v>2077</v>
      </c>
      <c r="B42" s="49" t="s">
        <v>2318</v>
      </c>
      <c r="C42" s="49" t="s">
        <v>2273</v>
      </c>
      <c r="D42" s="50">
        <v>45250</v>
      </c>
      <c r="E42" s="50">
        <v>45981</v>
      </c>
      <c r="F42" s="49">
        <v>100000</v>
      </c>
      <c r="G42" s="49" t="s">
        <v>76</v>
      </c>
      <c r="H42" s="49">
        <v>105071.88</v>
      </c>
      <c r="I42" s="49" t="s">
        <v>76</v>
      </c>
      <c r="J42" s="49">
        <v>105.07187999999999</v>
      </c>
      <c r="K42" s="49">
        <v>1</v>
      </c>
      <c r="L42" s="51">
        <v>8.7499999999999994E-2</v>
      </c>
      <c r="M42" s="49" t="s">
        <v>93</v>
      </c>
      <c r="N42" s="49">
        <v>64</v>
      </c>
      <c r="O42" s="49">
        <v>8.3276324740739298</v>
      </c>
      <c r="P42" s="49"/>
      <c r="Q42" s="49"/>
      <c r="R42" s="49" t="s">
        <v>2275</v>
      </c>
      <c r="S42">
        <f t="shared" si="0"/>
        <v>2</v>
      </c>
      <c r="T42" s="5" cm="1">
        <f t="array" ref="T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">
        <f>Table1[[#This Row],[Term to Maturity (Years)]]*Table1[[#This Row],[Coupon Frequency2]]</f>
        <v>2</v>
      </c>
      <c r="V42">
        <f>Table1[[#This Row],[Face value]]*Table1[[#This Row],[Current coupon %]]</f>
        <v>8750</v>
      </c>
      <c r="W42" s="36">
        <f>RATE(Table1[[#This Row],[Total No. of Coupons]],Table1[[#This Row],[Coupon Amount]],-Table1[[#This Row],[Ask Price]],Table1[[#This Row],[Face value]])</f>
        <v>5.9842212114261779E-2</v>
      </c>
      <c r="X42" s="27">
        <f>Table1[[#This Row],[IRR]]*Table1[[#This Row],[Coupon Frequency2]]</f>
        <v>5.9842212114261779E-2</v>
      </c>
      <c r="Y42" s="19" cm="1">
        <f t="array" ref="Y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" s="33">
        <f>DURATION(Table1[[#This Row],[Issue date]],Table1[[#This Row],[Maturity date]],Table1[[#This Row],[Current coupon %]],Table1[[#This Row],[Yield (Annualised)]],Table1[[#This Row],[Coupon Frequency2]])</f>
        <v>1.9214257331998319</v>
      </c>
      <c r="AA42" s="33">
        <f>Table1[[#This Row],[Macaulay Duration in Years]]/(1+Table1[[#This Row],[IRR]])</f>
        <v>1.8129356532863614</v>
      </c>
      <c r="AB42" s="58">
        <f>VLOOKUP(Table1[[#This Row],[Yield Cluster]],'Cluster Details'!$B$3:$C$16,2,0)</f>
        <v>7.8548801574189142E-2</v>
      </c>
      <c r="AC42" s="78">
        <f>PRICE(Table1[[#This Row],[Issue date]],Table1[[#This Row],[Maturity date]],Table1[[#This Row],[Current coupon %]],Table1[[#This Row],[Average Cluster Yield]],100,Table1[[#This Row],[Coupon Frequency2]])*Table1[[#This Row],[Face value]]/100</f>
        <v>101599.41737241772</v>
      </c>
      <c r="AD42" s="58" t="str">
        <f>IF(Table1[[#This Row],[Ask Price]]&gt;Table1[[#This Row],[Calculated Bond Price]],"Rich","Cheap")</f>
        <v>Rich</v>
      </c>
      <c r="AE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103193.25849367373</v>
      </c>
      <c r="AF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107003.69419858677</v>
      </c>
      <c r="AG42" s="78">
        <f>(Table1[[#This Row],[P (+ shock)]]+Table1[[#This Row],[P (-shock)]]-2*Table1[[#This Row],[Ask Price]])/(2*Table1[[#This Row],[Ask Price]]*($AF$2^2))</f>
        <v>2.5312525225821942</v>
      </c>
      <c r="AH42">
        <v>7.9852508004374698</v>
      </c>
      <c r="AI42" s="6">
        <f t="shared" si="1"/>
        <v>8.3276324740739385E-2</v>
      </c>
      <c r="AK42" s="47">
        <f>RATE(Table1[[#This Row],[Total No. of Coupons]],Table1[[#This Row],[Coupon Amount]],-Table1[[#This Row],[Ask Price]],Table1[[#This Row],[Face value]])</f>
        <v>5.9842212114261779E-2</v>
      </c>
      <c r="AL42" s="27">
        <f>Table1[[#This Row],[IRR]]*Table1[[#This Row],[Coupon Frequency2]]</f>
        <v>5.9842212114261779E-2</v>
      </c>
      <c r="AM42" s="5">
        <f t="shared" si="2"/>
        <v>-190488.55740982617</v>
      </c>
      <c r="AN42" t="s">
        <v>64</v>
      </c>
      <c r="AO42" t="s">
        <v>62</v>
      </c>
      <c r="AP42">
        <f t="shared" si="3"/>
        <v>1</v>
      </c>
    </row>
    <row r="43" spans="1:42" x14ac:dyDescent="0.35">
      <c r="A43" s="48" t="s">
        <v>406</v>
      </c>
      <c r="B43" s="49" t="s">
        <v>2319</v>
      </c>
      <c r="C43" s="49" t="s">
        <v>2273</v>
      </c>
      <c r="D43" s="50">
        <v>42359</v>
      </c>
      <c r="E43" s="50">
        <v>47838</v>
      </c>
      <c r="F43" s="49">
        <v>1000</v>
      </c>
      <c r="G43" s="49" t="s">
        <v>76</v>
      </c>
      <c r="H43" s="49">
        <v>1148.26</v>
      </c>
      <c r="I43" s="49" t="s">
        <v>76</v>
      </c>
      <c r="J43" s="49">
        <v>114.82599999999999</v>
      </c>
      <c r="K43" s="49">
        <v>50</v>
      </c>
      <c r="L43" s="51">
        <v>7.5300000000000006E-2</v>
      </c>
      <c r="M43" s="49" t="s">
        <v>93</v>
      </c>
      <c r="N43" s="49">
        <v>1921</v>
      </c>
      <c r="O43" s="49">
        <v>6.5577482451709503</v>
      </c>
      <c r="P43" s="49" t="s">
        <v>2274</v>
      </c>
      <c r="Q43" s="49"/>
      <c r="R43" s="49" t="s">
        <v>2275</v>
      </c>
      <c r="S43">
        <f t="shared" si="0"/>
        <v>15</v>
      </c>
      <c r="T43" s="5" cm="1">
        <f t="array" ref="T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">
        <f>Table1[[#This Row],[Term to Maturity (Years)]]*Table1[[#This Row],[Coupon Frequency2]]</f>
        <v>15</v>
      </c>
      <c r="V43">
        <f>Table1[[#This Row],[Face value]]*Table1[[#This Row],[Current coupon %]]</f>
        <v>75.300000000000011</v>
      </c>
      <c r="W43" s="36">
        <f>RATE(Table1[[#This Row],[Total No. of Coupons]],Table1[[#This Row],[Coupon Amount]],-Table1[[#This Row],[Ask Price]],Table1[[#This Row],[Face value]])</f>
        <v>6.0031589637404674E-2</v>
      </c>
      <c r="X43" s="27">
        <f>Table1[[#This Row],[IRR]]*Table1[[#This Row],[Coupon Frequency2]]</f>
        <v>6.0031589637404674E-2</v>
      </c>
      <c r="Y43" s="19" cm="1">
        <f t="array" ref="Y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" s="33">
        <f>DURATION(Table1[[#This Row],[Issue date]],Table1[[#This Row],[Maturity date]],Table1[[#This Row],[Current coupon %]],Table1[[#This Row],[Yield (Annualised)]],Table1[[#This Row],[Coupon Frequency2]])</f>
        <v>9.8583350640146428</v>
      </c>
      <c r="AA43" s="33">
        <f>Table1[[#This Row],[Macaulay Duration in Years]]/(1+Table1[[#This Row],[IRR]])</f>
        <v>9.3000389426005636</v>
      </c>
      <c r="AB43" s="58">
        <f>VLOOKUP(Table1[[#This Row],[Yield Cluster]],'Cluster Details'!$B$3:$C$16,2,0)</f>
        <v>7.8548801574189142E-2</v>
      </c>
      <c r="AC43" s="78">
        <f>PRICE(Table1[[#This Row],[Issue date]],Table1[[#This Row],[Maturity date]],Table1[[#This Row],[Current coupon %]],Table1[[#This Row],[Average Cluster Yield]],100,Table1[[#This Row],[Coupon Frequency2]])*Table1[[#This Row],[Face value]]/100</f>
        <v>971.94383951865836</v>
      </c>
      <c r="AD43" s="58" t="str">
        <f>IF(Table1[[#This Row],[Ask Price]]&gt;Table1[[#This Row],[Calculated Bond Price]],"Rich","Cheap")</f>
        <v>Rich</v>
      </c>
      <c r="AE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1047.9746559254161</v>
      </c>
      <c r="AF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1262.221464836239</v>
      </c>
      <c r="AG43" s="78">
        <f>(Table1[[#This Row],[P (+ shock)]]+Table1[[#This Row],[P (-shock)]]-2*Table1[[#This Row],[Ask Price]])/(2*Table1[[#This Row],[Ask Price]]*($AF$2^2))</f>
        <v>59.551498622502983</v>
      </c>
      <c r="AH43">
        <v>8.9094498682202907</v>
      </c>
      <c r="AI43" s="6">
        <f t="shared" si="1"/>
        <v>6.5577482451709551E-2</v>
      </c>
      <c r="AK43" s="47">
        <f>RATE(Table1[[#This Row],[Total No. of Coupons]],Table1[[#This Row],[Coupon Amount]],-Table1[[#This Row],[Ask Price]],Table1[[#This Row],[Face value]])</f>
        <v>6.0031589637404674E-2</v>
      </c>
      <c r="AL43" s="27">
        <f>Table1[[#This Row],[IRR]]*Table1[[#This Row],[Coupon Frequency2]]</f>
        <v>6.0031589637404674E-2</v>
      </c>
      <c r="AM43" s="5">
        <f t="shared" si="2"/>
        <v>-10678.862716230524</v>
      </c>
      <c r="AN43" t="s">
        <v>64</v>
      </c>
      <c r="AO43" t="s">
        <v>62</v>
      </c>
      <c r="AP43">
        <f t="shared" si="3"/>
        <v>1</v>
      </c>
    </row>
    <row r="44" spans="1:42" x14ac:dyDescent="0.35">
      <c r="A44" s="48" t="s">
        <v>419</v>
      </c>
      <c r="B44" s="49" t="s">
        <v>2320</v>
      </c>
      <c r="C44" s="49" t="s">
        <v>2273</v>
      </c>
      <c r="D44" s="50">
        <v>42294</v>
      </c>
      <c r="E44" s="50">
        <v>47773</v>
      </c>
      <c r="F44" s="49">
        <v>1000</v>
      </c>
      <c r="G44" s="49" t="s">
        <v>76</v>
      </c>
      <c r="H44" s="49">
        <v>1145.01</v>
      </c>
      <c r="I44" s="49" t="s">
        <v>76</v>
      </c>
      <c r="J44" s="49">
        <v>114.501</v>
      </c>
      <c r="K44" s="49">
        <v>1</v>
      </c>
      <c r="L44" s="51">
        <v>7.5199999999999989E-2</v>
      </c>
      <c r="M44" s="49" t="s">
        <v>93</v>
      </c>
      <c r="N44" s="49">
        <v>1856</v>
      </c>
      <c r="O44" s="49">
        <v>6.5676282303211302</v>
      </c>
      <c r="P44" s="49" t="s">
        <v>2282</v>
      </c>
      <c r="Q44" s="49"/>
      <c r="R44" s="49" t="s">
        <v>2275</v>
      </c>
      <c r="S44">
        <f t="shared" si="0"/>
        <v>15</v>
      </c>
      <c r="T44" s="5" cm="1">
        <f t="array" ref="T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">
        <f>Table1[[#This Row],[Term to Maturity (Years)]]*Table1[[#This Row],[Coupon Frequency2]]</f>
        <v>15</v>
      </c>
      <c r="V44">
        <f>Table1[[#This Row],[Face value]]*Table1[[#This Row],[Current coupon %]]</f>
        <v>75.199999999999989</v>
      </c>
      <c r="W44" s="36">
        <f>RATE(Table1[[#This Row],[Total No. of Coupons]],Table1[[#This Row],[Coupon Amount]],-Table1[[#This Row],[Ask Price]],Table1[[#This Row],[Face value]])</f>
        <v>6.0245418375249896E-2</v>
      </c>
      <c r="X44" s="27">
        <f>Table1[[#This Row],[IRR]]*Table1[[#This Row],[Coupon Frequency2]]</f>
        <v>6.0245418375249896E-2</v>
      </c>
      <c r="Y44" s="19" cm="1">
        <f t="array" ref="Y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" s="33">
        <f>DURATION(Table1[[#This Row],[Issue date]],Table1[[#This Row],[Maturity date]],Table1[[#This Row],[Current coupon %]],Table1[[#This Row],[Yield (Annualised)]],Table1[[#This Row],[Coupon Frequency2]])</f>
        <v>9.8554665634074432</v>
      </c>
      <c r="AA44" s="33">
        <f>Table1[[#This Row],[Macaulay Duration in Years]]/(1+Table1[[#This Row],[IRR]])</f>
        <v>9.2954578181627419</v>
      </c>
      <c r="AB44" s="58">
        <f>VLOOKUP(Table1[[#This Row],[Yield Cluster]],'Cluster Details'!$B$3:$C$16,2,0)</f>
        <v>7.8548801574189142E-2</v>
      </c>
      <c r="AC44" s="78">
        <f>PRICE(Table1[[#This Row],[Issue date]],Table1[[#This Row],[Maturity date]],Table1[[#This Row],[Current coupon %]],Table1[[#This Row],[Average Cluster Yield]],100,Table1[[#This Row],[Coupon Frequency2]])*Table1[[#This Row],[Face value]]/100</f>
        <v>971.08025459847602</v>
      </c>
      <c r="AD44" s="58" t="str">
        <f>IF(Table1[[#This Row],[Ask Price]]&gt;Table1[[#This Row],[Calculated Bond Price]],"Rich","Cheap")</f>
        <v>Rich</v>
      </c>
      <c r="AE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1045.0560368037034</v>
      </c>
      <c r="AF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1258.5908784271305</v>
      </c>
      <c r="AG44" s="78">
        <f>(Table1[[#This Row],[P (+ shock)]]+Table1[[#This Row],[P (-shock)]]-2*Table1[[#This Row],[Ask Price]])/(2*Table1[[#This Row],[Ask Price]]*($AF$2^2))</f>
        <v>59.505660347218253</v>
      </c>
      <c r="AH44">
        <v>9.2500922046376495</v>
      </c>
      <c r="AI44" s="6">
        <f t="shared" si="1"/>
        <v>6.567628230321132E-2</v>
      </c>
      <c r="AK44" s="47">
        <f>RATE(Table1[[#This Row],[Total No. of Coupons]],Table1[[#This Row],[Coupon Amount]],-Table1[[#This Row],[Ask Price]],Table1[[#This Row],[Face value]])</f>
        <v>6.0245418375249896E-2</v>
      </c>
      <c r="AL44" s="27">
        <f>Table1[[#This Row],[IRR]]*Table1[[#This Row],[Coupon Frequency2]]</f>
        <v>6.0245418375249896E-2</v>
      </c>
      <c r="AM44" s="5">
        <f t="shared" si="2"/>
        <v>-10643.392156374521</v>
      </c>
      <c r="AN44" t="s">
        <v>64</v>
      </c>
      <c r="AO44" t="s">
        <v>62</v>
      </c>
      <c r="AP44">
        <f t="shared" si="3"/>
        <v>1</v>
      </c>
    </row>
    <row r="45" spans="1:42" x14ac:dyDescent="0.35">
      <c r="A45" s="48" t="s">
        <v>423</v>
      </c>
      <c r="B45" s="49" t="s">
        <v>2321</v>
      </c>
      <c r="C45" s="49" t="s">
        <v>2273</v>
      </c>
      <c r="D45" s="50">
        <v>42282</v>
      </c>
      <c r="E45" s="50">
        <v>47761</v>
      </c>
      <c r="F45" s="49">
        <v>1000</v>
      </c>
      <c r="G45" s="49" t="s">
        <v>76</v>
      </c>
      <c r="H45" s="49">
        <v>1145.24</v>
      </c>
      <c r="I45" s="49" t="s">
        <v>76</v>
      </c>
      <c r="J45" s="49">
        <v>114.524</v>
      </c>
      <c r="K45" s="49">
        <v>1</v>
      </c>
      <c r="L45" s="51">
        <v>7.5300000000000006E-2</v>
      </c>
      <c r="M45" s="49" t="s">
        <v>93</v>
      </c>
      <c r="N45" s="49">
        <v>1844</v>
      </c>
      <c r="O45" s="49">
        <v>6.5750410394327803</v>
      </c>
      <c r="P45" s="49" t="s">
        <v>2274</v>
      </c>
      <c r="Q45" s="49"/>
      <c r="R45" s="49" t="s">
        <v>2275</v>
      </c>
      <c r="S45">
        <f t="shared" si="0"/>
        <v>15</v>
      </c>
      <c r="T45" s="5" cm="1">
        <f t="array" ref="T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">
        <f>Table1[[#This Row],[Term to Maturity (Years)]]*Table1[[#This Row],[Coupon Frequency2]]</f>
        <v>15</v>
      </c>
      <c r="V45">
        <f>Table1[[#This Row],[Face value]]*Table1[[#This Row],[Current coupon %]]</f>
        <v>75.300000000000011</v>
      </c>
      <c r="W45" s="36">
        <f>RATE(Table1[[#This Row],[Total No. of Coupons]],Table1[[#This Row],[Coupon Amount]],-Table1[[#This Row],[Ask Price]],Table1[[#This Row],[Face value]])</f>
        <v>6.0314903541242387E-2</v>
      </c>
      <c r="X45" s="27">
        <f>Table1[[#This Row],[IRR]]*Table1[[#This Row],[Coupon Frequency2]]</f>
        <v>6.0314903541242387E-2</v>
      </c>
      <c r="Y45" s="19" cm="1">
        <f t="array" ref="Y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" s="33">
        <f>DURATION(Table1[[#This Row],[Issue date]],Table1[[#This Row],[Maturity date]],Table1[[#This Row],[Current coupon %]],Table1[[#This Row],[Yield (Annualised)]],Table1[[#This Row],[Coupon Frequency2]])</f>
        <v>9.8512452487138304</v>
      </c>
      <c r="AA45" s="33">
        <f>Table1[[#This Row],[Macaulay Duration in Years]]/(1+Table1[[#This Row],[IRR]])</f>
        <v>9.2908674732502732</v>
      </c>
      <c r="AB45" s="58">
        <f>VLOOKUP(Table1[[#This Row],[Yield Cluster]],'Cluster Details'!$B$3:$C$16,2,0)</f>
        <v>7.8548801574189142E-2</v>
      </c>
      <c r="AC45" s="78">
        <f>PRICE(Table1[[#This Row],[Issue date]],Table1[[#This Row],[Maturity date]],Table1[[#This Row],[Current coupon %]],Table1[[#This Row],[Average Cluster Yield]],100,Table1[[#This Row],[Coupon Frequency2]])*Table1[[#This Row],[Face value]]/100</f>
        <v>971.94383951865836</v>
      </c>
      <c r="AD45" s="58" t="str">
        <f>IF(Table1[[#This Row],[Ask Price]]&gt;Table1[[#This Row],[Calculated Bond Price]],"Rich","Cheap")</f>
        <v>Rich</v>
      </c>
      <c r="AE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1045.3136602510983</v>
      </c>
      <c r="AF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1258.7856291752496</v>
      </c>
      <c r="AG45" s="78">
        <f>(Table1[[#This Row],[P (+ shock)]]+Table1[[#This Row],[P (-shock)]]-2*Table1[[#This Row],[Ask Price]])/(2*Table1[[#This Row],[Ask Price]]*($AF$2^2))</f>
        <v>59.460416272345235</v>
      </c>
      <c r="AH45">
        <v>8.8612858233111407</v>
      </c>
      <c r="AI45" s="6">
        <f t="shared" si="1"/>
        <v>6.575041039432783E-2</v>
      </c>
      <c r="AK45" s="47">
        <f>RATE(Table1[[#This Row],[Total No. of Coupons]],Table1[[#This Row],[Coupon Amount]],-Table1[[#This Row],[Ask Price]],Table1[[#This Row],[Face value]])</f>
        <v>6.0314903541242387E-2</v>
      </c>
      <c r="AL45" s="27">
        <f>Table1[[#This Row],[IRR]]*Table1[[#This Row],[Coupon Frequency2]]</f>
        <v>6.0314903541242387E-2</v>
      </c>
      <c r="AM45" s="5">
        <f t="shared" si="2"/>
        <v>-10640.273065065143</v>
      </c>
      <c r="AN45" t="s">
        <v>64</v>
      </c>
      <c r="AO45" t="s">
        <v>62</v>
      </c>
      <c r="AP45">
        <f t="shared" si="3"/>
        <v>1</v>
      </c>
    </row>
    <row r="46" spans="1:42" x14ac:dyDescent="0.35">
      <c r="A46" s="48" t="s">
        <v>244</v>
      </c>
      <c r="B46" s="49" t="s">
        <v>2322</v>
      </c>
      <c r="C46" s="49" t="s">
        <v>2273</v>
      </c>
      <c r="D46" s="50">
        <v>41296</v>
      </c>
      <c r="E46" s="50">
        <v>48601</v>
      </c>
      <c r="F46" s="49">
        <v>1000</v>
      </c>
      <c r="G46" s="49" t="s">
        <v>76</v>
      </c>
      <c r="H46" s="49">
        <v>1155</v>
      </c>
      <c r="I46" s="49" t="s">
        <v>76</v>
      </c>
      <c r="J46" s="49">
        <v>115.5</v>
      </c>
      <c r="K46" s="49">
        <v>575</v>
      </c>
      <c r="L46" s="51">
        <v>7.400000000000001E-2</v>
      </c>
      <c r="M46" s="49" t="s">
        <v>93</v>
      </c>
      <c r="N46" s="49">
        <v>2684</v>
      </c>
      <c r="O46" s="49">
        <v>6.4069264069263996</v>
      </c>
      <c r="P46" s="49" t="s">
        <v>2282</v>
      </c>
      <c r="Q46" s="49"/>
      <c r="R46" s="49" t="s">
        <v>2275</v>
      </c>
      <c r="S46">
        <f t="shared" si="0"/>
        <v>20</v>
      </c>
      <c r="T46" s="5" cm="1">
        <f t="array" ref="T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">
        <f>Table1[[#This Row],[Term to Maturity (Years)]]*Table1[[#This Row],[Coupon Frequency2]]</f>
        <v>20</v>
      </c>
      <c r="V46">
        <f>Table1[[#This Row],[Face value]]*Table1[[#This Row],[Current coupon %]]</f>
        <v>74.000000000000014</v>
      </c>
      <c r="W46" s="36">
        <f>RATE(Table1[[#This Row],[Total No. of Coupons]],Table1[[#This Row],[Coupon Amount]],-Table1[[#This Row],[Ask Price]],Table1[[#This Row],[Face value]])</f>
        <v>6.0438273535209364E-2</v>
      </c>
      <c r="X46" s="27">
        <f>Table1[[#This Row],[IRR]]*Table1[[#This Row],[Coupon Frequency2]]</f>
        <v>6.0438273535209364E-2</v>
      </c>
      <c r="Y46" s="19" cm="1">
        <f t="array" ref="Y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" s="33">
        <f>DURATION(Table1[[#This Row],[Issue date]],Table1[[#This Row],[Maturity date]],Table1[[#This Row],[Current coupon %]],Table1[[#This Row],[Yield (Annualised)]],Table1[[#This Row],[Coupon Frequency2]])</f>
        <v>11.646572940072822</v>
      </c>
      <c r="AA46" s="33">
        <f>Table1[[#This Row],[Macaulay Duration in Years]]/(1+Table1[[#This Row],[IRR]])</f>
        <v>10.982791955675415</v>
      </c>
      <c r="AB46" s="58">
        <f>VLOOKUP(Table1[[#This Row],[Yield Cluster]],'Cluster Details'!$B$3:$C$16,2,0)</f>
        <v>7.8548801574189142E-2</v>
      </c>
      <c r="AC46" s="78">
        <f>PRICE(Table1[[#This Row],[Issue date]],Table1[[#This Row],[Maturity date]],Table1[[#This Row],[Current coupon %]],Table1[[#This Row],[Average Cluster Yield]],100,Table1[[#This Row],[Coupon Frequency2]])*Table1[[#This Row],[Face value]]/100</f>
        <v>954.85273886676453</v>
      </c>
      <c r="AD46" s="58" t="str">
        <f>IF(Table1[[#This Row],[Ask Price]]&gt;Table1[[#This Row],[Calculated Bond Price]],"Rich","Cheap")</f>
        <v>Rich</v>
      </c>
      <c r="AE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1037.6047891041719</v>
      </c>
      <c r="AF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1292.5430798703067</v>
      </c>
      <c r="AG46" s="78">
        <f>(Table1[[#This Row],[P (+ shock)]]+Table1[[#This Row],[P (-shock)]]-2*Table1[[#This Row],[Ask Price]])/(2*Table1[[#This Row],[Ask Price]]*($AF$2^2))</f>
        <v>87.220212010729739</v>
      </c>
      <c r="AI46" s="6">
        <f t="shared" si="1"/>
        <v>6.4069264069264081E-2</v>
      </c>
      <c r="AK46" s="47">
        <f>RATE(Table1[[#This Row],[Total No. of Coupons]],Table1[[#This Row],[Coupon Amount]],-Table1[[#This Row],[Ask Price]],Table1[[#This Row],[Face value]])</f>
        <v>6.0438273535209364E-2</v>
      </c>
      <c r="AL46" s="27">
        <f>Table1[[#This Row],[IRR]]*Table1[[#This Row],[Coupon Frequency2]]</f>
        <v>6.0438273535209364E-2</v>
      </c>
      <c r="AM46" s="5">
        <f t="shared" si="2"/>
        <v>-12685.124708805104</v>
      </c>
      <c r="AN46" t="s">
        <v>69</v>
      </c>
      <c r="AO46" t="s">
        <v>62</v>
      </c>
      <c r="AP46">
        <f t="shared" si="3"/>
        <v>1</v>
      </c>
    </row>
    <row r="47" spans="1:42" x14ac:dyDescent="0.35">
      <c r="A47" s="48" t="s">
        <v>238</v>
      </c>
      <c r="B47" s="49" t="s">
        <v>2323</v>
      </c>
      <c r="C47" s="49" t="s">
        <v>2273</v>
      </c>
      <c r="D47" s="50">
        <v>41359</v>
      </c>
      <c r="E47" s="50">
        <v>48664</v>
      </c>
      <c r="F47" s="49">
        <v>1000</v>
      </c>
      <c r="G47" s="49" t="s">
        <v>76</v>
      </c>
      <c r="H47" s="49">
        <v>1117.0999999999999</v>
      </c>
      <c r="I47" s="49" t="s">
        <v>76</v>
      </c>
      <c r="J47" s="49">
        <v>111.71</v>
      </c>
      <c r="K47" s="49">
        <v>50</v>
      </c>
      <c r="L47" s="51">
        <v>7.0800000000000002E-2</v>
      </c>
      <c r="M47" s="49" t="s">
        <v>93</v>
      </c>
      <c r="N47" s="49">
        <v>2747</v>
      </c>
      <c r="O47" s="49">
        <v>6.33783904753379</v>
      </c>
      <c r="P47" s="49" t="s">
        <v>2282</v>
      </c>
      <c r="Q47" s="49"/>
      <c r="R47" s="49" t="s">
        <v>2275</v>
      </c>
      <c r="S47">
        <f t="shared" si="0"/>
        <v>20</v>
      </c>
      <c r="T47" s="5" cm="1">
        <f t="array" ref="T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">
        <f>Table1[[#This Row],[Term to Maturity (Years)]]*Table1[[#This Row],[Coupon Frequency2]]</f>
        <v>20</v>
      </c>
      <c r="V47">
        <f>Table1[[#This Row],[Face value]]*Table1[[#This Row],[Current coupon %]]</f>
        <v>70.8</v>
      </c>
      <c r="W47" s="36">
        <f>RATE(Table1[[#This Row],[Total No. of Coupons]],Table1[[#This Row],[Coupon Amount]],-Table1[[#This Row],[Ask Price]],Table1[[#This Row],[Face value]])</f>
        <v>6.0545436334083123E-2</v>
      </c>
      <c r="X47" s="27">
        <f>Table1[[#This Row],[IRR]]*Table1[[#This Row],[Coupon Frequency2]]</f>
        <v>6.0545436334083123E-2</v>
      </c>
      <c r="Y47" s="19" cm="1">
        <f t="array" ref="Y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" s="33">
        <f>DURATION(Table1[[#This Row],[Issue date]],Table1[[#This Row],[Maturity date]],Table1[[#This Row],[Current coupon %]],Table1[[#This Row],[Yield (Annualised)]],Table1[[#This Row],[Coupon Frequency2]])</f>
        <v>11.741547817628479</v>
      </c>
      <c r="AA47" s="33">
        <f>Table1[[#This Row],[Macaulay Duration in Years]]/(1+Table1[[#This Row],[IRR]])</f>
        <v>11.071235060154242</v>
      </c>
      <c r="AB47" s="58">
        <f>VLOOKUP(Table1[[#This Row],[Yield Cluster]],'Cluster Details'!$B$3:$C$16,2,0)</f>
        <v>7.8548801574189142E-2</v>
      </c>
      <c r="AC47" s="78">
        <f>PRICE(Table1[[#This Row],[Issue date]],Table1[[#This Row],[Maturity date]],Table1[[#This Row],[Current coupon %]],Table1[[#This Row],[Average Cluster Yield]],100,Table1[[#This Row],[Coupon Frequency2]])*Table1[[#This Row],[Face value]]/100</f>
        <v>923.09245359819624</v>
      </c>
      <c r="AD47" s="58" t="str">
        <f>IF(Table1[[#This Row],[Ask Price]]&gt;Table1[[#This Row],[Calculated Bond Price]],"Rich","Cheap")</f>
        <v>Rich</v>
      </c>
      <c r="AE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1002.6854561289842</v>
      </c>
      <c r="AF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1251.2533371621946</v>
      </c>
      <c r="AG47" s="78">
        <f>(Table1[[#This Row],[P (+ shock)]]+Table1[[#This Row],[P (-shock)]]-2*Table1[[#This Row],[Ask Price]])/(2*Table1[[#This Row],[Ask Price]]*($AF$2^2))</f>
        <v>88.348372084767746</v>
      </c>
      <c r="AH47">
        <v>58.509924373435197</v>
      </c>
      <c r="AI47" s="6">
        <f t="shared" si="1"/>
        <v>6.3378390475337928E-2</v>
      </c>
      <c r="AK47" s="47">
        <f>RATE(Table1[[#This Row],[Total No. of Coupons]],Table1[[#This Row],[Coupon Amount]],-Table1[[#This Row],[Ask Price]],Table1[[#This Row],[Face value]])</f>
        <v>6.0545436334083123E-2</v>
      </c>
      <c r="AL47" s="27">
        <f>Table1[[#This Row],[IRR]]*Table1[[#This Row],[Coupon Frequency2]]</f>
        <v>6.0545436334083123E-2</v>
      </c>
      <c r="AM47" s="5">
        <f t="shared" si="2"/>
        <v>-12367.676685698303</v>
      </c>
      <c r="AN47" t="s">
        <v>64</v>
      </c>
      <c r="AO47" t="s">
        <v>62</v>
      </c>
      <c r="AP47">
        <f t="shared" si="3"/>
        <v>1</v>
      </c>
    </row>
    <row r="48" spans="1:42" x14ac:dyDescent="0.35">
      <c r="A48" s="48" t="s">
        <v>1982</v>
      </c>
      <c r="B48" s="49" t="s">
        <v>2324</v>
      </c>
      <c r="C48" s="49" t="s">
        <v>2273</v>
      </c>
      <c r="D48" s="50">
        <v>45316</v>
      </c>
      <c r="E48" s="50">
        <v>46047</v>
      </c>
      <c r="F48" s="49">
        <v>1000</v>
      </c>
      <c r="G48" s="49" t="s">
        <v>76</v>
      </c>
      <c r="H48" s="49">
        <v>1040</v>
      </c>
      <c r="I48" s="49" t="s">
        <v>76</v>
      </c>
      <c r="J48" s="49">
        <v>104</v>
      </c>
      <c r="K48" s="49">
        <v>4</v>
      </c>
      <c r="L48" s="51">
        <v>8.2500000000000004E-2</v>
      </c>
      <c r="M48" s="49" t="s">
        <v>93</v>
      </c>
      <c r="N48" s="49">
        <v>130</v>
      </c>
      <c r="O48" s="49">
        <v>7.9326923076923004</v>
      </c>
      <c r="P48" s="49" t="s">
        <v>2285</v>
      </c>
      <c r="Q48" s="49"/>
      <c r="R48" s="49" t="s">
        <v>2275</v>
      </c>
      <c r="S48">
        <f t="shared" si="0"/>
        <v>2</v>
      </c>
      <c r="T48" s="5" cm="1">
        <f t="array" ref="T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">
        <f>Table1[[#This Row],[Term to Maturity (Years)]]*Table1[[#This Row],[Coupon Frequency2]]</f>
        <v>2</v>
      </c>
      <c r="V48">
        <f>Table1[[#This Row],[Face value]]*Table1[[#This Row],[Current coupon %]]</f>
        <v>82.5</v>
      </c>
      <c r="W48" s="36">
        <f>RATE(Table1[[#This Row],[Total No. of Coupons]],Table1[[#This Row],[Coupon Amount]],-Table1[[#This Row],[Ask Price]],Table1[[#This Row],[Face value]])</f>
        <v>6.0662273876984446E-2</v>
      </c>
      <c r="X48" s="27">
        <f>Table1[[#This Row],[IRR]]*Table1[[#This Row],[Coupon Frequency2]]</f>
        <v>6.0662273876984446E-2</v>
      </c>
      <c r="Y48" s="19" cm="1">
        <f t="array" ref="Y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" s="33">
        <f>DURATION(Table1[[#This Row],[Issue date]],Table1[[#This Row],[Maturity date]],Table1[[#This Row],[Current coupon %]],Table1[[#This Row],[Yield (Annualised)]],Table1[[#This Row],[Coupon Frequency2]])</f>
        <v>1.9252100079066932</v>
      </c>
      <c r="AA48" s="33">
        <f>Table1[[#This Row],[Macaulay Duration in Years]]/(1+Table1[[#This Row],[IRR]])</f>
        <v>1.8151018050916168</v>
      </c>
      <c r="AB48" s="58">
        <f>VLOOKUP(Table1[[#This Row],[Yield Cluster]],'Cluster Details'!$B$3:$C$16,2,0)</f>
        <v>7.8548801574189142E-2</v>
      </c>
      <c r="AC48" s="78">
        <f>PRICE(Table1[[#This Row],[Issue date]],Table1[[#This Row],[Maturity date]],Table1[[#This Row],[Current coupon %]],Table1[[#This Row],[Average Cluster Yield]],100,Table1[[#This Row],[Coupon Frequency2]])*Table1[[#This Row],[Face value]]/100</f>
        <v>1007.060077437105</v>
      </c>
      <c r="AD48" s="58" t="str">
        <f>IF(Table1[[#This Row],[Ask Price]]&gt;Table1[[#This Row],[Calculated Bond Price]],"Rich","Cheap")</f>
        <v>Rich</v>
      </c>
      <c r="AE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1021.3831931504172</v>
      </c>
      <c r="AF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1059.1438930153301</v>
      </c>
      <c r="AG48" s="78">
        <f>(Table1[[#This Row],[P (+ shock)]]+Table1[[#This Row],[P (-shock)]]-2*Table1[[#This Row],[Ask Price]])/(2*Table1[[#This Row],[Ask Price]]*($AF$2^2))</f>
        <v>2.5340681045542204</v>
      </c>
      <c r="AH48">
        <v>-62.525822758298901</v>
      </c>
      <c r="AI48" s="6">
        <f t="shared" si="1"/>
        <v>7.9326923076923073E-2</v>
      </c>
      <c r="AK48" s="47">
        <f>RATE(Table1[[#This Row],[Total No. of Coupons]],Table1[[#This Row],[Coupon Amount]],-Table1[[#This Row],[Ask Price]],Table1[[#This Row],[Face value]])</f>
        <v>6.0662273876984446E-2</v>
      </c>
      <c r="AL48" s="27">
        <f>Table1[[#This Row],[IRR]]*Table1[[#This Row],[Coupon Frequency2]]</f>
        <v>6.0662273876984446E-2</v>
      </c>
      <c r="AM48" s="5">
        <f t="shared" si="2"/>
        <v>-1887.7058772952814</v>
      </c>
      <c r="AN48" t="s">
        <v>64</v>
      </c>
      <c r="AO48" t="s">
        <v>62</v>
      </c>
      <c r="AP48">
        <f t="shared" si="3"/>
        <v>1</v>
      </c>
    </row>
    <row r="49" spans="1:42" x14ac:dyDescent="0.35">
      <c r="A49" s="48" t="s">
        <v>179</v>
      </c>
      <c r="B49" s="49" t="s">
        <v>2325</v>
      </c>
      <c r="C49" s="49" t="s">
        <v>2273</v>
      </c>
      <c r="D49" s="50">
        <v>41722</v>
      </c>
      <c r="E49" s="50">
        <v>49027</v>
      </c>
      <c r="F49" s="49">
        <v>1000</v>
      </c>
      <c r="G49" s="49" t="s">
        <v>76</v>
      </c>
      <c r="H49" s="49">
        <v>1318.5</v>
      </c>
      <c r="I49" s="49" t="s">
        <v>76</v>
      </c>
      <c r="J49" s="49">
        <v>131.85</v>
      </c>
      <c r="K49" s="49">
        <v>330</v>
      </c>
      <c r="L49" s="51">
        <v>8.8599999999999998E-2</v>
      </c>
      <c r="M49" s="49" t="s">
        <v>93</v>
      </c>
      <c r="N49" s="49">
        <v>3110</v>
      </c>
      <c r="O49" s="49">
        <v>6.7197572999620698</v>
      </c>
      <c r="P49" s="49"/>
      <c r="Q49" s="49"/>
      <c r="R49" s="49" t="s">
        <v>2275</v>
      </c>
      <c r="S49">
        <f t="shared" si="0"/>
        <v>20</v>
      </c>
      <c r="T49" s="5" cm="1">
        <f t="array" ref="T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">
        <f>Table1[[#This Row],[Term to Maturity (Years)]]*Table1[[#This Row],[Coupon Frequency2]]</f>
        <v>20</v>
      </c>
      <c r="V49">
        <f>Table1[[#This Row],[Face value]]*Table1[[#This Row],[Current coupon %]]</f>
        <v>88.6</v>
      </c>
      <c r="W49" s="36">
        <f>RATE(Table1[[#This Row],[Total No. of Coupons]],Table1[[#This Row],[Coupon Amount]],-Table1[[#This Row],[Ask Price]],Table1[[#This Row],[Face value]])</f>
        <v>6.0678559428038827E-2</v>
      </c>
      <c r="X49" s="27">
        <f>Table1[[#This Row],[IRR]]*Table1[[#This Row],[Coupon Frequency2]]</f>
        <v>6.0678559428038827E-2</v>
      </c>
      <c r="Y49" s="19" cm="1">
        <f t="array" ref="Y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9" s="33">
        <f>DURATION(Table1[[#This Row],[Issue date]],Table1[[#This Row],[Maturity date]],Table1[[#This Row],[Current coupon %]],Table1[[#This Row],[Yield (Annualised)]],Table1[[#This Row],[Coupon Frequency2]])</f>
        <v>11.25033734386707</v>
      </c>
      <c r="AA49" s="33">
        <f>Table1[[#This Row],[Macaulay Duration in Years]]/(1+Table1[[#This Row],[IRR]])</f>
        <v>10.606735889838022</v>
      </c>
      <c r="AB49" s="58">
        <f>VLOOKUP(Table1[[#This Row],[Yield Cluster]],'Cluster Details'!$B$3:$C$16,2,0)</f>
        <v>7.8548801574189142E-2</v>
      </c>
      <c r="AC49" s="78">
        <f>PRICE(Table1[[#This Row],[Issue date]],Table1[[#This Row],[Maturity date]],Table1[[#This Row],[Current coupon %]],Table1[[#This Row],[Average Cluster Yield]],100,Table1[[#This Row],[Coupon Frequency2]])*Table1[[#This Row],[Face value]]/100</f>
        <v>1099.7590404046057</v>
      </c>
      <c r="AD49" s="58" t="str">
        <f>IF(Table1[[#This Row],[Ask Price]]&gt;Table1[[#This Row],[Calculated Bond Price]],"Rich","Cheap")</f>
        <v>Rich</v>
      </c>
      <c r="AE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1188.8627926627905</v>
      </c>
      <c r="AF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1469.8777334067697</v>
      </c>
      <c r="AG49" s="78">
        <f>(Table1[[#This Row],[P (+ shock)]]+Table1[[#This Row],[P (-shock)]]-2*Table1[[#This Row],[Ask Price]])/(2*Table1[[#This Row],[Ask Price]]*($AF$2^2))</f>
        <v>82.444164086312</v>
      </c>
      <c r="AH49">
        <v>13.2463246324632</v>
      </c>
      <c r="AI49" s="6">
        <f t="shared" si="1"/>
        <v>6.7197572999620772E-2</v>
      </c>
      <c r="AK49" s="47">
        <f>RATE(Table1[[#This Row],[Total No. of Coupons]],Table1[[#This Row],[Coupon Amount]],-Table1[[#This Row],[Ask Price]],Table1[[#This Row],[Face value]])</f>
        <v>6.0678559428038827E-2</v>
      </c>
      <c r="AL49" s="27">
        <f>Table1[[#This Row],[IRR]]*Table1[[#This Row],[Coupon Frequency2]]</f>
        <v>6.0678559428038827E-2</v>
      </c>
      <c r="AM49" s="5">
        <f t="shared" si="2"/>
        <v>-13984.981270751432</v>
      </c>
      <c r="AN49" t="s">
        <v>64</v>
      </c>
      <c r="AO49" t="s">
        <v>62</v>
      </c>
      <c r="AP49">
        <f t="shared" si="3"/>
        <v>1</v>
      </c>
    </row>
    <row r="50" spans="1:42" x14ac:dyDescent="0.35">
      <c r="A50" s="48" t="s">
        <v>206</v>
      </c>
      <c r="B50" s="49" t="s">
        <v>2326</v>
      </c>
      <c r="C50" s="49" t="s">
        <v>2273</v>
      </c>
      <c r="D50" s="50">
        <v>41590</v>
      </c>
      <c r="E50" s="50">
        <v>48895</v>
      </c>
      <c r="F50" s="49">
        <v>1000</v>
      </c>
      <c r="G50" s="49" t="s">
        <v>76</v>
      </c>
      <c r="H50" s="49">
        <v>1275</v>
      </c>
      <c r="I50" s="49" t="s">
        <v>76</v>
      </c>
      <c r="J50" s="49">
        <v>127.49999999999901</v>
      </c>
      <c r="K50" s="49">
        <v>19224</v>
      </c>
      <c r="L50" s="51">
        <v>8.5000000000000006E-2</v>
      </c>
      <c r="M50" s="49" t="s">
        <v>93</v>
      </c>
      <c r="N50" s="49">
        <v>2978</v>
      </c>
      <c r="O50" s="49">
        <v>6.6666666666666599</v>
      </c>
      <c r="P50" s="49" t="s">
        <v>2282</v>
      </c>
      <c r="Q50" s="49"/>
      <c r="R50" s="49" t="s">
        <v>2275</v>
      </c>
      <c r="S50">
        <f t="shared" si="0"/>
        <v>20</v>
      </c>
      <c r="T50" s="5" cm="1">
        <f t="array" ref="T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">
        <f>Table1[[#This Row],[Term to Maturity (Years)]]*Table1[[#This Row],[Coupon Frequency2]]</f>
        <v>20</v>
      </c>
      <c r="V50">
        <f>Table1[[#This Row],[Face value]]*Table1[[#This Row],[Current coupon %]]</f>
        <v>85</v>
      </c>
      <c r="W50" s="36">
        <f>RATE(Table1[[#This Row],[Total No. of Coupons]],Table1[[#This Row],[Coupon Amount]],-Table1[[#This Row],[Ask Price]],Table1[[#This Row],[Face value]])</f>
        <v>6.0857146019569569E-2</v>
      </c>
      <c r="X50" s="27">
        <f>Table1[[#This Row],[IRR]]*Table1[[#This Row],[Coupon Frequency2]]</f>
        <v>6.0857146019569569E-2</v>
      </c>
      <c r="Y50" s="19" cm="1">
        <f t="array" ref="Y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0" s="33">
        <f>DURATION(Table1[[#This Row],[Issue date]],Table1[[#This Row],[Maturity date]],Table1[[#This Row],[Current coupon %]],Table1[[#This Row],[Yield (Annualised)]],Table1[[#This Row],[Coupon Frequency2]])</f>
        <v>11.328029559632196</v>
      </c>
      <c r="AA50" s="33">
        <f>Table1[[#This Row],[Macaulay Duration in Years]]/(1+Table1[[#This Row],[IRR]])</f>
        <v>10.67818565594432</v>
      </c>
      <c r="AB50" s="58">
        <f>VLOOKUP(Table1[[#This Row],[Yield Cluster]],'Cluster Details'!$B$3:$C$16,2,0)</f>
        <v>7.8548801574189142E-2</v>
      </c>
      <c r="AC50" s="78">
        <f>PRICE(Table1[[#This Row],[Issue date]],Table1[[#This Row],[Maturity date]],Table1[[#This Row],[Current coupon %]],Table1[[#This Row],[Average Cluster Yield]],100,Table1[[#This Row],[Coupon Frequency2]])*Table1[[#This Row],[Face value]]/100</f>
        <v>1064.0287194774669</v>
      </c>
      <c r="AD50" s="58" t="str">
        <f>IF(Table1[[#This Row],[Ask Price]]&gt;Table1[[#This Row],[Calculated Bond Price]],"Rich","Cheap")</f>
        <v>Rich</v>
      </c>
      <c r="AE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1148.8366031636167</v>
      </c>
      <c r="AF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1422.4199534584936</v>
      </c>
      <c r="AG50" s="78">
        <f>(Table1[[#This Row],[P (+ shock)]]+Table1[[#This Row],[P (-shock)]]-2*Table1[[#This Row],[Ask Price]])/(2*Table1[[#This Row],[Ask Price]]*($AF$2^2))</f>
        <v>83.359045576902389</v>
      </c>
      <c r="AH50">
        <v>13.588936881210101</v>
      </c>
      <c r="AI50" s="6">
        <f t="shared" si="1"/>
        <v>6.6666666666666666E-2</v>
      </c>
      <c r="AK50" s="47">
        <f>RATE(Table1[[#This Row],[Total No. of Coupons]],Table1[[#This Row],[Coupon Amount]],-Table1[[#This Row],[Ask Price]],Table1[[#This Row],[Face value]])</f>
        <v>6.0857146019569569E-2</v>
      </c>
      <c r="AL50" s="27">
        <f>Table1[[#This Row],[IRR]]*Table1[[#This Row],[Coupon Frequency2]]</f>
        <v>6.0857146019569569E-2</v>
      </c>
      <c r="AM50" s="5">
        <f t="shared" si="2"/>
        <v>-13614.686711329008</v>
      </c>
      <c r="AN50" t="s">
        <v>64</v>
      </c>
      <c r="AO50" t="s">
        <v>62</v>
      </c>
      <c r="AP50">
        <f t="shared" si="3"/>
        <v>1</v>
      </c>
    </row>
    <row r="51" spans="1:42" x14ac:dyDescent="0.35">
      <c r="A51" s="48" t="s">
        <v>413</v>
      </c>
      <c r="B51" s="49" t="s">
        <v>2327</v>
      </c>
      <c r="C51" s="49" t="s">
        <v>2273</v>
      </c>
      <c r="D51" s="50">
        <v>42313</v>
      </c>
      <c r="E51" s="50">
        <v>47792</v>
      </c>
      <c r="F51" s="49">
        <v>1000</v>
      </c>
      <c r="G51" s="49" t="s">
        <v>76</v>
      </c>
      <c r="H51" s="49">
        <v>1119.1099999999999</v>
      </c>
      <c r="I51" s="49" t="s">
        <v>76</v>
      </c>
      <c r="J51" s="49">
        <v>111.91099999999901</v>
      </c>
      <c r="K51" s="49">
        <v>107</v>
      </c>
      <c r="L51" s="51">
        <v>7.3399999999999993E-2</v>
      </c>
      <c r="M51" s="49" t="s">
        <v>93</v>
      </c>
      <c r="N51" s="49">
        <v>1875</v>
      </c>
      <c r="O51" s="49">
        <v>6.5587833188873299</v>
      </c>
      <c r="P51" s="49"/>
      <c r="Q51" s="49"/>
      <c r="R51" s="49" t="s">
        <v>2275</v>
      </c>
      <c r="S51">
        <f t="shared" si="0"/>
        <v>15</v>
      </c>
      <c r="T51" s="5" cm="1">
        <f t="array" ref="T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">
        <f>Table1[[#This Row],[Term to Maturity (Years)]]*Table1[[#This Row],[Coupon Frequency2]]</f>
        <v>15</v>
      </c>
      <c r="V51">
        <f>Table1[[#This Row],[Face value]]*Table1[[#This Row],[Current coupon %]]</f>
        <v>73.399999999999991</v>
      </c>
      <c r="W51" s="36">
        <f>RATE(Table1[[#This Row],[Total No. of Coupons]],Table1[[#This Row],[Coupon Amount]],-Table1[[#This Row],[Ask Price]],Table1[[#This Row],[Face value]])</f>
        <v>6.1051692374784805E-2</v>
      </c>
      <c r="X51" s="27">
        <f>Table1[[#This Row],[IRR]]*Table1[[#This Row],[Coupon Frequency2]]</f>
        <v>6.1051692374784805E-2</v>
      </c>
      <c r="Y51" s="19" cm="1">
        <f t="array" ref="Y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1" s="33">
        <f>DURATION(Table1[[#This Row],[Issue date]],Table1[[#This Row],[Maturity date]],Table1[[#This Row],[Current coupon %]],Table1[[#This Row],[Yield (Annualised)]],Table1[[#This Row],[Coupon Frequency2]])</f>
        <v>9.8806941475648955</v>
      </c>
      <c r="AA51" s="33">
        <f>Table1[[#This Row],[Macaulay Duration in Years]]/(1+Table1[[#This Row],[IRR]])</f>
        <v>9.3121703858277574</v>
      </c>
      <c r="AB51" s="58">
        <f>VLOOKUP(Table1[[#This Row],[Yield Cluster]],'Cluster Details'!$B$3:$C$16,2,0)</f>
        <v>7.8548801574189142E-2</v>
      </c>
      <c r="AC51" s="78">
        <f>PRICE(Table1[[#This Row],[Issue date]],Table1[[#This Row],[Maturity date]],Table1[[#This Row],[Current coupon %]],Table1[[#This Row],[Average Cluster Yield]],100,Table1[[#This Row],[Coupon Frequency2]])*Table1[[#This Row],[Face value]]/100</f>
        <v>955.53572603519433</v>
      </c>
      <c r="AD51" s="58" t="str">
        <f>IF(Table1[[#This Row],[Ask Price]]&gt;Table1[[#This Row],[Calculated Bond Price]],"Rich","Cheap")</f>
        <v>Rich</v>
      </c>
      <c r="AE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1021.2468313941389</v>
      </c>
      <c r="AF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1230.3275528632078</v>
      </c>
      <c r="AG51" s="78">
        <f>(Table1[[#This Row],[P (+ shock)]]+Table1[[#This Row],[P (-shock)]]-2*Table1[[#This Row],[Ask Price]])/(2*Table1[[#This Row],[Ask Price]]*($AF$2^2))</f>
        <v>59.665199387668494</v>
      </c>
      <c r="AH51">
        <v>-17.3315888688795</v>
      </c>
      <c r="AI51" s="6">
        <f t="shared" si="1"/>
        <v>6.5587833188873304E-2</v>
      </c>
      <c r="AK51" s="47">
        <f>RATE(Table1[[#This Row],[Total No. of Coupons]],Table1[[#This Row],[Coupon Amount]],-Table1[[#This Row],[Ask Price]],Table1[[#This Row],[Face value]])</f>
        <v>6.1051692374784805E-2</v>
      </c>
      <c r="AL51" s="27">
        <f>Table1[[#This Row],[IRR]]*Table1[[#This Row],[Coupon Frequency2]]</f>
        <v>6.1051692374784805E-2</v>
      </c>
      <c r="AM51" s="5">
        <f t="shared" si="2"/>
        <v>-10421.343000483701</v>
      </c>
      <c r="AN51" t="s">
        <v>64</v>
      </c>
      <c r="AO51" t="s">
        <v>62</v>
      </c>
      <c r="AP51">
        <f t="shared" si="3"/>
        <v>1</v>
      </c>
    </row>
    <row r="52" spans="1:42" x14ac:dyDescent="0.35">
      <c r="A52" s="48" t="s">
        <v>201</v>
      </c>
      <c r="B52" s="49" t="s">
        <v>2328</v>
      </c>
      <c r="C52" s="49" t="s">
        <v>2273</v>
      </c>
      <c r="D52" s="50">
        <v>41624</v>
      </c>
      <c r="E52" s="50">
        <v>48929</v>
      </c>
      <c r="F52" s="49">
        <v>1000</v>
      </c>
      <c r="G52" s="49" t="s">
        <v>76</v>
      </c>
      <c r="H52" s="49">
        <v>1290</v>
      </c>
      <c r="I52" s="49" t="s">
        <v>76</v>
      </c>
      <c r="J52" s="49">
        <v>129</v>
      </c>
      <c r="K52" s="49">
        <v>330</v>
      </c>
      <c r="L52" s="51">
        <v>8.6599999999999996E-2</v>
      </c>
      <c r="M52" s="49" t="s">
        <v>93</v>
      </c>
      <c r="N52" s="49">
        <v>3012</v>
      </c>
      <c r="O52" s="49">
        <v>6.7131782945736402</v>
      </c>
      <c r="P52" s="49" t="s">
        <v>2274</v>
      </c>
      <c r="Q52" s="49"/>
      <c r="R52" s="49" t="s">
        <v>2275</v>
      </c>
      <c r="S52">
        <f t="shared" si="0"/>
        <v>20</v>
      </c>
      <c r="T52" s="5" cm="1">
        <f t="array" ref="T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">
        <f>Table1[[#This Row],[Term to Maturity (Years)]]*Table1[[#This Row],[Coupon Frequency2]]</f>
        <v>20</v>
      </c>
      <c r="V52">
        <f>Table1[[#This Row],[Face value]]*Table1[[#This Row],[Current coupon %]]</f>
        <v>86.6</v>
      </c>
      <c r="W52" s="36">
        <f>RATE(Table1[[#This Row],[Total No. of Coupons]],Table1[[#This Row],[Coupon Amount]],-Table1[[#This Row],[Ask Price]],Table1[[#This Row],[Face value]])</f>
        <v>6.1091902298419438E-2</v>
      </c>
      <c r="X52" s="27">
        <f>Table1[[#This Row],[IRR]]*Table1[[#This Row],[Coupon Frequency2]]</f>
        <v>6.1091902298419438E-2</v>
      </c>
      <c r="Y52" s="19" cm="1">
        <f t="array" ref="Y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2" s="33">
        <f>DURATION(Table1[[#This Row],[Issue date]],Table1[[#This Row],[Maturity date]],Table1[[#This Row],[Current coupon %]],Table1[[#This Row],[Yield (Annualised)]],Table1[[#This Row],[Coupon Frequency2]])</f>
        <v>11.278841790030656</v>
      </c>
      <c r="AA52" s="33">
        <f>Table1[[#This Row],[Macaulay Duration in Years]]/(1+Table1[[#This Row],[IRR]])</f>
        <v>10.62946740579179</v>
      </c>
      <c r="AB52" s="58">
        <f>VLOOKUP(Table1[[#This Row],[Yield Cluster]],'Cluster Details'!$B$3:$C$16,2,0)</f>
        <v>7.8548801574189142E-2</v>
      </c>
      <c r="AC52" s="78">
        <f>PRICE(Table1[[#This Row],[Issue date]],Table1[[#This Row],[Maturity date]],Table1[[#This Row],[Current coupon %]],Table1[[#This Row],[Average Cluster Yield]],100,Table1[[#This Row],[Coupon Frequency2]])*Table1[[#This Row],[Face value]]/100</f>
        <v>1079.9088621117508</v>
      </c>
      <c r="AD52" s="58" t="str">
        <f>IF(Table1[[#This Row],[Ask Price]]&gt;Table1[[#This Row],[Calculated Bond Price]],"Rich","Cheap")</f>
        <v>Rich</v>
      </c>
      <c r="AE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1162.9079080448687</v>
      </c>
      <c r="AF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1438.4410403332458</v>
      </c>
      <c r="AG52" s="78">
        <f>(Table1[[#This Row],[P (+ shock)]]+Table1[[#This Row],[P (-shock)]]-2*Table1[[#This Row],[Ask Price]])/(2*Table1[[#This Row],[Ask Price]]*($AF$2^2))</f>
        <v>82.747861930676464</v>
      </c>
      <c r="AH52">
        <v>4.3859698275668801</v>
      </c>
      <c r="AI52" s="6">
        <f t="shared" si="1"/>
        <v>6.7131782945736435E-2</v>
      </c>
      <c r="AK52" s="47">
        <f>RATE(Table1[[#This Row],[Total No. of Coupons]],Table1[[#This Row],[Coupon Amount]],-Table1[[#This Row],[Ask Price]],Table1[[#This Row],[Face value]])</f>
        <v>6.1091902298419438E-2</v>
      </c>
      <c r="AL52" s="27">
        <f>Table1[[#This Row],[IRR]]*Table1[[#This Row],[Coupon Frequency2]]</f>
        <v>6.1091902298419438E-2</v>
      </c>
      <c r="AM52" s="5">
        <f t="shared" si="2"/>
        <v>-13712.012953471409</v>
      </c>
      <c r="AN52" t="s">
        <v>64</v>
      </c>
      <c r="AO52" t="s">
        <v>62</v>
      </c>
      <c r="AP52">
        <f t="shared" si="3"/>
        <v>1</v>
      </c>
    </row>
    <row r="53" spans="1:42" x14ac:dyDescent="0.35">
      <c r="A53" s="48" t="s">
        <v>178</v>
      </c>
      <c r="B53" s="49" t="s">
        <v>2329</v>
      </c>
      <c r="C53" s="49" t="s">
        <v>2273</v>
      </c>
      <c r="D53" s="50">
        <v>41723</v>
      </c>
      <c r="E53" s="50">
        <v>49028</v>
      </c>
      <c r="F53" s="49">
        <v>1000</v>
      </c>
      <c r="G53" s="49" t="s">
        <v>76</v>
      </c>
      <c r="H53" s="49">
        <v>1300</v>
      </c>
      <c r="I53" s="49" t="s">
        <v>76</v>
      </c>
      <c r="J53" s="49">
        <v>130</v>
      </c>
      <c r="K53" s="49">
        <v>498</v>
      </c>
      <c r="L53" s="51">
        <v>8.7499999999999994E-2</v>
      </c>
      <c r="M53" s="49" t="s">
        <v>93</v>
      </c>
      <c r="N53" s="49">
        <v>3111</v>
      </c>
      <c r="O53" s="49">
        <v>6.7307692307692299</v>
      </c>
      <c r="P53" s="49"/>
      <c r="Q53" s="49"/>
      <c r="R53" s="49" t="s">
        <v>2275</v>
      </c>
      <c r="S53">
        <f t="shared" si="0"/>
        <v>20</v>
      </c>
      <c r="T53" s="5" cm="1">
        <f t="array" ref="T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">
        <f>Table1[[#This Row],[Term to Maturity (Years)]]*Table1[[#This Row],[Coupon Frequency2]]</f>
        <v>20</v>
      </c>
      <c r="V53">
        <f>Table1[[#This Row],[Face value]]*Table1[[#This Row],[Current coupon %]]</f>
        <v>87.5</v>
      </c>
      <c r="W53" s="36">
        <f>RATE(Table1[[#This Row],[Total No. of Coupons]],Table1[[#This Row],[Coupon Amount]],-Table1[[#This Row],[Ask Price]],Table1[[#This Row],[Face value]])</f>
        <v>6.1108725817787986E-2</v>
      </c>
      <c r="X53" s="27">
        <f>Table1[[#This Row],[IRR]]*Table1[[#This Row],[Coupon Frequency2]]</f>
        <v>6.1108725817787986E-2</v>
      </c>
      <c r="Y53" s="19" cm="1">
        <f t="array" ref="Y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3" s="33">
        <f>DURATION(Table1[[#This Row],[Issue date]],Table1[[#This Row],[Maturity date]],Table1[[#This Row],[Current coupon %]],Table1[[#This Row],[Yield (Annualised)]],Table1[[#This Row],[Coupon Frequency2]])</f>
        <v>11.256801231590408</v>
      </c>
      <c r="AA53" s="33">
        <f>Table1[[#This Row],[Macaulay Duration in Years]]/(1+Table1[[#This Row],[IRR]])</f>
        <v>10.608527625587927</v>
      </c>
      <c r="AB53" s="58">
        <f>VLOOKUP(Table1[[#This Row],[Yield Cluster]],'Cluster Details'!$B$3:$C$16,2,0)</f>
        <v>7.8548801574189142E-2</v>
      </c>
      <c r="AC53" s="78">
        <f>PRICE(Table1[[#This Row],[Issue date]],Table1[[#This Row],[Maturity date]],Table1[[#This Row],[Current coupon %]],Table1[[#This Row],[Average Cluster Yield]],100,Table1[[#This Row],[Coupon Frequency2]])*Table1[[#This Row],[Face value]]/100</f>
        <v>1088.8414423435356</v>
      </c>
      <c r="AD53" s="58" t="str">
        <f>IF(Table1[[#This Row],[Ask Price]]&gt;Table1[[#This Row],[Calculated Bond Price]],"Rich","Cheap")</f>
        <v>Rich</v>
      </c>
      <c r="AE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1172.1630063030541</v>
      </c>
      <c r="AF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1449.282393925464</v>
      </c>
      <c r="AG53" s="78">
        <f>(Table1[[#This Row],[P (+ shock)]]+Table1[[#This Row],[P (-shock)]]-2*Table1[[#This Row],[Ask Price]])/(2*Table1[[#This Row],[Ask Price]]*($AF$2^2))</f>
        <v>82.48230857122438</v>
      </c>
      <c r="AH53">
        <v>9.0356962952786493</v>
      </c>
      <c r="AI53" s="6">
        <f t="shared" si="1"/>
        <v>6.7307692307692304E-2</v>
      </c>
      <c r="AK53" s="47">
        <f>RATE(Table1[[#This Row],[Total No. of Coupons]],Table1[[#This Row],[Coupon Amount]],-Table1[[#This Row],[Ask Price]],Table1[[#This Row],[Face value]])</f>
        <v>6.1108725817787986E-2</v>
      </c>
      <c r="AL53" s="27">
        <f>Table1[[#This Row],[IRR]]*Table1[[#This Row],[Coupon Frequency2]]</f>
        <v>6.1108725817787986E-2</v>
      </c>
      <c r="AM53" s="5">
        <f t="shared" si="2"/>
        <v>-13791.085913264305</v>
      </c>
      <c r="AN53" t="s">
        <v>64</v>
      </c>
      <c r="AO53" t="s">
        <v>62</v>
      </c>
      <c r="AP53">
        <f t="shared" si="3"/>
        <v>1</v>
      </c>
    </row>
    <row r="54" spans="1:42" x14ac:dyDescent="0.35">
      <c r="A54" s="48" t="s">
        <v>203</v>
      </c>
      <c r="B54" s="49" t="s">
        <v>2330</v>
      </c>
      <c r="C54" s="49" t="s">
        <v>2273</v>
      </c>
      <c r="D54" s="50">
        <v>41594</v>
      </c>
      <c r="E54" s="50">
        <v>48899</v>
      </c>
      <c r="F54" s="49">
        <v>1000</v>
      </c>
      <c r="G54" s="49" t="s">
        <v>76</v>
      </c>
      <c r="H54" s="49">
        <v>1289.6500000000001</v>
      </c>
      <c r="I54" s="49" t="s">
        <v>76</v>
      </c>
      <c r="J54" s="49">
        <v>128.965</v>
      </c>
      <c r="K54" s="49">
        <v>16800</v>
      </c>
      <c r="L54" s="51">
        <v>8.6699999999999999E-2</v>
      </c>
      <c r="M54" s="49" t="s">
        <v>93</v>
      </c>
      <c r="N54" s="49">
        <v>2982</v>
      </c>
      <c r="O54" s="49">
        <v>6.7227542356453203</v>
      </c>
      <c r="P54" s="49" t="s">
        <v>2282</v>
      </c>
      <c r="Q54" s="49"/>
      <c r="R54" s="49" t="s">
        <v>2275</v>
      </c>
      <c r="S54">
        <f t="shared" si="0"/>
        <v>20</v>
      </c>
      <c r="T54" s="5" cm="1">
        <f t="array" ref="T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">
        <f>Table1[[#This Row],[Term to Maturity (Years)]]*Table1[[#This Row],[Coupon Frequency2]]</f>
        <v>20</v>
      </c>
      <c r="V54">
        <f>Table1[[#This Row],[Face value]]*Table1[[#This Row],[Current coupon %]]</f>
        <v>86.7</v>
      </c>
      <c r="W54" s="36">
        <f>RATE(Table1[[#This Row],[Total No. of Coupons]],Table1[[#This Row],[Coupon Amount]],-Table1[[#This Row],[Ask Price]],Table1[[#This Row],[Face value]])</f>
        <v>6.1200358241515394E-2</v>
      </c>
      <c r="X54" s="27">
        <f>Table1[[#This Row],[IRR]]*Table1[[#This Row],[Coupon Frequency2]]</f>
        <v>6.1200358241515394E-2</v>
      </c>
      <c r="Y54" s="19" cm="1">
        <f t="array" ref="Y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4" s="33">
        <f>DURATION(Table1[[#This Row],[Issue date]],Table1[[#This Row],[Maturity date]],Table1[[#This Row],[Current coupon %]],Table1[[#This Row],[Yield (Annualised)]],Table1[[#This Row],[Coupon Frequency2]])</f>
        <v>11.271627879729893</v>
      </c>
      <c r="AA54" s="33">
        <f>Table1[[#This Row],[Macaulay Duration in Years]]/(1+Table1[[#This Row],[IRR]])</f>
        <v>10.621583183789895</v>
      </c>
      <c r="AB54" s="58">
        <f>VLOOKUP(Table1[[#This Row],[Yield Cluster]],'Cluster Details'!$B$3:$C$16,2,0)</f>
        <v>7.8548801574189142E-2</v>
      </c>
      <c r="AC54" s="78">
        <f>PRICE(Table1[[#This Row],[Issue date]],Table1[[#This Row],[Maturity date]],Table1[[#This Row],[Current coupon %]],Table1[[#This Row],[Average Cluster Yield]],100,Table1[[#This Row],[Coupon Frequency2]])*Table1[[#This Row],[Face value]]/100</f>
        <v>1080.9013710263935</v>
      </c>
      <c r="AD54" s="58" t="str">
        <f>IF(Table1[[#This Row],[Ask Price]]&gt;Table1[[#This Row],[Calculated Bond Price]],"Rich","Cheap")</f>
        <v>Rich</v>
      </c>
      <c r="AE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1162.6825731274539</v>
      </c>
      <c r="AF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1437.935721754774</v>
      </c>
      <c r="AG54" s="78">
        <f>(Table1[[#This Row],[P (+ shock)]]+Table1[[#This Row],[P (-shock)]]-2*Table1[[#This Row],[Ask Price]])/(2*Table1[[#This Row],[Ask Price]]*($AF$2^2))</f>
        <v>82.65147474984586</v>
      </c>
      <c r="AH54">
        <v>10.3716941880852</v>
      </c>
      <c r="AI54" s="6">
        <f t="shared" si="1"/>
        <v>6.7227542356453299E-2</v>
      </c>
      <c r="AK54" s="47">
        <f>RATE(Table1[[#This Row],[Total No. of Coupons]],Table1[[#This Row],[Coupon Amount]],-Table1[[#This Row],[Ask Price]],Table1[[#This Row],[Face value]])</f>
        <v>6.1200358241515394E-2</v>
      </c>
      <c r="AL54" s="27">
        <f>Table1[[#This Row],[IRR]]*Table1[[#This Row],[Coupon Frequency2]]</f>
        <v>6.1200358241515394E-2</v>
      </c>
      <c r="AM54" s="5">
        <f t="shared" si="2"/>
        <v>-13698.124752974638</v>
      </c>
      <c r="AN54" t="s">
        <v>64</v>
      </c>
      <c r="AO54" t="s">
        <v>62</v>
      </c>
      <c r="AP54">
        <f t="shared" si="3"/>
        <v>1</v>
      </c>
    </row>
    <row r="55" spans="1:42" x14ac:dyDescent="0.35">
      <c r="A55" s="48" t="s">
        <v>1574</v>
      </c>
      <c r="B55" s="49" t="s">
        <v>2331</v>
      </c>
      <c r="C55" s="49" t="s">
        <v>2273</v>
      </c>
      <c r="D55" s="50">
        <v>45208</v>
      </c>
      <c r="E55" s="50">
        <v>46304</v>
      </c>
      <c r="F55" s="49">
        <v>1000</v>
      </c>
      <c r="G55" s="49" t="s">
        <v>76</v>
      </c>
      <c r="H55" s="49">
        <v>1050</v>
      </c>
      <c r="I55" s="49" t="s">
        <v>76</v>
      </c>
      <c r="J55" s="49">
        <v>105</v>
      </c>
      <c r="K55" s="49">
        <v>1</v>
      </c>
      <c r="L55" s="51">
        <v>0.08</v>
      </c>
      <c r="M55" s="49" t="s">
        <v>93</v>
      </c>
      <c r="N55" s="49">
        <v>387</v>
      </c>
      <c r="O55" s="49">
        <v>7.6190476190476097</v>
      </c>
      <c r="P55" s="49"/>
      <c r="Q55" s="49"/>
      <c r="R55" s="49" t="s">
        <v>2275</v>
      </c>
      <c r="S55">
        <f t="shared" si="0"/>
        <v>3</v>
      </c>
      <c r="T55" s="5" cm="1">
        <f t="array" ref="T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">
        <f>Table1[[#This Row],[Term to Maturity (Years)]]*Table1[[#This Row],[Coupon Frequency2]]</f>
        <v>3</v>
      </c>
      <c r="V55">
        <f>Table1[[#This Row],[Face value]]*Table1[[#This Row],[Current coupon %]]</f>
        <v>80</v>
      </c>
      <c r="W55" s="36">
        <f>RATE(Table1[[#This Row],[Total No. of Coupons]],Table1[[#This Row],[Coupon Amount]],-Table1[[#This Row],[Ask Price]],Table1[[#This Row],[Face value]])</f>
        <v>6.1251191904075165E-2</v>
      </c>
      <c r="X55" s="27">
        <f>Table1[[#This Row],[IRR]]*Table1[[#This Row],[Coupon Frequency2]]</f>
        <v>6.1251191904075165E-2</v>
      </c>
      <c r="Y55" s="19" cm="1">
        <f t="array" ref="Y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5" s="33">
        <f>DURATION(Table1[[#This Row],[Issue date]],Table1[[#This Row],[Maturity date]],Table1[[#This Row],[Current coupon %]],Table1[[#This Row],[Yield (Annualised)]],Table1[[#This Row],[Coupon Frequency2]])</f>
        <v>2.7887644136845258</v>
      </c>
      <c r="AA55" s="33">
        <f>Table1[[#This Row],[Macaulay Duration in Years]]/(1+Table1[[#This Row],[IRR]])</f>
        <v>2.6278080391890835</v>
      </c>
      <c r="AB55" s="58">
        <f>VLOOKUP(Table1[[#This Row],[Yield Cluster]],'Cluster Details'!$B$3:$C$16,2,0)</f>
        <v>7.8548801574189142E-2</v>
      </c>
      <c r="AC55" s="78">
        <f>PRICE(Table1[[#This Row],[Issue date]],Table1[[#This Row],[Maturity date]],Table1[[#This Row],[Current coupon %]],Table1[[#This Row],[Average Cluster Yield]],100,Table1[[#This Row],[Coupon Frequency2]])*Table1[[#This Row],[Face value]]/100</f>
        <v>1003.7496937676597</v>
      </c>
      <c r="AD55" s="58" t="str">
        <f>IF(Table1[[#This Row],[Ask Price]]&gt;Table1[[#This Row],[Calculated Bond Price]],"Rich","Cheap")</f>
        <v>Rich</v>
      </c>
      <c r="AE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1022.9072532908831</v>
      </c>
      <c r="AF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1078.1069463282481</v>
      </c>
      <c r="AG55" s="78">
        <f>(Table1[[#This Row],[P (+ shock)]]+Table1[[#This Row],[P (-shock)]]-2*Table1[[#This Row],[Ask Price]])/(2*Table1[[#This Row],[Ask Price]]*($AF$2^2))</f>
        <v>4.8295219958639617</v>
      </c>
      <c r="AI55" s="6">
        <f t="shared" si="1"/>
        <v>7.6190476190476197E-2</v>
      </c>
      <c r="AK55" s="47">
        <f>RATE(Table1[[#This Row],[Total No. of Coupons]],Table1[[#This Row],[Coupon Amount]],-Table1[[#This Row],[Ask Price]],Table1[[#This Row],[Face value]])</f>
        <v>6.1251191904075165E-2</v>
      </c>
      <c r="AL55" s="27">
        <f>Table1[[#This Row],[IRR]]*Table1[[#This Row],[Coupon Frequency2]]</f>
        <v>6.1251191904075165E-2</v>
      </c>
      <c r="AM55" s="5">
        <f t="shared" si="2"/>
        <v>-2759.1984411485378</v>
      </c>
      <c r="AN55" t="s">
        <v>64</v>
      </c>
      <c r="AO55" t="s">
        <v>62</v>
      </c>
      <c r="AP55">
        <f t="shared" si="3"/>
        <v>1</v>
      </c>
    </row>
    <row r="56" spans="1:42" x14ac:dyDescent="0.35">
      <c r="A56" s="48" t="s">
        <v>200</v>
      </c>
      <c r="B56" s="49" t="s">
        <v>2332</v>
      </c>
      <c r="C56" s="49" t="s">
        <v>2273</v>
      </c>
      <c r="D56" s="50">
        <v>41624</v>
      </c>
      <c r="E56" s="50">
        <v>48929</v>
      </c>
      <c r="F56" s="49">
        <v>1000</v>
      </c>
      <c r="G56" s="49" t="s">
        <v>76</v>
      </c>
      <c r="H56" s="49">
        <v>1314</v>
      </c>
      <c r="I56" s="49" t="s">
        <v>76</v>
      </c>
      <c r="J56" s="49">
        <v>131.4</v>
      </c>
      <c r="K56" s="49">
        <v>107</v>
      </c>
      <c r="L56" s="51">
        <v>8.9099999999999999E-2</v>
      </c>
      <c r="M56" s="49" t="s">
        <v>93</v>
      </c>
      <c r="N56" s="49">
        <v>3012</v>
      </c>
      <c r="O56" s="49">
        <v>6.7808219178082103</v>
      </c>
      <c r="P56" s="49" t="s">
        <v>2274</v>
      </c>
      <c r="Q56" s="49"/>
      <c r="R56" s="49" t="s">
        <v>2275</v>
      </c>
      <c r="S56">
        <f t="shared" si="0"/>
        <v>20</v>
      </c>
      <c r="T56" s="5" cm="1">
        <f t="array" ref="T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">
        <f>Table1[[#This Row],[Term to Maturity (Years)]]*Table1[[#This Row],[Coupon Frequency2]]</f>
        <v>20</v>
      </c>
      <c r="V56">
        <f>Table1[[#This Row],[Face value]]*Table1[[#This Row],[Current coupon %]]</f>
        <v>89.1</v>
      </c>
      <c r="W56" s="36">
        <f>RATE(Table1[[#This Row],[Total No. of Coupons]],Table1[[#This Row],[Coupon Amount]],-Table1[[#This Row],[Ask Price]],Table1[[#This Row],[Face value]])</f>
        <v>6.140988689834663E-2</v>
      </c>
      <c r="X56" s="27">
        <f>Table1[[#This Row],[IRR]]*Table1[[#This Row],[Coupon Frequency2]]</f>
        <v>6.140988689834663E-2</v>
      </c>
      <c r="Y56" s="19" cm="1">
        <f t="array" ref="Y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6" s="33">
        <f>DURATION(Table1[[#This Row],[Issue date]],Table1[[#This Row],[Maturity date]],Table1[[#This Row],[Current coupon %]],Table1[[#This Row],[Yield (Annualised)]],Table1[[#This Row],[Coupon Frequency2]])</f>
        <v>11.20640572264427</v>
      </c>
      <c r="AA56" s="33">
        <f>Table1[[#This Row],[Macaulay Duration in Years]]/(1+Table1[[#This Row],[IRR]])</f>
        <v>10.558037814582304</v>
      </c>
      <c r="AB56" s="58">
        <f>VLOOKUP(Table1[[#This Row],[Yield Cluster]],'Cluster Details'!$B$3:$C$16,2,0)</f>
        <v>7.8548801574189142E-2</v>
      </c>
      <c r="AC56" s="78">
        <f>PRICE(Table1[[#This Row],[Issue date]],Table1[[#This Row],[Maturity date]],Table1[[#This Row],[Current coupon %]],Table1[[#This Row],[Average Cluster Yield]],100,Table1[[#This Row],[Coupon Frequency2]])*Table1[[#This Row],[Face value]]/100</f>
        <v>1104.7215849778195</v>
      </c>
      <c r="AD56" s="58" t="str">
        <f>IF(Table1[[#This Row],[Ask Price]]&gt;Table1[[#This Row],[Calculated Bond Price]],"Rich","Cheap")</f>
        <v>Rich</v>
      </c>
      <c r="AE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1185.3731093308588</v>
      </c>
      <c r="AF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1464.1374800594754</v>
      </c>
      <c r="AG56" s="78">
        <f>(Table1[[#This Row],[P (+ shock)]]+Table1[[#This Row],[P (-shock)]]-2*Table1[[#This Row],[Ask Price]])/(2*Table1[[#This Row],[Ask Price]]*($AF$2^2))</f>
        <v>81.85155780188046</v>
      </c>
      <c r="AH56">
        <v>-13.977296288617</v>
      </c>
      <c r="AI56" s="6">
        <f t="shared" si="1"/>
        <v>6.7808219178082191E-2</v>
      </c>
      <c r="AK56" s="47">
        <f>RATE(Table1[[#This Row],[Total No. of Coupons]],Table1[[#This Row],[Coupon Amount]],-Table1[[#This Row],[Ask Price]],Table1[[#This Row],[Face value]])</f>
        <v>6.140988689834663E-2</v>
      </c>
      <c r="AL56" s="27">
        <f>Table1[[#This Row],[IRR]]*Table1[[#This Row],[Coupon Frequency2]]</f>
        <v>6.140988689834663E-2</v>
      </c>
      <c r="AM56" s="5">
        <f t="shared" si="2"/>
        <v>-13873.261688361148</v>
      </c>
      <c r="AN56" t="s">
        <v>64</v>
      </c>
      <c r="AO56" t="s">
        <v>62</v>
      </c>
      <c r="AP56">
        <f t="shared" si="3"/>
        <v>1</v>
      </c>
    </row>
    <row r="57" spans="1:42" x14ac:dyDescent="0.35">
      <c r="A57" s="48" t="s">
        <v>2121</v>
      </c>
      <c r="B57" s="49" t="s">
        <v>2333</v>
      </c>
      <c r="C57" s="49" t="s">
        <v>2273</v>
      </c>
      <c r="D57" s="50">
        <v>44854</v>
      </c>
      <c r="E57" s="50">
        <v>45950</v>
      </c>
      <c r="F57" s="49">
        <v>1000</v>
      </c>
      <c r="G57" s="49" t="s">
        <v>76</v>
      </c>
      <c r="H57" s="49">
        <v>1082</v>
      </c>
      <c r="I57" s="49" t="s">
        <v>76</v>
      </c>
      <c r="J57" s="49">
        <v>108.2</v>
      </c>
      <c r="K57" s="49">
        <v>1</v>
      </c>
      <c r="L57" s="51">
        <v>9.2499999999999999E-2</v>
      </c>
      <c r="M57" s="49" t="s">
        <v>93</v>
      </c>
      <c r="N57" s="49">
        <v>33</v>
      </c>
      <c r="O57" s="49">
        <v>8.5489833641404793</v>
      </c>
      <c r="P57" s="49"/>
      <c r="Q57" s="49"/>
      <c r="R57" s="49" t="s">
        <v>2275</v>
      </c>
      <c r="S57">
        <f t="shared" si="0"/>
        <v>3</v>
      </c>
      <c r="T57" s="5" cm="1">
        <f t="array" ref="T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">
        <f>Table1[[#This Row],[Term to Maturity (Years)]]*Table1[[#This Row],[Coupon Frequency2]]</f>
        <v>3</v>
      </c>
      <c r="V57">
        <f>Table1[[#This Row],[Face value]]*Table1[[#This Row],[Current coupon %]]</f>
        <v>92.5</v>
      </c>
      <c r="W57" s="36">
        <f>RATE(Table1[[#This Row],[Total No. of Coupons]],Table1[[#This Row],[Coupon Amount]],-Table1[[#This Row],[Ask Price]],Table1[[#This Row],[Face value]])</f>
        <v>6.1725036981504881E-2</v>
      </c>
      <c r="X57" s="27">
        <f>Table1[[#This Row],[IRR]]*Table1[[#This Row],[Coupon Frequency2]]</f>
        <v>6.1725036981504881E-2</v>
      </c>
      <c r="Y57" s="19" cm="1">
        <f t="array" ref="Y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7" s="33">
        <f>DURATION(Table1[[#This Row],[Issue date]],Table1[[#This Row],[Maturity date]],Table1[[#This Row],[Current coupon %]],Table1[[#This Row],[Yield (Annualised)]],Table1[[#This Row],[Coupon Frequency2]])</f>
        <v>2.7631218934536488</v>
      </c>
      <c r="AA57" s="33">
        <f>Table1[[#This Row],[Macaulay Duration in Years]]/(1+Table1[[#This Row],[IRR]])</f>
        <v>2.6024835029879609</v>
      </c>
      <c r="AB57" s="58">
        <f>VLOOKUP(Table1[[#This Row],[Yield Cluster]],'Cluster Details'!$B$3:$C$16,2,0)</f>
        <v>7.8548801574189142E-2</v>
      </c>
      <c r="AC57" s="78">
        <f>PRICE(Table1[[#This Row],[Issue date]],Table1[[#This Row],[Maturity date]],Table1[[#This Row],[Current coupon %]],Table1[[#This Row],[Average Cluster Yield]],100,Table1[[#This Row],[Coupon Frequency2]])*Table1[[#This Row],[Face value]]/100</f>
        <v>1036.0479455174532</v>
      </c>
      <c r="AD57" s="58" t="str">
        <f>IF(Table1[[#This Row],[Ask Price]]&gt;Table1[[#This Row],[Calculated Bond Price]],"Rich","Cheap")</f>
        <v>Rich</v>
      </c>
      <c r="AE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1054.3486929339449</v>
      </c>
      <c r="AF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1110.6823867833048</v>
      </c>
      <c r="AG57" s="78">
        <f>(Table1[[#This Row],[P (+ shock)]]+Table1[[#This Row],[P (-shock)]]-2*Table1[[#This Row],[Ask Price]])/(2*Table1[[#This Row],[Ask Price]]*($AF$2^2))</f>
        <v>4.7646937026324752</v>
      </c>
      <c r="AI57" s="6">
        <f t="shared" si="1"/>
        <v>8.5489833641404805E-2</v>
      </c>
      <c r="AK57" s="47">
        <f>RATE(Table1[[#This Row],[Total No. of Coupons]],Table1[[#This Row],[Coupon Amount]],-Table1[[#This Row],[Ask Price]],Table1[[#This Row],[Face value]])</f>
        <v>6.1725036981504881E-2</v>
      </c>
      <c r="AL57" s="27">
        <f>Table1[[#This Row],[IRR]]*Table1[[#This Row],[Coupon Frequency2]]</f>
        <v>6.1725036981504881E-2</v>
      </c>
      <c r="AM57" s="5">
        <f t="shared" si="2"/>
        <v>-2815.8871502329739</v>
      </c>
      <c r="AN57" t="s">
        <v>64</v>
      </c>
      <c r="AO57" t="s">
        <v>62</v>
      </c>
      <c r="AP57">
        <f t="shared" si="3"/>
        <v>1</v>
      </c>
    </row>
    <row r="58" spans="1:42" x14ac:dyDescent="0.35">
      <c r="A58" s="48" t="s">
        <v>1175</v>
      </c>
      <c r="B58" s="49" t="s">
        <v>2334</v>
      </c>
      <c r="C58" s="49" t="s">
        <v>2273</v>
      </c>
      <c r="D58" s="50">
        <v>44816</v>
      </c>
      <c r="E58" s="50">
        <v>46640</v>
      </c>
      <c r="F58" s="49">
        <v>1000000</v>
      </c>
      <c r="G58" s="49" t="s">
        <v>76</v>
      </c>
      <c r="H58" s="49">
        <v>1061063.5</v>
      </c>
      <c r="I58" s="49" t="s">
        <v>76</v>
      </c>
      <c r="J58" s="49">
        <v>106.106349999999</v>
      </c>
      <c r="K58" s="49">
        <v>1</v>
      </c>
      <c r="L58" s="51">
        <v>7.6499999999999999E-2</v>
      </c>
      <c r="M58" s="49" t="s">
        <v>93</v>
      </c>
      <c r="N58" s="49">
        <v>723</v>
      </c>
      <c r="O58" s="49">
        <v>7.2097475787264296</v>
      </c>
      <c r="P58" s="49"/>
      <c r="Q58" s="49"/>
      <c r="R58" s="49" t="s">
        <v>2275</v>
      </c>
      <c r="S58">
        <f t="shared" si="0"/>
        <v>5</v>
      </c>
      <c r="T58" s="5" cm="1">
        <f t="array" ref="T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">
        <f>Table1[[#This Row],[Term to Maturity (Years)]]*Table1[[#This Row],[Coupon Frequency2]]</f>
        <v>5</v>
      </c>
      <c r="V58">
        <f>Table1[[#This Row],[Face value]]*Table1[[#This Row],[Current coupon %]]</f>
        <v>76500</v>
      </c>
      <c r="W58" s="36">
        <f>RATE(Table1[[#This Row],[Total No. of Coupons]],Table1[[#This Row],[Coupon Amount]],-Table1[[#This Row],[Ask Price]],Table1[[#This Row],[Face value]])</f>
        <v>6.1927644438776575E-2</v>
      </c>
      <c r="X58" s="27">
        <f>Table1[[#This Row],[IRR]]*Table1[[#This Row],[Coupon Frequency2]]</f>
        <v>6.1927644438776575E-2</v>
      </c>
      <c r="Y58" s="19" cm="1">
        <f t="array" ref="Y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8" s="33">
        <f>DURATION(Table1[[#This Row],[Issue date]],Table1[[#This Row],[Maturity date]],Table1[[#This Row],[Current coupon %]],Table1[[#This Row],[Yield (Annualised)]],Table1[[#This Row],[Coupon Frequency2]])</f>
        <v>4.3539659196438665</v>
      </c>
      <c r="AA58" s="33">
        <f>Table1[[#This Row],[Macaulay Duration in Years]]/(1+Table1[[#This Row],[IRR]])</f>
        <v>4.1000589281625821</v>
      </c>
      <c r="AB58" s="58">
        <f>VLOOKUP(Table1[[#This Row],[Yield Cluster]],'Cluster Details'!$B$3:$C$16,2,0)</f>
        <v>7.8548801574189142E-2</v>
      </c>
      <c r="AC58" s="78">
        <f>PRICE(Table1[[#This Row],[Issue date]],Table1[[#This Row],[Maturity date]],Table1[[#This Row],[Current coupon %]],Table1[[#This Row],[Average Cluster Yield]],100,Table1[[#This Row],[Coupon Frequency2]])*Table1[[#This Row],[Face value]]/100</f>
        <v>991780.07483037142</v>
      </c>
      <c r="AD58" s="58" t="str">
        <f>IF(Table1[[#This Row],[Ask Price]]&gt;Table1[[#This Row],[Calculated Bond Price]],"Rich","Cheap")</f>
        <v>Rich</v>
      </c>
      <c r="AE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1018619.3483589563</v>
      </c>
      <c r="AF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1105706.9862879994</v>
      </c>
      <c r="AG58" s="78">
        <f>(Table1[[#This Row],[P (+ shock)]]+Table1[[#This Row],[P (-shock)]]-2*Table1[[#This Row],[Ask Price]])/(2*Table1[[#This Row],[Ask Price]]*($AF$2^2))</f>
        <v>10.363821990651823</v>
      </c>
      <c r="AH58">
        <v>-9.5813492063492003</v>
      </c>
      <c r="AI58" s="6">
        <f t="shared" si="1"/>
        <v>7.2097475787264387E-2</v>
      </c>
      <c r="AK58" s="47">
        <f>RATE(Table1[[#This Row],[Total No. of Coupons]],Table1[[#This Row],[Coupon Amount]],-Table1[[#This Row],[Ask Price]],Table1[[#This Row],[Face value]])</f>
        <v>6.1927644438776575E-2</v>
      </c>
      <c r="AL58" s="27">
        <f>Table1[[#This Row],[IRR]]*Table1[[#This Row],[Coupon Frequency2]]</f>
        <v>6.1927644438776575E-2</v>
      </c>
      <c r="AM58" s="5">
        <f t="shared" si="2"/>
        <v>-4350422.8765224377</v>
      </c>
      <c r="AN58" t="s">
        <v>64</v>
      </c>
      <c r="AO58" t="s">
        <v>62</v>
      </c>
      <c r="AP58">
        <f t="shared" si="3"/>
        <v>1</v>
      </c>
    </row>
    <row r="59" spans="1:42" x14ac:dyDescent="0.35">
      <c r="A59" s="48" t="s">
        <v>1001</v>
      </c>
      <c r="B59" s="49" t="s">
        <v>2335</v>
      </c>
      <c r="C59" s="49" t="s">
        <v>2273</v>
      </c>
      <c r="D59" s="50">
        <v>41358</v>
      </c>
      <c r="E59" s="50">
        <v>46837</v>
      </c>
      <c r="F59" s="49">
        <v>1000</v>
      </c>
      <c r="G59" s="49" t="s">
        <v>76</v>
      </c>
      <c r="H59" s="49">
        <v>1080.0999999999999</v>
      </c>
      <c r="I59" s="49" t="s">
        <v>76</v>
      </c>
      <c r="J59" s="49">
        <v>108.009999999999</v>
      </c>
      <c r="K59" s="49">
        <v>22</v>
      </c>
      <c r="L59" s="51">
        <v>7.0400000000000004E-2</v>
      </c>
      <c r="M59" s="49" t="s">
        <v>93</v>
      </c>
      <c r="N59" s="49">
        <v>920</v>
      </c>
      <c r="O59" s="49">
        <v>6.5179150078696404</v>
      </c>
      <c r="P59" s="49"/>
      <c r="Q59" s="49"/>
      <c r="R59" s="49" t="s">
        <v>2275</v>
      </c>
      <c r="S59">
        <f t="shared" si="0"/>
        <v>15</v>
      </c>
      <c r="T59" s="5" cm="1">
        <f t="array" ref="T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">
        <f>Table1[[#This Row],[Term to Maturity (Years)]]*Table1[[#This Row],[Coupon Frequency2]]</f>
        <v>15</v>
      </c>
      <c r="V59">
        <f>Table1[[#This Row],[Face value]]*Table1[[#This Row],[Current coupon %]]</f>
        <v>70.400000000000006</v>
      </c>
      <c r="W59" s="36">
        <f>RATE(Table1[[#This Row],[Total No. of Coupons]],Table1[[#This Row],[Coupon Amount]],-Table1[[#This Row],[Ask Price]],Table1[[#This Row],[Face value]])</f>
        <v>6.204227721617548E-2</v>
      </c>
      <c r="X59" s="27">
        <f>Table1[[#This Row],[IRR]]*Table1[[#This Row],[Coupon Frequency2]]</f>
        <v>6.204227721617548E-2</v>
      </c>
      <c r="Y59" s="19" cm="1">
        <f t="array" ref="Y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59" s="33">
        <f>DURATION(Table1[[#This Row],[Issue date]],Table1[[#This Row],[Maturity date]],Table1[[#This Row],[Current coupon %]],Table1[[#This Row],[Yield (Annualised)]],Table1[[#This Row],[Coupon Frequency2]])</f>
        <v>9.9347872532641048</v>
      </c>
      <c r="AA59" s="33">
        <f>Table1[[#This Row],[Macaulay Duration in Years]]/(1+Table1[[#This Row],[IRR]])</f>
        <v>9.3544178667775473</v>
      </c>
      <c r="AB59" s="58">
        <f>VLOOKUP(Table1[[#This Row],[Yield Cluster]],'Cluster Details'!$B$3:$C$16,2,0)</f>
        <v>7.8548801574189142E-2</v>
      </c>
      <c r="AC59" s="78">
        <f>PRICE(Table1[[#This Row],[Issue date]],Table1[[#This Row],[Maturity date]],Table1[[#This Row],[Current coupon %]],Table1[[#This Row],[Average Cluster Yield]],100,Table1[[#This Row],[Coupon Frequency2]])*Table1[[#This Row],[Face value]]/100</f>
        <v>929.62817842972549</v>
      </c>
      <c r="AD59" s="58" t="str">
        <f>IF(Table1[[#This Row],[Ask Price]]&gt;Table1[[#This Row],[Calculated Bond Price]],"Rich","Cheap")</f>
        <v>Rich</v>
      </c>
      <c r="AE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985.23332888169682</v>
      </c>
      <c r="AF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1187.9435244050574</v>
      </c>
      <c r="AG59" s="78">
        <f>(Table1[[#This Row],[P (+ shock)]]+Table1[[#This Row],[P (-shock)]]-2*Table1[[#This Row],[Ask Price]])/(2*Table1[[#This Row],[Ask Price]]*($AF$2^2))</f>
        <v>60.07246221069461</v>
      </c>
      <c r="AH59">
        <v>-10.651735460715701</v>
      </c>
      <c r="AI59" s="6">
        <f t="shared" si="1"/>
        <v>6.517915007869643E-2</v>
      </c>
      <c r="AK59" s="47">
        <f>RATE(Table1[[#This Row],[Total No. of Coupons]],Table1[[#This Row],[Coupon Amount]],-Table1[[#This Row],[Ask Price]],Table1[[#This Row],[Face value]])</f>
        <v>6.204227721617548E-2</v>
      </c>
      <c r="AL59" s="27">
        <f>Table1[[#This Row],[IRR]]*Table1[[#This Row],[Coupon Frequency2]]</f>
        <v>6.204227721617548E-2</v>
      </c>
      <c r="AM59" s="5">
        <f t="shared" si="2"/>
        <v>-10103.706737906428</v>
      </c>
      <c r="AN59" t="s">
        <v>64</v>
      </c>
      <c r="AO59" t="s">
        <v>62</v>
      </c>
      <c r="AP59">
        <f t="shared" si="3"/>
        <v>1</v>
      </c>
    </row>
    <row r="60" spans="1:42" x14ac:dyDescent="0.35">
      <c r="A60" s="48" t="s">
        <v>2336</v>
      </c>
      <c r="B60" s="49" t="s">
        <v>2337</v>
      </c>
      <c r="C60" s="49" t="s">
        <v>2273</v>
      </c>
      <c r="D60" s="50">
        <v>45855</v>
      </c>
      <c r="E60" s="50">
        <v>46585</v>
      </c>
      <c r="F60" s="49">
        <v>1000</v>
      </c>
      <c r="G60" s="49" t="s">
        <v>76</v>
      </c>
      <c r="H60" s="49">
        <v>1050</v>
      </c>
      <c r="I60" s="49" t="s">
        <v>76</v>
      </c>
      <c r="J60" s="49">
        <v>105</v>
      </c>
      <c r="K60" s="49">
        <v>50</v>
      </c>
      <c r="L60" s="51">
        <v>8.9499999999999996E-2</v>
      </c>
      <c r="M60" s="49" t="s">
        <v>93</v>
      </c>
      <c r="N60" s="49">
        <v>668</v>
      </c>
      <c r="O60" s="49">
        <v>8.5238095238095202</v>
      </c>
      <c r="P60" s="49"/>
      <c r="Q60" s="49"/>
      <c r="R60" s="49" t="s">
        <v>2275</v>
      </c>
      <c r="S60">
        <f t="shared" si="0"/>
        <v>2</v>
      </c>
      <c r="T60" s="5" cm="1">
        <f t="array" ref="T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">
        <f>Table1[[#This Row],[Term to Maturity (Years)]]*Table1[[#This Row],[Coupon Frequency2]]</f>
        <v>2</v>
      </c>
      <c r="V60">
        <f>Table1[[#This Row],[Face value]]*Table1[[#This Row],[Current coupon %]]</f>
        <v>89.5</v>
      </c>
      <c r="W60" s="36">
        <f>RATE(Table1[[#This Row],[Total No. of Coupons]],Table1[[#This Row],[Coupon Amount]],-Table1[[#This Row],[Ask Price]],Table1[[#This Row],[Face value]])</f>
        <v>6.2146109956806167E-2</v>
      </c>
      <c r="X60" s="27">
        <f>Table1[[#This Row],[IRR]]*Table1[[#This Row],[Coupon Frequency2]]</f>
        <v>6.2146109956806167E-2</v>
      </c>
      <c r="Y60" s="19" cm="1">
        <f t="array" ref="Y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0" s="33">
        <f>DURATION(Table1[[#This Row],[Issue date]],Table1[[#This Row],[Maturity date]],Table1[[#This Row],[Current coupon %]],Table1[[#This Row],[Yield (Annualised)]],Table1[[#This Row],[Coupon Frequency2]])</f>
        <v>1.9197491809845579</v>
      </c>
      <c r="AA60" s="33">
        <f>Table1[[#This Row],[Macaulay Duration in Years]]/(1+Table1[[#This Row],[IRR]])</f>
        <v>1.8074247629289228</v>
      </c>
      <c r="AB60" s="58">
        <f>VLOOKUP(Table1[[#This Row],[Yield Cluster]],'Cluster Details'!$B$3:$C$16,2,0)</f>
        <v>7.8548801574189142E-2</v>
      </c>
      <c r="AC60" s="78">
        <f>PRICE(Table1[[#This Row],[Issue date]],Table1[[#This Row],[Maturity date]],Table1[[#This Row],[Current coupon %]],Table1[[#This Row],[Average Cluster Yield]],100,Table1[[#This Row],[Coupon Frequency2]])*Table1[[#This Row],[Face value]]/100</f>
        <v>1019.5678122390063</v>
      </c>
      <c r="AD60" s="58" t="str">
        <f>IF(Table1[[#This Row],[Ask Price]]&gt;Table1[[#This Row],[Calculated Bond Price]],"Rich","Cheap")</f>
        <v>Rich</v>
      </c>
      <c r="AE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1031.2830628980273</v>
      </c>
      <c r="AF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1069.2455719993245</v>
      </c>
      <c r="AG60" s="78">
        <f>(Table1[[#This Row],[P (+ shock)]]+Table1[[#This Row],[P (-shock)]]-2*Table1[[#This Row],[Ask Price]])/(2*Table1[[#This Row],[Ask Price]]*($AF$2^2))</f>
        <v>2.5173090350086738</v>
      </c>
      <c r="AH60">
        <v>6.9117715681560501</v>
      </c>
      <c r="AI60" s="6">
        <f t="shared" si="1"/>
        <v>8.5238095238095238E-2</v>
      </c>
      <c r="AK60" s="47">
        <f>RATE(Table1[[#This Row],[Total No. of Coupons]],Table1[[#This Row],[Coupon Amount]],-Table1[[#This Row],[Ask Price]],Table1[[#This Row],[Face value]])</f>
        <v>6.2146109956806167E-2</v>
      </c>
      <c r="AL60" s="27">
        <f>Table1[[#This Row],[IRR]]*Table1[[#This Row],[Coupon Frequency2]]</f>
        <v>6.2146109956806167E-2</v>
      </c>
      <c r="AM60" s="5">
        <f t="shared" si="2"/>
        <v>-1897.7960010753691</v>
      </c>
      <c r="AN60" t="s">
        <v>64</v>
      </c>
      <c r="AO60" t="s">
        <v>62</v>
      </c>
      <c r="AP60">
        <f t="shared" si="3"/>
        <v>1</v>
      </c>
    </row>
    <row r="61" spans="1:42" x14ac:dyDescent="0.35">
      <c r="A61" s="48" t="s">
        <v>817</v>
      </c>
      <c r="B61" s="49" t="s">
        <v>2338</v>
      </c>
      <c r="C61" s="49" t="s">
        <v>2273</v>
      </c>
      <c r="D61" s="50">
        <v>41599</v>
      </c>
      <c r="E61" s="50">
        <v>47078</v>
      </c>
      <c r="F61" s="49">
        <v>1000000</v>
      </c>
      <c r="G61" s="49" t="s">
        <v>76</v>
      </c>
      <c r="H61" s="49">
        <v>1215100</v>
      </c>
      <c r="I61" s="49" t="s">
        <v>76</v>
      </c>
      <c r="J61" s="49">
        <v>121.51</v>
      </c>
      <c r="K61" s="49">
        <v>20</v>
      </c>
      <c r="L61" s="51">
        <v>8.48E-2</v>
      </c>
      <c r="M61" s="49" t="s">
        <v>93</v>
      </c>
      <c r="N61" s="49">
        <v>1161</v>
      </c>
      <c r="O61" s="49">
        <v>6.97884947740926</v>
      </c>
      <c r="P61" s="49" t="s">
        <v>2274</v>
      </c>
      <c r="Q61" s="49"/>
      <c r="R61" s="49" t="s">
        <v>2275</v>
      </c>
      <c r="S61">
        <f t="shared" si="0"/>
        <v>15</v>
      </c>
      <c r="T61" s="5" cm="1">
        <f t="array" ref="T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">
        <f>Table1[[#This Row],[Term to Maturity (Years)]]*Table1[[#This Row],[Coupon Frequency2]]</f>
        <v>15</v>
      </c>
      <c r="V61">
        <f>Table1[[#This Row],[Face value]]*Table1[[#This Row],[Current coupon %]]</f>
        <v>84800</v>
      </c>
      <c r="W61" s="36">
        <f>RATE(Table1[[#This Row],[Total No. of Coupons]],Table1[[#This Row],[Coupon Amount]],-Table1[[#This Row],[Ask Price]],Table1[[#This Row],[Face value]])</f>
        <v>6.2316303120312076E-2</v>
      </c>
      <c r="X61" s="27">
        <f>Table1[[#This Row],[IRR]]*Table1[[#This Row],[Coupon Frequency2]]</f>
        <v>6.2316303120312076E-2</v>
      </c>
      <c r="Y61" s="19" cm="1">
        <f t="array" ref="Y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1" s="33">
        <f>DURATION(Table1[[#This Row],[Issue date]],Table1[[#This Row],[Maturity date]],Table1[[#This Row],[Current coupon %]],Table1[[#This Row],[Yield (Annualised)]],Table1[[#This Row],[Coupon Frequency2]])</f>
        <v>9.5831282676377647</v>
      </c>
      <c r="AA61" s="33">
        <f>Table1[[#This Row],[Macaulay Duration in Years]]/(1+Table1[[#This Row],[IRR]])</f>
        <v>9.0209744870614426</v>
      </c>
      <c r="AB61" s="58">
        <f>VLOOKUP(Table1[[#This Row],[Yield Cluster]],'Cluster Details'!$B$3:$C$16,2,0)</f>
        <v>7.8548801574189142E-2</v>
      </c>
      <c r="AC61" s="78">
        <f>PRICE(Table1[[#This Row],[Issue date]],Table1[[#This Row],[Maturity date]],Table1[[#This Row],[Current coupon %]],Table1[[#This Row],[Average Cluster Yield]],100,Table1[[#This Row],[Coupon Frequency2]])*Table1[[#This Row],[Face value]]/100</f>
        <v>1053984.4069359768</v>
      </c>
      <c r="AD61" s="58" t="str">
        <f>IF(Table1[[#This Row],[Ask Price]]&gt;Table1[[#This Row],[Calculated Bond Price]],"Rich","Cheap")</f>
        <v>Rich</v>
      </c>
      <c r="AE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1112055.5067160807</v>
      </c>
      <c r="AF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1331952.173143643</v>
      </c>
      <c r="AG61" s="78">
        <f>(Table1[[#This Row],[P (+ shock)]]+Table1[[#This Row],[P (-shock)]]-2*Table1[[#This Row],[Ask Price]])/(2*Table1[[#This Row],[Ask Price]]*($AF$2^2))</f>
        <v>56.817051517257404</v>
      </c>
      <c r="AH61">
        <v>10.75</v>
      </c>
      <c r="AI61" s="6">
        <f t="shared" si="1"/>
        <v>6.9788494774092671E-2</v>
      </c>
      <c r="AK61" s="47">
        <f>RATE(Table1[[#This Row],[Total No. of Coupons]],Table1[[#This Row],[Coupon Amount]],-Table1[[#This Row],[Ask Price]],Table1[[#This Row],[Face value]])</f>
        <v>6.2316303120312076E-2</v>
      </c>
      <c r="AL61" s="27">
        <f>Table1[[#This Row],[IRR]]*Table1[[#This Row],[Coupon Frequency2]]</f>
        <v>6.2316303120312076E-2</v>
      </c>
      <c r="AM61" s="5">
        <f t="shared" si="2"/>
        <v>-10961386.09922836</v>
      </c>
      <c r="AN61" t="s">
        <v>64</v>
      </c>
      <c r="AO61" t="s">
        <v>62</v>
      </c>
      <c r="AP61">
        <f t="shared" si="3"/>
        <v>1</v>
      </c>
    </row>
    <row r="62" spans="1:42" x14ac:dyDescent="0.35">
      <c r="A62" s="48" t="s">
        <v>117</v>
      </c>
      <c r="B62" s="49" t="s">
        <v>2339</v>
      </c>
      <c r="C62" s="49" t="s">
        <v>2273</v>
      </c>
      <c r="D62" s="50">
        <v>44064</v>
      </c>
      <c r="E62" s="50">
        <v>49542</v>
      </c>
      <c r="F62" s="49">
        <v>1000000</v>
      </c>
      <c r="G62" s="49" t="s">
        <v>76</v>
      </c>
      <c r="H62" s="49">
        <v>1053670</v>
      </c>
      <c r="I62" s="49" t="s">
        <v>76</v>
      </c>
      <c r="J62" s="49">
        <v>105.367</v>
      </c>
      <c r="K62" s="49">
        <v>100</v>
      </c>
      <c r="L62" s="51">
        <v>6.8000000000000005E-2</v>
      </c>
      <c r="M62" s="49" t="s">
        <v>93</v>
      </c>
      <c r="N62" s="49">
        <v>3625</v>
      </c>
      <c r="O62" s="49">
        <v>6.4536334905615602</v>
      </c>
      <c r="P62" s="49" t="s">
        <v>2274</v>
      </c>
      <c r="Q62" s="49"/>
      <c r="R62" s="49" t="s">
        <v>2275</v>
      </c>
      <c r="S62">
        <f t="shared" si="0"/>
        <v>15</v>
      </c>
      <c r="T62" s="5" cm="1">
        <f t="array" ref="T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2">
        <f>Table1[[#This Row],[Term to Maturity (Years)]]*Table1[[#This Row],[Coupon Frequency2]]</f>
        <v>15</v>
      </c>
      <c r="V62">
        <f>Table1[[#This Row],[Face value]]*Table1[[#This Row],[Current coupon %]]</f>
        <v>68000</v>
      </c>
      <c r="W62" s="36">
        <f>RATE(Table1[[#This Row],[Total No. of Coupons]],Table1[[#This Row],[Coupon Amount]],-Table1[[#This Row],[Ask Price]],Table1[[#This Row],[Face value]])</f>
        <v>6.2387462844264649E-2</v>
      </c>
      <c r="X62" s="27">
        <f>Table1[[#This Row],[IRR]]*Table1[[#This Row],[Coupon Frequency2]]</f>
        <v>6.2387462844264649E-2</v>
      </c>
      <c r="Y62" s="19" cm="1">
        <f t="array" ref="Y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2" s="33">
        <f>DURATION(Table1[[#This Row],[Issue date]],Table1[[#This Row],[Maturity date]],Table1[[#This Row],[Current coupon %]],Table1[[#This Row],[Yield (Annualised)]],Table1[[#This Row],[Coupon Frequency2]])</f>
        <v>9.9923618155674188</v>
      </c>
      <c r="AA62" s="33">
        <f>Table1[[#This Row],[Macaulay Duration in Years]]/(1+Table1[[#This Row],[IRR]])</f>
        <v>9.4055720394285167</v>
      </c>
      <c r="AB62" s="58">
        <f>VLOOKUP(Table1[[#This Row],[Yield Cluster]],'Cluster Details'!$B$3:$C$16,2,0)</f>
        <v>7.8548801574189142E-2</v>
      </c>
      <c r="AC62" s="78">
        <f>PRICE(Table1[[#This Row],[Issue date]],Table1[[#This Row],[Maturity date]],Table1[[#This Row],[Current coupon %]],Table1[[#This Row],[Average Cluster Yield]],100,Table1[[#This Row],[Coupon Frequency2]])*Table1[[#This Row],[Face value]]/100</f>
        <v>908902.14034535049</v>
      </c>
      <c r="AD62" s="58" t="str">
        <f>IF(Table1[[#This Row],[Ask Price]]&gt;Table1[[#This Row],[Calculated Bond Price]],"Rich","Cheap")</f>
        <v>Rich</v>
      </c>
      <c r="AE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960635.04196353571</v>
      </c>
      <c r="AF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1159469.0175677582</v>
      </c>
      <c r="AG62" s="78">
        <f>(Table1[[#This Row],[P (+ shock)]]+Table1[[#This Row],[P (-shock)]]-2*Table1[[#This Row],[Ask Price]])/(2*Table1[[#This Row],[Ask Price]]*($AF$2^2))</f>
        <v>60.569530931381784</v>
      </c>
      <c r="AH62">
        <v>-3.61481027469772</v>
      </c>
      <c r="AI62" s="6">
        <f t="shared" si="1"/>
        <v>6.4536334905615611E-2</v>
      </c>
      <c r="AK62" s="47">
        <f>RATE(Table1[[#This Row],[Total No. of Coupons]],Table1[[#This Row],[Coupon Amount]],-Table1[[#This Row],[Ask Price]],Table1[[#This Row],[Face value]])</f>
        <v>6.2387462844264649E-2</v>
      </c>
      <c r="AL62" s="27">
        <f>Table1[[#This Row],[IRR]]*Table1[[#This Row],[Coupon Frequency2]]</f>
        <v>6.2387462844264649E-2</v>
      </c>
      <c r="AM62" s="5">
        <f t="shared" si="2"/>
        <v>-9910369.0907846447</v>
      </c>
      <c r="AN62" t="s">
        <v>64</v>
      </c>
      <c r="AO62" t="s">
        <v>62</v>
      </c>
      <c r="AP62">
        <f t="shared" si="3"/>
        <v>1</v>
      </c>
    </row>
    <row r="63" spans="1:42" x14ac:dyDescent="0.35">
      <c r="A63" s="48" t="s">
        <v>856</v>
      </c>
      <c r="B63" s="49" t="s">
        <v>2340</v>
      </c>
      <c r="C63" s="49" t="s">
        <v>2273</v>
      </c>
      <c r="D63" s="50">
        <v>43370</v>
      </c>
      <c r="E63" s="50">
        <v>47023</v>
      </c>
      <c r="F63" s="49">
        <v>1000</v>
      </c>
      <c r="G63" s="49" t="s">
        <v>76</v>
      </c>
      <c r="H63" s="49">
        <v>1200</v>
      </c>
      <c r="I63" s="49" t="s">
        <v>76</v>
      </c>
      <c r="J63" s="49">
        <v>120</v>
      </c>
      <c r="K63" s="49">
        <v>18</v>
      </c>
      <c r="L63" s="51">
        <v>0.09</v>
      </c>
      <c r="M63" s="49" t="s">
        <v>93</v>
      </c>
      <c r="N63" s="49">
        <v>1106</v>
      </c>
      <c r="O63" s="49">
        <v>7.5</v>
      </c>
      <c r="P63" s="49"/>
      <c r="Q63" s="49"/>
      <c r="R63" s="49" t="s">
        <v>2275</v>
      </c>
      <c r="S63">
        <f t="shared" si="0"/>
        <v>10</v>
      </c>
      <c r="T63" s="5" cm="1">
        <f t="array" ref="T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3">
        <f>Table1[[#This Row],[Term to Maturity (Years)]]*Table1[[#This Row],[Coupon Frequency2]]</f>
        <v>10</v>
      </c>
      <c r="V63">
        <f>Table1[[#This Row],[Face value]]*Table1[[#This Row],[Current coupon %]]</f>
        <v>90</v>
      </c>
      <c r="W63" s="36">
        <f>RATE(Table1[[#This Row],[Total No. of Coupons]],Table1[[#This Row],[Coupon Amount]],-Table1[[#This Row],[Ask Price]],Table1[[#This Row],[Face value]])</f>
        <v>6.2503225403191268E-2</v>
      </c>
      <c r="X63" s="27">
        <f>Table1[[#This Row],[IRR]]*Table1[[#This Row],[Coupon Frequency2]]</f>
        <v>6.2503225403191268E-2</v>
      </c>
      <c r="Y63" s="19" cm="1">
        <f t="array" ref="Y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3" s="33">
        <f>DURATION(Table1[[#This Row],[Issue date]],Table1[[#This Row],[Maturity date]],Table1[[#This Row],[Current coupon %]],Table1[[#This Row],[Yield (Annualised)]],Table1[[#This Row],[Coupon Frequency2]])</f>
        <v>7.2739838065660587</v>
      </c>
      <c r="AA63" s="33">
        <f>Table1[[#This Row],[Macaulay Duration in Years]]/(1+Table1[[#This Row],[IRR]])</f>
        <v>6.8460816237106279</v>
      </c>
      <c r="AB63" s="58">
        <f>VLOOKUP(Table1[[#This Row],[Yield Cluster]],'Cluster Details'!$B$3:$C$16,2,0)</f>
        <v>7.8548801574189142E-2</v>
      </c>
      <c r="AC63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1077.3439773657171</v>
      </c>
      <c r="AD63" s="58" t="str">
        <f>IF(Table1[[#This Row],[Ask Price]]&gt;Table1[[#This Row],[Calculated Bond Price]],"Rich","Cheap")</f>
        <v>Rich</v>
      </c>
      <c r="AE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1121.4805537815291</v>
      </c>
      <c r="AF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1286.0524586671806</v>
      </c>
      <c r="AG63" s="78">
        <f>(Table1[[#This Row],[P (+ shock)]]+Table1[[#This Row],[P (-shock)]]-2*Table1[[#This Row],[Ask Price]])/(2*Table1[[#This Row],[Ask Price]]*($AF$2^2))</f>
        <v>31.387551869624982</v>
      </c>
      <c r="AH63">
        <v>10.3259169905732</v>
      </c>
      <c r="AI63" s="6">
        <f t="shared" si="1"/>
        <v>7.4999999999999997E-2</v>
      </c>
      <c r="AK63" s="47">
        <f>RATE(Table1[[#This Row],[Total No. of Coupons]],Table1[[#This Row],[Coupon Amount]],-Table1[[#This Row],[Ask Price]],Table1[[#This Row],[Face value]])</f>
        <v>6.2503225403191268E-2</v>
      </c>
      <c r="AL63" s="27">
        <f>Table1[[#This Row],[IRR]]*Table1[[#This Row],[Coupon Frequency2]]</f>
        <v>6.2503225403191268E-2</v>
      </c>
      <c r="AM63" s="5">
        <f t="shared" si="2"/>
        <v>-8215.2979484527532</v>
      </c>
      <c r="AN63" t="s">
        <v>64</v>
      </c>
      <c r="AO63" t="s">
        <v>62</v>
      </c>
      <c r="AP63">
        <f t="shared" si="3"/>
        <v>1</v>
      </c>
    </row>
    <row r="64" spans="1:42" x14ac:dyDescent="0.35">
      <c r="A64" s="48" t="s">
        <v>1005</v>
      </c>
      <c r="B64" s="49" t="s">
        <v>2341</v>
      </c>
      <c r="C64" s="49" t="s">
        <v>2273</v>
      </c>
      <c r="D64" s="50">
        <v>41356</v>
      </c>
      <c r="E64" s="50">
        <v>46835</v>
      </c>
      <c r="F64" s="49">
        <v>1000</v>
      </c>
      <c r="G64" s="49" t="s">
        <v>76</v>
      </c>
      <c r="H64" s="49">
        <v>1075.0999999999999</v>
      </c>
      <c r="I64" s="49" t="s">
        <v>76</v>
      </c>
      <c r="J64" s="49">
        <v>107.509999999999</v>
      </c>
      <c r="K64" s="49">
        <v>5</v>
      </c>
      <c r="L64" s="51">
        <v>7.0400000000000004E-2</v>
      </c>
      <c r="M64" s="49" t="s">
        <v>93</v>
      </c>
      <c r="N64" s="49">
        <v>918</v>
      </c>
      <c r="O64" s="49">
        <v>6.5482280718072703</v>
      </c>
      <c r="P64" s="49" t="s">
        <v>2274</v>
      </c>
      <c r="Q64" s="49"/>
      <c r="R64" s="49" t="s">
        <v>2275</v>
      </c>
      <c r="S64">
        <f t="shared" si="0"/>
        <v>15</v>
      </c>
      <c r="T64" s="5" cm="1">
        <f t="array" ref="T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4">
        <f>Table1[[#This Row],[Term to Maturity (Years)]]*Table1[[#This Row],[Coupon Frequency2]]</f>
        <v>15</v>
      </c>
      <c r="V64">
        <f>Table1[[#This Row],[Face value]]*Table1[[#This Row],[Current coupon %]]</f>
        <v>70.400000000000006</v>
      </c>
      <c r="W64" s="36">
        <f>RATE(Table1[[#This Row],[Total No. of Coupons]],Table1[[#This Row],[Coupon Amount]],-Table1[[#This Row],[Ask Price]],Table1[[#This Row],[Face value]])</f>
        <v>6.2538720842572615E-2</v>
      </c>
      <c r="X64" s="27">
        <f>Table1[[#This Row],[IRR]]*Table1[[#This Row],[Coupon Frequency2]]</f>
        <v>6.2538720842572615E-2</v>
      </c>
      <c r="Y64" s="19" cm="1">
        <f t="array" ref="Y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4" s="33">
        <f>DURATION(Table1[[#This Row],[Issue date]],Table1[[#This Row],[Maturity date]],Table1[[#This Row],[Current coupon %]],Table1[[#This Row],[Yield (Annualised)]],Table1[[#This Row],[Coupon Frequency2]])</f>
        <v>9.922343789210899</v>
      </c>
      <c r="AA64" s="33">
        <f>Table1[[#This Row],[Macaulay Duration in Years]]/(1+Table1[[#This Row],[IRR]])</f>
        <v>9.3383361891439325</v>
      </c>
      <c r="AB64" s="58">
        <f>VLOOKUP(Table1[[#This Row],[Yield Cluster]],'Cluster Details'!$B$3:$C$16,2,0)</f>
        <v>7.8548801574189142E-2</v>
      </c>
      <c r="AC64" s="78">
        <f>PRICE(Table1[[#This Row],[Issue date]],Table1[[#This Row],[Maturity date]],Table1[[#This Row],[Current coupon %]],Table1[[#This Row],[Average Cluster Yield]],100,Table1[[#This Row],[Coupon Frequency2]])*Table1[[#This Row],[Face value]]/100</f>
        <v>929.62817842972549</v>
      </c>
      <c r="AD64" s="58" t="str">
        <f>IF(Table1[[#This Row],[Ask Price]]&gt;Table1[[#This Row],[Calculated Bond Price]],"Rich","Cheap")</f>
        <v>Rich</v>
      </c>
      <c r="AE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980.82925555265149</v>
      </c>
      <c r="AF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1182.2531573337656</v>
      </c>
      <c r="AG64" s="78">
        <f>(Table1[[#This Row],[P (+ shock)]]+Table1[[#This Row],[P (-shock)]]-2*Table1[[#This Row],[Ask Price]])/(2*Table1[[#This Row],[Ask Price]]*($AF$2^2))</f>
        <v>59.912626204153639</v>
      </c>
      <c r="AH64">
        <v>10.4531554072838</v>
      </c>
      <c r="AI64" s="6">
        <f t="shared" si="1"/>
        <v>6.5482280718072744E-2</v>
      </c>
      <c r="AK64" s="47">
        <f>RATE(Table1[[#This Row],[Total No. of Coupons]],Table1[[#This Row],[Coupon Amount]],-Table1[[#This Row],[Ask Price]],Table1[[#This Row],[Face value]])</f>
        <v>6.2538720842572615E-2</v>
      </c>
      <c r="AL64" s="27">
        <f>Table1[[#This Row],[IRR]]*Table1[[#This Row],[Coupon Frequency2]]</f>
        <v>6.2538720842572615E-2</v>
      </c>
      <c r="AM64" s="5">
        <f t="shared" si="2"/>
        <v>-10039.645236948641</v>
      </c>
      <c r="AN64" t="s">
        <v>64</v>
      </c>
      <c r="AO64" t="s">
        <v>62</v>
      </c>
      <c r="AP64">
        <f t="shared" si="3"/>
        <v>1</v>
      </c>
    </row>
    <row r="65" spans="1:42" x14ac:dyDescent="0.35">
      <c r="A65" s="48" t="s">
        <v>205</v>
      </c>
      <c r="B65" s="49" t="s">
        <v>2342</v>
      </c>
      <c r="C65" s="49" t="s">
        <v>2273</v>
      </c>
      <c r="D65" s="50">
        <v>41590</v>
      </c>
      <c r="E65" s="50">
        <v>48895</v>
      </c>
      <c r="F65" s="49">
        <v>1000</v>
      </c>
      <c r="G65" s="49" t="s">
        <v>76</v>
      </c>
      <c r="H65" s="49">
        <v>1278.45</v>
      </c>
      <c r="I65" s="49" t="s">
        <v>76</v>
      </c>
      <c r="J65" s="49">
        <v>127.845</v>
      </c>
      <c r="K65" s="49">
        <v>25</v>
      </c>
      <c r="L65" s="51">
        <v>8.7499999999999994E-2</v>
      </c>
      <c r="M65" s="49" t="s">
        <v>93</v>
      </c>
      <c r="N65" s="49">
        <v>2978</v>
      </c>
      <c r="O65" s="49">
        <v>6.8442254292306997</v>
      </c>
      <c r="P65" s="49" t="s">
        <v>2282</v>
      </c>
      <c r="Q65" s="49"/>
      <c r="R65" s="49" t="s">
        <v>2275</v>
      </c>
      <c r="S65">
        <f t="shared" si="0"/>
        <v>20</v>
      </c>
      <c r="T65" s="5" cm="1">
        <f t="array" ref="T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5">
        <f>Table1[[#This Row],[Term to Maturity (Years)]]*Table1[[#This Row],[Coupon Frequency2]]</f>
        <v>20</v>
      </c>
      <c r="V65">
        <f>Table1[[#This Row],[Face value]]*Table1[[#This Row],[Current coupon %]]</f>
        <v>87.5</v>
      </c>
      <c r="W65" s="36">
        <f>RATE(Table1[[#This Row],[Total No. of Coupons]],Table1[[#This Row],[Coupon Amount]],-Table1[[#This Row],[Ask Price]],Table1[[#This Row],[Face value]])</f>
        <v>6.2690540634813538E-2</v>
      </c>
      <c r="X65" s="27">
        <f>Table1[[#This Row],[IRR]]*Table1[[#This Row],[Coupon Frequency2]]</f>
        <v>6.2690540634813538E-2</v>
      </c>
      <c r="Y65" s="19" cm="1">
        <f t="array" ref="Y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5" s="33">
        <f>DURATION(Table1[[#This Row],[Issue date]],Table1[[#This Row],[Maturity date]],Table1[[#This Row],[Current coupon %]],Table1[[#This Row],[Yield (Annualised)]],Table1[[#This Row],[Coupon Frequency2]])</f>
        <v>11.186486146622487</v>
      </c>
      <c r="AA65" s="33">
        <f>Table1[[#This Row],[Macaulay Duration in Years]]/(1+Table1[[#This Row],[IRR]])</f>
        <v>10.526569795135353</v>
      </c>
      <c r="AB65" s="58">
        <f>VLOOKUP(Table1[[#This Row],[Yield Cluster]],'Cluster Details'!$B$3:$C$16,2,0)</f>
        <v>7.8548801574189142E-2</v>
      </c>
      <c r="AC65" s="78">
        <f>PRICE(Table1[[#This Row],[Issue date]],Table1[[#This Row],[Maturity date]],Table1[[#This Row],[Current coupon %]],Table1[[#This Row],[Average Cluster Yield]],100,Table1[[#This Row],[Coupon Frequency2]])*Table1[[#This Row],[Face value]]/100</f>
        <v>1088.8414423435356</v>
      </c>
      <c r="AD65" s="58" t="str">
        <f>IF(Table1[[#This Row],[Ask Price]]&gt;Table1[[#This Row],[Calculated Bond Price]],"Rich","Cheap")</f>
        <v>Rich</v>
      </c>
      <c r="AE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1153.6635763506865</v>
      </c>
      <c r="AF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1424.0747820875811</v>
      </c>
      <c r="AG65" s="78">
        <f>(Table1[[#This Row],[P (+ shock)]]+Table1[[#This Row],[P (-shock)]]-2*Table1[[#This Row],[Ask Price]])/(2*Table1[[#This Row],[Ask Price]]*($AF$2^2))</f>
        <v>81.498527272352192</v>
      </c>
      <c r="AH65">
        <v>8.94</v>
      </c>
      <c r="AI65" s="6">
        <f t="shared" si="1"/>
        <v>6.8442254292307089E-2</v>
      </c>
      <c r="AK65" s="47">
        <f>RATE(Table1[[#This Row],[Total No. of Coupons]],Table1[[#This Row],[Coupon Amount]],-Table1[[#This Row],[Ask Price]],Table1[[#This Row],[Face value]])</f>
        <v>6.2690540634813538E-2</v>
      </c>
      <c r="AL65" s="27">
        <f>Table1[[#This Row],[IRR]]*Table1[[#This Row],[Coupon Frequency2]]</f>
        <v>6.2690540634813538E-2</v>
      </c>
      <c r="AM65" s="5">
        <f t="shared" si="2"/>
        <v>-13457.693154590794</v>
      </c>
      <c r="AN65" t="s">
        <v>64</v>
      </c>
      <c r="AO65" t="s">
        <v>62</v>
      </c>
      <c r="AP65">
        <f t="shared" si="3"/>
        <v>1</v>
      </c>
    </row>
    <row r="66" spans="1:42" x14ac:dyDescent="0.35">
      <c r="A66" s="48" t="s">
        <v>1029</v>
      </c>
      <c r="B66" s="49" t="s">
        <v>2343</v>
      </c>
      <c r="C66" s="49" t="s">
        <v>2273</v>
      </c>
      <c r="D66" s="50">
        <v>41324</v>
      </c>
      <c r="E66" s="50">
        <v>46802</v>
      </c>
      <c r="F66" s="49">
        <v>1000</v>
      </c>
      <c r="G66" s="49" t="s">
        <v>76</v>
      </c>
      <c r="H66" s="49">
        <v>1102.05</v>
      </c>
      <c r="I66" s="49" t="s">
        <v>76</v>
      </c>
      <c r="J66" s="49">
        <v>110.205</v>
      </c>
      <c r="K66" s="49">
        <v>15</v>
      </c>
      <c r="L66" s="51">
        <v>7.3399999999999993E-2</v>
      </c>
      <c r="M66" s="49" t="s">
        <v>93</v>
      </c>
      <c r="N66" s="49">
        <v>885</v>
      </c>
      <c r="O66" s="49">
        <v>6.6603148677464699</v>
      </c>
      <c r="P66" s="49" t="s">
        <v>2274</v>
      </c>
      <c r="Q66" s="49"/>
      <c r="R66" s="49" t="s">
        <v>2275</v>
      </c>
      <c r="S66">
        <f t="shared" si="0"/>
        <v>15</v>
      </c>
      <c r="T66" s="5" cm="1">
        <f t="array" ref="T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6">
        <f>Table1[[#This Row],[Term to Maturity (Years)]]*Table1[[#This Row],[Coupon Frequency2]]</f>
        <v>15</v>
      </c>
      <c r="V66">
        <f>Table1[[#This Row],[Face value]]*Table1[[#This Row],[Current coupon %]]</f>
        <v>73.399999999999991</v>
      </c>
      <c r="W66" s="36">
        <f>RATE(Table1[[#This Row],[Total No. of Coupons]],Table1[[#This Row],[Coupon Amount]],-Table1[[#This Row],[Ask Price]],Table1[[#This Row],[Face value]])</f>
        <v>6.2706078558828454E-2</v>
      </c>
      <c r="X66" s="27">
        <f>Table1[[#This Row],[IRR]]*Table1[[#This Row],[Coupon Frequency2]]</f>
        <v>6.2706078558828454E-2</v>
      </c>
      <c r="Y66" s="19" cm="1">
        <f t="array" ref="Y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6" s="33">
        <f>DURATION(Table1[[#This Row],[Issue date]],Table1[[#This Row],[Maturity date]],Table1[[#This Row],[Current coupon %]],Table1[[#This Row],[Yield (Annualised)]],Table1[[#This Row],[Coupon Frequency2]])</f>
        <v>9.8392302571370607</v>
      </c>
      <c r="AA66" s="33">
        <f>Table1[[#This Row],[Macaulay Duration in Years]]/(1+Table1[[#This Row],[IRR]])</f>
        <v>9.2586562320979411</v>
      </c>
      <c r="AB66" s="58">
        <f>VLOOKUP(Table1[[#This Row],[Yield Cluster]],'Cluster Details'!$B$3:$C$16,2,0)</f>
        <v>7.8548801574189142E-2</v>
      </c>
      <c r="AC66" s="78">
        <f>PRICE(Table1[[#This Row],[Issue date]],Table1[[#This Row],[Maturity date]],Table1[[#This Row],[Current coupon %]],Table1[[#This Row],[Average Cluster Yield]],100,Table1[[#This Row],[Coupon Frequency2]])*Table1[[#This Row],[Face value]]/100</f>
        <v>955.53572603519433</v>
      </c>
      <c r="AD66" s="58" t="str">
        <f>IF(Table1[[#This Row],[Ask Price]]&gt;Table1[[#This Row],[Calculated Bond Price]],"Rich","Cheap")</f>
        <v>Rich</v>
      </c>
      <c r="AE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1006.2135552948745</v>
      </c>
      <c r="AF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1210.9202911828843</v>
      </c>
      <c r="AG66" s="78">
        <f>(Table1[[#This Row],[P (+ shock)]]+Table1[[#This Row],[P (-shock)]]-2*Table1[[#This Row],[Ask Price]])/(2*Table1[[#This Row],[Ask Price]]*($AF$2^2))</f>
        <v>59.134551416717677</v>
      </c>
      <c r="AH66">
        <v>-11.568052756915099</v>
      </c>
      <c r="AI66" s="6">
        <f t="shared" si="1"/>
        <v>6.6603148677464724E-2</v>
      </c>
      <c r="AK66" s="47">
        <f>RATE(Table1[[#This Row],[Total No. of Coupons]],Table1[[#This Row],[Coupon Amount]],-Table1[[#This Row],[Ask Price]],Table1[[#This Row],[Face value]])</f>
        <v>6.2706078558828454E-2</v>
      </c>
      <c r="AL66" s="27">
        <f>Table1[[#This Row],[IRR]]*Table1[[#This Row],[Coupon Frequency2]]</f>
        <v>6.2706078558828454E-2</v>
      </c>
      <c r="AM66" s="5">
        <f t="shared" si="2"/>
        <v>-10203.502100583535</v>
      </c>
      <c r="AN66" t="s">
        <v>64</v>
      </c>
      <c r="AO66" t="s">
        <v>62</v>
      </c>
      <c r="AP66">
        <f t="shared" si="3"/>
        <v>1</v>
      </c>
    </row>
    <row r="67" spans="1:42" x14ac:dyDescent="0.35">
      <c r="A67" s="48" t="s">
        <v>204</v>
      </c>
      <c r="B67" s="49" t="s">
        <v>2344</v>
      </c>
      <c r="C67" s="49" t="s">
        <v>2273</v>
      </c>
      <c r="D67" s="50">
        <v>41594</v>
      </c>
      <c r="E67" s="50">
        <v>48899</v>
      </c>
      <c r="F67" s="49">
        <v>1000</v>
      </c>
      <c r="G67" s="49" t="s">
        <v>76</v>
      </c>
      <c r="H67" s="49">
        <v>1292.5</v>
      </c>
      <c r="I67" s="49" t="s">
        <v>76</v>
      </c>
      <c r="J67" s="49">
        <v>129.25</v>
      </c>
      <c r="K67" s="49">
        <v>1</v>
      </c>
      <c r="L67" s="51">
        <v>8.9200000000000002E-2</v>
      </c>
      <c r="M67" s="49" t="s">
        <v>93</v>
      </c>
      <c r="N67" s="49">
        <v>2982</v>
      </c>
      <c r="O67" s="49">
        <v>6.9013539651837501</v>
      </c>
      <c r="P67" s="49" t="s">
        <v>2282</v>
      </c>
      <c r="Q67" s="49"/>
      <c r="R67" s="49" t="s">
        <v>2275</v>
      </c>
      <c r="S67">
        <f t="shared" si="0"/>
        <v>20</v>
      </c>
      <c r="T67" s="5" cm="1">
        <f t="array" ref="T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7">
        <f>Table1[[#This Row],[Term to Maturity (Years)]]*Table1[[#This Row],[Coupon Frequency2]]</f>
        <v>20</v>
      </c>
      <c r="V67">
        <f>Table1[[#This Row],[Face value]]*Table1[[#This Row],[Current coupon %]]</f>
        <v>89.2</v>
      </c>
      <c r="W67" s="36">
        <f>RATE(Table1[[#This Row],[Total No. of Coupons]],Table1[[#This Row],[Coupon Amount]],-Table1[[#This Row],[Ask Price]],Table1[[#This Row],[Face value]])</f>
        <v>6.3061157632326184E-2</v>
      </c>
      <c r="X67" s="27">
        <f>Table1[[#This Row],[IRR]]*Table1[[#This Row],[Coupon Frequency2]]</f>
        <v>6.3061157632326184E-2</v>
      </c>
      <c r="Y67" s="19" cm="1">
        <f t="array" ref="Y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7" s="33">
        <f>DURATION(Table1[[#This Row],[Issue date]],Table1[[#This Row],[Maturity date]],Table1[[#This Row],[Current coupon %]],Table1[[#This Row],[Yield (Annualised)]],Table1[[#This Row],[Coupon Frequency2]])</f>
        <v>11.130962914866968</v>
      </c>
      <c r="AA67" s="33">
        <f>Table1[[#This Row],[Macaulay Duration in Years]]/(1+Table1[[#This Row],[IRR]])</f>
        <v>10.470670323105495</v>
      </c>
      <c r="AB67" s="58">
        <f>VLOOKUP(Table1[[#This Row],[Yield Cluster]],'Cluster Details'!$B$3:$C$16,2,0)</f>
        <v>7.8548801574189142E-2</v>
      </c>
      <c r="AC67" s="78">
        <f>PRICE(Table1[[#This Row],[Issue date]],Table1[[#This Row],[Maturity date]],Table1[[#This Row],[Current coupon %]],Table1[[#This Row],[Average Cluster Yield]],100,Table1[[#This Row],[Coupon Frequency2]])*Table1[[#This Row],[Face value]]/100</f>
        <v>1105.7140938924622</v>
      </c>
      <c r="AD67" s="58" t="str">
        <f>IF(Table1[[#This Row],[Ask Price]]&gt;Table1[[#This Row],[Calculated Bond Price]],"Rich","Cheap")</f>
        <v>Rich</v>
      </c>
      <c r="AE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1166.98161966929</v>
      </c>
      <c r="AF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1438.9060893655696</v>
      </c>
      <c r="AG67" s="78">
        <f>(Table1[[#This Row],[P (+ shock)]]+Table1[[#This Row],[P (-shock)]]-2*Table1[[#This Row],[Ask Price]])/(2*Table1[[#This Row],[Ask Price]]*($AF$2^2))</f>
        <v>80.803516575859391</v>
      </c>
      <c r="AH67">
        <v>-5.8637172076478397</v>
      </c>
      <c r="AI67" s="6">
        <f t="shared" si="1"/>
        <v>6.9013539651837527E-2</v>
      </c>
      <c r="AK67" s="47">
        <f>RATE(Table1[[#This Row],[Total No. of Coupons]],Table1[[#This Row],[Coupon Amount]],-Table1[[#This Row],[Ask Price]],Table1[[#This Row],[Face value]])</f>
        <v>6.3061157632326184E-2</v>
      </c>
      <c r="AL67" s="27">
        <f>Table1[[#This Row],[IRR]]*Table1[[#This Row],[Coupon Frequency2]]</f>
        <v>6.3061157632326184E-2</v>
      </c>
      <c r="AM67" s="5">
        <f t="shared" si="2"/>
        <v>-13533.341392613851</v>
      </c>
      <c r="AN67" t="s">
        <v>64</v>
      </c>
      <c r="AO67" t="s">
        <v>62</v>
      </c>
      <c r="AP67">
        <f t="shared" si="3"/>
        <v>1</v>
      </c>
    </row>
    <row r="68" spans="1:42" x14ac:dyDescent="0.35">
      <c r="A68" s="48" t="s">
        <v>362</v>
      </c>
      <c r="B68" s="49" t="s">
        <v>2345</v>
      </c>
      <c r="C68" s="49" t="s">
        <v>2273</v>
      </c>
      <c r="D68" s="50">
        <v>42452</v>
      </c>
      <c r="E68" s="50">
        <v>47930</v>
      </c>
      <c r="F68" s="49">
        <v>1000</v>
      </c>
      <c r="G68" s="49" t="s">
        <v>76</v>
      </c>
      <c r="H68" s="49">
        <v>1125.83</v>
      </c>
      <c r="I68" s="49" t="s">
        <v>76</v>
      </c>
      <c r="J68" s="49">
        <v>112.582999999999</v>
      </c>
      <c r="K68" s="49">
        <v>19</v>
      </c>
      <c r="L68" s="51">
        <v>7.6399999999999996E-2</v>
      </c>
      <c r="M68" s="49" t="s">
        <v>93</v>
      </c>
      <c r="N68" s="49">
        <v>2013</v>
      </c>
      <c r="O68" s="49">
        <v>6.7861044740324896</v>
      </c>
      <c r="P68" s="49"/>
      <c r="Q68" s="49"/>
      <c r="R68" s="49" t="s">
        <v>2275</v>
      </c>
      <c r="S68">
        <f t="shared" ref="S68:S131" si="4">ROUND(YEARFRAC(D68,E68),0)</f>
        <v>15</v>
      </c>
      <c r="T68" s="5" cm="1">
        <f t="array" ref="T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8">
        <f>Table1[[#This Row],[Term to Maturity (Years)]]*Table1[[#This Row],[Coupon Frequency2]]</f>
        <v>15</v>
      </c>
      <c r="V68">
        <f>Table1[[#This Row],[Face value]]*Table1[[#This Row],[Current coupon %]]</f>
        <v>76.399999999999991</v>
      </c>
      <c r="W68" s="36">
        <f>RATE(Table1[[#This Row],[Total No. of Coupons]],Table1[[#This Row],[Coupon Amount]],-Table1[[#This Row],[Ask Price]],Table1[[#This Row],[Face value]])</f>
        <v>6.3174160314685451E-2</v>
      </c>
      <c r="X68" s="27">
        <f>Table1[[#This Row],[IRR]]*Table1[[#This Row],[Coupon Frequency2]]</f>
        <v>6.3174160314685451E-2</v>
      </c>
      <c r="Y68" s="19" cm="1">
        <f t="array" ref="Y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8" s="33">
        <f>DURATION(Table1[[#This Row],[Issue date]],Table1[[#This Row],[Maturity date]],Table1[[#This Row],[Current coupon %]],Table1[[#This Row],[Yield (Annualised)]],Table1[[#This Row],[Coupon Frequency2]])</f>
        <v>9.7525690490755252</v>
      </c>
      <c r="AA68" s="33">
        <f>Table1[[#This Row],[Macaulay Duration in Years]]/(1+Table1[[#This Row],[IRR]])</f>
        <v>9.1730681699307812</v>
      </c>
      <c r="AB68" s="58">
        <f>VLOOKUP(Table1[[#This Row],[Yield Cluster]],'Cluster Details'!$B$3:$C$16,2,0)</f>
        <v>7.8548801574189142E-2</v>
      </c>
      <c r="AC68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981.44327364066351</v>
      </c>
      <c r="AD68" s="58" t="str">
        <f>IF(Table1[[#This Row],[Ask Price]]&gt;Table1[[#This Row],[Calculated Bond Price]],"Rich","Cheap")</f>
        <v>Rich</v>
      </c>
      <c r="AE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1028.8005896689892</v>
      </c>
      <c r="AF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1235.9861676531089</v>
      </c>
      <c r="AG68" s="78">
        <f>(Table1[[#This Row],[P (+ shock)]]+Table1[[#This Row],[P (-shock)]]-2*Table1[[#This Row],[Ask Price]])/(2*Table1[[#This Row],[Ask Price]]*($AF$2^2))</f>
        <v>58.298132587062234</v>
      </c>
      <c r="AH68">
        <v>4.7588765235824004</v>
      </c>
      <c r="AI68" s="6">
        <f t="shared" ref="AI68:AI131" si="5">(L68*F68)/H68</f>
        <v>6.7861044740324908E-2</v>
      </c>
      <c r="AK68" s="47">
        <f>RATE(Table1[[#This Row],[Total No. of Coupons]],Table1[[#This Row],[Coupon Amount]],-Table1[[#This Row],[Ask Price]],Table1[[#This Row],[Face value]])</f>
        <v>6.3174160314685451E-2</v>
      </c>
      <c r="AL68" s="27">
        <f>Table1[[#This Row],[IRR]]*Table1[[#This Row],[Coupon Frequency2]]</f>
        <v>6.3174160314685451E-2</v>
      </c>
      <c r="AM68" s="5">
        <f t="shared" ref="AM68:AM131" si="6">-AA68*H68</f>
        <v>-10327.315337753171</v>
      </c>
      <c r="AN68" t="s">
        <v>64</v>
      </c>
      <c r="AO68" t="s">
        <v>62</v>
      </c>
      <c r="AP68">
        <f t="shared" ref="AP68:AP131" si="7">_xlfn.SWITCH(PROPER(TRIM(M68)),
   "Annual",1,
   "Semi-Annual",2,
   "Quarterly",4,
   "Monthly",12,
   "")</f>
        <v>1</v>
      </c>
    </row>
    <row r="69" spans="1:42" x14ac:dyDescent="0.35">
      <c r="A69" s="48" t="s">
        <v>2141</v>
      </c>
      <c r="B69" s="49" t="s">
        <v>2346</v>
      </c>
      <c r="C69" s="49" t="s">
        <v>2273</v>
      </c>
      <c r="D69" s="50">
        <v>42282</v>
      </c>
      <c r="E69" s="50">
        <v>45935</v>
      </c>
      <c r="F69" s="49">
        <v>1000</v>
      </c>
      <c r="G69" s="49" t="s">
        <v>76</v>
      </c>
      <c r="H69" s="49">
        <v>1074.9000000000001</v>
      </c>
      <c r="I69" s="49" t="s">
        <v>76</v>
      </c>
      <c r="J69" s="49">
        <v>107.49</v>
      </c>
      <c r="K69" s="49">
        <v>727</v>
      </c>
      <c r="L69" s="51">
        <v>7.3599999999999999E-2</v>
      </c>
      <c r="M69" s="49" t="s">
        <v>93</v>
      </c>
      <c r="N69" s="49">
        <v>18</v>
      </c>
      <c r="O69" s="49">
        <v>6.8471485719601803</v>
      </c>
      <c r="P69" s="49" t="s">
        <v>2274</v>
      </c>
      <c r="Q69" s="49"/>
      <c r="R69" s="49" t="s">
        <v>2275</v>
      </c>
      <c r="S69">
        <f t="shared" si="4"/>
        <v>10</v>
      </c>
      <c r="T69" s="5" cm="1">
        <f t="array" ref="T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9">
        <f>Table1[[#This Row],[Term to Maturity (Years)]]*Table1[[#This Row],[Coupon Frequency2]]</f>
        <v>10</v>
      </c>
      <c r="V69">
        <f>Table1[[#This Row],[Face value]]*Table1[[#This Row],[Current coupon %]]</f>
        <v>73.599999999999994</v>
      </c>
      <c r="W69" s="36">
        <f>RATE(Table1[[#This Row],[Total No. of Coupons]],Table1[[#This Row],[Coupon Amount]],-Table1[[#This Row],[Ask Price]],Table1[[#This Row],[Face value]])</f>
        <v>6.3265467582226245E-2</v>
      </c>
      <c r="X69" s="27">
        <f>Table1[[#This Row],[IRR]]*Table1[[#This Row],[Coupon Frequency2]]</f>
        <v>6.3265467582226245E-2</v>
      </c>
      <c r="Y69" s="19" cm="1">
        <f t="array" ref="Y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69" s="33">
        <f>DURATION(Table1[[#This Row],[Issue date]],Table1[[#This Row],[Maturity date]],Table1[[#This Row],[Current coupon %]],Table1[[#This Row],[Yield (Annualised)]],Table1[[#This Row],[Coupon Frequency2]])</f>
        <v>7.5173011329092789</v>
      </c>
      <c r="AA69" s="33">
        <f>Table1[[#This Row],[Macaulay Duration in Years]]/(1+Table1[[#This Row],[IRR]])</f>
        <v>7.0700134275995739</v>
      </c>
      <c r="AB69" s="58">
        <f>VLOOKUP(Table1[[#This Row],[Yield Cluster]],'Cluster Details'!$B$3:$C$16,2,0)</f>
        <v>7.8548801574189142E-2</v>
      </c>
      <c r="AC69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966.57467780151626</v>
      </c>
      <c r="AD69" s="58" t="str">
        <f>IF(Table1[[#This Row],[Ask Price]]&gt;Table1[[#This Row],[Calculated Bond Price]],"Rich","Cheap")</f>
        <v>Rich</v>
      </c>
      <c r="AE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1002.3145552911076</v>
      </c>
      <c r="AF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1154.5573934053575</v>
      </c>
      <c r="AG69" s="78">
        <f>(Table1[[#This Row],[P (+ shock)]]+Table1[[#This Row],[P (-shock)]]-2*Table1[[#This Row],[Ask Price]])/(2*Table1[[#This Row],[Ask Price]]*($AF$2^2))</f>
        <v>32.895844713298509</v>
      </c>
      <c r="AH69">
        <v>2.54676770068671</v>
      </c>
      <c r="AI69" s="6">
        <f t="shared" si="5"/>
        <v>6.8471485719601807E-2</v>
      </c>
      <c r="AK69" s="47">
        <f>RATE(Table1[[#This Row],[Total No. of Coupons]],Table1[[#This Row],[Coupon Amount]],-Table1[[#This Row],[Ask Price]],Table1[[#This Row],[Face value]])</f>
        <v>6.3265467582226245E-2</v>
      </c>
      <c r="AL69" s="27">
        <f>Table1[[#This Row],[IRR]]*Table1[[#This Row],[Coupon Frequency2]]</f>
        <v>6.3265467582226245E-2</v>
      </c>
      <c r="AM69" s="5">
        <f t="shared" si="6"/>
        <v>-7599.5574333267823</v>
      </c>
      <c r="AN69" t="s">
        <v>64</v>
      </c>
      <c r="AO69" t="s">
        <v>62</v>
      </c>
      <c r="AP69">
        <f t="shared" si="7"/>
        <v>1</v>
      </c>
    </row>
    <row r="70" spans="1:42" x14ac:dyDescent="0.35">
      <c r="A70" s="48" t="s">
        <v>190</v>
      </c>
      <c r="B70" s="49" t="s">
        <v>2347</v>
      </c>
      <c r="C70" s="49" t="s">
        <v>2273</v>
      </c>
      <c r="D70" s="50">
        <v>41661</v>
      </c>
      <c r="E70" s="50">
        <v>48966</v>
      </c>
      <c r="F70" s="49">
        <v>1000</v>
      </c>
      <c r="G70" s="49" t="s">
        <v>76</v>
      </c>
      <c r="H70" s="49">
        <v>1260</v>
      </c>
      <c r="I70" s="49" t="s">
        <v>76</v>
      </c>
      <c r="J70" s="49">
        <v>126</v>
      </c>
      <c r="K70" s="49">
        <v>1500</v>
      </c>
      <c r="L70" s="51">
        <v>8.6599999999999996E-2</v>
      </c>
      <c r="M70" s="49" t="s">
        <v>93</v>
      </c>
      <c r="N70" s="49">
        <v>3049</v>
      </c>
      <c r="O70" s="49">
        <v>6.8730158730158699</v>
      </c>
      <c r="P70" s="49" t="s">
        <v>2282</v>
      </c>
      <c r="Q70" s="49"/>
      <c r="R70" s="49" t="s">
        <v>2275</v>
      </c>
      <c r="S70">
        <f t="shared" si="4"/>
        <v>20</v>
      </c>
      <c r="T70" s="5" cm="1">
        <f t="array" ref="T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0">
        <f>Table1[[#This Row],[Term to Maturity (Years)]]*Table1[[#This Row],[Coupon Frequency2]]</f>
        <v>20</v>
      </c>
      <c r="V70">
        <f>Table1[[#This Row],[Face value]]*Table1[[#This Row],[Current coupon %]]</f>
        <v>86.6</v>
      </c>
      <c r="W70" s="36">
        <f>RATE(Table1[[#This Row],[Total No. of Coupons]],Table1[[#This Row],[Coupon Amount]],-Table1[[#This Row],[Ask Price]],Table1[[#This Row],[Face value]])</f>
        <v>6.3317702362951048E-2</v>
      </c>
      <c r="X70" s="27">
        <f>Table1[[#This Row],[IRR]]*Table1[[#This Row],[Coupon Frequency2]]</f>
        <v>6.3317702362951048E-2</v>
      </c>
      <c r="Y70" s="19" cm="1">
        <f t="array" ref="Y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0" s="33">
        <f>DURATION(Table1[[#This Row],[Issue date]],Table1[[#This Row],[Maturity date]],Table1[[#This Row],[Current coupon %]],Table1[[#This Row],[Yield (Annualised)]],Table1[[#This Row],[Coupon Frequency2]])</f>
        <v>11.179782902654782</v>
      </c>
      <c r="AA70" s="33">
        <f>Table1[[#This Row],[Macaulay Duration in Years]]/(1+Table1[[#This Row],[IRR]])</f>
        <v>10.514056972634407</v>
      </c>
      <c r="AB70" s="58">
        <f>VLOOKUP(Table1[[#This Row],[Yield Cluster]],'Cluster Details'!$B$3:$C$16,2,0)</f>
        <v>7.8548801574189142E-2</v>
      </c>
      <c r="AC70" s="78">
        <f>PRICE(Table1[[#This Row],[Issue date]],Table1[[#This Row],[Maturity date]],Table1[[#This Row],[Current coupon %]],Table1[[#This Row],[Average Cluster Yield]],100,Table1[[#This Row],[Coupon Frequency2]])*Table1[[#This Row],[Face value]]/100</f>
        <v>1079.9088621117508</v>
      </c>
      <c r="AD70" s="58" t="str">
        <f>IF(Table1[[#This Row],[Ask Price]]&gt;Table1[[#This Row],[Calculated Bond Price]],"Rich","Cheap")</f>
        <v>Rich</v>
      </c>
      <c r="AE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1137.156210498373</v>
      </c>
      <c r="AF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1403.3471390453683</v>
      </c>
      <c r="AG70" s="78">
        <f>(Table1[[#This Row],[P (+ shock)]]+Table1[[#This Row],[P (-shock)]]-2*Table1[[#This Row],[Ask Price]])/(2*Table1[[#This Row],[Ask Price]]*($AF$2^2))</f>
        <v>81.362498189448502</v>
      </c>
      <c r="AH70">
        <v>10.5903510623329</v>
      </c>
      <c r="AI70" s="6">
        <f t="shared" si="5"/>
        <v>6.8730158730158725E-2</v>
      </c>
      <c r="AK70" s="47">
        <f>RATE(Table1[[#This Row],[Total No. of Coupons]],Table1[[#This Row],[Coupon Amount]],-Table1[[#This Row],[Ask Price]],Table1[[#This Row],[Face value]])</f>
        <v>6.3317702362951048E-2</v>
      </c>
      <c r="AL70" s="27">
        <f>Table1[[#This Row],[IRR]]*Table1[[#This Row],[Coupon Frequency2]]</f>
        <v>6.3317702362951048E-2</v>
      </c>
      <c r="AM70" s="5">
        <f t="shared" si="6"/>
        <v>-13247.711785519352</v>
      </c>
      <c r="AN70" t="s">
        <v>64</v>
      </c>
      <c r="AO70" t="s">
        <v>62</v>
      </c>
      <c r="AP70">
        <f t="shared" si="7"/>
        <v>1</v>
      </c>
    </row>
    <row r="71" spans="1:42" x14ac:dyDescent="0.35">
      <c r="A71" s="48" t="s">
        <v>999</v>
      </c>
      <c r="B71" s="49" t="s">
        <v>2348</v>
      </c>
      <c r="C71" s="49" t="s">
        <v>2273</v>
      </c>
      <c r="D71" s="50">
        <v>41359</v>
      </c>
      <c r="E71" s="50">
        <v>46838</v>
      </c>
      <c r="F71" s="49">
        <v>1000</v>
      </c>
      <c r="G71" s="49" t="s">
        <v>76</v>
      </c>
      <c r="H71" s="49">
        <v>1063.95</v>
      </c>
      <c r="I71" s="49" t="s">
        <v>76</v>
      </c>
      <c r="J71" s="49">
        <v>106.395</v>
      </c>
      <c r="K71" s="49">
        <v>3</v>
      </c>
      <c r="L71" s="51">
        <v>7.0199999999999999E-2</v>
      </c>
      <c r="M71" s="49" t="s">
        <v>93</v>
      </c>
      <c r="N71" s="49">
        <v>921</v>
      </c>
      <c r="O71" s="49">
        <v>6.5980544198505502</v>
      </c>
      <c r="P71" s="49" t="s">
        <v>2282</v>
      </c>
      <c r="Q71" s="49"/>
      <c r="R71" s="49" t="s">
        <v>2275</v>
      </c>
      <c r="S71">
        <f t="shared" si="4"/>
        <v>15</v>
      </c>
      <c r="T71" s="5" cm="1">
        <f t="array" ref="T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1">
        <f>Table1[[#This Row],[Term to Maturity (Years)]]*Table1[[#This Row],[Coupon Frequency2]]</f>
        <v>15</v>
      </c>
      <c r="V71">
        <f>Table1[[#This Row],[Face value]]*Table1[[#This Row],[Current coupon %]]</f>
        <v>70.2</v>
      </c>
      <c r="W71" s="36">
        <f>RATE(Table1[[#This Row],[Total No. of Coupons]],Table1[[#This Row],[Coupon Amount]],-Table1[[#This Row],[Ask Price]],Table1[[#This Row],[Face value]])</f>
        <v>6.3465623106797819E-2</v>
      </c>
      <c r="X71" s="27">
        <f>Table1[[#This Row],[IRR]]*Table1[[#This Row],[Coupon Frequency2]]</f>
        <v>6.3465623106797819E-2</v>
      </c>
      <c r="Y71" s="19" cm="1">
        <f t="array" ref="Y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1" s="33">
        <f>DURATION(Table1[[#This Row],[Issue date]],Table1[[#This Row],[Maturity date]],Table1[[#This Row],[Current coupon %]],Table1[[#This Row],[Yield (Annualised)]],Table1[[#This Row],[Coupon Frequency2]])</f>
        <v>9.9045055551705765</v>
      </c>
      <c r="AA71" s="33">
        <f>Table1[[#This Row],[Macaulay Duration in Years]]/(1+Table1[[#This Row],[IRR]])</f>
        <v>9.3134233396615613</v>
      </c>
      <c r="AB71" s="58">
        <f>VLOOKUP(Table1[[#This Row],[Yield Cluster]],'Cluster Details'!$B$3:$C$16,2,0)</f>
        <v>7.8548801574189142E-2</v>
      </c>
      <c r="AC71" s="78">
        <f>PRICE(Table1[[#This Row],[Issue date]],Table1[[#This Row],[Maturity date]],Table1[[#This Row],[Current coupon %]],Table1[[#This Row],[Average Cluster Yield]],100,Table1[[#This Row],[Coupon Frequency2]])*Table1[[#This Row],[Face value]]/100</f>
        <v>927.90100858936103</v>
      </c>
      <c r="AD71" s="58" t="str">
        <f>IF(Table1[[#This Row],[Ask Price]]&gt;Table1[[#This Row],[Calculated Bond Price]],"Rich","Cheap")</f>
        <v>Rich</v>
      </c>
      <c r="AE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970.8972456112017</v>
      </c>
      <c r="AF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1169.6987511934849</v>
      </c>
      <c r="AG71" s="78">
        <f>(Table1[[#This Row],[P (+ shock)]]+Table1[[#This Row],[P (-shock)]]-2*Table1[[#This Row],[Ask Price]])/(2*Table1[[#This Row],[Ask Price]]*($AF$2^2))</f>
        <v>59.664442899977786</v>
      </c>
      <c r="AH71">
        <v>9.5452074505999391</v>
      </c>
      <c r="AI71" s="6">
        <f t="shared" si="5"/>
        <v>6.5980544198505575E-2</v>
      </c>
      <c r="AK71" s="47">
        <f>RATE(Table1[[#This Row],[Total No. of Coupons]],Table1[[#This Row],[Coupon Amount]],-Table1[[#This Row],[Ask Price]],Table1[[#This Row],[Face value]])</f>
        <v>6.3465623106797819E-2</v>
      </c>
      <c r="AL71" s="27">
        <f>Table1[[#This Row],[IRR]]*Table1[[#This Row],[Coupon Frequency2]]</f>
        <v>6.3465623106797819E-2</v>
      </c>
      <c r="AM71" s="5">
        <f t="shared" si="6"/>
        <v>-9909.0167622329191</v>
      </c>
      <c r="AN71" t="s">
        <v>64</v>
      </c>
      <c r="AO71" t="s">
        <v>62</v>
      </c>
      <c r="AP71">
        <f t="shared" si="7"/>
        <v>1</v>
      </c>
    </row>
    <row r="72" spans="1:42" x14ac:dyDescent="0.35">
      <c r="A72" s="48" t="s">
        <v>191</v>
      </c>
      <c r="B72" s="49" t="s">
        <v>2349</v>
      </c>
      <c r="C72" s="49" t="s">
        <v>2273</v>
      </c>
      <c r="D72" s="50">
        <v>41661</v>
      </c>
      <c r="E72" s="50">
        <v>48966</v>
      </c>
      <c r="F72" s="49">
        <v>1000</v>
      </c>
      <c r="G72" s="49" t="s">
        <v>76</v>
      </c>
      <c r="H72" s="49">
        <v>1285</v>
      </c>
      <c r="I72" s="49" t="s">
        <v>76</v>
      </c>
      <c r="J72" s="49">
        <v>128.5</v>
      </c>
      <c r="K72" s="49">
        <v>26</v>
      </c>
      <c r="L72" s="51">
        <v>8.9099999999999999E-2</v>
      </c>
      <c r="M72" s="49" t="s">
        <v>93</v>
      </c>
      <c r="N72" s="49">
        <v>3049</v>
      </c>
      <c r="O72" s="49">
        <v>6.9338521400778204</v>
      </c>
      <c r="P72" s="49" t="s">
        <v>2282</v>
      </c>
      <c r="Q72" s="49"/>
      <c r="R72" s="49" t="s">
        <v>2275</v>
      </c>
      <c r="S72">
        <f t="shared" si="4"/>
        <v>20</v>
      </c>
      <c r="T72" s="5" cm="1">
        <f t="array" ref="T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2">
        <f>Table1[[#This Row],[Term to Maturity (Years)]]*Table1[[#This Row],[Coupon Frequency2]]</f>
        <v>20</v>
      </c>
      <c r="V72">
        <f>Table1[[#This Row],[Face value]]*Table1[[#This Row],[Current coupon %]]</f>
        <v>89.1</v>
      </c>
      <c r="W72" s="36">
        <f>RATE(Table1[[#This Row],[Total No. of Coupons]],Table1[[#This Row],[Coupon Amount]],-Table1[[#This Row],[Ask Price]],Table1[[#This Row],[Face value]])</f>
        <v>6.3534691105944785E-2</v>
      </c>
      <c r="X72" s="27">
        <f>Table1[[#This Row],[IRR]]*Table1[[#This Row],[Coupon Frequency2]]</f>
        <v>6.3534691105944785E-2</v>
      </c>
      <c r="Y72" s="19" cm="1">
        <f t="array" ref="Y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2" s="33">
        <f>DURATION(Table1[[#This Row],[Issue date]],Table1[[#This Row],[Maturity date]],Table1[[#This Row],[Current coupon %]],Table1[[#This Row],[Yield (Annualised)]],Table1[[#This Row],[Coupon Frequency2]])</f>
        <v>11.112270829831626</v>
      </c>
      <c r="AA72" s="33">
        <f>Table1[[#This Row],[Macaulay Duration in Years]]/(1+Table1[[#This Row],[IRR]])</f>
        <v>10.448432874602556</v>
      </c>
      <c r="AB72" s="58">
        <f>VLOOKUP(Table1[[#This Row],[Yield Cluster]],'Cluster Details'!$B$3:$C$16,2,0)</f>
        <v>7.8548801574189142E-2</v>
      </c>
      <c r="AC72" s="78">
        <f>PRICE(Table1[[#This Row],[Issue date]],Table1[[#This Row],[Maturity date]],Table1[[#This Row],[Current coupon %]],Table1[[#This Row],[Average Cluster Yield]],100,Table1[[#This Row],[Coupon Frequency2]])*Table1[[#This Row],[Face value]]/100</f>
        <v>1104.7215849778195</v>
      </c>
      <c r="AD72" s="58" t="str">
        <f>IF(Table1[[#This Row],[Ask Price]]&gt;Table1[[#This Row],[Calculated Bond Price]],"Rich","Cheap")</f>
        <v>Rich</v>
      </c>
      <c r="AE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1160.4642962881039</v>
      </c>
      <c r="AF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1430.2343115370888</v>
      </c>
      <c r="AG72" s="78">
        <f>(Table1[[#This Row],[P (+ shock)]]+Table1[[#This Row],[P (-shock)]]-2*Table1[[#This Row],[Ask Price]])/(2*Table1[[#This Row],[Ask Price]]*($AF$2^2))</f>
        <v>80.539330059116708</v>
      </c>
      <c r="AH72">
        <v>4.5645615855956096</v>
      </c>
      <c r="AI72" s="6">
        <f t="shared" si="5"/>
        <v>6.9338521400778202E-2</v>
      </c>
      <c r="AK72" s="47">
        <f>RATE(Table1[[#This Row],[Total No. of Coupons]],Table1[[#This Row],[Coupon Amount]],-Table1[[#This Row],[Ask Price]],Table1[[#This Row],[Face value]])</f>
        <v>6.3534691105944785E-2</v>
      </c>
      <c r="AL72" s="27">
        <f>Table1[[#This Row],[IRR]]*Table1[[#This Row],[Coupon Frequency2]]</f>
        <v>6.3534691105944785E-2</v>
      </c>
      <c r="AM72" s="5">
        <f t="shared" si="6"/>
        <v>-13426.236243864285</v>
      </c>
      <c r="AN72" t="s">
        <v>64</v>
      </c>
      <c r="AO72" t="s">
        <v>62</v>
      </c>
      <c r="AP72">
        <f t="shared" si="7"/>
        <v>1</v>
      </c>
    </row>
    <row r="73" spans="1:42" x14ac:dyDescent="0.35">
      <c r="A73" s="48" t="s">
        <v>1420</v>
      </c>
      <c r="B73" s="49" t="s">
        <v>2350</v>
      </c>
      <c r="C73" s="49" t="s">
        <v>2273</v>
      </c>
      <c r="D73" s="50">
        <v>45316</v>
      </c>
      <c r="E73" s="50">
        <v>46412</v>
      </c>
      <c r="F73" s="49">
        <v>1000</v>
      </c>
      <c r="G73" s="49" t="s">
        <v>76</v>
      </c>
      <c r="H73" s="49">
        <v>1056.8</v>
      </c>
      <c r="I73" s="49" t="s">
        <v>76</v>
      </c>
      <c r="J73" s="49">
        <v>105.679999999999</v>
      </c>
      <c r="K73" s="49">
        <v>20000</v>
      </c>
      <c r="L73" s="51">
        <v>8.5000000000000006E-2</v>
      </c>
      <c r="M73" s="49" t="s">
        <v>93</v>
      </c>
      <c r="N73" s="49">
        <v>495</v>
      </c>
      <c r="O73" s="49">
        <v>8.0431491294473894</v>
      </c>
      <c r="P73" s="49" t="s">
        <v>2285</v>
      </c>
      <c r="Q73" s="49"/>
      <c r="R73" s="49" t="s">
        <v>2275</v>
      </c>
      <c r="S73">
        <f t="shared" si="4"/>
        <v>3</v>
      </c>
      <c r="T73" s="5" cm="1">
        <f t="array" ref="T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3">
        <f>Table1[[#This Row],[Term to Maturity (Years)]]*Table1[[#This Row],[Coupon Frequency2]]</f>
        <v>3</v>
      </c>
      <c r="V73">
        <f>Table1[[#This Row],[Face value]]*Table1[[#This Row],[Current coupon %]]</f>
        <v>85</v>
      </c>
      <c r="W73" s="36">
        <f>RATE(Table1[[#This Row],[Total No. of Coupons]],Table1[[#This Row],[Coupon Amount]],-Table1[[#This Row],[Ask Price]],Table1[[#This Row],[Face value]])</f>
        <v>6.3608542928547215E-2</v>
      </c>
      <c r="X73" s="27">
        <f>Table1[[#This Row],[IRR]]*Table1[[#This Row],[Coupon Frequency2]]</f>
        <v>6.3608542928547215E-2</v>
      </c>
      <c r="Y73" s="19" cm="1">
        <f t="array" ref="Y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3" s="33">
        <f>DURATION(Table1[[#This Row],[Issue date]],Table1[[#This Row],[Maturity date]],Table1[[#This Row],[Current coupon %]],Table1[[#This Row],[Yield (Annualised)]],Table1[[#This Row],[Coupon Frequency2]])</f>
        <v>2.7776585070505937</v>
      </c>
      <c r="AA73" s="33">
        <f>Table1[[#This Row],[Macaulay Duration in Years]]/(1+Table1[[#This Row],[IRR]])</f>
        <v>2.6115421181204219</v>
      </c>
      <c r="AB73" s="58">
        <f>VLOOKUP(Table1[[#This Row],[Yield Cluster]],'Cluster Details'!$B$3:$C$16,2,0)</f>
        <v>7.8548801574189142E-2</v>
      </c>
      <c r="AC73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1016.668994467577</v>
      </c>
      <c r="AD73" s="58" t="str">
        <f>IF(Table1[[#This Row],[Ask Price]]&gt;Table1[[#This Row],[Calculated Bond Price]],"Rich","Cheap")</f>
        <v>Rich</v>
      </c>
      <c r="AE7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1029.6987787678504</v>
      </c>
      <c r="AF7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1084.9119571166</v>
      </c>
      <c r="AG73" s="78">
        <f>(Table1[[#This Row],[P (+ shock)]]+Table1[[#This Row],[P (-shock)]]-2*Table1[[#This Row],[Ask Price]])/(2*Table1[[#This Row],[Ask Price]]*($AF$2^2))</f>
        <v>4.7820584994807032</v>
      </c>
      <c r="AH73">
        <v>-6.6062268069361902</v>
      </c>
      <c r="AI73" s="6">
        <f t="shared" si="5"/>
        <v>8.0431491294473884E-2</v>
      </c>
      <c r="AK73" s="47">
        <f>RATE(Table1[[#This Row],[Total No. of Coupons]],Table1[[#This Row],[Coupon Amount]],-Table1[[#This Row],[Ask Price]],Table1[[#This Row],[Face value]])</f>
        <v>6.3608542928547215E-2</v>
      </c>
      <c r="AL73" s="27">
        <f>Table1[[#This Row],[IRR]]*Table1[[#This Row],[Coupon Frequency2]]</f>
        <v>6.3608542928547215E-2</v>
      </c>
      <c r="AM73" s="5">
        <f t="shared" si="6"/>
        <v>-2759.8777104296619</v>
      </c>
      <c r="AN73" t="s">
        <v>64</v>
      </c>
      <c r="AO73" t="s">
        <v>62</v>
      </c>
      <c r="AP73">
        <f t="shared" si="7"/>
        <v>1</v>
      </c>
    </row>
    <row r="74" spans="1:42" x14ac:dyDescent="0.35">
      <c r="A74" s="48" t="s">
        <v>1088</v>
      </c>
      <c r="B74" s="49" t="s">
        <v>2351</v>
      </c>
      <c r="C74" s="49" t="s">
        <v>2273</v>
      </c>
      <c r="D74" s="50">
        <v>41262</v>
      </c>
      <c r="E74" s="50">
        <v>46740</v>
      </c>
      <c r="F74" s="49">
        <v>1000</v>
      </c>
      <c r="G74" s="49" t="s">
        <v>76</v>
      </c>
      <c r="H74" s="49">
        <v>1095.9000000000001</v>
      </c>
      <c r="I74" s="49" t="s">
        <v>76</v>
      </c>
      <c r="J74" s="49">
        <v>109.59</v>
      </c>
      <c r="K74" s="49">
        <v>100</v>
      </c>
      <c r="L74" s="51">
        <v>7.3800000000000004E-2</v>
      </c>
      <c r="M74" s="49" t="s">
        <v>93</v>
      </c>
      <c r="N74" s="49">
        <v>823</v>
      </c>
      <c r="O74" s="49">
        <v>6.7341910758280799</v>
      </c>
      <c r="P74" s="49"/>
      <c r="Q74" s="49"/>
      <c r="R74" s="49" t="s">
        <v>2275</v>
      </c>
      <c r="S74">
        <f t="shared" si="4"/>
        <v>15</v>
      </c>
      <c r="T74" s="5" cm="1">
        <f t="array" ref="T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4">
        <f>Table1[[#This Row],[Term to Maturity (Years)]]*Table1[[#This Row],[Coupon Frequency2]]</f>
        <v>15</v>
      </c>
      <c r="V74">
        <f>Table1[[#This Row],[Face value]]*Table1[[#This Row],[Current coupon %]]</f>
        <v>73.800000000000011</v>
      </c>
      <c r="W74" s="36">
        <f>RATE(Table1[[#This Row],[Total No. of Coupons]],Table1[[#This Row],[Coupon Amount]],-Table1[[#This Row],[Ask Price]],Table1[[#This Row],[Face value]])</f>
        <v>6.3686648311225696E-2</v>
      </c>
      <c r="X74" s="27">
        <f>Table1[[#This Row],[IRR]]*Table1[[#This Row],[Coupon Frequency2]]</f>
        <v>6.3686648311225696E-2</v>
      </c>
      <c r="Y74" s="19" cm="1">
        <f t="array" ref="Y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4" s="33">
        <f>DURATION(Table1[[#This Row],[Issue date]],Table1[[#This Row],[Maturity date]],Table1[[#This Row],[Current coupon %]],Table1[[#This Row],[Yield (Annualised)]],Table1[[#This Row],[Coupon Frequency2]])</f>
        <v>9.8044114522537367</v>
      </c>
      <c r="AA74" s="33">
        <f>Table1[[#This Row],[Macaulay Duration in Years]]/(1+Table1[[#This Row],[IRR]])</f>
        <v>9.2173869699500539</v>
      </c>
      <c r="AB74" s="58">
        <f>VLOOKUP(Table1[[#This Row],[Yield Cluster]],'Cluster Details'!$B$3:$C$16,2,0)</f>
        <v>7.8548801574189142E-2</v>
      </c>
      <c r="AC74" s="78">
        <f>PRICE(Table1[[#This Row],[Issue date]],Table1[[#This Row],[Maturity date]],Table1[[#This Row],[Current coupon %]],Table1[[#This Row],[Average Cluster Yield]],100,Table1[[#This Row],[Coupon Frequency2]])*Table1[[#This Row],[Face value]]/100</f>
        <v>958.99006571592395</v>
      </c>
      <c r="AD74" s="58" t="str">
        <f>IF(Table1[[#This Row],[Ask Price]]&gt;Table1[[#This Row],[Calculated Bond Price]],"Rich","Cheap")</f>
        <v>Rich</v>
      </c>
      <c r="AE7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1001.0087813356423</v>
      </c>
      <c r="AF7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1203.663189048629</v>
      </c>
      <c r="AG74" s="78">
        <f>(Table1[[#This Row],[P (+ shock)]]+Table1[[#This Row],[P (-shock)]]-2*Table1[[#This Row],[Ask Price]])/(2*Table1[[#This Row],[Ask Price]]*($AF$2^2))</f>
        <v>58.727851009541041</v>
      </c>
      <c r="AH74">
        <v>-7.7001273863856801</v>
      </c>
      <c r="AI74" s="6">
        <f t="shared" si="5"/>
        <v>6.7341910758280873E-2</v>
      </c>
      <c r="AK74" s="47">
        <f>RATE(Table1[[#This Row],[Total No. of Coupons]],Table1[[#This Row],[Coupon Amount]],-Table1[[#This Row],[Ask Price]],Table1[[#This Row],[Face value]])</f>
        <v>6.3686648311225696E-2</v>
      </c>
      <c r="AL74" s="27">
        <f>Table1[[#This Row],[IRR]]*Table1[[#This Row],[Coupon Frequency2]]</f>
        <v>6.3686648311225696E-2</v>
      </c>
      <c r="AM74" s="5">
        <f t="shared" si="6"/>
        <v>-10101.334380368266</v>
      </c>
      <c r="AN74" t="s">
        <v>64</v>
      </c>
      <c r="AO74" t="s">
        <v>62</v>
      </c>
      <c r="AP74">
        <f t="shared" si="7"/>
        <v>1</v>
      </c>
    </row>
    <row r="75" spans="1:42" x14ac:dyDescent="0.35">
      <c r="A75" s="48" t="s">
        <v>2043</v>
      </c>
      <c r="B75" s="49" t="s">
        <v>2352</v>
      </c>
      <c r="C75" s="49" t="s">
        <v>2273</v>
      </c>
      <c r="D75" s="50">
        <v>42359</v>
      </c>
      <c r="E75" s="50">
        <v>46012</v>
      </c>
      <c r="F75" s="49">
        <v>1000</v>
      </c>
      <c r="G75" s="49" t="s">
        <v>76</v>
      </c>
      <c r="H75" s="49">
        <v>1050.05</v>
      </c>
      <c r="I75" s="49" t="s">
        <v>76</v>
      </c>
      <c r="J75" s="49">
        <v>105.005</v>
      </c>
      <c r="K75" s="49">
        <v>614</v>
      </c>
      <c r="L75" s="51">
        <v>7.0699999999999999E-2</v>
      </c>
      <c r="M75" s="49" t="s">
        <v>93</v>
      </c>
      <c r="N75" s="49">
        <v>95</v>
      </c>
      <c r="O75" s="49">
        <v>6.7330127136803002</v>
      </c>
      <c r="P75" s="49" t="s">
        <v>2274</v>
      </c>
      <c r="Q75" s="49"/>
      <c r="R75" s="49" t="s">
        <v>2275</v>
      </c>
      <c r="S75">
        <f t="shared" si="4"/>
        <v>10</v>
      </c>
      <c r="T75" s="5" cm="1">
        <f t="array" ref="T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5">
        <f>Table1[[#This Row],[Term to Maturity (Years)]]*Table1[[#This Row],[Coupon Frequency2]]</f>
        <v>10</v>
      </c>
      <c r="V75">
        <f>Table1[[#This Row],[Face value]]*Table1[[#This Row],[Current coupon %]]</f>
        <v>70.7</v>
      </c>
      <c r="W75" s="36">
        <f>RATE(Table1[[#This Row],[Total No. of Coupons]],Table1[[#This Row],[Coupon Amount]],-Table1[[#This Row],[Ask Price]],Table1[[#This Row],[Face value]])</f>
        <v>6.3777583833545592E-2</v>
      </c>
      <c r="X75" s="27">
        <f>Table1[[#This Row],[IRR]]*Table1[[#This Row],[Coupon Frequency2]]</f>
        <v>6.3777583833545592E-2</v>
      </c>
      <c r="Y75" s="19" cm="1">
        <f t="array" ref="Y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5" s="33">
        <f>DURATION(Table1[[#This Row],[Issue date]],Table1[[#This Row],[Maturity date]],Table1[[#This Row],[Current coupon %]],Table1[[#This Row],[Yield (Annualised)]],Table1[[#This Row],[Coupon Frequency2]])</f>
        <v>7.5626531473951166</v>
      </c>
      <c r="AA75" s="33">
        <f>Table1[[#This Row],[Macaulay Duration in Years]]/(1+Table1[[#This Row],[IRR]])</f>
        <v>7.1092428176024454</v>
      </c>
      <c r="AB75" s="58">
        <f>VLOOKUP(Table1[[#This Row],[Yield Cluster]],'Cluster Details'!$B$3:$C$16,2,0)</f>
        <v>7.8548801574189142E-2</v>
      </c>
      <c r="AC75" s="78">
        <f>PRICE(Table1[[#This Row],[Issue date]],Table1[[#This Row],[Maturity date]],Table1[[#This Row],[Current coupon %]],Table1[[#This Row],[Average Cluster Yield]],100,Table1[[#This Row],[Coupon Frequency2]])*Table1[[#This Row],[Face value]]/100</f>
        <v>946.98742361028576</v>
      </c>
      <c r="AD75" s="58" t="str">
        <f>IF(Table1[[#This Row],[Ask Price]]&gt;Table1[[#This Row],[Calculated Bond Price]],"Rich","Cheap")</f>
        <v>Rich</v>
      </c>
      <c r="AE7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978.75679641221393</v>
      </c>
      <c r="AF7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1128.3060849153821</v>
      </c>
      <c r="AG75" s="78">
        <f>(Table1[[#This Row],[P (+ shock)]]+Table1[[#This Row],[P (-shock)]]-2*Table1[[#This Row],[Ask Price]])/(2*Table1[[#This Row],[Ask Price]]*($AF$2^2))</f>
        <v>33.154998940985088</v>
      </c>
      <c r="AH75">
        <v>13.2456118140593</v>
      </c>
      <c r="AI75" s="6">
        <f t="shared" si="5"/>
        <v>6.7330127136803017E-2</v>
      </c>
      <c r="AK75" s="47">
        <f>RATE(Table1[[#This Row],[Total No. of Coupons]],Table1[[#This Row],[Coupon Amount]],-Table1[[#This Row],[Ask Price]],Table1[[#This Row],[Face value]])</f>
        <v>6.3777583833545592E-2</v>
      </c>
      <c r="AL75" s="27">
        <f>Table1[[#This Row],[IRR]]*Table1[[#This Row],[Coupon Frequency2]]</f>
        <v>6.3777583833545592E-2</v>
      </c>
      <c r="AM75" s="5">
        <f t="shared" si="6"/>
        <v>-7465.0604206234475</v>
      </c>
      <c r="AN75" t="s">
        <v>64</v>
      </c>
      <c r="AO75" t="s">
        <v>62</v>
      </c>
      <c r="AP75">
        <f t="shared" si="7"/>
        <v>1</v>
      </c>
    </row>
    <row r="76" spans="1:42" x14ac:dyDescent="0.35">
      <c r="A76" s="48" t="s">
        <v>1904</v>
      </c>
      <c r="B76" s="49" t="s">
        <v>2353</v>
      </c>
      <c r="C76" s="49" t="s">
        <v>2273</v>
      </c>
      <c r="D76" s="50">
        <v>42451</v>
      </c>
      <c r="E76" s="50">
        <v>46103</v>
      </c>
      <c r="F76" s="49">
        <v>1000</v>
      </c>
      <c r="G76" s="49" t="s">
        <v>76</v>
      </c>
      <c r="H76" s="49">
        <v>1065</v>
      </c>
      <c r="I76" s="49" t="s">
        <v>76</v>
      </c>
      <c r="J76" s="49">
        <v>106.5</v>
      </c>
      <c r="K76" s="49">
        <v>200</v>
      </c>
      <c r="L76" s="51">
        <v>7.2900000000000006E-2</v>
      </c>
      <c r="M76" s="49" t="s">
        <v>93</v>
      </c>
      <c r="N76" s="49">
        <v>186</v>
      </c>
      <c r="O76" s="49">
        <v>6.8450704225352101</v>
      </c>
      <c r="P76" s="49" t="s">
        <v>2274</v>
      </c>
      <c r="Q76" s="49"/>
      <c r="R76" s="49" t="s">
        <v>2275</v>
      </c>
      <c r="S76">
        <f t="shared" si="4"/>
        <v>10</v>
      </c>
      <c r="T76" s="5" cm="1">
        <f t="array" ref="T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6">
        <f>Table1[[#This Row],[Term to Maturity (Years)]]*Table1[[#This Row],[Coupon Frequency2]]</f>
        <v>10</v>
      </c>
      <c r="V76">
        <f>Table1[[#This Row],[Face value]]*Table1[[#This Row],[Current coupon %]]</f>
        <v>72.900000000000006</v>
      </c>
      <c r="W76" s="36">
        <f>RATE(Table1[[#This Row],[Total No. of Coupons]],Table1[[#This Row],[Coupon Amount]],-Table1[[#This Row],[Ask Price]],Table1[[#This Row],[Face value]])</f>
        <v>6.3904493038013016E-2</v>
      </c>
      <c r="X76" s="27">
        <f>Table1[[#This Row],[IRR]]*Table1[[#This Row],[Coupon Frequency2]]</f>
        <v>6.3904493038013016E-2</v>
      </c>
      <c r="Y76" s="19" cm="1">
        <f t="array" ref="Y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6" s="33">
        <f>DURATION(Table1[[#This Row],[Issue date]],Table1[[#This Row],[Maturity date]],Table1[[#This Row],[Current coupon %]],Table1[[#This Row],[Yield (Annualised)]],Table1[[#This Row],[Coupon Frequency2]])</f>
        <v>7.5230862050698386</v>
      </c>
      <c r="AA76" s="33">
        <f>Table1[[#This Row],[Macaulay Duration in Years]]/(1+Table1[[#This Row],[IRR]])</f>
        <v>7.0712044683516915</v>
      </c>
      <c r="AB76" s="58">
        <f>VLOOKUP(Table1[[#This Row],[Yield Cluster]],'Cluster Details'!$B$3:$C$16,2,0)</f>
        <v>7.8548801574189142E-2</v>
      </c>
      <c r="AC76" s="78">
        <f>PRICE(Table1[[#This Row],[Issue date]],Table1[[#This Row],[Maturity date]],Table1[[#This Row],[Current coupon %]],Table1[[#This Row],[Average Cluster Yield]],100,Table1[[#This Row],[Coupon Frequency2]])*Table1[[#This Row],[Face value]]/100</f>
        <v>961.84671989328842</v>
      </c>
      <c r="AD76" s="58" t="str">
        <f>IF(Table1[[#This Row],[Ask Price]]&gt;Table1[[#This Row],[Calculated Bond Price]],"Rich","Cheap")</f>
        <v>Rich</v>
      </c>
      <c r="AE7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993.07045579834949</v>
      </c>
      <c r="AF7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1143.9364023792557</v>
      </c>
      <c r="AG76" s="78">
        <f>(Table1[[#This Row],[P (+ shock)]]+Table1[[#This Row],[P (-shock)]]-2*Table1[[#This Row],[Ask Price]])/(2*Table1[[#This Row],[Ask Price]]*($AF$2^2))</f>
        <v>32.896047782182883</v>
      </c>
      <c r="AH76">
        <v>-4.0401845677354</v>
      </c>
      <c r="AI76" s="6">
        <f t="shared" si="5"/>
        <v>6.8450704225352113E-2</v>
      </c>
      <c r="AK76" s="47">
        <f>RATE(Table1[[#This Row],[Total No. of Coupons]],Table1[[#This Row],[Coupon Amount]],-Table1[[#This Row],[Ask Price]],Table1[[#This Row],[Face value]])</f>
        <v>6.3904493038013016E-2</v>
      </c>
      <c r="AL76" s="27">
        <f>Table1[[#This Row],[IRR]]*Table1[[#This Row],[Coupon Frequency2]]</f>
        <v>6.3904493038013016E-2</v>
      </c>
      <c r="AM76" s="5">
        <f t="shared" si="6"/>
        <v>-7530.8327587945514</v>
      </c>
      <c r="AN76" t="s">
        <v>64</v>
      </c>
      <c r="AO76" t="s">
        <v>62</v>
      </c>
      <c r="AP76">
        <f t="shared" si="7"/>
        <v>1</v>
      </c>
    </row>
    <row r="77" spans="1:42" x14ac:dyDescent="0.35">
      <c r="A77" s="48" t="s">
        <v>997</v>
      </c>
      <c r="B77" s="49" t="s">
        <v>2354</v>
      </c>
      <c r="C77" s="49" t="s">
        <v>2273</v>
      </c>
      <c r="D77" s="50">
        <v>41361</v>
      </c>
      <c r="E77" s="50">
        <v>46840</v>
      </c>
      <c r="F77" s="49">
        <v>1000</v>
      </c>
      <c r="G77" s="49" t="s">
        <v>76</v>
      </c>
      <c r="H77" s="49">
        <v>1061.0999999999999</v>
      </c>
      <c r="I77" s="49" t="s">
        <v>76</v>
      </c>
      <c r="J77" s="49">
        <v>106.11</v>
      </c>
      <c r="K77" s="49">
        <v>10</v>
      </c>
      <c r="L77" s="51">
        <v>7.0400000000000004E-2</v>
      </c>
      <c r="M77" s="49" t="s">
        <v>93</v>
      </c>
      <c r="N77" s="49">
        <v>923</v>
      </c>
      <c r="O77" s="49">
        <v>6.6346244463292798</v>
      </c>
      <c r="P77" s="49" t="s">
        <v>2282</v>
      </c>
      <c r="Q77" s="49"/>
      <c r="R77" s="49" t="s">
        <v>2275</v>
      </c>
      <c r="S77">
        <f t="shared" si="4"/>
        <v>15</v>
      </c>
      <c r="T77" s="5" cm="1">
        <f t="array" ref="T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7">
        <f>Table1[[#This Row],[Term to Maturity (Years)]]*Table1[[#This Row],[Coupon Frequency2]]</f>
        <v>15</v>
      </c>
      <c r="V77">
        <f>Table1[[#This Row],[Face value]]*Table1[[#This Row],[Current coupon %]]</f>
        <v>70.400000000000006</v>
      </c>
      <c r="W77" s="36">
        <f>RATE(Table1[[#This Row],[Total No. of Coupons]],Table1[[#This Row],[Coupon Amount]],-Table1[[#This Row],[Ask Price]],Table1[[#This Row],[Face value]])</f>
        <v>6.3945782565482404E-2</v>
      </c>
      <c r="X77" s="27">
        <f>Table1[[#This Row],[IRR]]*Table1[[#This Row],[Coupon Frequency2]]</f>
        <v>6.3945782565482404E-2</v>
      </c>
      <c r="Y77" s="19" cm="1">
        <f t="array" ref="Y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7" s="33">
        <f>DURATION(Table1[[#This Row],[Issue date]],Table1[[#This Row],[Maturity date]],Table1[[#This Row],[Current coupon %]],Table1[[#This Row],[Yield (Annualised)]],Table1[[#This Row],[Coupon Frequency2]])</f>
        <v>9.8870413661217142</v>
      </c>
      <c r="AA77" s="33">
        <f>Table1[[#This Row],[Macaulay Duration in Years]]/(1+Table1[[#This Row],[IRR]])</f>
        <v>9.2928056374086889</v>
      </c>
      <c r="AB77" s="58">
        <f>VLOOKUP(Table1[[#This Row],[Yield Cluster]],'Cluster Details'!$B$3:$C$16,2,0)</f>
        <v>7.8548801574189142E-2</v>
      </c>
      <c r="AC77" s="78">
        <f>PRICE(Table1[[#This Row],[Issue date]],Table1[[#This Row],[Maturity date]],Table1[[#This Row],[Current coupon %]],Table1[[#This Row],[Average Cluster Yield]],100,Table1[[#This Row],[Coupon Frequency2]])*Table1[[#This Row],[Face value]]/100</f>
        <v>929.62817842972549</v>
      </c>
      <c r="AD77" s="58" t="str">
        <f>IF(Table1[[#This Row],[Ask Price]]&gt;Table1[[#This Row],[Calculated Bond Price]],"Rich","Cheap")</f>
        <v>Rich</v>
      </c>
      <c r="AE7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968.49500271853128</v>
      </c>
      <c r="AF7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1166.3238027176417</v>
      </c>
      <c r="AG77" s="78">
        <f>(Table1[[#This Row],[P (+ shock)]]+Table1[[#This Row],[P (-shock)]]-2*Table1[[#This Row],[Ask Price]])/(2*Table1[[#This Row],[Ask Price]]*($AF$2^2))</f>
        <v>59.460962379480073</v>
      </c>
      <c r="AH77">
        <v>32.714138585168399</v>
      </c>
      <c r="AI77" s="6">
        <f t="shared" si="5"/>
        <v>6.6346244463292819E-2</v>
      </c>
      <c r="AK77" s="47">
        <f>RATE(Table1[[#This Row],[Total No. of Coupons]],Table1[[#This Row],[Coupon Amount]],-Table1[[#This Row],[Ask Price]],Table1[[#This Row],[Face value]])</f>
        <v>6.3945782565482404E-2</v>
      </c>
      <c r="AL77" s="27">
        <f>Table1[[#This Row],[IRR]]*Table1[[#This Row],[Coupon Frequency2]]</f>
        <v>6.3945782565482404E-2</v>
      </c>
      <c r="AM77" s="5">
        <f t="shared" si="6"/>
        <v>-9860.5960618543595</v>
      </c>
      <c r="AN77" t="s">
        <v>64</v>
      </c>
      <c r="AO77" t="s">
        <v>62</v>
      </c>
      <c r="AP77">
        <f t="shared" si="7"/>
        <v>1</v>
      </c>
    </row>
    <row r="78" spans="1:42" x14ac:dyDescent="0.35">
      <c r="A78" s="48" t="s">
        <v>1579</v>
      </c>
      <c r="B78" s="49" t="s">
        <v>2355</v>
      </c>
      <c r="C78" s="49" t="s">
        <v>2273</v>
      </c>
      <c r="D78" s="50">
        <v>44476</v>
      </c>
      <c r="E78" s="50">
        <v>46302</v>
      </c>
      <c r="F78" s="49">
        <v>1000</v>
      </c>
      <c r="G78" s="49" t="s">
        <v>76</v>
      </c>
      <c r="H78" s="49">
        <v>1075</v>
      </c>
      <c r="I78" s="49" t="s">
        <v>76</v>
      </c>
      <c r="J78" s="49">
        <v>107.5</v>
      </c>
      <c r="K78" s="49">
        <v>800</v>
      </c>
      <c r="L78" s="51">
        <v>8.199999999999999E-2</v>
      </c>
      <c r="M78" s="49" t="s">
        <v>93</v>
      </c>
      <c r="N78" s="49">
        <v>385</v>
      </c>
      <c r="O78" s="49">
        <v>7.6279069767441801</v>
      </c>
      <c r="P78" s="49"/>
      <c r="Q78" s="49"/>
      <c r="R78" s="49" t="s">
        <v>2275</v>
      </c>
      <c r="S78">
        <f t="shared" si="4"/>
        <v>5</v>
      </c>
      <c r="T78" s="5" cm="1">
        <f t="array" ref="T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8">
        <f>Table1[[#This Row],[Term to Maturity (Years)]]*Table1[[#This Row],[Coupon Frequency2]]</f>
        <v>5</v>
      </c>
      <c r="V78">
        <f>Table1[[#This Row],[Face value]]*Table1[[#This Row],[Current coupon %]]</f>
        <v>81.999999999999986</v>
      </c>
      <c r="W78" s="36">
        <f>RATE(Table1[[#This Row],[Total No. of Coupons]],Table1[[#This Row],[Coupon Amount]],-Table1[[#This Row],[Ask Price]],Table1[[#This Row],[Face value]])</f>
        <v>6.4001039641282065E-2</v>
      </c>
      <c r="X78" s="27">
        <f>Table1[[#This Row],[IRR]]*Table1[[#This Row],[Coupon Frequency2]]</f>
        <v>6.4001039641282065E-2</v>
      </c>
      <c r="Y78" s="19" cm="1">
        <f t="array" ref="Y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8" s="33">
        <f>DURATION(Table1[[#This Row],[Issue date]],Table1[[#This Row],[Maturity date]],Table1[[#This Row],[Current coupon %]],Table1[[#This Row],[Yield (Annualised)]],Table1[[#This Row],[Coupon Frequency2]])</f>
        <v>4.3249337375661456</v>
      </c>
      <c r="AA78" s="33">
        <f>Table1[[#This Row],[Macaulay Duration in Years]]/(1+Table1[[#This Row],[IRR]])</f>
        <v>4.0647833756104754</v>
      </c>
      <c r="AB78" s="58">
        <f>VLOOKUP(Table1[[#This Row],[Yield Cluster]],'Cluster Details'!$B$3:$C$16,2,0)</f>
        <v>7.8548801574189142E-2</v>
      </c>
      <c r="AC78" s="78">
        <f>PRICE(Table1[[#This Row],[Issue date]],Table1[[#This Row],[Maturity date]],Table1[[#This Row],[Current coupon %]],Table1[[#This Row],[Average Cluster Yield]],100,Table1[[#This Row],[Coupon Frequency2]])*Table1[[#This Row],[Face value]]/100</f>
        <v>1013.8325004001416</v>
      </c>
      <c r="AD78" s="58" t="str">
        <f>IF(Table1[[#This Row],[Ask Price]]&gt;Table1[[#This Row],[Calculated Bond Price]],"Rich","Cheap")</f>
        <v>Rich</v>
      </c>
      <c r="AE7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1032.4489359189668</v>
      </c>
      <c r="AF7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1119.8917672279611</v>
      </c>
      <c r="AG78" s="78">
        <f>(Table1[[#This Row],[P (+ shock)]]+Table1[[#This Row],[P (-shock)]]-2*Table1[[#This Row],[Ask Price]])/(2*Table1[[#This Row],[Ask Price]]*($AF$2^2))</f>
        <v>10.886991381059573</v>
      </c>
      <c r="AI78" s="6">
        <f t="shared" si="5"/>
        <v>7.6279069767441851E-2</v>
      </c>
      <c r="AK78" s="47">
        <f>RATE(Table1[[#This Row],[Total No. of Coupons]],Table1[[#This Row],[Coupon Amount]],-Table1[[#This Row],[Ask Price]],Table1[[#This Row],[Face value]])</f>
        <v>6.4001039641282065E-2</v>
      </c>
      <c r="AL78" s="27">
        <f>Table1[[#This Row],[IRR]]*Table1[[#This Row],[Coupon Frequency2]]</f>
        <v>6.4001039641282065E-2</v>
      </c>
      <c r="AM78" s="5">
        <f t="shared" si="6"/>
        <v>-4369.6421287812609</v>
      </c>
      <c r="AN78" t="s">
        <v>64</v>
      </c>
      <c r="AO78" t="s">
        <v>62</v>
      </c>
      <c r="AP78">
        <f t="shared" si="7"/>
        <v>1</v>
      </c>
    </row>
    <row r="79" spans="1:42" x14ac:dyDescent="0.35">
      <c r="A79" s="48" t="s">
        <v>2041</v>
      </c>
      <c r="B79" s="49" t="s">
        <v>2356</v>
      </c>
      <c r="C79" s="49" t="s">
        <v>2273</v>
      </c>
      <c r="D79" s="50">
        <v>42359</v>
      </c>
      <c r="E79" s="50">
        <v>46012</v>
      </c>
      <c r="F79" s="49">
        <v>1000</v>
      </c>
      <c r="G79" s="49" t="s">
        <v>76</v>
      </c>
      <c r="H79" s="49">
        <v>1066</v>
      </c>
      <c r="I79" s="49" t="s">
        <v>76</v>
      </c>
      <c r="J79" s="49">
        <v>106.6</v>
      </c>
      <c r="K79" s="49">
        <v>25</v>
      </c>
      <c r="L79" s="51">
        <v>7.3200000000000001E-2</v>
      </c>
      <c r="M79" s="49" t="s">
        <v>93</v>
      </c>
      <c r="N79" s="49">
        <v>95</v>
      </c>
      <c r="O79" s="49">
        <v>6.86679174484052</v>
      </c>
      <c r="P79" s="49" t="s">
        <v>2274</v>
      </c>
      <c r="Q79" s="49"/>
      <c r="R79" s="49" t="s">
        <v>2275</v>
      </c>
      <c r="S79">
        <f t="shared" si="4"/>
        <v>10</v>
      </c>
      <c r="T79" s="5" cm="1">
        <f t="array" ref="T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9">
        <f>Table1[[#This Row],[Term to Maturity (Years)]]*Table1[[#This Row],[Coupon Frequency2]]</f>
        <v>10</v>
      </c>
      <c r="V79">
        <f>Table1[[#This Row],[Face value]]*Table1[[#This Row],[Current coupon %]]</f>
        <v>73.2</v>
      </c>
      <c r="W79" s="36">
        <f>RATE(Table1[[#This Row],[Total No. of Coupons]],Table1[[#This Row],[Coupon Amount]],-Table1[[#This Row],[Ask Price]],Table1[[#This Row],[Face value]])</f>
        <v>6.4059457763052788E-2</v>
      </c>
      <c r="X79" s="27">
        <f>Table1[[#This Row],[IRR]]*Table1[[#This Row],[Coupon Frequency2]]</f>
        <v>6.4059457763052788E-2</v>
      </c>
      <c r="Y79" s="19" cm="1">
        <f t="array" ref="Y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79" s="33">
        <f>DURATION(Table1[[#This Row],[Issue date]],Table1[[#This Row],[Maturity date]],Table1[[#This Row],[Current coupon %]],Table1[[#This Row],[Yield (Annualised)]],Table1[[#This Row],[Coupon Frequency2]])</f>
        <v>7.5164476946526513</v>
      </c>
      <c r="AA79" s="33">
        <f>Table1[[#This Row],[Macaulay Duration in Years]]/(1+Table1[[#This Row],[IRR]])</f>
        <v>7.0639357977742163</v>
      </c>
      <c r="AB79" s="58">
        <f>VLOOKUP(Table1[[#This Row],[Yield Cluster]],'Cluster Details'!$B$3:$C$16,2,0)</f>
        <v>7.8548801574189142E-2</v>
      </c>
      <c r="AC79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963.87298756824327</v>
      </c>
      <c r="AD79" s="58" t="str">
        <f>IF(Table1[[#This Row],[Ask Price]]&gt;Table1[[#This Row],[Calculated Bond Price]],"Rich","Cheap")</f>
        <v>Rich</v>
      </c>
      <c r="AE7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994.07519297976398</v>
      </c>
      <c r="AF7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1144.9273549853599</v>
      </c>
      <c r="AG79" s="78">
        <f>(Table1[[#This Row],[P (+ shock)]]+Table1[[#This Row],[P (-shock)]]-2*Table1[[#This Row],[Ask Price]])/(2*Table1[[#This Row],[Ask Price]]*($AF$2^2))</f>
        <v>32.844971693827368</v>
      </c>
      <c r="AH79">
        <v>13.2810913705583</v>
      </c>
      <c r="AI79" s="6">
        <f t="shared" si="5"/>
        <v>6.8667917448405252E-2</v>
      </c>
      <c r="AK79" s="47">
        <f>RATE(Table1[[#This Row],[Total No. of Coupons]],Table1[[#This Row],[Coupon Amount]],-Table1[[#This Row],[Ask Price]],Table1[[#This Row],[Face value]])</f>
        <v>6.4059457763052788E-2</v>
      </c>
      <c r="AL79" s="27">
        <f>Table1[[#This Row],[IRR]]*Table1[[#This Row],[Coupon Frequency2]]</f>
        <v>6.4059457763052788E-2</v>
      </c>
      <c r="AM79" s="5">
        <f t="shared" si="6"/>
        <v>-7530.1555604273144</v>
      </c>
      <c r="AN79" t="s">
        <v>64</v>
      </c>
      <c r="AO79" t="s">
        <v>62</v>
      </c>
      <c r="AP79">
        <f t="shared" si="7"/>
        <v>1</v>
      </c>
    </row>
    <row r="80" spans="1:42" x14ac:dyDescent="0.35">
      <c r="A80" s="48" t="s">
        <v>221</v>
      </c>
      <c r="B80" s="49" t="s">
        <v>2357</v>
      </c>
      <c r="C80" s="49" t="s">
        <v>2273</v>
      </c>
      <c r="D80" s="50">
        <v>41541</v>
      </c>
      <c r="E80" s="50">
        <v>48846</v>
      </c>
      <c r="F80" s="49">
        <v>1000</v>
      </c>
      <c r="G80" s="49" t="s">
        <v>76</v>
      </c>
      <c r="H80" s="49">
        <v>1245.25</v>
      </c>
      <c r="I80" s="49" t="s">
        <v>76</v>
      </c>
      <c r="J80" s="49">
        <v>124.524999999999</v>
      </c>
      <c r="K80" s="49">
        <v>400</v>
      </c>
      <c r="L80" s="51">
        <v>8.6199999999999999E-2</v>
      </c>
      <c r="M80" s="49" t="s">
        <v>93</v>
      </c>
      <c r="N80" s="49">
        <v>2929</v>
      </c>
      <c r="O80" s="49">
        <v>6.9223047580807</v>
      </c>
      <c r="P80" s="49"/>
      <c r="Q80" s="49"/>
      <c r="R80" s="49" t="s">
        <v>2275</v>
      </c>
      <c r="S80">
        <f t="shared" si="4"/>
        <v>20</v>
      </c>
      <c r="T80" s="5" cm="1">
        <f t="array" ref="T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0">
        <f>Table1[[#This Row],[Term to Maturity (Years)]]*Table1[[#This Row],[Coupon Frequency2]]</f>
        <v>20</v>
      </c>
      <c r="V80">
        <f>Table1[[#This Row],[Face value]]*Table1[[#This Row],[Current coupon %]]</f>
        <v>86.2</v>
      </c>
      <c r="W80" s="36">
        <f>RATE(Table1[[#This Row],[Total No. of Coupons]],Table1[[#This Row],[Coupon Amount]],-Table1[[#This Row],[Ask Price]],Table1[[#This Row],[Face value]])</f>
        <v>6.4100729051865729E-2</v>
      </c>
      <c r="X80" s="27">
        <f>Table1[[#This Row],[IRR]]*Table1[[#This Row],[Coupon Frequency2]]</f>
        <v>6.4100729051865729E-2</v>
      </c>
      <c r="Y80" s="19" cm="1">
        <f t="array" ref="Y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0" s="33">
        <f>DURATION(Table1[[#This Row],[Issue date]],Table1[[#This Row],[Maturity date]],Table1[[#This Row],[Current coupon %]],Table1[[#This Row],[Yield (Annualised)]],Table1[[#This Row],[Coupon Frequency2]])</f>
        <v>11.154473640005872</v>
      </c>
      <c r="AA80" s="33">
        <f>Table1[[#This Row],[Macaulay Duration in Years]]/(1+Table1[[#This Row],[IRR]])</f>
        <v>10.482535473821846</v>
      </c>
      <c r="AB80" s="58">
        <f>VLOOKUP(Table1[[#This Row],[Yield Cluster]],'Cluster Details'!$B$3:$C$16,2,0)</f>
        <v>7.8548801574189142E-2</v>
      </c>
      <c r="AC80" s="78">
        <f>PRICE(Table1[[#This Row],[Issue date]],Table1[[#This Row],[Maturity date]],Table1[[#This Row],[Current coupon %]],Table1[[#This Row],[Average Cluster Yield]],100,Table1[[#This Row],[Coupon Frequency2]])*Table1[[#This Row],[Face value]]/100</f>
        <v>1075.9388264531797</v>
      </c>
      <c r="AD80" s="58" t="str">
        <f>IF(Table1[[#This Row],[Ask Price]]&gt;Table1[[#This Row],[Calculated Bond Price]],"Rich","Cheap")</f>
        <v>Rich</v>
      </c>
      <c r="AE8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1124.1940282707917</v>
      </c>
      <c r="AF8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1386.4769223908231</v>
      </c>
      <c r="AG80" s="78">
        <f>(Table1[[#This Row],[P (+ shock)]]+Table1[[#This Row],[P (-shock)]]-2*Table1[[#This Row],[Ask Price]])/(2*Table1[[#This Row],[Ask Price]]*($AF$2^2))</f>
        <v>80.991570614795521</v>
      </c>
      <c r="AH80">
        <v>10</v>
      </c>
      <c r="AI80" s="6">
        <f t="shared" si="5"/>
        <v>6.9223047580807065E-2</v>
      </c>
      <c r="AK80" s="47">
        <f>RATE(Table1[[#This Row],[Total No. of Coupons]],Table1[[#This Row],[Coupon Amount]],-Table1[[#This Row],[Ask Price]],Table1[[#This Row],[Face value]])</f>
        <v>6.4100729051865729E-2</v>
      </c>
      <c r="AL80" s="27">
        <f>Table1[[#This Row],[IRR]]*Table1[[#This Row],[Coupon Frequency2]]</f>
        <v>6.4100729051865729E-2</v>
      </c>
      <c r="AM80" s="5">
        <f t="shared" si="6"/>
        <v>-13053.377298776653</v>
      </c>
      <c r="AN80" t="s">
        <v>64</v>
      </c>
      <c r="AO80" t="s">
        <v>62</v>
      </c>
      <c r="AP80">
        <f t="shared" si="7"/>
        <v>1</v>
      </c>
    </row>
    <row r="81" spans="1:42" x14ac:dyDescent="0.35">
      <c r="A81" s="48" t="s">
        <v>412</v>
      </c>
      <c r="B81" s="49" t="s">
        <v>2358</v>
      </c>
      <c r="C81" s="49" t="s">
        <v>2273</v>
      </c>
      <c r="D81" s="50">
        <v>42313</v>
      </c>
      <c r="E81" s="50">
        <v>47792</v>
      </c>
      <c r="F81" s="49">
        <v>1000</v>
      </c>
      <c r="G81" s="49" t="s">
        <v>76</v>
      </c>
      <c r="H81" s="49">
        <v>1064.01</v>
      </c>
      <c r="I81" s="49" t="s">
        <v>76</v>
      </c>
      <c r="J81" s="49">
        <v>106.401</v>
      </c>
      <c r="K81" s="49">
        <v>50</v>
      </c>
      <c r="L81" s="51">
        <v>7.0900000000000005E-2</v>
      </c>
      <c r="M81" s="49" t="s">
        <v>93</v>
      </c>
      <c r="N81" s="49">
        <v>1875</v>
      </c>
      <c r="O81" s="49">
        <v>6.6634712079773601</v>
      </c>
      <c r="P81" s="49"/>
      <c r="Q81" s="49"/>
      <c r="R81" s="49" t="s">
        <v>2275</v>
      </c>
      <c r="S81">
        <f t="shared" si="4"/>
        <v>15</v>
      </c>
      <c r="T81" s="5" cm="1">
        <f t="array" ref="T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1">
        <f>Table1[[#This Row],[Term to Maturity (Years)]]*Table1[[#This Row],[Coupon Frequency2]]</f>
        <v>15</v>
      </c>
      <c r="V81">
        <f>Table1[[#This Row],[Face value]]*Table1[[#This Row],[Current coupon %]]</f>
        <v>70.900000000000006</v>
      </c>
      <c r="W81" s="36">
        <f>RATE(Table1[[#This Row],[Total No. of Coupons]],Table1[[#This Row],[Coupon Amount]],-Table1[[#This Row],[Ask Price]],Table1[[#This Row],[Face value]])</f>
        <v>6.4130340896434448E-2</v>
      </c>
      <c r="X81" s="27">
        <f>Table1[[#This Row],[IRR]]*Table1[[#This Row],[Coupon Frequency2]]</f>
        <v>6.4130340896434448E-2</v>
      </c>
      <c r="Y81" s="19" cm="1">
        <f t="array" ref="Y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1" s="33">
        <f>DURATION(Table1[[#This Row],[Issue date]],Table1[[#This Row],[Maturity date]],Table1[[#This Row],[Current coupon %]],Table1[[#This Row],[Yield (Annualised)]],Table1[[#This Row],[Coupon Frequency2]])</f>
        <v>9.8689611917015689</v>
      </c>
      <c r="AA81" s="33">
        <f>Table1[[#This Row],[Macaulay Duration in Years]]/(1+Table1[[#This Row],[IRR]])</f>
        <v>9.2742033681586911</v>
      </c>
      <c r="AB81" s="58">
        <f>VLOOKUP(Table1[[#This Row],[Yield Cluster]],'Cluster Details'!$B$3:$C$16,2,0)</f>
        <v>7.8548801574189142E-2</v>
      </c>
      <c r="AC81" s="78">
        <f>PRICE(Table1[[#This Row],[Issue date]],Table1[[#This Row],[Maturity date]],Table1[[#This Row],[Current coupon %]],Table1[[#This Row],[Average Cluster Yield]],100,Table1[[#This Row],[Coupon Frequency2]])*Table1[[#This Row],[Face value]]/100</f>
        <v>933.94610303063712</v>
      </c>
      <c r="AD81" s="58" t="str">
        <f>IF(Table1[[#This Row],[Ask Price]]&gt;Table1[[#This Row],[Calculated Bond Price]],"Rich","Cheap")</f>
        <v>Rich</v>
      </c>
      <c r="AE8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971.33075075479462</v>
      </c>
      <c r="AF8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1169.303913788716</v>
      </c>
      <c r="AG81" s="78">
        <f>(Table1[[#This Row],[P (+ shock)]]+Table1[[#This Row],[P (-shock)]]-2*Table1[[#This Row],[Ask Price]])/(2*Table1[[#This Row],[Ask Price]]*($AF$2^2))</f>
        <v>59.278881511971548</v>
      </c>
      <c r="AH81">
        <v>9.7230419347110093</v>
      </c>
      <c r="AI81" s="6">
        <f t="shared" si="5"/>
        <v>6.6634712079773686E-2</v>
      </c>
      <c r="AK81" s="47">
        <f>RATE(Table1[[#This Row],[Total No. of Coupons]],Table1[[#This Row],[Coupon Amount]],-Table1[[#This Row],[Ask Price]],Table1[[#This Row],[Face value]])</f>
        <v>6.4130340896434448E-2</v>
      </c>
      <c r="AL81" s="27">
        <f>Table1[[#This Row],[IRR]]*Table1[[#This Row],[Coupon Frequency2]]</f>
        <v>6.4130340896434448E-2</v>
      </c>
      <c r="AM81" s="5">
        <f t="shared" si="6"/>
        <v>-9867.8451257545294</v>
      </c>
      <c r="AN81" t="s">
        <v>64</v>
      </c>
      <c r="AO81" t="s">
        <v>62</v>
      </c>
      <c r="AP81">
        <f t="shared" si="7"/>
        <v>1</v>
      </c>
    </row>
    <row r="82" spans="1:42" x14ac:dyDescent="0.35">
      <c r="A82" s="48" t="s">
        <v>435</v>
      </c>
      <c r="B82" s="49" t="s">
        <v>2359</v>
      </c>
      <c r="C82" s="49" t="s">
        <v>2273</v>
      </c>
      <c r="D82" s="50">
        <v>44053</v>
      </c>
      <c r="E82" s="50">
        <v>47704</v>
      </c>
      <c r="F82" s="49">
        <v>1000000</v>
      </c>
      <c r="G82" s="49" t="s">
        <v>76</v>
      </c>
      <c r="H82" s="49">
        <v>1044454.8</v>
      </c>
      <c r="I82" s="49" t="s">
        <v>76</v>
      </c>
      <c r="J82" s="49">
        <v>104.44548</v>
      </c>
      <c r="K82" s="49">
        <v>2</v>
      </c>
      <c r="L82" s="51">
        <v>7.0499999999999993E-2</v>
      </c>
      <c r="M82" s="49" t="s">
        <v>93</v>
      </c>
      <c r="N82" s="49">
        <v>1787</v>
      </c>
      <c r="O82" s="49">
        <v>6.7499330751316302</v>
      </c>
      <c r="P82" s="49" t="s">
        <v>2282</v>
      </c>
      <c r="Q82" s="49"/>
      <c r="R82" s="49" t="s">
        <v>2275</v>
      </c>
      <c r="S82">
        <f t="shared" si="4"/>
        <v>10</v>
      </c>
      <c r="T82" s="5" cm="1">
        <f t="array" ref="T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2">
        <f>Table1[[#This Row],[Term to Maturity (Years)]]*Table1[[#This Row],[Coupon Frequency2]]</f>
        <v>10</v>
      </c>
      <c r="V82">
        <f>Table1[[#This Row],[Face value]]*Table1[[#This Row],[Current coupon %]]</f>
        <v>70500</v>
      </c>
      <c r="W82" s="36">
        <f>RATE(Table1[[#This Row],[Total No. of Coupons]],Table1[[#This Row],[Coupon Amount]],-Table1[[#This Row],[Ask Price]],Table1[[#This Row],[Face value]])</f>
        <v>6.4335348812280091E-2</v>
      </c>
      <c r="X82" s="27">
        <f>Table1[[#This Row],[IRR]]*Table1[[#This Row],[Coupon Frequency2]]</f>
        <v>6.4335348812280091E-2</v>
      </c>
      <c r="Y82" s="19" cm="1">
        <f t="array" ref="Y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2" s="33">
        <f>DURATION(Table1[[#This Row],[Issue date]],Table1[[#This Row],[Maturity date]],Table1[[#This Row],[Current coupon %]],Table1[[#This Row],[Yield (Annualised)]],Table1[[#This Row],[Coupon Frequency2]])</f>
        <v>7.5580699642300662</v>
      </c>
      <c r="AA82" s="33">
        <f>Table1[[#This Row],[Macaulay Duration in Years]]/(1+Table1[[#This Row],[IRR]])</f>
        <v>7.1012110728675086</v>
      </c>
      <c r="AB82" s="58">
        <f>VLOOKUP(Table1[[#This Row],[Yield Cluster]],'Cluster Details'!$B$3:$C$16,2,0)</f>
        <v>7.8548801574189142E-2</v>
      </c>
      <c r="AC82" s="78">
        <f>PRICE(Table1[[#This Row],[Issue date]],Table1[[#This Row],[Maturity date]],Table1[[#This Row],[Current coupon %]],Table1[[#This Row],[Average Cluster Yield]],100,Table1[[#This Row],[Coupon Frequency2]])*Table1[[#This Row],[Face value]]/100</f>
        <v>945639.39287537115</v>
      </c>
      <c r="AD82" s="58" t="str">
        <f>IF(Table1[[#This Row],[Ask Price]]&gt;Table1[[#This Row],[Calculated Bond Price]],"Rich","Cheap")</f>
        <v>Rich</v>
      </c>
      <c r="AE8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973591.8718229552</v>
      </c>
      <c r="AF8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1122201.5931593322</v>
      </c>
      <c r="AG82" s="78">
        <f>(Table1[[#This Row],[P (+ shock)]]+Table1[[#This Row],[P (-shock)]]-2*Table1[[#This Row],[Ask Price]])/(2*Table1[[#This Row],[Ask Price]]*($AF$2^2))</f>
        <v>32.954346048710768</v>
      </c>
      <c r="AI82" s="6">
        <f t="shared" si="5"/>
        <v>6.749933075131638E-2</v>
      </c>
      <c r="AK82" s="47">
        <f>RATE(Table1[[#This Row],[Total No. of Coupons]],Table1[[#This Row],[Coupon Amount]],-Table1[[#This Row],[Ask Price]],Table1[[#This Row],[Face value]])</f>
        <v>6.4335348812280091E-2</v>
      </c>
      <c r="AL82" s="27">
        <f>Table1[[#This Row],[IRR]]*Table1[[#This Row],[Coupon Frequency2]]</f>
        <v>6.4335348812280091E-2</v>
      </c>
      <c r="AM82" s="5">
        <f t="shared" si="6"/>
        <v>-7416893.9908696199</v>
      </c>
      <c r="AN82" t="s">
        <v>64</v>
      </c>
      <c r="AO82" t="s">
        <v>62</v>
      </c>
      <c r="AP82">
        <f t="shared" si="7"/>
        <v>1</v>
      </c>
    </row>
    <row r="83" spans="1:42" x14ac:dyDescent="0.35">
      <c r="A83" s="48" t="s">
        <v>2096</v>
      </c>
      <c r="B83" s="49" t="s">
        <v>2360</v>
      </c>
      <c r="C83" s="49" t="s">
        <v>2273</v>
      </c>
      <c r="D83" s="50">
        <v>42313</v>
      </c>
      <c r="E83" s="50">
        <v>45966</v>
      </c>
      <c r="F83" s="49">
        <v>1000</v>
      </c>
      <c r="G83" s="49" t="s">
        <v>76</v>
      </c>
      <c r="H83" s="49">
        <v>1050.21</v>
      </c>
      <c r="I83" s="49" t="s">
        <v>76</v>
      </c>
      <c r="J83" s="49">
        <v>105.021</v>
      </c>
      <c r="K83" s="49">
        <v>1</v>
      </c>
      <c r="L83" s="51">
        <v>7.1399999999999991E-2</v>
      </c>
      <c r="M83" s="49" t="s">
        <v>93</v>
      </c>
      <c r="N83" s="49">
        <v>49</v>
      </c>
      <c r="O83" s="49">
        <v>6.7986402719456098</v>
      </c>
      <c r="P83" s="49"/>
      <c r="Q83" s="49"/>
      <c r="R83" s="49" t="s">
        <v>2275</v>
      </c>
      <c r="S83">
        <f t="shared" si="4"/>
        <v>10</v>
      </c>
      <c r="T83" s="5" cm="1">
        <f t="array" ref="T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3">
        <f>Table1[[#This Row],[Term to Maturity (Years)]]*Table1[[#This Row],[Coupon Frequency2]]</f>
        <v>10</v>
      </c>
      <c r="V83">
        <f>Table1[[#This Row],[Face value]]*Table1[[#This Row],[Current coupon %]]</f>
        <v>71.399999999999991</v>
      </c>
      <c r="W83" s="36">
        <f>RATE(Table1[[#This Row],[Total No. of Coupons]],Table1[[#This Row],[Coupon Amount]],-Table1[[#This Row],[Ask Price]],Table1[[#This Row],[Face value]])</f>
        <v>6.4434040404397486E-2</v>
      </c>
      <c r="X83" s="27">
        <f>Table1[[#This Row],[IRR]]*Table1[[#This Row],[Coupon Frequency2]]</f>
        <v>6.4434040404397486E-2</v>
      </c>
      <c r="Y83" s="19" cm="1">
        <f t="array" ref="Y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3" s="33">
        <f>DURATION(Table1[[#This Row],[Issue date]],Table1[[#This Row],[Maturity date]],Table1[[#This Row],[Current coupon %]],Table1[[#This Row],[Yield (Annualised)]],Table1[[#This Row],[Coupon Frequency2]])</f>
        <v>7.544015440139729</v>
      </c>
      <c r="AA83" s="33">
        <f>Table1[[#This Row],[Macaulay Duration in Years]]/(1+Table1[[#This Row],[IRR]])</f>
        <v>7.0873489138637682</v>
      </c>
      <c r="AB83" s="58">
        <f>VLOOKUP(Table1[[#This Row],[Yield Cluster]],'Cluster Details'!$B$3:$C$16,2,0)</f>
        <v>7.8548801574189142E-2</v>
      </c>
      <c r="AC83" s="78">
        <f>PRICE(Table1[[#This Row],[Issue date]],Table1[[#This Row],[Maturity date]],Table1[[#This Row],[Current coupon %]],Table1[[#This Row],[Average Cluster Yield]],100,Table1[[#This Row],[Coupon Frequency2]])*Table1[[#This Row],[Face value]]/100</f>
        <v>951.7153815185136</v>
      </c>
      <c r="AD83" s="58" t="str">
        <f>IF(Table1[[#This Row],[Ask Price]]&gt;Table1[[#This Row],[Calculated Bond Price]],"Rich","Cheap")</f>
        <v>Rich</v>
      </c>
      <c r="AE8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979.12017524714975</v>
      </c>
      <c r="AF8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1128.2309317420597</v>
      </c>
      <c r="AG83" s="78">
        <f>(Table1[[#This Row],[P (+ shock)]]+Table1[[#This Row],[P (-shock)]]-2*Table1[[#This Row],[Ask Price]])/(2*Table1[[#This Row],[Ask Price]]*($AF$2^2))</f>
        <v>32.998671642858014</v>
      </c>
      <c r="AH83">
        <v>6.6201400918000104</v>
      </c>
      <c r="AI83" s="6">
        <f t="shared" si="5"/>
        <v>6.7986402719456093E-2</v>
      </c>
      <c r="AK83" s="47">
        <f>RATE(Table1[[#This Row],[Total No. of Coupons]],Table1[[#This Row],[Coupon Amount]],-Table1[[#This Row],[Ask Price]],Table1[[#This Row],[Face value]])</f>
        <v>6.4434040404397486E-2</v>
      </c>
      <c r="AL83" s="27">
        <f>Table1[[#This Row],[IRR]]*Table1[[#This Row],[Coupon Frequency2]]</f>
        <v>6.4434040404397486E-2</v>
      </c>
      <c r="AM83" s="5">
        <f t="shared" si="6"/>
        <v>-7443.204702828868</v>
      </c>
      <c r="AN83" t="s">
        <v>64</v>
      </c>
      <c r="AO83" t="s">
        <v>62</v>
      </c>
      <c r="AP83">
        <f t="shared" si="7"/>
        <v>1</v>
      </c>
    </row>
    <row r="84" spans="1:42" x14ac:dyDescent="0.35">
      <c r="A84" s="48" t="s">
        <v>1074</v>
      </c>
      <c r="B84" s="49" t="s">
        <v>2361</v>
      </c>
      <c r="C84" s="49" t="s">
        <v>2273</v>
      </c>
      <c r="D84" s="50">
        <v>41278</v>
      </c>
      <c r="E84" s="50">
        <v>46756</v>
      </c>
      <c r="F84" s="49">
        <v>1000</v>
      </c>
      <c r="G84" s="49" t="s">
        <v>76</v>
      </c>
      <c r="H84" s="49">
        <v>1084</v>
      </c>
      <c r="I84" s="49" t="s">
        <v>76</v>
      </c>
      <c r="J84" s="49">
        <v>108.4</v>
      </c>
      <c r="K84" s="49">
        <v>1000</v>
      </c>
      <c r="L84" s="51">
        <v>7.3599999999999999E-2</v>
      </c>
      <c r="M84" s="49" t="s">
        <v>93</v>
      </c>
      <c r="N84" s="49">
        <v>839</v>
      </c>
      <c r="O84" s="49">
        <v>6.7896678966789601</v>
      </c>
      <c r="P84" s="49" t="s">
        <v>2282</v>
      </c>
      <c r="Q84" s="49"/>
      <c r="R84" s="49" t="s">
        <v>2275</v>
      </c>
      <c r="S84">
        <f t="shared" si="4"/>
        <v>15</v>
      </c>
      <c r="T84" s="5" cm="1">
        <f t="array" ref="T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4">
        <f>Table1[[#This Row],[Term to Maturity (Years)]]*Table1[[#This Row],[Coupon Frequency2]]</f>
        <v>15</v>
      </c>
      <c r="V84">
        <f>Table1[[#This Row],[Face value]]*Table1[[#This Row],[Current coupon %]]</f>
        <v>73.599999999999994</v>
      </c>
      <c r="W84" s="36">
        <f>RATE(Table1[[#This Row],[Total No. of Coupons]],Table1[[#This Row],[Coupon Amount]],-Table1[[#This Row],[Ask Price]],Table1[[#This Row],[Face value]])</f>
        <v>6.4684466215731956E-2</v>
      </c>
      <c r="X84" s="27">
        <f>Table1[[#This Row],[IRR]]*Table1[[#This Row],[Coupon Frequency2]]</f>
        <v>6.4684466215731956E-2</v>
      </c>
      <c r="Y84" s="19" cm="1">
        <f t="array" ref="Y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4" s="33">
        <f>DURATION(Table1[[#This Row],[Issue date]],Table1[[#This Row],[Maturity date]],Table1[[#This Row],[Current coupon %]],Table1[[#This Row],[Yield (Annualised)]],Table1[[#This Row],[Coupon Frequency2]])</f>
        <v>9.7844498989294184</v>
      </c>
      <c r="AA84" s="33">
        <f>Table1[[#This Row],[Macaulay Duration in Years]]/(1+Table1[[#This Row],[IRR]])</f>
        <v>9.1899996754032109</v>
      </c>
      <c r="AB84" s="58">
        <f>VLOOKUP(Table1[[#This Row],[Yield Cluster]],'Cluster Details'!$B$3:$C$16,2,0)</f>
        <v>7.8548801574189142E-2</v>
      </c>
      <c r="AC84" s="78">
        <f>PRICE(Table1[[#This Row],[Issue date]],Table1[[#This Row],[Maturity date]],Table1[[#This Row],[Current coupon %]],Table1[[#This Row],[Average Cluster Yield]],100,Table1[[#This Row],[Coupon Frequency2]])*Table1[[#This Row],[Face value]]/100</f>
        <v>957.26289587555914</v>
      </c>
      <c r="AD84" s="58" t="str">
        <f>IF(Table1[[#This Row],[Ask Price]]&gt;Table1[[#This Row],[Calculated Bond Price]],"Rich","Cheap")</f>
        <v>Rich</v>
      </c>
      <c r="AE8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990.40850064823314</v>
      </c>
      <c r="AF8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1190.2649705946858</v>
      </c>
      <c r="AG84" s="78">
        <f>(Table1[[#This Row],[P (+ shock)]]+Table1[[#This Row],[P (-shock)]]-2*Table1[[#This Row],[Ask Price]])/(2*Table1[[#This Row],[Ask Price]]*($AF$2^2))</f>
        <v>58.456970677669837</v>
      </c>
      <c r="AH84">
        <v>3.9119032377542098</v>
      </c>
      <c r="AI84" s="6">
        <f t="shared" si="5"/>
        <v>6.7896678966789664E-2</v>
      </c>
      <c r="AK84" s="47">
        <f>RATE(Table1[[#This Row],[Total No. of Coupons]],Table1[[#This Row],[Coupon Amount]],-Table1[[#This Row],[Ask Price]],Table1[[#This Row],[Face value]])</f>
        <v>6.4684466215731956E-2</v>
      </c>
      <c r="AL84" s="27">
        <f>Table1[[#This Row],[IRR]]*Table1[[#This Row],[Coupon Frequency2]]</f>
        <v>6.4684466215731956E-2</v>
      </c>
      <c r="AM84" s="5">
        <f t="shared" si="6"/>
        <v>-9961.9596481370809</v>
      </c>
      <c r="AN84" t="s">
        <v>64</v>
      </c>
      <c r="AO84" t="s">
        <v>62</v>
      </c>
      <c r="AP84">
        <f t="shared" si="7"/>
        <v>1</v>
      </c>
    </row>
    <row r="85" spans="1:42" x14ac:dyDescent="0.35">
      <c r="A85" s="48" t="s">
        <v>212</v>
      </c>
      <c r="B85" s="49" t="s">
        <v>2362</v>
      </c>
      <c r="C85" s="49" t="s">
        <v>2273</v>
      </c>
      <c r="D85" s="50">
        <v>41580</v>
      </c>
      <c r="E85" s="50">
        <v>48885</v>
      </c>
      <c r="F85" s="49">
        <v>1000</v>
      </c>
      <c r="G85" s="49" t="s">
        <v>76</v>
      </c>
      <c r="H85" s="49">
        <v>1242.0999999999999</v>
      </c>
      <c r="I85" s="49" t="s">
        <v>76</v>
      </c>
      <c r="J85" s="49">
        <v>124.21</v>
      </c>
      <c r="K85" s="49">
        <v>5</v>
      </c>
      <c r="L85" s="51">
        <v>8.6699999999999999E-2</v>
      </c>
      <c r="M85" s="49" t="s">
        <v>93</v>
      </c>
      <c r="N85" s="49">
        <v>2968</v>
      </c>
      <c r="O85" s="49">
        <v>6.9801143225183102</v>
      </c>
      <c r="P85" s="49" t="s">
        <v>2282</v>
      </c>
      <c r="Q85" s="49"/>
      <c r="R85" s="49" t="s">
        <v>2275</v>
      </c>
      <c r="S85">
        <f t="shared" si="4"/>
        <v>20</v>
      </c>
      <c r="T85" s="5" cm="1">
        <f t="array" ref="T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5">
        <f>Table1[[#This Row],[Term to Maturity (Years)]]*Table1[[#This Row],[Coupon Frequency2]]</f>
        <v>20</v>
      </c>
      <c r="V85">
        <f>Table1[[#This Row],[Face value]]*Table1[[#This Row],[Current coupon %]]</f>
        <v>86.7</v>
      </c>
      <c r="W85" s="36">
        <f>RATE(Table1[[#This Row],[Total No. of Coupons]],Table1[[#This Row],[Coupon Amount]],-Table1[[#This Row],[Ask Price]],Table1[[#This Row],[Face value]])</f>
        <v>6.4768298740477057E-2</v>
      </c>
      <c r="X85" s="27">
        <f>Table1[[#This Row],[IRR]]*Table1[[#This Row],[Coupon Frequency2]]</f>
        <v>6.4768298740477057E-2</v>
      </c>
      <c r="Y85" s="19" cm="1">
        <f t="array" ref="Y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5" s="33">
        <f>DURATION(Table1[[#This Row],[Issue date]],Table1[[#This Row],[Maturity date]],Table1[[#This Row],[Current coupon %]],Table1[[#This Row],[Yield (Annualised)]],Table1[[#This Row],[Coupon Frequency2]])</f>
        <v>11.11300510388531</v>
      </c>
      <c r="AA85" s="33">
        <f>Table1[[#This Row],[Macaulay Duration in Years]]/(1+Table1[[#This Row],[IRR]])</f>
        <v>10.437017252514913</v>
      </c>
      <c r="AB85" s="58">
        <f>VLOOKUP(Table1[[#This Row],[Yield Cluster]],'Cluster Details'!$B$3:$C$16,2,0)</f>
        <v>7.8548801574189142E-2</v>
      </c>
      <c r="AC85" s="78">
        <f>PRICE(Table1[[#This Row],[Issue date]],Table1[[#This Row],[Maturity date]],Table1[[#This Row],[Current coupon %]],Table1[[#This Row],[Average Cluster Yield]],100,Table1[[#This Row],[Coupon Frequency2]])*Table1[[#This Row],[Face value]]/100</f>
        <v>1080.9013710263935</v>
      </c>
      <c r="AD85" s="58" t="str">
        <f>IF(Table1[[#This Row],[Ask Price]]&gt;Table1[[#This Row],[Calculated Bond Price]],"Rich","Cheap")</f>
        <v>Rich</v>
      </c>
      <c r="AE8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1121.8522597980036</v>
      </c>
      <c r="AF8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1382.3306789312257</v>
      </c>
      <c r="AG85" s="78">
        <f>(Table1[[#This Row],[P (+ shock)]]+Table1[[#This Row],[P (-shock)]]-2*Table1[[#This Row],[Ask Price]])/(2*Table1[[#This Row],[Ask Price]]*($AF$2^2))</f>
        <v>80.440136580103527</v>
      </c>
      <c r="AH85">
        <v>12.643102864876999</v>
      </c>
      <c r="AI85" s="6">
        <f t="shared" si="5"/>
        <v>6.980114322518316E-2</v>
      </c>
      <c r="AK85" s="47">
        <f>RATE(Table1[[#This Row],[Total No. of Coupons]],Table1[[#This Row],[Coupon Amount]],-Table1[[#This Row],[Ask Price]],Table1[[#This Row],[Face value]])</f>
        <v>6.4768298740477057E-2</v>
      </c>
      <c r="AL85" s="27">
        <f>Table1[[#This Row],[IRR]]*Table1[[#This Row],[Coupon Frequency2]]</f>
        <v>6.4768298740477057E-2</v>
      </c>
      <c r="AM85" s="5">
        <f t="shared" si="6"/>
        <v>-12963.819129348773</v>
      </c>
      <c r="AN85" t="s">
        <v>64</v>
      </c>
      <c r="AO85" t="s">
        <v>62</v>
      </c>
      <c r="AP85">
        <f t="shared" si="7"/>
        <v>1</v>
      </c>
    </row>
    <row r="86" spans="1:42" x14ac:dyDescent="0.35">
      <c r="A86" s="48" t="s">
        <v>2363</v>
      </c>
      <c r="B86" s="49" t="s">
        <v>2364</v>
      </c>
      <c r="C86" s="49" t="s">
        <v>2273</v>
      </c>
      <c r="D86" s="50">
        <v>45673</v>
      </c>
      <c r="E86" s="50">
        <v>49325</v>
      </c>
      <c r="F86" s="49">
        <v>100000</v>
      </c>
      <c r="G86" s="49" t="s">
        <v>76</v>
      </c>
      <c r="H86" s="49">
        <v>105318</v>
      </c>
      <c r="I86" s="49" t="s">
        <v>76</v>
      </c>
      <c r="J86" s="49">
        <v>105.318</v>
      </c>
      <c r="K86" s="49">
        <v>3400</v>
      </c>
      <c r="L86" s="51">
        <v>7.2300000000000003E-2</v>
      </c>
      <c r="M86" s="49" t="s">
        <v>93</v>
      </c>
      <c r="N86" s="49">
        <v>3408</v>
      </c>
      <c r="O86" s="49">
        <v>6.86492337492166</v>
      </c>
      <c r="P86" s="49" t="s">
        <v>2282</v>
      </c>
      <c r="Q86" s="49"/>
      <c r="R86" s="49" t="s">
        <v>2275</v>
      </c>
      <c r="S86">
        <f t="shared" si="4"/>
        <v>10</v>
      </c>
      <c r="T86" s="5" cm="1">
        <f t="array" ref="T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6">
        <f>Table1[[#This Row],[Term to Maturity (Years)]]*Table1[[#This Row],[Coupon Frequency2]]</f>
        <v>10</v>
      </c>
      <c r="V86">
        <f>Table1[[#This Row],[Face value]]*Table1[[#This Row],[Current coupon %]]</f>
        <v>7230</v>
      </c>
      <c r="W86" s="36">
        <f>RATE(Table1[[#This Row],[Total No. of Coupons]],Table1[[#This Row],[Coupon Amount]],-Table1[[#This Row],[Ask Price]],Table1[[#This Row],[Face value]])</f>
        <v>6.4905677550874008E-2</v>
      </c>
      <c r="X86" s="27">
        <f>Table1[[#This Row],[IRR]]*Table1[[#This Row],[Coupon Frequency2]]</f>
        <v>6.4905677550874008E-2</v>
      </c>
      <c r="Y86" s="19" cm="1">
        <f t="array" ref="Y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6" s="33">
        <f>DURATION(Table1[[#This Row],[Issue date]],Table1[[#This Row],[Maturity date]],Table1[[#This Row],[Current coupon %]],Table1[[#This Row],[Yield (Annualised)]],Table1[[#This Row],[Coupon Frequency2]])</f>
        <v>7.5237736621222862</v>
      </c>
      <c r="AA86" s="33">
        <f>Table1[[#This Row],[Macaulay Duration in Years]]/(1+Table1[[#This Row],[IRR]])</f>
        <v>7.0652019429794528</v>
      </c>
      <c r="AB86" s="58">
        <f>VLOOKUP(Table1[[#This Row],[Yield Cluster]],'Cluster Details'!$B$3:$C$16,2,0)</f>
        <v>7.8548801574189142E-2</v>
      </c>
      <c r="AC86" s="78">
        <f>PRICE(Table1[[#This Row],[Issue date]],Table1[[#This Row],[Maturity date]],Table1[[#This Row],[Current coupon %]],Table1[[#This Row],[Average Cluster Yield]],100,Table1[[#This Row],[Coupon Frequency2]])*Table1[[#This Row],[Face value]]/100</f>
        <v>95779.418454337865</v>
      </c>
      <c r="AD86" s="58" t="str">
        <f>IF(Table1[[#This Row],[Ask Price]]&gt;Table1[[#This Row],[Calculated Bond Price]],"Rich","Cheap")</f>
        <v>Rich</v>
      </c>
      <c r="AE8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98210.671275275468</v>
      </c>
      <c r="AF8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113117.12329836465</v>
      </c>
      <c r="AG86" s="78">
        <f>(Table1[[#This Row],[P (+ shock)]]+Table1[[#This Row],[P (-shock)]]-2*Table1[[#This Row],[Ask Price]])/(2*Table1[[#This Row],[Ask Price]]*($AF$2^2))</f>
        <v>32.843130976665982</v>
      </c>
      <c r="AH86">
        <v>12.577335858585799</v>
      </c>
      <c r="AI86" s="6">
        <f t="shared" si="5"/>
        <v>6.8649233749216665E-2</v>
      </c>
      <c r="AK86" s="47">
        <f>RATE(Table1[[#This Row],[Total No. of Coupons]],Table1[[#This Row],[Coupon Amount]],-Table1[[#This Row],[Ask Price]],Table1[[#This Row],[Face value]])</f>
        <v>6.4905677550874008E-2</v>
      </c>
      <c r="AL86" s="27">
        <f>Table1[[#This Row],[IRR]]*Table1[[#This Row],[Coupon Frequency2]]</f>
        <v>6.4905677550874008E-2</v>
      </c>
      <c r="AM86" s="5">
        <f t="shared" si="6"/>
        <v>-744092.93823070999</v>
      </c>
      <c r="AN86" t="s">
        <v>64</v>
      </c>
      <c r="AO86" t="s">
        <v>62</v>
      </c>
      <c r="AP86">
        <f t="shared" si="7"/>
        <v>1</v>
      </c>
    </row>
    <row r="87" spans="1:42" x14ac:dyDescent="0.35">
      <c r="A87" s="48" t="s">
        <v>299</v>
      </c>
      <c r="B87" s="49" t="s">
        <v>2365</v>
      </c>
      <c r="C87" s="49" t="s">
        <v>2273</v>
      </c>
      <c r="D87" s="50">
        <v>44552</v>
      </c>
      <c r="E87" s="50">
        <v>48204</v>
      </c>
      <c r="F87" s="49">
        <v>1000000</v>
      </c>
      <c r="G87" s="49" t="s">
        <v>76</v>
      </c>
      <c r="H87" s="49">
        <v>1035488</v>
      </c>
      <c r="I87" s="49" t="s">
        <v>76</v>
      </c>
      <c r="J87" s="49">
        <v>103.5488</v>
      </c>
      <c r="K87" s="49">
        <v>100</v>
      </c>
      <c r="L87" s="51">
        <v>6.9900000000000004E-2</v>
      </c>
      <c r="M87" s="49" t="s">
        <v>93</v>
      </c>
      <c r="N87" s="49">
        <v>2287</v>
      </c>
      <c r="O87" s="49">
        <v>6.7504403720757704</v>
      </c>
      <c r="P87" s="49" t="s">
        <v>2274</v>
      </c>
      <c r="Q87" s="49"/>
      <c r="R87" s="49" t="s">
        <v>2275</v>
      </c>
      <c r="S87">
        <f t="shared" si="4"/>
        <v>10</v>
      </c>
      <c r="T87" s="5" cm="1">
        <f t="array" ref="T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7">
        <f>Table1[[#This Row],[Term to Maturity (Years)]]*Table1[[#This Row],[Coupon Frequency2]]</f>
        <v>10</v>
      </c>
      <c r="V87">
        <f>Table1[[#This Row],[Face value]]*Table1[[#This Row],[Current coupon %]]</f>
        <v>69900</v>
      </c>
      <c r="W87" s="36">
        <f>RATE(Table1[[#This Row],[Total No. of Coupons]],Table1[[#This Row],[Coupon Amount]],-Table1[[#This Row],[Ask Price]],Table1[[#This Row],[Face value]])</f>
        <v>6.4964277963604447E-2</v>
      </c>
      <c r="X87" s="27">
        <f>Table1[[#This Row],[IRR]]*Table1[[#This Row],[Coupon Frequency2]]</f>
        <v>6.4964277963604447E-2</v>
      </c>
      <c r="Y87" s="19" cm="1">
        <f t="array" ref="Y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7" s="33">
        <f>DURATION(Table1[[#This Row],[Issue date]],Table1[[#This Row],[Maturity date]],Table1[[#This Row],[Current coupon %]],Table1[[#This Row],[Yield (Annualised)]],Table1[[#This Row],[Coupon Frequency2]])</f>
        <v>7.5655202392948082</v>
      </c>
      <c r="AA87" s="33">
        <f>Table1[[#This Row],[Macaulay Duration in Years]]/(1+Table1[[#This Row],[IRR]])</f>
        <v>7.1040131540950737</v>
      </c>
      <c r="AB87" s="58">
        <f>VLOOKUP(Table1[[#This Row],[Yield Cluster]],'Cluster Details'!$B$3:$C$16,2,0)</f>
        <v>7.8548801574189142E-2</v>
      </c>
      <c r="AC87" s="78">
        <f>PRICE(Table1[[#This Row],[Issue date]],Table1[[#This Row],[Maturity date]],Table1[[#This Row],[Current coupon %]],Table1[[#This Row],[Average Cluster Yield]],100,Table1[[#This Row],[Coupon Frequency2]])*Table1[[#This Row],[Face value]]/100</f>
        <v>941584.04314373923</v>
      </c>
      <c r="AD87" s="58" t="str">
        <f>IF(Table1[[#This Row],[Ask Price]]&gt;Table1[[#This Row],[Calculated Bond Price]],"Rich","Cheap")</f>
        <v>Rich</v>
      </c>
      <c r="AE8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965232.71539961884</v>
      </c>
      <c r="AF8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1112599.1765902194</v>
      </c>
      <c r="AG87" s="78">
        <f>(Table1[[#This Row],[P (+ shock)]]+Table1[[#This Row],[P (-shock)]]-2*Table1[[#This Row],[Ask Price]])/(2*Table1[[#This Row],[Ask Price]]*($AF$2^2))</f>
        <v>33.104642399710727</v>
      </c>
      <c r="AI87" s="6">
        <f t="shared" si="5"/>
        <v>6.750440372075775E-2</v>
      </c>
      <c r="AK87" s="47">
        <f>RATE(Table1[[#This Row],[Total No. of Coupons]],Table1[[#This Row],[Coupon Amount]],-Table1[[#This Row],[Ask Price]],Table1[[#This Row],[Face value]])</f>
        <v>6.4964277963604447E-2</v>
      </c>
      <c r="AL87" s="27">
        <f>Table1[[#This Row],[IRR]]*Table1[[#This Row],[Coupon Frequency2]]</f>
        <v>6.4964277963604447E-2</v>
      </c>
      <c r="AM87" s="5">
        <f t="shared" si="6"/>
        <v>-7356120.3729075994</v>
      </c>
      <c r="AN87" t="s">
        <v>64</v>
      </c>
      <c r="AO87" t="s">
        <v>62</v>
      </c>
      <c r="AP87">
        <f t="shared" si="7"/>
        <v>1</v>
      </c>
    </row>
    <row r="88" spans="1:42" x14ac:dyDescent="0.35">
      <c r="A88" s="48" t="s">
        <v>2127</v>
      </c>
      <c r="B88" s="49" t="s">
        <v>2366</v>
      </c>
      <c r="C88" s="49" t="s">
        <v>2273</v>
      </c>
      <c r="D88" s="50">
        <v>42294</v>
      </c>
      <c r="E88" s="50">
        <v>45947</v>
      </c>
      <c r="F88" s="49">
        <v>1000</v>
      </c>
      <c r="G88" s="49" t="s">
        <v>76</v>
      </c>
      <c r="H88" s="49">
        <v>1062</v>
      </c>
      <c r="I88" s="49" t="s">
        <v>76</v>
      </c>
      <c r="J88" s="49">
        <v>106.2</v>
      </c>
      <c r="K88" s="49">
        <v>67</v>
      </c>
      <c r="L88" s="51">
        <v>7.3599999999999999E-2</v>
      </c>
      <c r="M88" s="49" t="s">
        <v>93</v>
      </c>
      <c r="N88" s="49">
        <v>30</v>
      </c>
      <c r="O88" s="49">
        <v>6.9303201506591297</v>
      </c>
      <c r="P88" s="49" t="s">
        <v>2282</v>
      </c>
      <c r="Q88" s="49"/>
      <c r="R88" s="49" t="s">
        <v>2275</v>
      </c>
      <c r="S88">
        <f t="shared" si="4"/>
        <v>10</v>
      </c>
      <c r="T88" s="5" cm="1">
        <f t="array" ref="T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8">
        <f>Table1[[#This Row],[Term to Maturity (Years)]]*Table1[[#This Row],[Coupon Frequency2]]</f>
        <v>10</v>
      </c>
      <c r="V88">
        <f>Table1[[#This Row],[Face value]]*Table1[[#This Row],[Current coupon %]]</f>
        <v>73.599999999999994</v>
      </c>
      <c r="W88" s="36">
        <f>RATE(Table1[[#This Row],[Total No. of Coupons]],Table1[[#This Row],[Coupon Amount]],-Table1[[#This Row],[Ask Price]],Table1[[#This Row],[Face value]])</f>
        <v>6.4976459297735142E-2</v>
      </c>
      <c r="X88" s="27">
        <f>Table1[[#This Row],[IRR]]*Table1[[#This Row],[Coupon Frequency2]]</f>
        <v>6.4976459297735142E-2</v>
      </c>
      <c r="Y88" s="19" cm="1">
        <f t="array" ref="Y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8" s="33">
        <f>DURATION(Table1[[#This Row],[Issue date]],Table1[[#This Row],[Maturity date]],Table1[[#This Row],[Current coupon %]],Table1[[#This Row],[Yield (Annualised)]],Table1[[#This Row],[Coupon Frequency2]])</f>
        <v>7.5007447605327133</v>
      </c>
      <c r="AA88" s="33">
        <f>Table1[[#This Row],[Macaulay Duration in Years]]/(1+Table1[[#This Row],[IRR]])</f>
        <v>7.0431085072799089</v>
      </c>
      <c r="AB88" s="58">
        <f>VLOOKUP(Table1[[#This Row],[Yield Cluster]],'Cluster Details'!$B$3:$C$16,2,0)</f>
        <v>7.8548801574189142E-2</v>
      </c>
      <c r="AC88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966.57467780151626</v>
      </c>
      <c r="AD88" s="58" t="str">
        <f>IF(Table1[[#This Row],[Ask Price]]&gt;Table1[[#This Row],[Calculated Bond Price]],"Rich","Cheap")</f>
        <v>Rich</v>
      </c>
      <c r="AE8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990.55085629508801</v>
      </c>
      <c r="AF8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1140.3931334976896</v>
      </c>
      <c r="AG88" s="78">
        <f>(Table1[[#This Row],[P (+ shock)]]+Table1[[#This Row],[P (-shock)]]-2*Table1[[#This Row],[Ask Price]])/(2*Table1[[#This Row],[Ask Price]]*($AF$2^2))</f>
        <v>32.692983958464012</v>
      </c>
      <c r="AH88">
        <v>11.5975956555249</v>
      </c>
      <c r="AI88" s="6">
        <f t="shared" si="5"/>
        <v>6.9303201506591333E-2</v>
      </c>
      <c r="AK88" s="47">
        <f>RATE(Table1[[#This Row],[Total No. of Coupons]],Table1[[#This Row],[Coupon Amount]],-Table1[[#This Row],[Ask Price]],Table1[[#This Row],[Face value]])</f>
        <v>6.4976459297735142E-2</v>
      </c>
      <c r="AL88" s="27">
        <f>Table1[[#This Row],[IRR]]*Table1[[#This Row],[Coupon Frequency2]]</f>
        <v>6.4976459297735142E-2</v>
      </c>
      <c r="AM88" s="5">
        <f t="shared" si="6"/>
        <v>-7479.7812347312629</v>
      </c>
      <c r="AN88" t="s">
        <v>64</v>
      </c>
      <c r="AO88" t="s">
        <v>62</v>
      </c>
      <c r="AP88">
        <f t="shared" si="7"/>
        <v>1</v>
      </c>
    </row>
    <row r="89" spans="1:42" x14ac:dyDescent="0.35">
      <c r="A89" s="48" t="s">
        <v>1444</v>
      </c>
      <c r="B89" s="49" t="s">
        <v>2367</v>
      </c>
      <c r="C89" s="49" t="s">
        <v>2273</v>
      </c>
      <c r="D89" s="50">
        <v>45667</v>
      </c>
      <c r="E89" s="50">
        <v>46397</v>
      </c>
      <c r="F89" s="49">
        <v>1000</v>
      </c>
      <c r="G89" s="49" t="s">
        <v>76</v>
      </c>
      <c r="H89" s="49">
        <v>1052.49</v>
      </c>
      <c r="I89" s="49" t="s">
        <v>76</v>
      </c>
      <c r="J89" s="49">
        <v>105.249</v>
      </c>
      <c r="K89" s="49">
        <v>34</v>
      </c>
      <c r="L89" s="51">
        <v>9.4E-2</v>
      </c>
      <c r="M89" s="49" t="s">
        <v>93</v>
      </c>
      <c r="N89" s="49">
        <v>480</v>
      </c>
      <c r="O89" s="49">
        <v>8.9312012465676602</v>
      </c>
      <c r="P89" s="49"/>
      <c r="Q89" s="49"/>
      <c r="R89" s="49" t="s">
        <v>2275</v>
      </c>
      <c r="S89">
        <f t="shared" si="4"/>
        <v>2</v>
      </c>
      <c r="T89" s="5" cm="1">
        <f t="array" ref="T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89">
        <f>Table1[[#This Row],[Term to Maturity (Years)]]*Table1[[#This Row],[Coupon Frequency2]]</f>
        <v>2</v>
      </c>
      <c r="V89">
        <f>Table1[[#This Row],[Face value]]*Table1[[#This Row],[Current coupon %]]</f>
        <v>94</v>
      </c>
      <c r="W89" s="36">
        <f>RATE(Table1[[#This Row],[Total No. of Coupons]],Table1[[#This Row],[Coupon Amount]],-Table1[[#This Row],[Ask Price]],Table1[[#This Row],[Face value]])</f>
        <v>6.5162725243753661E-2</v>
      </c>
      <c r="X89" s="27">
        <f>Table1[[#This Row],[IRR]]*Table1[[#This Row],[Coupon Frequency2]]</f>
        <v>6.5162725243753661E-2</v>
      </c>
      <c r="Y89" s="19" cm="1">
        <f t="array" ref="Y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89" s="33">
        <f>DURATION(Table1[[#This Row],[Issue date]],Table1[[#This Row],[Maturity date]],Table1[[#This Row],[Current coupon %]],Table1[[#This Row],[Yield (Annualised)]],Table1[[#This Row],[Coupon Frequency2]])</f>
        <v>1.9161517669093793</v>
      </c>
      <c r="AA89" s="33">
        <f>Table1[[#This Row],[Macaulay Duration in Years]]/(1+Table1[[#This Row],[IRR]])</f>
        <v>1.7989286721152242</v>
      </c>
      <c r="AB89" s="58">
        <f>VLOOKUP(Table1[[#This Row],[Yield Cluster]],'Cluster Details'!$B$3:$C$16,2,0)</f>
        <v>7.8548801574189142E-2</v>
      </c>
      <c r="AC89" s="78">
        <f>PRICE(Table1[[#This Row],[Issue date]],Table1[[#This Row],[Maturity date]],Table1[[#This Row],[Current coupon %]],Table1[[#This Row],[Average Cluster Yield]],100,Table1[[#This Row],[Coupon Frequency2]])*Table1[[#This Row],[Face value]]/100</f>
        <v>1027.6084988973716</v>
      </c>
      <c r="AD89" s="58" t="str">
        <f>IF(Table1[[#This Row],[Ask Price]]&gt;Table1[[#This Row],[Calculated Bond Price]],"Rich","Cheap")</f>
        <v>Rich</v>
      </c>
      <c r="AE8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1033.8159685829633</v>
      </c>
      <c r="AF8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1071.6895872887296</v>
      </c>
      <c r="AG89" s="78">
        <f>(Table1[[#This Row],[P (+ shock)]]+Table1[[#This Row],[P (-shock)]]-2*Table1[[#This Row],[Ask Price]])/(2*Table1[[#This Row],[Ask Price]]*($AF$2^2))</f>
        <v>2.4967262002160893</v>
      </c>
      <c r="AI89" s="6">
        <f t="shared" si="5"/>
        <v>8.9312012465676632E-2</v>
      </c>
      <c r="AK89" s="47">
        <f>RATE(Table1[[#This Row],[Total No. of Coupons]],Table1[[#This Row],[Coupon Amount]],-Table1[[#This Row],[Ask Price]],Table1[[#This Row],[Face value]])</f>
        <v>6.5162725243753661E-2</v>
      </c>
      <c r="AL89" s="27">
        <f>Table1[[#This Row],[IRR]]*Table1[[#This Row],[Coupon Frequency2]]</f>
        <v>6.5162725243753661E-2</v>
      </c>
      <c r="AM89" s="5">
        <f t="shared" si="6"/>
        <v>-1893.3544381145523</v>
      </c>
      <c r="AN89" t="s">
        <v>64</v>
      </c>
      <c r="AO89" t="s">
        <v>62</v>
      </c>
      <c r="AP89">
        <f t="shared" si="7"/>
        <v>1</v>
      </c>
    </row>
    <row r="90" spans="1:42" x14ac:dyDescent="0.35">
      <c r="A90" s="48" t="s">
        <v>1281</v>
      </c>
      <c r="B90" s="49" t="s">
        <v>2368</v>
      </c>
      <c r="C90" s="49" t="s">
        <v>2273</v>
      </c>
      <c r="D90" s="50">
        <v>44686</v>
      </c>
      <c r="E90" s="50">
        <v>46512</v>
      </c>
      <c r="F90" s="49">
        <v>1000</v>
      </c>
      <c r="G90" s="49" t="s">
        <v>76</v>
      </c>
      <c r="H90" s="49">
        <v>1020</v>
      </c>
      <c r="I90" s="49" t="s">
        <v>76</v>
      </c>
      <c r="J90" s="49">
        <v>102</v>
      </c>
      <c r="K90" s="49">
        <v>1191</v>
      </c>
      <c r="L90" s="51">
        <v>7.0000000000000007E-2</v>
      </c>
      <c r="M90" s="49" t="s">
        <v>93</v>
      </c>
      <c r="N90" s="49">
        <v>595</v>
      </c>
      <c r="O90" s="49">
        <v>6.86274509803921</v>
      </c>
      <c r="P90" s="49" t="s">
        <v>2285</v>
      </c>
      <c r="Q90" s="49"/>
      <c r="R90" s="49" t="s">
        <v>2275</v>
      </c>
      <c r="S90">
        <f t="shared" si="4"/>
        <v>5</v>
      </c>
      <c r="T90" s="5" cm="1">
        <f t="array" ref="T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0">
        <f>Table1[[#This Row],[Term to Maturity (Years)]]*Table1[[#This Row],[Coupon Frequency2]]</f>
        <v>5</v>
      </c>
      <c r="V90">
        <f>Table1[[#This Row],[Face value]]*Table1[[#This Row],[Current coupon %]]</f>
        <v>70</v>
      </c>
      <c r="W90" s="36">
        <f>RATE(Table1[[#This Row],[Total No. of Coupons]],Table1[[#This Row],[Coupon Amount]],-Table1[[#This Row],[Ask Price]],Table1[[#This Row],[Face value]])</f>
        <v>6.5184907298030767E-2</v>
      </c>
      <c r="X90" s="27">
        <f>Table1[[#This Row],[IRR]]*Table1[[#This Row],[Coupon Frequency2]]</f>
        <v>6.5184907298030767E-2</v>
      </c>
      <c r="Y90" s="19" cm="1">
        <f t="array" ref="Y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0" s="33">
        <f>DURATION(Table1[[#This Row],[Issue date]],Table1[[#This Row],[Maturity date]],Table1[[#This Row],[Current coupon %]],Table1[[#This Row],[Yield (Annualised)]],Table1[[#This Row],[Coupon Frequency2]])</f>
        <v>4.393958133915743</v>
      </c>
      <c r="AA90" s="33">
        <f>Table1[[#This Row],[Macaulay Duration in Years]]/(1+Table1[[#This Row],[IRR]])</f>
        <v>4.1250660836544748</v>
      </c>
      <c r="AB90" s="58">
        <f>VLOOKUP(Table1[[#This Row],[Yield Cluster]],'Cluster Details'!$B$3:$C$16,2,0)</f>
        <v>7.8548801574189142E-2</v>
      </c>
      <c r="AC90" s="78">
        <f>PRICE(Table1[[#This Row],[Issue date]],Table1[[#This Row],[Maturity date]],Table1[[#This Row],[Current coupon %]],Table1[[#This Row],[Average Cluster Yield]],100,Table1[[#This Row],[Coupon Frequency2]])*Table1[[#This Row],[Face value]]/100</f>
        <v>965.73616274528899</v>
      </c>
      <c r="AD90" s="58" t="str">
        <f>IF(Table1[[#This Row],[Ask Price]]&gt;Table1[[#This Row],[Calculated Bond Price]],"Rich","Cheap")</f>
        <v>Rich</v>
      </c>
      <c r="AE9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979.03276192257147</v>
      </c>
      <c r="AF9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1063.2325943877138</v>
      </c>
      <c r="AG90" s="78">
        <f>(Table1[[#This Row],[P (+ shock)]]+Table1[[#This Row],[P (-shock)]]-2*Table1[[#This Row],[Ask Price]])/(2*Table1[[#This Row],[Ask Price]]*($AF$2^2))</f>
        <v>11.104687795516517</v>
      </c>
      <c r="AH90">
        <v>-4.5672961632755298</v>
      </c>
      <c r="AI90" s="6">
        <f t="shared" si="5"/>
        <v>6.8627450980392163E-2</v>
      </c>
      <c r="AK90" s="47">
        <f>RATE(Table1[[#This Row],[Total No. of Coupons]],Table1[[#This Row],[Coupon Amount]],-Table1[[#This Row],[Ask Price]],Table1[[#This Row],[Face value]])</f>
        <v>6.5184907298030767E-2</v>
      </c>
      <c r="AL90" s="27">
        <f>Table1[[#This Row],[IRR]]*Table1[[#This Row],[Coupon Frequency2]]</f>
        <v>6.5184907298030767E-2</v>
      </c>
      <c r="AM90" s="5">
        <f t="shared" si="6"/>
        <v>-4207.5674053275643</v>
      </c>
      <c r="AN90" t="s">
        <v>64</v>
      </c>
      <c r="AO90" t="s">
        <v>62</v>
      </c>
      <c r="AP90">
        <f t="shared" si="7"/>
        <v>1</v>
      </c>
    </row>
    <row r="91" spans="1:42" x14ac:dyDescent="0.35">
      <c r="A91" s="48" t="s">
        <v>172</v>
      </c>
      <c r="B91" s="49" t="s">
        <v>2369</v>
      </c>
      <c r="C91" s="49" t="s">
        <v>2273</v>
      </c>
      <c r="D91" s="50">
        <v>41725</v>
      </c>
      <c r="E91" s="50">
        <v>49030</v>
      </c>
      <c r="F91" s="49">
        <v>1000</v>
      </c>
      <c r="G91" s="49" t="s">
        <v>76</v>
      </c>
      <c r="H91" s="49">
        <v>1223.0999999999999</v>
      </c>
      <c r="I91" s="49" t="s">
        <v>76</v>
      </c>
      <c r="J91" s="49">
        <v>122.30999999999899</v>
      </c>
      <c r="K91" s="49">
        <v>25</v>
      </c>
      <c r="L91" s="51">
        <v>8.5500000000000007E-2</v>
      </c>
      <c r="M91" s="49" t="s">
        <v>93</v>
      </c>
      <c r="N91" s="49">
        <v>3113</v>
      </c>
      <c r="O91" s="49">
        <v>6.9904341427520196</v>
      </c>
      <c r="P91" s="49" t="s">
        <v>2282</v>
      </c>
      <c r="Q91" s="49"/>
      <c r="R91" s="49" t="s">
        <v>2275</v>
      </c>
      <c r="S91">
        <f t="shared" si="4"/>
        <v>20</v>
      </c>
      <c r="T91" s="5" cm="1">
        <f t="array" ref="T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1">
        <f>Table1[[#This Row],[Term to Maturity (Years)]]*Table1[[#This Row],[Coupon Frequency2]]</f>
        <v>20</v>
      </c>
      <c r="V91">
        <f>Table1[[#This Row],[Face value]]*Table1[[#This Row],[Current coupon %]]</f>
        <v>85.5</v>
      </c>
      <c r="W91" s="36">
        <f>RATE(Table1[[#This Row],[Total No. of Coupons]],Table1[[#This Row],[Coupon Amount]],-Table1[[#This Row],[Ask Price]],Table1[[#This Row],[Face value]])</f>
        <v>6.5217287536875113E-2</v>
      </c>
      <c r="X91" s="27">
        <f>Table1[[#This Row],[IRR]]*Table1[[#This Row],[Coupon Frequency2]]</f>
        <v>6.5217287536875113E-2</v>
      </c>
      <c r="Y91" s="19" cm="1">
        <f t="array" ref="Y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1" s="33">
        <f>DURATION(Table1[[#This Row],[Issue date]],Table1[[#This Row],[Maturity date]],Table1[[#This Row],[Current coupon %]],Table1[[#This Row],[Yield (Annualised)]],Table1[[#This Row],[Coupon Frequency2]])</f>
        <v>11.121579531119673</v>
      </c>
      <c r="AA91" s="33">
        <f>Table1[[#This Row],[Macaulay Duration in Years]]/(1+Table1[[#This Row],[IRR]])</f>
        <v>10.440667515673109</v>
      </c>
      <c r="AB91" s="58">
        <f>VLOOKUP(Table1[[#This Row],[Yield Cluster]],'Cluster Details'!$B$3:$C$16,2,0)</f>
        <v>7.8548801574189142E-2</v>
      </c>
      <c r="AC91" s="78">
        <f>PRICE(Table1[[#This Row],[Issue date]],Table1[[#This Row],[Maturity date]],Table1[[#This Row],[Current coupon %]],Table1[[#This Row],[Average Cluster Yield]],100,Table1[[#This Row],[Coupon Frequency2]])*Table1[[#This Row],[Face value]]/100</f>
        <v>1068.9912640506807</v>
      </c>
      <c r="AD91" s="58" t="str">
        <f>IF(Table1[[#This Row],[Ask Price]]&gt;Table1[[#This Row],[Calculated Bond Price]],"Rich","Cheap")</f>
        <v>Rich</v>
      </c>
      <c r="AE9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1104.6540235062801</v>
      </c>
      <c r="AF9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1361.2384913422654</v>
      </c>
      <c r="AG91" s="78">
        <f>(Table1[[#This Row],[P (+ shock)]]+Table1[[#This Row],[P (-shock)]]-2*Table1[[#This Row],[Ask Price]])/(2*Table1[[#This Row],[Ask Price]]*($AF$2^2))</f>
        <v>80.502472604634406</v>
      </c>
      <c r="AH91">
        <v>13.2543873336015</v>
      </c>
      <c r="AI91" s="6">
        <f t="shared" si="5"/>
        <v>6.9904341427520236E-2</v>
      </c>
      <c r="AK91" s="47">
        <f>RATE(Table1[[#This Row],[Total No. of Coupons]],Table1[[#This Row],[Coupon Amount]],-Table1[[#This Row],[Ask Price]],Table1[[#This Row],[Face value]])</f>
        <v>6.5217287536875113E-2</v>
      </c>
      <c r="AL91" s="27">
        <f>Table1[[#This Row],[IRR]]*Table1[[#This Row],[Coupon Frequency2]]</f>
        <v>6.5217287536875113E-2</v>
      </c>
      <c r="AM91" s="5">
        <f t="shared" si="6"/>
        <v>-12769.98043841978</v>
      </c>
      <c r="AN91" t="s">
        <v>64</v>
      </c>
      <c r="AO91" t="s">
        <v>62</v>
      </c>
      <c r="AP91">
        <f t="shared" si="7"/>
        <v>1</v>
      </c>
    </row>
    <row r="92" spans="1:42" x14ac:dyDescent="0.35">
      <c r="A92" s="48" t="s">
        <v>173</v>
      </c>
      <c r="B92" s="49" t="s">
        <v>2370</v>
      </c>
      <c r="C92" s="49" t="s">
        <v>2273</v>
      </c>
      <c r="D92" s="50">
        <v>41725</v>
      </c>
      <c r="E92" s="50">
        <v>49030</v>
      </c>
      <c r="F92" s="49">
        <v>1000</v>
      </c>
      <c r="G92" s="49" t="s">
        <v>76</v>
      </c>
      <c r="H92" s="49">
        <v>1250</v>
      </c>
      <c r="I92" s="49" t="s">
        <v>76</v>
      </c>
      <c r="J92" s="49">
        <v>125</v>
      </c>
      <c r="K92" s="49">
        <v>1666</v>
      </c>
      <c r="L92" s="51">
        <v>8.8000000000000009E-2</v>
      </c>
      <c r="M92" s="49" t="s">
        <v>93</v>
      </c>
      <c r="N92" s="49">
        <v>3113</v>
      </c>
      <c r="O92" s="49">
        <v>7.04</v>
      </c>
      <c r="P92" s="49" t="s">
        <v>2282</v>
      </c>
      <c r="Q92" s="49"/>
      <c r="R92" s="49" t="s">
        <v>2275</v>
      </c>
      <c r="S92">
        <f t="shared" si="4"/>
        <v>20</v>
      </c>
      <c r="T92" s="5" cm="1">
        <f t="array" ref="T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2">
        <f>Table1[[#This Row],[Term to Maturity (Years)]]*Table1[[#This Row],[Coupon Frequency2]]</f>
        <v>20</v>
      </c>
      <c r="V92">
        <f>Table1[[#This Row],[Face value]]*Table1[[#This Row],[Current coupon %]]</f>
        <v>88.000000000000014</v>
      </c>
      <c r="W92" s="36">
        <f>RATE(Table1[[#This Row],[Total No. of Coupons]],Table1[[#This Row],[Coupon Amount]],-Table1[[#This Row],[Ask Price]],Table1[[#This Row],[Face value]])</f>
        <v>6.5263406237996507E-2</v>
      </c>
      <c r="X92" s="27">
        <f>Table1[[#This Row],[IRR]]*Table1[[#This Row],[Coupon Frequency2]]</f>
        <v>6.5263406237996507E-2</v>
      </c>
      <c r="Y92" s="19" cm="1">
        <f t="array" ref="Y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2" s="33">
        <f>DURATION(Table1[[#This Row],[Issue date]],Table1[[#This Row],[Maturity date]],Table1[[#This Row],[Current coupon %]],Table1[[#This Row],[Yield (Annualised)]],Table1[[#This Row],[Coupon Frequency2]])</f>
        <v>11.060867918430628</v>
      </c>
      <c r="AA92" s="33">
        <f>Table1[[#This Row],[Macaulay Duration in Years]]/(1+Table1[[#This Row],[IRR]])</f>
        <v>10.383223392130169</v>
      </c>
      <c r="AB92" s="58">
        <f>VLOOKUP(Table1[[#This Row],[Yield Cluster]],'Cluster Details'!$B$3:$C$16,2,0)</f>
        <v>7.8548801574189142E-2</v>
      </c>
      <c r="AC92" s="78">
        <f>PRICE(Table1[[#This Row],[Issue date]],Table1[[#This Row],[Maturity date]],Table1[[#This Row],[Current coupon %]],Table1[[#This Row],[Average Cluster Yield]],100,Table1[[#This Row],[Coupon Frequency2]])*Table1[[#This Row],[Face value]]/100</f>
        <v>1093.8039869167492</v>
      </c>
      <c r="AD92" s="58" t="str">
        <f>IF(Table1[[#This Row],[Ask Price]]&gt;Table1[[#This Row],[Calculated Bond Price]],"Rich","Cheap")</f>
        <v>Rich</v>
      </c>
      <c r="AE9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1129.583400416619</v>
      </c>
      <c r="AF9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1390.3612816710925</v>
      </c>
      <c r="AG92" s="78">
        <f>(Table1[[#This Row],[P (+ shock)]]+Table1[[#This Row],[P (-shock)]]-2*Table1[[#This Row],[Ask Price]])/(2*Table1[[#This Row],[Ask Price]]*($AF$2^2))</f>
        <v>79.778728350845995</v>
      </c>
      <c r="AH92">
        <v>9.8967774420946597</v>
      </c>
      <c r="AI92" s="6">
        <f t="shared" si="5"/>
        <v>7.0400000000000018E-2</v>
      </c>
      <c r="AK92" s="47">
        <f>RATE(Table1[[#This Row],[Total No. of Coupons]],Table1[[#This Row],[Coupon Amount]],-Table1[[#This Row],[Ask Price]],Table1[[#This Row],[Face value]])</f>
        <v>6.5263406237996507E-2</v>
      </c>
      <c r="AL92" s="27">
        <f>Table1[[#This Row],[IRR]]*Table1[[#This Row],[Coupon Frequency2]]</f>
        <v>6.5263406237996507E-2</v>
      </c>
      <c r="AM92" s="5">
        <f t="shared" si="6"/>
        <v>-12979.029240162712</v>
      </c>
      <c r="AN92" t="s">
        <v>64</v>
      </c>
      <c r="AO92" t="s">
        <v>62</v>
      </c>
      <c r="AP92">
        <f t="shared" si="7"/>
        <v>1</v>
      </c>
    </row>
    <row r="93" spans="1:42" x14ac:dyDescent="0.35">
      <c r="A93" s="48" t="s">
        <v>213</v>
      </c>
      <c r="B93" s="49" t="s">
        <v>2371</v>
      </c>
      <c r="C93" s="49" t="s">
        <v>2273</v>
      </c>
      <c r="D93" s="50">
        <v>41580</v>
      </c>
      <c r="E93" s="50">
        <v>48885</v>
      </c>
      <c r="F93" s="49">
        <v>1000</v>
      </c>
      <c r="G93" s="49" t="s">
        <v>76</v>
      </c>
      <c r="H93" s="49">
        <v>1259.99</v>
      </c>
      <c r="I93" s="49" t="s">
        <v>76</v>
      </c>
      <c r="J93" s="49">
        <v>125.999</v>
      </c>
      <c r="K93" s="49">
        <v>400</v>
      </c>
      <c r="L93" s="51">
        <v>8.9200000000000002E-2</v>
      </c>
      <c r="M93" s="49" t="s">
        <v>93</v>
      </c>
      <c r="N93" s="49">
        <v>2968</v>
      </c>
      <c r="O93" s="49">
        <v>7.0794212652481301</v>
      </c>
      <c r="P93" s="49" t="s">
        <v>2282</v>
      </c>
      <c r="Q93" s="49"/>
      <c r="R93" s="49" t="s">
        <v>2275</v>
      </c>
      <c r="S93">
        <f t="shared" si="4"/>
        <v>20</v>
      </c>
      <c r="T93" s="5" cm="1">
        <f t="array" ref="T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3">
        <f>Table1[[#This Row],[Term to Maturity (Years)]]*Table1[[#This Row],[Coupon Frequency2]]</f>
        <v>20</v>
      </c>
      <c r="V93">
        <f>Table1[[#This Row],[Face value]]*Table1[[#This Row],[Current coupon %]]</f>
        <v>89.2</v>
      </c>
      <c r="W93" s="36">
        <f>RATE(Table1[[#This Row],[Total No. of Coupons]],Table1[[#This Row],[Coupon Amount]],-Table1[[#This Row],[Ask Price]],Table1[[#This Row],[Face value]])</f>
        <v>6.5508795637025496E-2</v>
      </c>
      <c r="X93" s="27">
        <f>Table1[[#This Row],[IRR]]*Table1[[#This Row],[Coupon Frequency2]]</f>
        <v>6.5508795637025496E-2</v>
      </c>
      <c r="Y93" s="19" cm="1">
        <f t="array" ref="Y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3" s="33">
        <f>DURATION(Table1[[#This Row],[Issue date]],Table1[[#This Row],[Maturity date]],Table1[[#This Row],[Current coupon %]],Table1[[#This Row],[Yield (Annualised)]],Table1[[#This Row],[Coupon Frequency2]])</f>
        <v>11.022787310118686</v>
      </c>
      <c r="AA93" s="33">
        <f>Table1[[#This Row],[Macaulay Duration in Years]]/(1+Table1[[#This Row],[IRR]])</f>
        <v>10.345092743723995</v>
      </c>
      <c r="AB93" s="58">
        <f>VLOOKUP(Table1[[#This Row],[Yield Cluster]],'Cluster Details'!$B$3:$C$16,2,0)</f>
        <v>7.8548801574189142E-2</v>
      </c>
      <c r="AC93" s="78">
        <f>PRICE(Table1[[#This Row],[Issue date]],Table1[[#This Row],[Maturity date]],Table1[[#This Row],[Current coupon %]],Table1[[#This Row],[Average Cluster Yield]],100,Table1[[#This Row],[Coupon Frequency2]])*Table1[[#This Row],[Face value]]/100</f>
        <v>1105.7140938924622</v>
      </c>
      <c r="AD93" s="58" t="str">
        <f>IF(Table1[[#This Row],[Ask Price]]&gt;Table1[[#This Row],[Calculated Bond Price]],"Rich","Cheap")</f>
        <v>Rich</v>
      </c>
      <c r="AE9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1139.0364302773075</v>
      </c>
      <c r="AF9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1400.9286403093713</v>
      </c>
      <c r="AG93" s="78">
        <f>(Table1[[#This Row],[P (+ shock)]]+Table1[[#This Row],[P (-shock)]]-2*Table1[[#This Row],[Ask Price]])/(2*Table1[[#This Row],[Ask Price]]*($AF$2^2))</f>
        <v>79.306465077813442</v>
      </c>
      <c r="AH93">
        <v>-1.0680811114650499</v>
      </c>
      <c r="AI93" s="6">
        <f t="shared" si="5"/>
        <v>7.079421265248137E-2</v>
      </c>
      <c r="AK93" s="47">
        <f>RATE(Table1[[#This Row],[Total No. of Coupons]],Table1[[#This Row],[Coupon Amount]],-Table1[[#This Row],[Ask Price]],Table1[[#This Row],[Face value]])</f>
        <v>6.5508795637025496E-2</v>
      </c>
      <c r="AL93" s="27">
        <f>Table1[[#This Row],[IRR]]*Table1[[#This Row],[Coupon Frequency2]]</f>
        <v>6.5508795637025496E-2</v>
      </c>
      <c r="AM93" s="5">
        <f t="shared" si="6"/>
        <v>-13034.713406164798</v>
      </c>
      <c r="AN93" t="s">
        <v>64</v>
      </c>
      <c r="AO93" t="s">
        <v>62</v>
      </c>
      <c r="AP93">
        <f t="shared" si="7"/>
        <v>1</v>
      </c>
    </row>
    <row r="94" spans="1:42" x14ac:dyDescent="0.35">
      <c r="A94" s="48" t="s">
        <v>1058</v>
      </c>
      <c r="B94" s="49" t="s">
        <v>2372</v>
      </c>
      <c r="C94" s="49" t="s">
        <v>2273</v>
      </c>
      <c r="D94" s="50">
        <v>41296</v>
      </c>
      <c r="E94" s="50">
        <v>46774</v>
      </c>
      <c r="F94" s="49">
        <v>1000</v>
      </c>
      <c r="G94" s="49" t="s">
        <v>76</v>
      </c>
      <c r="H94" s="49">
        <v>1075.1400000000001</v>
      </c>
      <c r="I94" s="49" t="s">
        <v>76</v>
      </c>
      <c r="J94" s="49">
        <v>107.514</v>
      </c>
      <c r="K94" s="49">
        <v>7950</v>
      </c>
      <c r="L94" s="51">
        <v>7.3599999999999999E-2</v>
      </c>
      <c r="M94" s="49" t="s">
        <v>93</v>
      </c>
      <c r="N94" s="49">
        <v>857</v>
      </c>
      <c r="O94" s="49">
        <v>6.8456201052886101</v>
      </c>
      <c r="P94" s="49" t="s">
        <v>2282</v>
      </c>
      <c r="Q94" s="49"/>
      <c r="R94" s="49" t="s">
        <v>2275</v>
      </c>
      <c r="S94">
        <f t="shared" si="4"/>
        <v>15</v>
      </c>
      <c r="T94" s="5" cm="1">
        <f t="array" ref="T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4">
        <f>Table1[[#This Row],[Term to Maturity (Years)]]*Table1[[#This Row],[Coupon Frequency2]]</f>
        <v>15</v>
      </c>
      <c r="V94">
        <f>Table1[[#This Row],[Face value]]*Table1[[#This Row],[Current coupon %]]</f>
        <v>73.599999999999994</v>
      </c>
      <c r="W94" s="36">
        <f>RATE(Table1[[#This Row],[Total No. of Coupons]],Table1[[#This Row],[Coupon Amount]],-Table1[[#This Row],[Ask Price]],Table1[[#This Row],[Face value]])</f>
        <v>6.5578906368682105E-2</v>
      </c>
      <c r="X94" s="27">
        <f>Table1[[#This Row],[IRR]]*Table1[[#This Row],[Coupon Frequency2]]</f>
        <v>6.5578906368682105E-2</v>
      </c>
      <c r="Y94" s="19" cm="1">
        <f t="array" ref="Y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4" s="33">
        <f>DURATION(Table1[[#This Row],[Issue date]],Table1[[#This Row],[Maturity date]],Table1[[#This Row],[Current coupon %]],Table1[[#This Row],[Yield (Annualised)]],Table1[[#This Row],[Coupon Frequency2]])</f>
        <v>9.7619693656448288</v>
      </c>
      <c r="AA94" s="33">
        <f>Table1[[#This Row],[Macaulay Duration in Years]]/(1+Table1[[#This Row],[IRR]])</f>
        <v>9.1611886339905304</v>
      </c>
      <c r="AB94" s="58">
        <f>VLOOKUP(Table1[[#This Row],[Yield Cluster]],'Cluster Details'!$B$3:$C$16,2,0)</f>
        <v>7.8548801574189142E-2</v>
      </c>
      <c r="AC94" s="78">
        <f>PRICE(Table1[[#This Row],[Issue date]],Table1[[#This Row],[Maturity date]],Table1[[#This Row],[Current coupon %]],Table1[[#This Row],[Average Cluster Yield]],100,Table1[[#This Row],[Coupon Frequency2]])*Table1[[#This Row],[Face value]]/100</f>
        <v>957.26289587555914</v>
      </c>
      <c r="AD94" s="58" t="str">
        <f>IF(Table1[[#This Row],[Ask Price]]&gt;Table1[[#This Row],[Calculated Bond Price]],"Rich","Cheap")</f>
        <v>Rich</v>
      </c>
      <c r="AE9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982.59458155924278</v>
      </c>
      <c r="AF9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1180.1942844990815</v>
      </c>
      <c r="AG94" s="78">
        <f>(Table1[[#This Row],[P (+ shock)]]+Table1[[#This Row],[P (-shock)]]-2*Table1[[#This Row],[Ask Price]])/(2*Table1[[#This Row],[Ask Price]]*($AF$2^2))</f>
        <v>58.173196320126685</v>
      </c>
      <c r="AH94">
        <v>10.5</v>
      </c>
      <c r="AI94" s="6">
        <f t="shared" si="5"/>
        <v>6.845620105288612E-2</v>
      </c>
      <c r="AK94" s="47">
        <f>RATE(Table1[[#This Row],[Total No. of Coupons]],Table1[[#This Row],[Coupon Amount]],-Table1[[#This Row],[Ask Price]],Table1[[#This Row],[Face value]])</f>
        <v>6.5578906368682105E-2</v>
      </c>
      <c r="AL94" s="27">
        <f>Table1[[#This Row],[IRR]]*Table1[[#This Row],[Coupon Frequency2]]</f>
        <v>6.5578906368682105E-2</v>
      </c>
      <c r="AM94" s="5">
        <f t="shared" si="6"/>
        <v>-9849.5603479485799</v>
      </c>
      <c r="AN94" t="s">
        <v>69</v>
      </c>
      <c r="AO94" t="s">
        <v>62</v>
      </c>
      <c r="AP94">
        <f t="shared" si="7"/>
        <v>1</v>
      </c>
    </row>
    <row r="95" spans="1:42" x14ac:dyDescent="0.35">
      <c r="A95" s="48" t="s">
        <v>2007</v>
      </c>
      <c r="B95" s="49" t="s">
        <v>2373</v>
      </c>
      <c r="C95" s="49" t="s">
        <v>2273</v>
      </c>
      <c r="D95" s="50">
        <v>44207</v>
      </c>
      <c r="E95" s="50">
        <v>46033</v>
      </c>
      <c r="F95" s="49">
        <v>1000</v>
      </c>
      <c r="G95" s="49" t="s">
        <v>76</v>
      </c>
      <c r="H95" s="49">
        <v>1031.75</v>
      </c>
      <c r="I95" s="49" t="s">
        <v>76</v>
      </c>
      <c r="J95" s="49">
        <v>103.175</v>
      </c>
      <c r="K95" s="49">
        <v>1</v>
      </c>
      <c r="L95" s="51">
        <v>7.3499999999999996E-2</v>
      </c>
      <c r="M95" s="49" t="s">
        <v>93</v>
      </c>
      <c r="N95" s="49">
        <v>116</v>
      </c>
      <c r="O95" s="49">
        <v>7.1238187545432501</v>
      </c>
      <c r="P95" s="49" t="s">
        <v>2285</v>
      </c>
      <c r="Q95" s="49"/>
      <c r="R95" s="49" t="s">
        <v>2275</v>
      </c>
      <c r="S95">
        <f t="shared" si="4"/>
        <v>5</v>
      </c>
      <c r="T95" s="5" cm="1">
        <f t="array" ref="T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5">
        <f>Table1[[#This Row],[Term to Maturity (Years)]]*Table1[[#This Row],[Coupon Frequency2]]</f>
        <v>5</v>
      </c>
      <c r="V95">
        <f>Table1[[#This Row],[Face value]]*Table1[[#This Row],[Current coupon %]]</f>
        <v>73.5</v>
      </c>
      <c r="W95" s="36">
        <f>RATE(Table1[[#This Row],[Total No. of Coupons]],Table1[[#This Row],[Coupon Amount]],-Table1[[#This Row],[Ask Price]],Table1[[#This Row],[Face value]])</f>
        <v>6.5842473884989247E-2</v>
      </c>
      <c r="X95" s="27">
        <f>Table1[[#This Row],[IRR]]*Table1[[#This Row],[Coupon Frequency2]]</f>
        <v>6.5842473884989247E-2</v>
      </c>
      <c r="Y95" s="19" cm="1">
        <f t="array" ref="Y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5" s="33">
        <f>DURATION(Table1[[#This Row],[Issue date]],Table1[[#This Row],[Maturity date]],Table1[[#This Row],[Current coupon %]],Table1[[#This Row],[Yield (Annualised)]],Table1[[#This Row],[Coupon Frequency2]])</f>
        <v>4.3716548633367047</v>
      </c>
      <c r="AA95" s="33">
        <f>Table1[[#This Row],[Macaulay Duration in Years]]/(1+Table1[[#This Row],[IRR]])</f>
        <v>4.1015956583171711</v>
      </c>
      <c r="AB95" s="58">
        <f>VLOOKUP(Table1[[#This Row],[Yield Cluster]],'Cluster Details'!$B$3:$C$16,2,0)</f>
        <v>7.8548801574189142E-2</v>
      </c>
      <c r="AC95" s="78">
        <f>PRICE(Table1[[#This Row],[Issue date]],Table1[[#This Row],[Maturity date]],Table1[[#This Row],[Current coupon %]],Table1[[#This Row],[Average Cluster Yield]],100,Table1[[#This Row],[Coupon Frequency2]])*Table1[[#This Row],[Face value]]/100</f>
        <v>979.76426122795431</v>
      </c>
      <c r="AD95" s="58" t="str">
        <f>IF(Table1[[#This Row],[Ask Price]]&gt;Table1[[#This Row],[Calculated Bond Price]],"Rich","Cheap")</f>
        <v>Rich</v>
      </c>
      <c r="AE9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990.54379279838247</v>
      </c>
      <c r="AF9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1075.2287783747224</v>
      </c>
      <c r="AG95" s="78">
        <f>(Table1[[#This Row],[P (+ shock)]]+Table1[[#This Row],[P (-shock)]]-2*Table1[[#This Row],[Ask Price]])/(2*Table1[[#This Row],[Ask Price]]*($AF$2^2))</f>
        <v>11.013187172788983</v>
      </c>
      <c r="AH95">
        <v>3.9613304999976902</v>
      </c>
      <c r="AI95" s="6">
        <f t="shared" si="5"/>
        <v>7.1238187545432513E-2</v>
      </c>
      <c r="AK95" s="47">
        <f>RATE(Table1[[#This Row],[Total No. of Coupons]],Table1[[#This Row],[Coupon Amount]],-Table1[[#This Row],[Ask Price]],Table1[[#This Row],[Face value]])</f>
        <v>6.5842473884989247E-2</v>
      </c>
      <c r="AL95" s="27">
        <f>Table1[[#This Row],[IRR]]*Table1[[#This Row],[Coupon Frequency2]]</f>
        <v>6.5842473884989247E-2</v>
      </c>
      <c r="AM95" s="5">
        <f t="shared" si="6"/>
        <v>-4231.8213204687409</v>
      </c>
      <c r="AN95" t="s">
        <v>64</v>
      </c>
      <c r="AO95" t="s">
        <v>62</v>
      </c>
      <c r="AP95">
        <f t="shared" si="7"/>
        <v>1</v>
      </c>
    </row>
    <row r="96" spans="1:42" x14ac:dyDescent="0.35">
      <c r="A96" s="48" t="s">
        <v>1536</v>
      </c>
      <c r="B96" s="49" t="s">
        <v>2374</v>
      </c>
      <c r="C96" s="49" t="s">
        <v>2273</v>
      </c>
      <c r="D96" s="50">
        <v>45233</v>
      </c>
      <c r="E96" s="50">
        <v>46329</v>
      </c>
      <c r="F96" s="49">
        <v>1000</v>
      </c>
      <c r="G96" s="49" t="s">
        <v>76</v>
      </c>
      <c r="H96" s="49">
        <v>1065</v>
      </c>
      <c r="I96" s="49" t="s">
        <v>76</v>
      </c>
      <c r="J96" s="49">
        <v>106.5</v>
      </c>
      <c r="K96" s="49">
        <v>30</v>
      </c>
      <c r="L96" s="51">
        <v>9.0500000000000011E-2</v>
      </c>
      <c r="M96" s="49" t="s">
        <v>93</v>
      </c>
      <c r="N96" s="49">
        <v>412</v>
      </c>
      <c r="O96" s="49">
        <v>8.4976525821596205</v>
      </c>
      <c r="P96" s="49"/>
      <c r="Q96" s="49"/>
      <c r="R96" s="49" t="s">
        <v>2275</v>
      </c>
      <c r="S96">
        <f t="shared" si="4"/>
        <v>3</v>
      </c>
      <c r="T96" s="5" cm="1">
        <f t="array" ref="T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6">
        <f>Table1[[#This Row],[Term to Maturity (Years)]]*Table1[[#This Row],[Coupon Frequency2]]</f>
        <v>3</v>
      </c>
      <c r="V96">
        <f>Table1[[#This Row],[Face value]]*Table1[[#This Row],[Current coupon %]]</f>
        <v>90.500000000000014</v>
      </c>
      <c r="W96" s="36">
        <f>RATE(Table1[[#This Row],[Total No. of Coupons]],Table1[[#This Row],[Coupon Amount]],-Table1[[#This Row],[Ask Price]],Table1[[#This Row],[Face value]])</f>
        <v>6.5916226235477229E-2</v>
      </c>
      <c r="X96" s="27">
        <f>Table1[[#This Row],[IRR]]*Table1[[#This Row],[Coupon Frequency2]]</f>
        <v>6.5916226235477229E-2</v>
      </c>
      <c r="Y96" s="19" cm="1">
        <f t="array" ref="Y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6" s="33">
        <f>DURATION(Table1[[#This Row],[Issue date]],Table1[[#This Row],[Maturity date]],Table1[[#This Row],[Current coupon %]],Table1[[#This Row],[Yield (Annualised)]],Table1[[#This Row],[Coupon Frequency2]])</f>
        <v>2.7657652396969548</v>
      </c>
      <c r="AA96" s="33">
        <f>Table1[[#This Row],[Macaulay Duration in Years]]/(1+Table1[[#This Row],[IRR]])</f>
        <v>2.594730403405975</v>
      </c>
      <c r="AB96" s="58">
        <f>VLOOKUP(Table1[[#This Row],[Yield Cluster]],'Cluster Details'!$B$3:$C$16,2,0)</f>
        <v>7.8548801574189142E-2</v>
      </c>
      <c r="AC96" s="78">
        <f>PRICE(Table1[[#This Row],[Issue date]],Table1[[#This Row],[Maturity date]],Table1[[#This Row],[Current coupon %]],Table1[[#This Row],[Average Cluster Yield]],100,Table1[[#This Row],[Coupon Frequency2]])*Table1[[#This Row],[Face value]]/100</f>
        <v>1030.8802252374862</v>
      </c>
      <c r="AD96" s="58" t="str">
        <f>IF(Table1[[#This Row],[Ask Price]]&gt;Table1[[#This Row],[Calculated Bond Price]],"Rich","Cheap")</f>
        <v>Rich</v>
      </c>
      <c r="AE9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1037.8624765407162</v>
      </c>
      <c r="AF9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1093.1457735568031</v>
      </c>
      <c r="AG96" s="78">
        <f>(Table1[[#This Row],[P (+ shock)]]+Table1[[#This Row],[P (-shock)]]-2*Table1[[#This Row],[Ask Price]])/(2*Table1[[#This Row],[Ask Price]]*($AF$2^2))</f>
        <v>4.7335685329555002</v>
      </c>
      <c r="AH96">
        <v>13.3529119879571</v>
      </c>
      <c r="AI96" s="6">
        <f t="shared" si="5"/>
        <v>8.497652582159626E-2</v>
      </c>
      <c r="AK96" s="47">
        <f>RATE(Table1[[#This Row],[Total No. of Coupons]],Table1[[#This Row],[Coupon Amount]],-Table1[[#This Row],[Ask Price]],Table1[[#This Row],[Face value]])</f>
        <v>6.5916226235477229E-2</v>
      </c>
      <c r="AL96" s="27">
        <f>Table1[[#This Row],[IRR]]*Table1[[#This Row],[Coupon Frequency2]]</f>
        <v>6.5916226235477229E-2</v>
      </c>
      <c r="AM96" s="5">
        <f t="shared" si="6"/>
        <v>-2763.3878796273634</v>
      </c>
      <c r="AN96" t="s">
        <v>64</v>
      </c>
      <c r="AO96" t="s">
        <v>62</v>
      </c>
      <c r="AP96">
        <f t="shared" si="7"/>
        <v>1</v>
      </c>
    </row>
    <row r="97" spans="1:42" x14ac:dyDescent="0.35">
      <c r="A97" s="48" t="s">
        <v>2097</v>
      </c>
      <c r="B97" s="49" t="s">
        <v>2375</v>
      </c>
      <c r="C97" s="49" t="s">
        <v>2273</v>
      </c>
      <c r="D97" s="50">
        <v>42313</v>
      </c>
      <c r="E97" s="50">
        <v>45966</v>
      </c>
      <c r="F97" s="49">
        <v>1000</v>
      </c>
      <c r="G97" s="49" t="s">
        <v>76</v>
      </c>
      <c r="H97" s="49">
        <v>1020.25</v>
      </c>
      <c r="I97" s="49" t="s">
        <v>76</v>
      </c>
      <c r="J97" s="49">
        <v>102.02500000000001</v>
      </c>
      <c r="K97" s="49">
        <v>35</v>
      </c>
      <c r="L97" s="51">
        <v>6.8900000000000003E-2</v>
      </c>
      <c r="M97" s="49" t="s">
        <v>93</v>
      </c>
      <c r="N97" s="49">
        <v>49</v>
      </c>
      <c r="O97" s="49">
        <v>6.7532467532467502</v>
      </c>
      <c r="P97" s="49"/>
      <c r="Q97" s="49"/>
      <c r="R97" s="49" t="s">
        <v>2275</v>
      </c>
      <c r="S97">
        <f t="shared" si="4"/>
        <v>10</v>
      </c>
      <c r="T97" s="5" cm="1">
        <f t="array" ref="T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7">
        <f>Table1[[#This Row],[Term to Maturity (Years)]]*Table1[[#This Row],[Coupon Frequency2]]</f>
        <v>10</v>
      </c>
      <c r="V97">
        <f>Table1[[#This Row],[Face value]]*Table1[[#This Row],[Current coupon %]]</f>
        <v>68.900000000000006</v>
      </c>
      <c r="W97" s="36">
        <f>RATE(Table1[[#This Row],[Total No. of Coupons]],Table1[[#This Row],[Coupon Amount]],-Table1[[#This Row],[Ask Price]],Table1[[#This Row],[Face value]])</f>
        <v>6.6069021355792096E-2</v>
      </c>
      <c r="X97" s="27">
        <f>Table1[[#This Row],[IRR]]*Table1[[#This Row],[Coupon Frequency2]]</f>
        <v>6.6069021355792096E-2</v>
      </c>
      <c r="Y97" s="19" cm="1">
        <f t="array" ref="Y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7" s="33">
        <f>DURATION(Table1[[#This Row],[Issue date]],Table1[[#This Row],[Maturity date]],Table1[[#This Row],[Current coupon %]],Table1[[#This Row],[Yield (Annualised)]],Table1[[#This Row],[Coupon Frequency2]])</f>
        <v>7.5730016849858801</v>
      </c>
      <c r="AA97" s="33">
        <f>Table1[[#This Row],[Macaulay Duration in Years]]/(1+Table1[[#This Row],[IRR]])</f>
        <v>7.103669212106718</v>
      </c>
      <c r="AB97" s="58">
        <f>VLOOKUP(Table1[[#This Row],[Yield Cluster]],'Cluster Details'!$B$3:$C$16,2,0)</f>
        <v>7.8548801574189142E-2</v>
      </c>
      <c r="AC97" s="78">
        <f>PRICE(Table1[[#This Row],[Issue date]],Table1[[#This Row],[Maturity date]],Table1[[#This Row],[Current coupon %]],Table1[[#This Row],[Average Cluster Yield]],100,Table1[[#This Row],[Coupon Frequency2]])*Table1[[#This Row],[Face value]]/100</f>
        <v>934.82981756055642</v>
      </c>
      <c r="AD97" s="58" t="str">
        <f>IF(Table1[[#This Row],[Ask Price]]&gt;Table1[[#This Row],[Calculated Bond Price]],"Rich","Cheap")</f>
        <v>Rich</v>
      </c>
      <c r="AE9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951.03055851440195</v>
      </c>
      <c r="AF9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1096.22111407339</v>
      </c>
      <c r="AG97" s="78">
        <f>(Table1[[#This Row],[P (+ shock)]]+Table1[[#This Row],[P (-shock)]]-2*Table1[[#This Row],[Ask Price]])/(2*Table1[[#This Row],[Ask Price]]*($AF$2^2))</f>
        <v>33.088324370458082</v>
      </c>
      <c r="AH97">
        <v>9.16</v>
      </c>
      <c r="AI97" s="6">
        <f t="shared" si="5"/>
        <v>6.7532467532467541E-2</v>
      </c>
      <c r="AK97" s="47">
        <f>RATE(Table1[[#This Row],[Total No. of Coupons]],Table1[[#This Row],[Coupon Amount]],-Table1[[#This Row],[Ask Price]],Table1[[#This Row],[Face value]])</f>
        <v>6.6069021355792096E-2</v>
      </c>
      <c r="AL97" s="27">
        <f>Table1[[#This Row],[IRR]]*Table1[[#This Row],[Coupon Frequency2]]</f>
        <v>6.6069021355792096E-2</v>
      </c>
      <c r="AM97" s="5">
        <f t="shared" si="6"/>
        <v>-7247.5185136518794</v>
      </c>
      <c r="AN97" t="s">
        <v>64</v>
      </c>
      <c r="AO97" t="s">
        <v>62</v>
      </c>
      <c r="AP97">
        <f t="shared" si="7"/>
        <v>1</v>
      </c>
    </row>
    <row r="98" spans="1:42" x14ac:dyDescent="0.35">
      <c r="A98" s="48" t="s">
        <v>1180</v>
      </c>
      <c r="B98" s="49" t="s">
        <v>2376</v>
      </c>
      <c r="C98" s="49" t="s">
        <v>2273</v>
      </c>
      <c r="D98" s="50">
        <v>44798</v>
      </c>
      <c r="E98" s="50">
        <v>46624</v>
      </c>
      <c r="F98" s="49">
        <v>1000000</v>
      </c>
      <c r="G98" s="49" t="s">
        <v>76</v>
      </c>
      <c r="H98" s="49">
        <v>1041076</v>
      </c>
      <c r="I98" s="49" t="s">
        <v>76</v>
      </c>
      <c r="J98" s="49">
        <v>104.107599999999</v>
      </c>
      <c r="K98" s="49">
        <v>1</v>
      </c>
      <c r="L98" s="51">
        <v>7.5999999999999998E-2</v>
      </c>
      <c r="M98" s="49" t="s">
        <v>93</v>
      </c>
      <c r="N98" s="49">
        <v>707</v>
      </c>
      <c r="O98" s="49">
        <v>7.3001394710856804</v>
      </c>
      <c r="P98" s="49" t="s">
        <v>2274</v>
      </c>
      <c r="Q98" s="49"/>
      <c r="R98" s="49" t="s">
        <v>2275</v>
      </c>
      <c r="S98">
        <f t="shared" si="4"/>
        <v>5</v>
      </c>
      <c r="T98" s="5" cm="1">
        <f t="array" ref="T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8">
        <f>Table1[[#This Row],[Term to Maturity (Years)]]*Table1[[#This Row],[Coupon Frequency2]]</f>
        <v>5</v>
      </c>
      <c r="V98">
        <f>Table1[[#This Row],[Face value]]*Table1[[#This Row],[Current coupon %]]</f>
        <v>76000</v>
      </c>
      <c r="W98" s="36">
        <f>RATE(Table1[[#This Row],[Total No. of Coupons]],Table1[[#This Row],[Coupon Amount]],-Table1[[#This Row],[Ask Price]],Table1[[#This Row],[Face value]])</f>
        <v>6.6086689545933983E-2</v>
      </c>
      <c r="X98" s="27">
        <f>Table1[[#This Row],[IRR]]*Table1[[#This Row],[Coupon Frequency2]]</f>
        <v>6.6086689545933983E-2</v>
      </c>
      <c r="Y98" s="19" cm="1">
        <f t="array" ref="Y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8" s="33">
        <f>DURATION(Table1[[#This Row],[Issue date]],Table1[[#This Row],[Maturity date]],Table1[[#This Row],[Current coupon %]],Table1[[#This Row],[Yield (Annualised)]],Table1[[#This Row],[Coupon Frequency2]])</f>
        <v>4.3563885101623665</v>
      </c>
      <c r="AA98" s="33">
        <f>Table1[[#This Row],[Macaulay Duration in Years]]/(1+Table1[[#This Row],[IRR]])</f>
        <v>4.0863360858748106</v>
      </c>
      <c r="AB98" s="58">
        <f>VLOOKUP(Table1[[#This Row],[Yield Cluster]],'Cluster Details'!$B$3:$C$16,2,0)</f>
        <v>7.8548801574189142E-2</v>
      </c>
      <c r="AC98" s="78">
        <f>PRICE(Table1[[#This Row],[Issue date]],Table1[[#This Row],[Maturity date]],Table1[[#This Row],[Current coupon %]],Table1[[#This Row],[Average Cluster Yield]],100,Table1[[#This Row],[Coupon Frequency2]])*Table1[[#This Row],[Face value]]/100</f>
        <v>989784.33157271519</v>
      </c>
      <c r="AD98" s="58" t="str">
        <f>IF(Table1[[#This Row],[Ask Price]]&gt;Table1[[#This Row],[Calculated Bond Price]],"Rich","Cheap")</f>
        <v>Rich</v>
      </c>
      <c r="AE9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999650.27423325181</v>
      </c>
      <c r="AF9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1084782.6955835519</v>
      </c>
      <c r="AG98" s="78">
        <f>(Table1[[#This Row],[P (+ shock)]]+Table1[[#This Row],[P (-shock)]]-2*Table1[[#This Row],[Ask Price]])/(2*Table1[[#This Row],[Ask Price]]*($AF$2^2))</f>
        <v>10.954866968423531</v>
      </c>
      <c r="AH98">
        <v>11.0324716087427</v>
      </c>
      <c r="AI98" s="6">
        <f t="shared" si="5"/>
        <v>7.3001394710856843E-2</v>
      </c>
      <c r="AK98" s="47">
        <f>RATE(Table1[[#This Row],[Total No. of Coupons]],Table1[[#This Row],[Coupon Amount]],-Table1[[#This Row],[Ask Price]],Table1[[#This Row],[Face value]])</f>
        <v>6.6086689545933983E-2</v>
      </c>
      <c r="AL98" s="27">
        <f>Table1[[#This Row],[IRR]]*Table1[[#This Row],[Coupon Frequency2]]</f>
        <v>6.6086689545933983E-2</v>
      </c>
      <c r="AM98" s="5">
        <f t="shared" si="6"/>
        <v>-4254186.4269382041</v>
      </c>
      <c r="AN98" t="s">
        <v>64</v>
      </c>
      <c r="AO98" t="s">
        <v>62</v>
      </c>
      <c r="AP98">
        <f t="shared" si="7"/>
        <v>1</v>
      </c>
    </row>
    <row r="99" spans="1:42" x14ac:dyDescent="0.35">
      <c r="A99" s="48" t="s">
        <v>1624</v>
      </c>
      <c r="B99" s="49" t="s">
        <v>2377</v>
      </c>
      <c r="C99" s="49" t="s">
        <v>2273</v>
      </c>
      <c r="D99" s="50">
        <v>45189</v>
      </c>
      <c r="E99" s="50">
        <v>46285</v>
      </c>
      <c r="F99" s="49">
        <v>1000</v>
      </c>
      <c r="G99" s="49" t="s">
        <v>76</v>
      </c>
      <c r="H99" s="49">
        <v>1069.8</v>
      </c>
      <c r="I99" s="49" t="s">
        <v>76</v>
      </c>
      <c r="J99" s="49">
        <v>106.979999999999</v>
      </c>
      <c r="K99" s="49">
        <v>80</v>
      </c>
      <c r="L99" s="51">
        <v>9.2699999999999991E-2</v>
      </c>
      <c r="M99" s="49" t="s">
        <v>93</v>
      </c>
      <c r="N99" s="49">
        <v>368</v>
      </c>
      <c r="O99" s="49">
        <v>8.6651710600112093</v>
      </c>
      <c r="P99" s="49"/>
      <c r="Q99" s="49"/>
      <c r="R99" s="49" t="s">
        <v>2275</v>
      </c>
      <c r="S99">
        <f t="shared" si="4"/>
        <v>3</v>
      </c>
      <c r="T99" s="5" cm="1">
        <f t="array" ref="T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99">
        <f>Table1[[#This Row],[Term to Maturity (Years)]]*Table1[[#This Row],[Coupon Frequency2]]</f>
        <v>3</v>
      </c>
      <c r="V99">
        <f>Table1[[#This Row],[Face value]]*Table1[[#This Row],[Current coupon %]]</f>
        <v>92.699999999999989</v>
      </c>
      <c r="W99" s="36">
        <f>RATE(Table1[[#This Row],[Total No. of Coupons]],Table1[[#This Row],[Coupon Amount]],-Table1[[#This Row],[Ask Price]],Table1[[#This Row],[Face value]])</f>
        <v>6.6283024788992215E-2</v>
      </c>
      <c r="X99" s="27">
        <f>Table1[[#This Row],[IRR]]*Table1[[#This Row],[Coupon Frequency2]]</f>
        <v>6.6283024788992215E-2</v>
      </c>
      <c r="Y99" s="19" cm="1">
        <f t="array" ref="Y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99" s="33">
        <f>DURATION(Table1[[#This Row],[Issue date]],Table1[[#This Row],[Maturity date]],Table1[[#This Row],[Current coupon %]],Table1[[#This Row],[Yield (Annualised)]],Table1[[#This Row],[Coupon Frequency2]])</f>
        <v>2.7612560435070921</v>
      </c>
      <c r="AA99" s="33">
        <f>Table1[[#This Row],[Macaulay Duration in Years]]/(1+Table1[[#This Row],[IRR]])</f>
        <v>2.5896089305684291</v>
      </c>
      <c r="AB99" s="58">
        <f>VLOOKUP(Table1[[#This Row],[Yield Cluster]],'Cluster Details'!$B$3:$C$16,2,0)</f>
        <v>7.8548801574189142E-2</v>
      </c>
      <c r="AC99" s="78">
        <f>PRICE(Table1[[#This Row],[Issue date]],Table1[[#This Row],[Maturity date]],Table1[[#This Row],[Current coupon %]],Table1[[#This Row],[Average Cluster Yield]],100,Table1[[#This Row],[Coupon Frequency2]])*Table1[[#This Row],[Face value]]/100</f>
        <v>1036.5647175454499</v>
      </c>
      <c r="AD99" s="58" t="str">
        <f>IF(Table1[[#This Row],[Ask Price]]&gt;Table1[[#This Row],[Calculated Bond Price]],"Rich","Cheap")</f>
        <v>Rich</v>
      </c>
      <c r="AE9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1042.5935076195999</v>
      </c>
      <c r="AF9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1098.0163340688946</v>
      </c>
      <c r="AG99" s="78">
        <f>(Table1[[#This Row],[P (+ shock)]]+Table1[[#This Row],[P (-shock)]]-2*Table1[[#This Row],[Ask Price]])/(2*Table1[[#This Row],[Ask Price]]*($AF$2^2))</f>
        <v>4.7197685945707688</v>
      </c>
      <c r="AI99" s="6">
        <f t="shared" si="5"/>
        <v>8.6651710600112161E-2</v>
      </c>
      <c r="AK99" s="47">
        <f>RATE(Table1[[#This Row],[Total No. of Coupons]],Table1[[#This Row],[Coupon Amount]],-Table1[[#This Row],[Ask Price]],Table1[[#This Row],[Face value]])</f>
        <v>6.6283024788992215E-2</v>
      </c>
      <c r="AL99" s="27">
        <f>Table1[[#This Row],[IRR]]*Table1[[#This Row],[Coupon Frequency2]]</f>
        <v>6.6283024788992215E-2</v>
      </c>
      <c r="AM99" s="5">
        <f t="shared" si="6"/>
        <v>-2770.3636339221052</v>
      </c>
      <c r="AN99" t="s">
        <v>64</v>
      </c>
      <c r="AO99" t="s">
        <v>62</v>
      </c>
      <c r="AP99">
        <f t="shared" si="7"/>
        <v>1</v>
      </c>
    </row>
    <row r="100" spans="1:42" x14ac:dyDescent="0.35">
      <c r="A100" s="48" t="s">
        <v>2101</v>
      </c>
      <c r="B100" s="49" t="s">
        <v>2378</v>
      </c>
      <c r="C100" s="49" t="s">
        <v>2273</v>
      </c>
      <c r="D100" s="50">
        <v>44868</v>
      </c>
      <c r="E100" s="50">
        <v>45964</v>
      </c>
      <c r="F100" s="49">
        <v>1000</v>
      </c>
      <c r="G100" s="49" t="s">
        <v>76</v>
      </c>
      <c r="H100" s="49">
        <v>1057.2</v>
      </c>
      <c r="I100" s="49" t="s">
        <v>76</v>
      </c>
      <c r="J100" s="49">
        <v>105.72</v>
      </c>
      <c r="K100" s="49">
        <v>25</v>
      </c>
      <c r="L100" s="51">
        <v>8.8000000000000009E-2</v>
      </c>
      <c r="M100" s="49" t="s">
        <v>93</v>
      </c>
      <c r="N100" s="49">
        <v>47</v>
      </c>
      <c r="O100" s="49">
        <v>8.3238743851683701</v>
      </c>
      <c r="P100" s="49" t="s">
        <v>2279</v>
      </c>
      <c r="Q100" s="49"/>
      <c r="R100" s="49" t="s">
        <v>2275</v>
      </c>
      <c r="S100">
        <f t="shared" si="4"/>
        <v>3</v>
      </c>
      <c r="T100" s="5" cm="1">
        <f t="array" ref="T1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0">
        <f>Table1[[#This Row],[Term to Maturity (Years)]]*Table1[[#This Row],[Coupon Frequency2]]</f>
        <v>3</v>
      </c>
      <c r="V100">
        <f>Table1[[#This Row],[Face value]]*Table1[[#This Row],[Current coupon %]]</f>
        <v>88.000000000000014</v>
      </c>
      <c r="W100" s="36">
        <f>RATE(Table1[[#This Row],[Total No. of Coupons]],Table1[[#This Row],[Coupon Amount]],-Table1[[#This Row],[Ask Price]],Table1[[#This Row],[Face value]])</f>
        <v>6.6349080227114929E-2</v>
      </c>
      <c r="X100" s="27">
        <f>Table1[[#This Row],[IRR]]*Table1[[#This Row],[Coupon Frequency2]]</f>
        <v>6.6349080227114929E-2</v>
      </c>
      <c r="Y100" s="19" cm="1">
        <f t="array" ref="Y1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0" s="33">
        <f>DURATION(Table1[[#This Row],[Issue date]],Table1[[#This Row],[Maturity date]],Table1[[#This Row],[Current coupon %]],Table1[[#This Row],[Yield (Annualised)]],Table1[[#This Row],[Coupon Frequency2]])</f>
        <v>2.77067823675914</v>
      </c>
      <c r="AA100" s="33">
        <f>Table1[[#This Row],[Macaulay Duration in Years]]/(1+Table1[[#This Row],[IRR]])</f>
        <v>2.5982844531258289</v>
      </c>
      <c r="AB100" s="58">
        <f>VLOOKUP(Table1[[#This Row],[Yield Cluster]],'Cluster Details'!$B$3:$C$16,2,0)</f>
        <v>7.8548801574189142E-2</v>
      </c>
      <c r="AC100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1024.4205748875274</v>
      </c>
      <c r="AD100" s="58" t="str">
        <f>IF(Table1[[#This Row],[Ask Price]]&gt;Table1[[#This Row],[Calculated Bond Price]],"Rich","Cheap")</f>
        <v>Rich</v>
      </c>
      <c r="AE10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1030.22445470397</v>
      </c>
      <c r="AF10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1085.1780307321721</v>
      </c>
      <c r="AG100" s="78">
        <f>(Table1[[#This Row],[P (+ shock)]]+Table1[[#This Row],[P (-shock)]]-2*Table1[[#This Row],[Ask Price]])/(2*Table1[[#This Row],[Ask Price]]*($AF$2^2))</f>
        <v>4.7412288883004692</v>
      </c>
      <c r="AH100">
        <v>12.140691774142301</v>
      </c>
      <c r="AI100" s="6">
        <f t="shared" si="5"/>
        <v>8.32387438516837E-2</v>
      </c>
      <c r="AK100" s="47">
        <f>RATE(Table1[[#This Row],[Total No. of Coupons]],Table1[[#This Row],[Coupon Amount]],-Table1[[#This Row],[Ask Price]],Table1[[#This Row],[Face value]])</f>
        <v>6.6349080227114929E-2</v>
      </c>
      <c r="AL100" s="27">
        <f>Table1[[#This Row],[IRR]]*Table1[[#This Row],[Coupon Frequency2]]</f>
        <v>6.6349080227114929E-2</v>
      </c>
      <c r="AM100" s="5">
        <f t="shared" si="6"/>
        <v>-2746.9063238446265</v>
      </c>
      <c r="AN100" t="s">
        <v>64</v>
      </c>
      <c r="AO100" t="s">
        <v>62</v>
      </c>
      <c r="AP100">
        <f t="shared" si="7"/>
        <v>1</v>
      </c>
    </row>
    <row r="101" spans="1:42" x14ac:dyDescent="0.35">
      <c r="A101" s="48" t="s">
        <v>2080</v>
      </c>
      <c r="B101" s="49" t="s">
        <v>2379</v>
      </c>
      <c r="C101" s="49" t="s">
        <v>2273</v>
      </c>
      <c r="D101" s="50">
        <v>44147</v>
      </c>
      <c r="E101" s="50">
        <v>45973</v>
      </c>
      <c r="F101" s="49">
        <v>1000000</v>
      </c>
      <c r="G101" s="49" t="s">
        <v>76</v>
      </c>
      <c r="H101" s="49">
        <v>1013662</v>
      </c>
      <c r="I101" s="49" t="s">
        <v>76</v>
      </c>
      <c r="J101" s="49">
        <v>101.36620000000001</v>
      </c>
      <c r="K101" s="49">
        <v>10</v>
      </c>
      <c r="L101" s="51">
        <v>7.0000000000000007E-2</v>
      </c>
      <c r="M101" s="49" t="s">
        <v>93</v>
      </c>
      <c r="N101" s="49">
        <v>56</v>
      </c>
      <c r="O101" s="49">
        <v>6.9056549421799298</v>
      </c>
      <c r="P101" s="49"/>
      <c r="Q101" s="49"/>
      <c r="R101" s="49" t="s">
        <v>2275</v>
      </c>
      <c r="S101">
        <f t="shared" si="4"/>
        <v>5</v>
      </c>
      <c r="T101" s="5" cm="1">
        <f t="array" ref="T1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1">
        <f>Table1[[#This Row],[Term to Maturity (Years)]]*Table1[[#This Row],[Coupon Frequency2]]</f>
        <v>5</v>
      </c>
      <c r="V101">
        <f>Table1[[#This Row],[Face value]]*Table1[[#This Row],[Current coupon %]]</f>
        <v>70000</v>
      </c>
      <c r="W101" s="36">
        <f>RATE(Table1[[#This Row],[Total No. of Coupons]],Table1[[#This Row],[Coupon Amount]],-Table1[[#This Row],[Ask Price]],Table1[[#This Row],[Face value]])</f>
        <v>6.6697376674813472E-2</v>
      </c>
      <c r="X101" s="27">
        <f>Table1[[#This Row],[IRR]]*Table1[[#This Row],[Coupon Frequency2]]</f>
        <v>6.6697376674813472E-2</v>
      </c>
      <c r="Y101" s="19" cm="1">
        <f t="array" ref="Y1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1" s="33">
        <f>DURATION(Table1[[#This Row],[Issue date]],Table1[[#This Row],[Maturity date]],Table1[[#This Row],[Current coupon %]],Table1[[#This Row],[Yield (Annualised)]],Table1[[#This Row],[Coupon Frequency2]])</f>
        <v>4.3918429248202218</v>
      </c>
      <c r="AA101" s="33">
        <f>Table1[[#This Row],[Macaulay Duration in Years]]/(1+Table1[[#This Row],[IRR]])</f>
        <v>4.1172342042415</v>
      </c>
      <c r="AB101" s="58">
        <f>VLOOKUP(Table1[[#This Row],[Yield Cluster]],'Cluster Details'!$B$3:$C$16,2,0)</f>
        <v>7.8548801574189142E-2</v>
      </c>
      <c r="AC101" s="78">
        <f>PRICE(Table1[[#This Row],[Issue date]],Table1[[#This Row],[Maturity date]],Table1[[#This Row],[Current coupon %]],Table1[[#This Row],[Average Cluster Yield]],100,Table1[[#This Row],[Coupon Frequency2]])*Table1[[#This Row],[Face value]]/100</f>
        <v>965736.16274528904</v>
      </c>
      <c r="AD101" s="58" t="str">
        <f>IF(Table1[[#This Row],[Ask Price]]&gt;Table1[[#This Row],[Calculated Bond Price]],"Rich","Cheap")</f>
        <v>Rich</v>
      </c>
      <c r="AE10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973024.9266929375</v>
      </c>
      <c r="AF10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1056542.5484776355</v>
      </c>
      <c r="AG101" s="78">
        <f>(Table1[[#This Row],[P (+ shock)]]+Table1[[#This Row],[P (-shock)]]-2*Table1[[#This Row],[Ask Price]])/(2*Table1[[#This Row],[Ask Price]]*($AF$2^2))</f>
        <v>11.06618957094666</v>
      </c>
      <c r="AI101" s="6">
        <f t="shared" si="5"/>
        <v>6.9056549421799382E-2</v>
      </c>
      <c r="AK101" s="47">
        <f>RATE(Table1[[#This Row],[Total No. of Coupons]],Table1[[#This Row],[Coupon Amount]],-Table1[[#This Row],[Ask Price]],Table1[[#This Row],[Face value]])</f>
        <v>6.6697376674813472E-2</v>
      </c>
      <c r="AL101" s="27">
        <f>Table1[[#This Row],[IRR]]*Table1[[#This Row],[Coupon Frequency2]]</f>
        <v>6.6697376674813472E-2</v>
      </c>
      <c r="AM101" s="5">
        <f t="shared" si="6"/>
        <v>-4173483.8579398473</v>
      </c>
      <c r="AN101" t="s">
        <v>64</v>
      </c>
      <c r="AO101" t="s">
        <v>62</v>
      </c>
      <c r="AP101">
        <f t="shared" si="7"/>
        <v>1</v>
      </c>
    </row>
    <row r="102" spans="1:42" x14ac:dyDescent="0.35">
      <c r="A102" s="48" t="s">
        <v>801</v>
      </c>
      <c r="B102" s="49" t="s">
        <v>2380</v>
      </c>
      <c r="C102" s="49" t="s">
        <v>2273</v>
      </c>
      <c r="D102" s="50">
        <v>41624</v>
      </c>
      <c r="E102" s="50">
        <v>47103</v>
      </c>
      <c r="F102" s="49">
        <v>1000</v>
      </c>
      <c r="G102" s="49" t="s">
        <v>76</v>
      </c>
      <c r="H102" s="49">
        <v>1167</v>
      </c>
      <c r="I102" s="49" t="s">
        <v>76</v>
      </c>
      <c r="J102" s="49">
        <v>116.7</v>
      </c>
      <c r="K102" s="49">
        <v>1005</v>
      </c>
      <c r="L102" s="51">
        <v>8.48E-2</v>
      </c>
      <c r="M102" s="49" t="s">
        <v>93</v>
      </c>
      <c r="N102" s="49">
        <v>1186</v>
      </c>
      <c r="O102" s="49">
        <v>7.2664952870608399</v>
      </c>
      <c r="P102" s="49" t="s">
        <v>2274</v>
      </c>
      <c r="Q102" s="49"/>
      <c r="R102" s="49" t="s">
        <v>2275</v>
      </c>
      <c r="S102">
        <f t="shared" si="4"/>
        <v>15</v>
      </c>
      <c r="T102" s="5" cm="1">
        <f t="array" ref="T1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2">
        <f>Table1[[#This Row],[Term to Maturity (Years)]]*Table1[[#This Row],[Coupon Frequency2]]</f>
        <v>15</v>
      </c>
      <c r="V102">
        <f>Table1[[#This Row],[Face value]]*Table1[[#This Row],[Current coupon %]]</f>
        <v>84.8</v>
      </c>
      <c r="W102" s="36">
        <f>RATE(Table1[[#This Row],[Total No. of Coupons]],Table1[[#This Row],[Coupon Amount]],-Table1[[#This Row],[Ask Price]],Table1[[#This Row],[Face value]])</f>
        <v>6.6829737947642839E-2</v>
      </c>
      <c r="X102" s="27">
        <f>Table1[[#This Row],[IRR]]*Table1[[#This Row],[Coupon Frequency2]]</f>
        <v>6.6829737947642839E-2</v>
      </c>
      <c r="Y102" s="19" cm="1">
        <f t="array" ref="Y1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2" s="33">
        <f>DURATION(Table1[[#This Row],[Issue date]],Table1[[#This Row],[Maturity date]],Table1[[#This Row],[Current coupon %]],Table1[[#This Row],[Yield (Annualised)]],Table1[[#This Row],[Coupon Frequency2]])</f>
        <v>9.4701227201321689</v>
      </c>
      <c r="AA102" s="33">
        <f>Table1[[#This Row],[Macaulay Duration in Years]]/(1+Table1[[#This Row],[IRR]])</f>
        <v>8.8768829582410245</v>
      </c>
      <c r="AB102" s="58">
        <f>VLOOKUP(Table1[[#This Row],[Yield Cluster]],'Cluster Details'!$B$3:$C$16,2,0)</f>
        <v>7.8548801574189142E-2</v>
      </c>
      <c r="AC102" s="78">
        <f>PRICE(Table1[[#This Row],[Issue date]],Table1[[#This Row],[Maturity date]],Table1[[#This Row],[Current coupon %]],Table1[[#This Row],[Average Cluster Yield]],100,Table1[[#This Row],[Coupon Frequency2]])*Table1[[#This Row],[Face value]]/100</f>
        <v>1053.9844069359767</v>
      </c>
      <c r="AD102" s="58" t="str">
        <f>IF(Table1[[#This Row],[Ask Price]]&gt;Table1[[#This Row],[Calculated Bond Price]],"Rich","Cheap")</f>
        <v>Rich</v>
      </c>
      <c r="AE10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1069.5619933490959</v>
      </c>
      <c r="AF10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1277.3709574380212</v>
      </c>
      <c r="AG102" s="78">
        <f>(Table1[[#This Row],[P (+ shock)]]+Table1[[#This Row],[P (-shock)]]-2*Table1[[#This Row],[Ask Price]])/(2*Table1[[#This Row],[Ask Price]]*($AF$2^2))</f>
        <v>55.411100201872657</v>
      </c>
      <c r="AH102">
        <v>-2.0536059129459301</v>
      </c>
      <c r="AI102" s="6">
        <f t="shared" si="5"/>
        <v>7.2664952870608396E-2</v>
      </c>
      <c r="AK102" s="47">
        <f>RATE(Table1[[#This Row],[Total No. of Coupons]],Table1[[#This Row],[Coupon Amount]],-Table1[[#This Row],[Ask Price]],Table1[[#This Row],[Face value]])</f>
        <v>6.6829737947642839E-2</v>
      </c>
      <c r="AL102" s="27">
        <f>Table1[[#This Row],[IRR]]*Table1[[#This Row],[Coupon Frequency2]]</f>
        <v>6.6829737947642839E-2</v>
      </c>
      <c r="AM102" s="5">
        <f t="shared" si="6"/>
        <v>-10359.322412267276</v>
      </c>
      <c r="AN102" t="s">
        <v>64</v>
      </c>
      <c r="AO102" t="s">
        <v>62</v>
      </c>
      <c r="AP102">
        <f t="shared" si="7"/>
        <v>1</v>
      </c>
    </row>
    <row r="103" spans="1:42" x14ac:dyDescent="0.35">
      <c r="A103" s="48" t="s">
        <v>1903</v>
      </c>
      <c r="B103" s="49" t="s">
        <v>2381</v>
      </c>
      <c r="C103" s="49" t="s">
        <v>2273</v>
      </c>
      <c r="D103" s="50">
        <v>42451</v>
      </c>
      <c r="E103" s="50">
        <v>46103</v>
      </c>
      <c r="F103" s="49">
        <v>1000</v>
      </c>
      <c r="G103" s="49" t="s">
        <v>76</v>
      </c>
      <c r="H103" s="49">
        <v>1025.1300000000001</v>
      </c>
      <c r="I103" s="49" t="s">
        <v>76</v>
      </c>
      <c r="J103" s="49">
        <v>102.51300000000001</v>
      </c>
      <c r="K103" s="49">
        <v>10</v>
      </c>
      <c r="L103" s="51">
        <v>7.0400000000000004E-2</v>
      </c>
      <c r="M103" s="49" t="s">
        <v>93</v>
      </c>
      <c r="N103" s="49">
        <v>186</v>
      </c>
      <c r="O103" s="49">
        <v>6.8674216928584597</v>
      </c>
      <c r="P103" s="49" t="s">
        <v>2274</v>
      </c>
      <c r="Q103" s="49"/>
      <c r="R103" s="49" t="s">
        <v>2275</v>
      </c>
      <c r="S103">
        <f t="shared" si="4"/>
        <v>10</v>
      </c>
      <c r="T103" s="5" cm="1">
        <f t="array" ref="T1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3">
        <f>Table1[[#This Row],[Term to Maturity (Years)]]*Table1[[#This Row],[Coupon Frequency2]]</f>
        <v>10</v>
      </c>
      <c r="V103">
        <f>Table1[[#This Row],[Face value]]*Table1[[#This Row],[Current coupon %]]</f>
        <v>70.400000000000006</v>
      </c>
      <c r="W103" s="36">
        <f>RATE(Table1[[#This Row],[Total No. of Coupons]],Table1[[#This Row],[Coupon Amount]],-Table1[[#This Row],[Ask Price]],Table1[[#This Row],[Face value]])</f>
        <v>6.6873585830626511E-2</v>
      </c>
      <c r="X103" s="27">
        <f>Table1[[#This Row],[IRR]]*Table1[[#This Row],[Coupon Frequency2]]</f>
        <v>6.6873585830626511E-2</v>
      </c>
      <c r="Y103" s="19" cm="1">
        <f t="array" ref="Y1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3" s="33">
        <f>DURATION(Table1[[#This Row],[Issue date]],Table1[[#This Row],[Maturity date]],Table1[[#This Row],[Current coupon %]],Table1[[#This Row],[Yield (Annualised)]],Table1[[#This Row],[Coupon Frequency2]])</f>
        <v>7.5382274849734605</v>
      </c>
      <c r="AA103" s="33">
        <f>Table1[[#This Row],[Macaulay Duration in Years]]/(1+Table1[[#This Row],[IRR]])</f>
        <v>7.0657176118054217</v>
      </c>
      <c r="AB103" s="58">
        <f>VLOOKUP(Table1[[#This Row],[Yield Cluster]],'Cluster Details'!$B$3:$C$16,2,0)</f>
        <v>7.8548801574189142E-2</v>
      </c>
      <c r="AC103" s="78">
        <f>PRICE(Table1[[#This Row],[Issue date]],Table1[[#This Row],[Maturity date]],Table1[[#This Row],[Current coupon %]],Table1[[#This Row],[Average Cluster Yield]],100,Table1[[#This Row],[Coupon Frequency2]])*Table1[[#This Row],[Face value]]/100</f>
        <v>944.96115593533091</v>
      </c>
      <c r="AD103" s="58" t="str">
        <f>IF(Table1[[#This Row],[Ask Price]]&gt;Table1[[#This Row],[Calculated Bond Price]],"Rich","Cheap")</f>
        <v>Rich</v>
      </c>
      <c r="AE10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955.94243798473883</v>
      </c>
      <c r="AF10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1101.0469815751885</v>
      </c>
      <c r="AG103" s="78">
        <f>(Table1[[#This Row],[P (+ shock)]]+Table1[[#This Row],[P (-shock)]]-2*Table1[[#This Row],[Ask Price]])/(2*Table1[[#This Row],[Ask Price]]*($AF$2^2))</f>
        <v>32.822274052690922</v>
      </c>
      <c r="AH103">
        <v>12.157241731534601</v>
      </c>
      <c r="AI103" s="6">
        <f t="shared" si="5"/>
        <v>6.8674216928584664E-2</v>
      </c>
      <c r="AK103" s="47">
        <f>RATE(Table1[[#This Row],[Total No. of Coupons]],Table1[[#This Row],[Coupon Amount]],-Table1[[#This Row],[Ask Price]],Table1[[#This Row],[Face value]])</f>
        <v>6.6873585830626511E-2</v>
      </c>
      <c r="AL103" s="27">
        <f>Table1[[#This Row],[IRR]]*Table1[[#This Row],[Coupon Frequency2]]</f>
        <v>6.6873585830626511E-2</v>
      </c>
      <c r="AM103" s="5">
        <f t="shared" si="6"/>
        <v>-7243.2790953900931</v>
      </c>
      <c r="AN103" t="s">
        <v>64</v>
      </c>
      <c r="AO103" t="s">
        <v>62</v>
      </c>
      <c r="AP103">
        <f t="shared" si="7"/>
        <v>1</v>
      </c>
    </row>
    <row r="104" spans="1:42" x14ac:dyDescent="0.35">
      <c r="A104" s="48" t="s">
        <v>150</v>
      </c>
      <c r="B104" s="49" t="s">
        <v>2382</v>
      </c>
      <c r="C104" s="49" t="s">
        <v>2273</v>
      </c>
      <c r="D104" s="50">
        <v>43675</v>
      </c>
      <c r="E104" s="50">
        <v>49154</v>
      </c>
      <c r="F104" s="49">
        <v>1000000</v>
      </c>
      <c r="G104" s="49" t="s">
        <v>76</v>
      </c>
      <c r="H104" s="49">
        <v>1078005</v>
      </c>
      <c r="I104" s="49" t="s">
        <v>76</v>
      </c>
      <c r="J104" s="49">
        <v>107.8005</v>
      </c>
      <c r="K104" s="49">
        <v>10</v>
      </c>
      <c r="L104" s="51">
        <v>7.5399999999999995E-2</v>
      </c>
      <c r="M104" s="49" t="s">
        <v>93</v>
      </c>
      <c r="N104" s="49">
        <v>3237</v>
      </c>
      <c r="O104" s="49">
        <v>6.9944016957249699</v>
      </c>
      <c r="P104" s="49" t="s">
        <v>2274</v>
      </c>
      <c r="Q104" s="49"/>
      <c r="R104" s="49" t="s">
        <v>2275</v>
      </c>
      <c r="S104">
        <f t="shared" si="4"/>
        <v>15</v>
      </c>
      <c r="T104" s="5" cm="1">
        <f t="array" ref="T1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4">
        <f>Table1[[#This Row],[Term to Maturity (Years)]]*Table1[[#This Row],[Coupon Frequency2]]</f>
        <v>15</v>
      </c>
      <c r="V104">
        <f>Table1[[#This Row],[Face value]]*Table1[[#This Row],[Current coupon %]]</f>
        <v>75400</v>
      </c>
      <c r="W104" s="36">
        <f>RATE(Table1[[#This Row],[Total No. of Coupons]],Table1[[#This Row],[Coupon Amount]],-Table1[[#This Row],[Ask Price]],Table1[[#This Row],[Face value]])</f>
        <v>6.6997190010652699E-2</v>
      </c>
      <c r="X104" s="27">
        <f>Table1[[#This Row],[IRR]]*Table1[[#This Row],[Coupon Frequency2]]</f>
        <v>6.6997190010652699E-2</v>
      </c>
      <c r="Y104" s="19" cm="1">
        <f t="array" ref="Y1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4" s="33">
        <f>DURATION(Table1[[#This Row],[Issue date]],Table1[[#This Row],[Maturity date]],Table1[[#This Row],[Current coupon %]],Table1[[#This Row],[Yield (Annualised)]],Table1[[#This Row],[Coupon Frequency2]])</f>
        <v>9.6810591915364821</v>
      </c>
      <c r="AA104" s="33">
        <f>Table1[[#This Row],[Macaulay Duration in Years]]/(1+Table1[[#This Row],[IRR]])</f>
        <v>9.0731815249108845</v>
      </c>
      <c r="AB104" s="58">
        <f>VLOOKUP(Table1[[#This Row],[Yield Cluster]],'Cluster Details'!$B$3:$C$16,2,0)</f>
        <v>7.8548801574189142E-2</v>
      </c>
      <c r="AC104" s="78">
        <f>PRICE(Table1[[#This Row],[Issue date]],Table1[[#This Row],[Maturity date]],Table1[[#This Row],[Current coupon %]],Table1[[#This Row],[Average Cluster Yield]],100,Table1[[#This Row],[Coupon Frequency2]])*Table1[[#This Row],[Face value]]/100</f>
        <v>972807.42443884059</v>
      </c>
      <c r="AD104" s="58" t="str">
        <f>IF(Table1[[#This Row],[Ask Price]]&gt;Table1[[#This Row],[Calculated Bond Price]],"Rich","Cheap")</f>
        <v>Rich</v>
      </c>
      <c r="AE10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986074.61229055235</v>
      </c>
      <c r="AF10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1182292.3405378025</v>
      </c>
      <c r="AG104" s="78">
        <f>(Table1[[#This Row],[P (+ shock)]]+Table1[[#This Row],[P (-shock)]]-2*Table1[[#This Row],[Ask Price]])/(2*Table1[[#This Row],[Ask Price]]*($AF$2^2))</f>
        <v>57.313986615809455</v>
      </c>
      <c r="AH104">
        <v>-4.5723270440251502</v>
      </c>
      <c r="AI104" s="6">
        <f t="shared" si="5"/>
        <v>6.9944016957249736E-2</v>
      </c>
      <c r="AK104" s="47">
        <f>RATE(Table1[[#This Row],[Total No. of Coupons]],Table1[[#This Row],[Coupon Amount]],-Table1[[#This Row],[Ask Price]],Table1[[#This Row],[Face value]])</f>
        <v>6.6997190010652699E-2</v>
      </c>
      <c r="AL104" s="27">
        <f>Table1[[#This Row],[IRR]]*Table1[[#This Row],[Coupon Frequency2]]</f>
        <v>6.6997190010652699E-2</v>
      </c>
      <c r="AM104" s="5">
        <f t="shared" si="6"/>
        <v>-9780935.049761558</v>
      </c>
      <c r="AN104" t="s">
        <v>64</v>
      </c>
      <c r="AO104" t="s">
        <v>62</v>
      </c>
      <c r="AP104">
        <f t="shared" si="7"/>
        <v>1</v>
      </c>
    </row>
    <row r="105" spans="1:42" x14ac:dyDescent="0.35">
      <c r="A105" s="48" t="s">
        <v>118</v>
      </c>
      <c r="B105" s="49" t="s">
        <v>2383</v>
      </c>
      <c r="C105" s="49" t="s">
        <v>2273</v>
      </c>
      <c r="D105" s="50">
        <v>44053</v>
      </c>
      <c r="E105" s="50">
        <v>49531</v>
      </c>
      <c r="F105" s="49">
        <v>1000000</v>
      </c>
      <c r="G105" s="49" t="s">
        <v>76</v>
      </c>
      <c r="H105" s="49">
        <v>1046331.8</v>
      </c>
      <c r="I105" s="49" t="s">
        <v>76</v>
      </c>
      <c r="J105" s="49">
        <v>104.63318</v>
      </c>
      <c r="K105" s="49">
        <v>2</v>
      </c>
      <c r="L105" s="51">
        <v>7.2000000000000008E-2</v>
      </c>
      <c r="M105" s="49" t="s">
        <v>93</v>
      </c>
      <c r="N105" s="49">
        <v>3614</v>
      </c>
      <c r="O105" s="49">
        <v>6.8811824318060397</v>
      </c>
      <c r="P105" s="49" t="s">
        <v>2282</v>
      </c>
      <c r="Q105" s="49"/>
      <c r="R105" s="49" t="s">
        <v>2275</v>
      </c>
      <c r="S105">
        <f t="shared" si="4"/>
        <v>15</v>
      </c>
      <c r="T105" s="5" cm="1">
        <f t="array" ref="T1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5">
        <f>Table1[[#This Row],[Term to Maturity (Years)]]*Table1[[#This Row],[Coupon Frequency2]]</f>
        <v>15</v>
      </c>
      <c r="V105">
        <f>Table1[[#This Row],[Face value]]*Table1[[#This Row],[Current coupon %]]</f>
        <v>72000.000000000015</v>
      </c>
      <c r="W105" s="36">
        <f>RATE(Table1[[#This Row],[Total No. of Coupons]],Table1[[#This Row],[Coupon Amount]],-Table1[[#This Row],[Ask Price]],Table1[[#This Row],[Face value]])</f>
        <v>6.7008705612266906E-2</v>
      </c>
      <c r="X105" s="27">
        <f>Table1[[#This Row],[IRR]]*Table1[[#This Row],[Coupon Frequency2]]</f>
        <v>6.7008705612266906E-2</v>
      </c>
      <c r="Y105" s="19" cm="1">
        <f t="array" ref="Y1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5" s="33">
        <f>DURATION(Table1[[#This Row],[Issue date]],Table1[[#This Row],[Maturity date]],Table1[[#This Row],[Current coupon %]],Table1[[#This Row],[Yield (Annualised)]],Table1[[#This Row],[Coupon Frequency2]])</f>
        <v>9.7674192488674603</v>
      </c>
      <c r="AA105" s="33">
        <f>Table1[[#This Row],[Macaulay Duration in Years]]/(1+Table1[[#This Row],[IRR]])</f>
        <v>9.1540202038583729</v>
      </c>
      <c r="AB105" s="58">
        <f>VLOOKUP(Table1[[#This Row],[Yield Cluster]],'Cluster Details'!$B$3:$C$16,2,0)</f>
        <v>7.8548801574189142E-2</v>
      </c>
      <c r="AC105" s="78">
        <f>PRICE(Table1[[#This Row],[Issue date]],Table1[[#This Row],[Maturity date]],Table1[[#This Row],[Current coupon %]],Table1[[#This Row],[Average Cluster Yield]],100,Table1[[#This Row],[Coupon Frequency2]])*Table1[[#This Row],[Face value]]/100</f>
        <v>943445.53715264262</v>
      </c>
      <c r="AD105" s="58" t="str">
        <f>IF(Table1[[#This Row],[Ask Price]]&gt;Table1[[#This Row],[Calculated Bond Price]],"Rich","Cheap")</f>
        <v>Rich</v>
      </c>
      <c r="AE10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956333.80308536126</v>
      </c>
      <c r="AF10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1148487.672725681</v>
      </c>
      <c r="AG105" s="78">
        <f>(Table1[[#This Row],[P (+ shock)]]+Table1[[#This Row],[P (-shock)]]-2*Table1[[#This Row],[Ask Price]])/(2*Table1[[#This Row],[Ask Price]]*($AF$2^2))</f>
        <v>58.097612110433147</v>
      </c>
      <c r="AH105">
        <v>11.9288144255801</v>
      </c>
      <c r="AI105" s="6">
        <f t="shared" si="5"/>
        <v>6.8811824318060502E-2</v>
      </c>
      <c r="AK105" s="47">
        <f>RATE(Table1[[#This Row],[Total No. of Coupons]],Table1[[#This Row],[Coupon Amount]],-Table1[[#This Row],[Ask Price]],Table1[[#This Row],[Face value]])</f>
        <v>6.7008705612266906E-2</v>
      </c>
      <c r="AL105" s="27">
        <f>Table1[[#This Row],[IRR]]*Table1[[#This Row],[Coupon Frequency2]]</f>
        <v>6.7008705612266906E-2</v>
      </c>
      <c r="AM105" s="5">
        <f t="shared" si="6"/>
        <v>-9578142.4371394981</v>
      </c>
      <c r="AN105" t="s">
        <v>64</v>
      </c>
      <c r="AO105" t="s">
        <v>62</v>
      </c>
      <c r="AP105">
        <f t="shared" si="7"/>
        <v>1</v>
      </c>
    </row>
    <row r="106" spans="1:42" x14ac:dyDescent="0.35">
      <c r="A106" s="48" t="s">
        <v>506</v>
      </c>
      <c r="B106" s="49" t="s">
        <v>2384</v>
      </c>
      <c r="C106" s="49" t="s">
        <v>2273</v>
      </c>
      <c r="D106" s="50">
        <v>43886</v>
      </c>
      <c r="E106" s="50">
        <v>47539</v>
      </c>
      <c r="F106" s="49">
        <v>1000000</v>
      </c>
      <c r="G106" s="49" t="s">
        <v>76</v>
      </c>
      <c r="H106" s="49">
        <v>1048986.3999999999</v>
      </c>
      <c r="I106" s="49" t="s">
        <v>76</v>
      </c>
      <c r="J106" s="49">
        <v>104.89864</v>
      </c>
      <c r="K106" s="49">
        <v>1</v>
      </c>
      <c r="L106" s="51">
        <v>7.4099999999999999E-2</v>
      </c>
      <c r="M106" s="49" t="s">
        <v>93</v>
      </c>
      <c r="N106" s="49">
        <v>1622</v>
      </c>
      <c r="O106" s="49">
        <v>7.06396193506417</v>
      </c>
      <c r="P106" s="49" t="s">
        <v>2282</v>
      </c>
      <c r="Q106" s="49"/>
      <c r="R106" s="49" t="s">
        <v>2275</v>
      </c>
      <c r="S106">
        <f t="shared" si="4"/>
        <v>10</v>
      </c>
      <c r="T106" s="5" cm="1">
        <f t="array" ref="T1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6">
        <f>Table1[[#This Row],[Term to Maturity (Years)]]*Table1[[#This Row],[Coupon Frequency2]]</f>
        <v>10</v>
      </c>
      <c r="V106">
        <f>Table1[[#This Row],[Face value]]*Table1[[#This Row],[Current coupon %]]</f>
        <v>74100</v>
      </c>
      <c r="W106" s="36">
        <f>RATE(Table1[[#This Row],[Total No. of Coupons]],Table1[[#This Row],[Coupon Amount]],-Table1[[#This Row],[Ask Price]],Table1[[#This Row],[Face value]])</f>
        <v>6.7214956873998283E-2</v>
      </c>
      <c r="X106" s="27">
        <f>Table1[[#This Row],[IRR]]*Table1[[#This Row],[Coupon Frequency2]]</f>
        <v>6.7214956873998283E-2</v>
      </c>
      <c r="Y106" s="19" cm="1">
        <f t="array" ref="Y1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6" s="33">
        <f>DURATION(Table1[[#This Row],[Issue date]],Table1[[#This Row],[Maturity date]],Table1[[#This Row],[Current coupon %]],Table1[[#This Row],[Yield (Annualised)]],Table1[[#This Row],[Coupon Frequency2]])</f>
        <v>7.4704964745013633</v>
      </c>
      <c r="AA106" s="33">
        <f>Table1[[#This Row],[Macaulay Duration in Years]]/(1+Table1[[#This Row],[IRR]])</f>
        <v>6.999992294320303</v>
      </c>
      <c r="AB106" s="58">
        <f>VLOOKUP(Table1[[#This Row],[Yield Cluster]],'Cluster Details'!$B$3:$C$16,2,0)</f>
        <v>7.8548801574189142E-2</v>
      </c>
      <c r="AC106" s="78">
        <f>PRICE(Table1[[#This Row],[Issue date]],Table1[[#This Row],[Maturity date]],Table1[[#This Row],[Current coupon %]],Table1[[#This Row],[Average Cluster Yield]],100,Table1[[#This Row],[Coupon Frequency2]])*Table1[[#This Row],[Face value]]/100</f>
        <v>969951.79059310781</v>
      </c>
      <c r="AD106" s="58" t="str">
        <f>IF(Table1[[#This Row],[Ask Price]]&gt;Table1[[#This Row],[Calculated Bond Price]],"Rich","Cheap")</f>
        <v>Rich</v>
      </c>
      <c r="AE10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978833.25750709593</v>
      </c>
      <c r="AF10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1125931.76739101</v>
      </c>
      <c r="AG106" s="78">
        <f>(Table1[[#This Row],[P (+ shock)]]+Table1[[#This Row],[P (-shock)]]-2*Table1[[#This Row],[Ask Price]])/(2*Table1[[#This Row],[Ask Price]]*($AF$2^2))</f>
        <v>32.375180927540875</v>
      </c>
      <c r="AH106">
        <v>-0.112688466685607</v>
      </c>
      <c r="AI106" s="6">
        <f t="shared" si="5"/>
        <v>7.0639619350641725E-2</v>
      </c>
      <c r="AK106" s="47">
        <f>RATE(Table1[[#This Row],[Total No. of Coupons]],Table1[[#This Row],[Coupon Amount]],-Table1[[#This Row],[Ask Price]],Table1[[#This Row],[Face value]])</f>
        <v>6.7214956873998283E-2</v>
      </c>
      <c r="AL106" s="27">
        <f>Table1[[#This Row],[IRR]]*Table1[[#This Row],[Coupon Frequency2]]</f>
        <v>6.7214956873998283E-2</v>
      </c>
      <c r="AM106" s="5">
        <f t="shared" si="6"/>
        <v>-7342896.7168467948</v>
      </c>
      <c r="AN106" t="s">
        <v>64</v>
      </c>
      <c r="AO106" t="s">
        <v>62</v>
      </c>
      <c r="AP106">
        <f t="shared" si="7"/>
        <v>1</v>
      </c>
    </row>
    <row r="107" spans="1:42" x14ac:dyDescent="0.35">
      <c r="A107" s="48" t="s">
        <v>1576</v>
      </c>
      <c r="B107" s="49" t="s">
        <v>2385</v>
      </c>
      <c r="C107" s="49" t="s">
        <v>2273</v>
      </c>
      <c r="D107" s="50">
        <v>45573</v>
      </c>
      <c r="E107" s="50">
        <v>46303</v>
      </c>
      <c r="F107" s="49">
        <v>1000</v>
      </c>
      <c r="G107" s="49" t="s">
        <v>76</v>
      </c>
      <c r="H107" s="49">
        <v>1050.2</v>
      </c>
      <c r="I107" s="49" t="s">
        <v>76</v>
      </c>
      <c r="J107" s="49">
        <v>105.02</v>
      </c>
      <c r="K107" s="49">
        <v>10</v>
      </c>
      <c r="L107" s="51">
        <v>9.5000000000000001E-2</v>
      </c>
      <c r="M107" s="49" t="s">
        <v>93</v>
      </c>
      <c r="N107" s="49">
        <v>386</v>
      </c>
      <c r="O107" s="49">
        <v>9.0458960198057508</v>
      </c>
      <c r="P107" s="49"/>
      <c r="Q107" s="49"/>
      <c r="R107" s="49" t="s">
        <v>2275</v>
      </c>
      <c r="S107">
        <f t="shared" si="4"/>
        <v>2</v>
      </c>
      <c r="T107" s="5" cm="1">
        <f t="array" ref="T1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7">
        <f>Table1[[#This Row],[Term to Maturity (Years)]]*Table1[[#This Row],[Coupon Frequency2]]</f>
        <v>2</v>
      </c>
      <c r="V107">
        <f>Table1[[#This Row],[Face value]]*Table1[[#This Row],[Current coupon %]]</f>
        <v>95</v>
      </c>
      <c r="W107" s="36">
        <f>RATE(Table1[[#This Row],[Total No. of Coupons]],Table1[[#This Row],[Coupon Amount]],-Table1[[#This Row],[Ask Price]],Table1[[#This Row],[Face value]])</f>
        <v>6.73372274037288E-2</v>
      </c>
      <c r="X107" s="27">
        <f>Table1[[#This Row],[IRR]]*Table1[[#This Row],[Coupon Frequency2]]</f>
        <v>6.73372274037288E-2</v>
      </c>
      <c r="Y107" s="19" cm="1">
        <f t="array" ref="Y1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7" s="33">
        <f>DURATION(Table1[[#This Row],[Issue date]],Table1[[#This Row],[Maturity date]],Table1[[#This Row],[Current coupon %]],Table1[[#This Row],[Yield (Annualised)]],Table1[[#This Row],[Coupon Frequency2]])</f>
        <v>1.9152480042150331</v>
      </c>
      <c r="AA107" s="33">
        <f>Table1[[#This Row],[Macaulay Duration in Years]]/(1+Table1[[#This Row],[IRR]])</f>
        <v>1.7944169425007561</v>
      </c>
      <c r="AB107" s="58">
        <f>VLOOKUP(Table1[[#This Row],[Yield Cluster]],'Cluster Details'!$B$3:$C$16,2,0)</f>
        <v>7.8548801574189142E-2</v>
      </c>
      <c r="AC107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1029.3953181547861</v>
      </c>
      <c r="AD107" s="58" t="str">
        <f>IF(Table1[[#This Row],[Ask Price]]&gt;Table1[[#This Row],[Calculated Bond Price]],"Rich","Cheap")</f>
        <v>Rich</v>
      </c>
      <c r="AE10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1031.6127696843741</v>
      </c>
      <c r="AF10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1069.309174449925</v>
      </c>
      <c r="AG107" s="78">
        <f>(Table1[[#This Row],[P (+ shock)]]+Table1[[#This Row],[P (-shock)]]-2*Table1[[#This Row],[Ask Price]])/(2*Table1[[#This Row],[Ask Price]]*($AF$2^2))</f>
        <v>2.4849749300097446</v>
      </c>
      <c r="AH107">
        <v>12.1356128873319</v>
      </c>
      <c r="AI107" s="6">
        <f t="shared" si="5"/>
        <v>9.0458960198057506E-2</v>
      </c>
      <c r="AK107" s="47">
        <f>RATE(Table1[[#This Row],[Total No. of Coupons]],Table1[[#This Row],[Coupon Amount]],-Table1[[#This Row],[Ask Price]],Table1[[#This Row],[Face value]])</f>
        <v>6.73372274037288E-2</v>
      </c>
      <c r="AL107" s="27">
        <f>Table1[[#This Row],[IRR]]*Table1[[#This Row],[Coupon Frequency2]]</f>
        <v>6.73372274037288E-2</v>
      </c>
      <c r="AM107" s="5">
        <f t="shared" si="6"/>
        <v>-1884.4966730142942</v>
      </c>
      <c r="AN107" t="s">
        <v>64</v>
      </c>
      <c r="AO107" t="s">
        <v>62</v>
      </c>
      <c r="AP107">
        <f t="shared" si="7"/>
        <v>1</v>
      </c>
    </row>
    <row r="108" spans="1:42" x14ac:dyDescent="0.35">
      <c r="A108" s="48" t="s">
        <v>1108</v>
      </c>
      <c r="B108" s="49" t="s">
        <v>2386</v>
      </c>
      <c r="C108" s="49" t="s">
        <v>2273</v>
      </c>
      <c r="D108" s="50">
        <v>43061</v>
      </c>
      <c r="E108" s="50">
        <v>46713</v>
      </c>
      <c r="F108" s="49">
        <v>1000000</v>
      </c>
      <c r="G108" s="49" t="s">
        <v>76</v>
      </c>
      <c r="H108" s="49">
        <v>1065000</v>
      </c>
      <c r="I108" s="49" t="s">
        <v>76</v>
      </c>
      <c r="J108" s="49">
        <v>106.5</v>
      </c>
      <c r="K108" s="49">
        <v>2</v>
      </c>
      <c r="L108" s="51">
        <v>7.6499999999999999E-2</v>
      </c>
      <c r="M108" s="49" t="s">
        <v>93</v>
      </c>
      <c r="N108" s="49">
        <v>796</v>
      </c>
      <c r="O108" s="49">
        <v>7.1830985915492898</v>
      </c>
      <c r="P108" s="49" t="s">
        <v>2282</v>
      </c>
      <c r="Q108" s="49"/>
      <c r="R108" s="49" t="s">
        <v>2275</v>
      </c>
      <c r="S108">
        <f t="shared" si="4"/>
        <v>10</v>
      </c>
      <c r="T108" s="5" cm="1">
        <f t="array" ref="T1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8">
        <f>Table1[[#This Row],[Term to Maturity (Years)]]*Table1[[#This Row],[Coupon Frequency2]]</f>
        <v>10</v>
      </c>
      <c r="V108">
        <f>Table1[[#This Row],[Face value]]*Table1[[#This Row],[Current coupon %]]</f>
        <v>76500</v>
      </c>
      <c r="W108" s="36">
        <f>RATE(Table1[[#This Row],[Total No. of Coupons]],Table1[[#This Row],[Coupon Amount]],-Table1[[#This Row],[Ask Price]],Table1[[#This Row],[Face value]])</f>
        <v>6.7358154149375724E-2</v>
      </c>
      <c r="X108" s="27">
        <f>Table1[[#This Row],[IRR]]*Table1[[#This Row],[Coupon Frequency2]]</f>
        <v>6.7358154149375724E-2</v>
      </c>
      <c r="Y108" s="19" cm="1">
        <f t="array" ref="Y1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8" s="33">
        <f>DURATION(Table1[[#This Row],[Issue date]],Table1[[#This Row],[Maturity date]],Table1[[#This Row],[Current coupon %]],Table1[[#This Row],[Yield (Annualised)]],Table1[[#This Row],[Coupon Frequency2]])</f>
        <v>7.4289953437794569</v>
      </c>
      <c r="AA108" s="33">
        <f>Table1[[#This Row],[Macaulay Duration in Years]]/(1+Table1[[#This Row],[IRR]])</f>
        <v>6.9601710680703492</v>
      </c>
      <c r="AB108" s="58">
        <f>VLOOKUP(Table1[[#This Row],[Yield Cluster]],'Cluster Details'!$B$3:$C$16,2,0)</f>
        <v>7.8548801574189142E-2</v>
      </c>
      <c r="AC108" s="78">
        <f>PRICE(Table1[[#This Row],[Issue date]],Table1[[#This Row],[Maturity date]],Table1[[#This Row],[Current coupon %]],Table1[[#This Row],[Average Cluster Yield]],100,Table1[[#This Row],[Coupon Frequency2]])*Table1[[#This Row],[Face value]]/100</f>
        <v>986161.93199274689</v>
      </c>
      <c r="AD108" s="58" t="str">
        <f>IF(Table1[[#This Row],[Ask Price]]&gt;Table1[[#This Row],[Calculated Bond Price]],"Rich","Cheap")</f>
        <v>Rich</v>
      </c>
      <c r="AE10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994172.46462434204</v>
      </c>
      <c r="AF10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1142665.9457799359</v>
      </c>
      <c r="AG108" s="78">
        <f>(Table1[[#This Row],[P (+ shock)]]+Table1[[#This Row],[P (-shock)]]-2*Table1[[#This Row],[Ask Price]])/(2*Table1[[#This Row],[Ask Price]]*($AF$2^2))</f>
        <v>32.105213165624249</v>
      </c>
      <c r="AH108">
        <v>14.025504000620099</v>
      </c>
      <c r="AI108" s="6">
        <f t="shared" si="5"/>
        <v>7.1830985915492959E-2</v>
      </c>
      <c r="AK108" s="47">
        <f>RATE(Table1[[#This Row],[Total No. of Coupons]],Table1[[#This Row],[Coupon Amount]],-Table1[[#This Row],[Ask Price]],Table1[[#This Row],[Face value]])</f>
        <v>6.7358154149375724E-2</v>
      </c>
      <c r="AL108" s="27">
        <f>Table1[[#This Row],[IRR]]*Table1[[#This Row],[Coupon Frequency2]]</f>
        <v>6.7358154149375724E-2</v>
      </c>
      <c r="AM108" s="5">
        <f t="shared" si="6"/>
        <v>-7412582.1874949215</v>
      </c>
      <c r="AN108" t="s">
        <v>64</v>
      </c>
      <c r="AO108" t="s">
        <v>62</v>
      </c>
      <c r="AP108">
        <f t="shared" si="7"/>
        <v>1</v>
      </c>
    </row>
    <row r="109" spans="1:42" x14ac:dyDescent="0.35">
      <c r="A109" s="48" t="s">
        <v>1619</v>
      </c>
      <c r="B109" s="49" t="s">
        <v>2387</v>
      </c>
      <c r="C109" s="49" t="s">
        <v>2273</v>
      </c>
      <c r="D109" s="50">
        <v>45560</v>
      </c>
      <c r="E109" s="50">
        <v>46290</v>
      </c>
      <c r="F109" s="49">
        <v>1000</v>
      </c>
      <c r="G109" s="49" t="s">
        <v>76</v>
      </c>
      <c r="H109" s="49">
        <v>1045</v>
      </c>
      <c r="I109" s="49" t="s">
        <v>76</v>
      </c>
      <c r="J109" s="49">
        <v>104.5</v>
      </c>
      <c r="K109" s="49">
        <v>4</v>
      </c>
      <c r="L109" s="51">
        <v>9.2499999999999999E-2</v>
      </c>
      <c r="M109" s="49" t="s">
        <v>93</v>
      </c>
      <c r="N109" s="49">
        <v>373</v>
      </c>
      <c r="O109" s="49">
        <v>8.8516746411483194</v>
      </c>
      <c r="P109" s="49" t="s">
        <v>2279</v>
      </c>
      <c r="Q109" s="49"/>
      <c r="R109" s="49" t="s">
        <v>2275</v>
      </c>
      <c r="S109">
        <f t="shared" si="4"/>
        <v>2</v>
      </c>
      <c r="T109" s="5" cm="1">
        <f t="array" ref="T1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09">
        <f>Table1[[#This Row],[Term to Maturity (Years)]]*Table1[[#This Row],[Coupon Frequency2]]</f>
        <v>2</v>
      </c>
      <c r="V109">
        <f>Table1[[#This Row],[Face value]]*Table1[[#This Row],[Current coupon %]]</f>
        <v>92.5</v>
      </c>
      <c r="W109" s="36">
        <f>RATE(Table1[[#This Row],[Total No. of Coupons]],Table1[[#This Row],[Coupon Amount]],-Table1[[#This Row],[Ask Price]],Table1[[#This Row],[Face value]])</f>
        <v>6.7690515095657475E-2</v>
      </c>
      <c r="X109" s="27">
        <f>Table1[[#This Row],[IRR]]*Table1[[#This Row],[Coupon Frequency2]]</f>
        <v>6.7690515095657475E-2</v>
      </c>
      <c r="Y109" s="19" cm="1">
        <f t="array" ref="Y1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09" s="33">
        <f>DURATION(Table1[[#This Row],[Issue date]],Table1[[#This Row],[Maturity date]],Table1[[#This Row],[Current coupon %]],Table1[[#This Row],[Yield (Annualised)]],Table1[[#This Row],[Coupon Frequency2]])</f>
        <v>1.9170951271365804</v>
      </c>
      <c r="AA109" s="33">
        <f>Table1[[#This Row],[Macaulay Duration in Years]]/(1+Table1[[#This Row],[IRR]])</f>
        <v>1.7955532057572154</v>
      </c>
      <c r="AB109" s="58">
        <f>VLOOKUP(Table1[[#This Row],[Yield Cluster]],'Cluster Details'!$B$3:$C$16,2,0)</f>
        <v>7.8548801574189142E-2</v>
      </c>
      <c r="AC109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1024.9282700112499</v>
      </c>
      <c r="AD109" s="58" t="str">
        <f>IF(Table1[[#This Row],[Ask Price]]&gt;Table1[[#This Row],[Calculated Bond Price]],"Rich","Cheap")</f>
        <v>Rich</v>
      </c>
      <c r="AE10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1026.4930945478447</v>
      </c>
      <c r="AF10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1064.0265989374668</v>
      </c>
      <c r="AG109" s="78">
        <f>(Table1[[#This Row],[P (+ shock)]]+Table1[[#This Row],[P (-shock)]]-2*Table1[[#This Row],[Ask Price]])/(2*Table1[[#This Row],[Ask Price]]*($AF$2^2))</f>
        <v>2.486571700055328</v>
      </c>
      <c r="AH109">
        <v>6.9166265170807799</v>
      </c>
      <c r="AI109" s="6">
        <f t="shared" si="5"/>
        <v>8.8516746411483258E-2</v>
      </c>
      <c r="AK109" s="47">
        <f>RATE(Table1[[#This Row],[Total No. of Coupons]],Table1[[#This Row],[Coupon Amount]],-Table1[[#This Row],[Ask Price]],Table1[[#This Row],[Face value]])</f>
        <v>6.7690515095657475E-2</v>
      </c>
      <c r="AL109" s="27">
        <f>Table1[[#This Row],[IRR]]*Table1[[#This Row],[Coupon Frequency2]]</f>
        <v>6.7690515095657475E-2</v>
      </c>
      <c r="AM109" s="5">
        <f t="shared" si="6"/>
        <v>-1876.3531000162902</v>
      </c>
      <c r="AN109" t="s">
        <v>64</v>
      </c>
      <c r="AO109" t="s">
        <v>62</v>
      </c>
      <c r="AP109">
        <f t="shared" si="7"/>
        <v>1</v>
      </c>
    </row>
    <row r="110" spans="1:42" x14ac:dyDescent="0.35">
      <c r="A110" s="48" t="s">
        <v>710</v>
      </c>
      <c r="B110" s="49" t="s">
        <v>2388</v>
      </c>
      <c r="C110" s="49" t="s">
        <v>2273</v>
      </c>
      <c r="D110" s="50">
        <v>41723</v>
      </c>
      <c r="E110" s="50">
        <v>47202</v>
      </c>
      <c r="F110" s="49">
        <v>1000</v>
      </c>
      <c r="G110" s="49" t="s">
        <v>76</v>
      </c>
      <c r="H110" s="49">
        <v>1182</v>
      </c>
      <c r="I110" s="49" t="s">
        <v>76</v>
      </c>
      <c r="J110" s="49">
        <v>118.19999999999899</v>
      </c>
      <c r="K110" s="49">
        <v>2000</v>
      </c>
      <c r="L110" s="51">
        <v>8.7499999999999994E-2</v>
      </c>
      <c r="M110" s="49" t="s">
        <v>93</v>
      </c>
      <c r="N110" s="49">
        <v>1285</v>
      </c>
      <c r="O110" s="49">
        <v>7.4027072758037198</v>
      </c>
      <c r="P110" s="49"/>
      <c r="Q110" s="49"/>
      <c r="R110" s="49" t="s">
        <v>2275</v>
      </c>
      <c r="S110">
        <f t="shared" si="4"/>
        <v>15</v>
      </c>
      <c r="T110" s="5" cm="1">
        <f t="array" ref="T1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0">
        <f>Table1[[#This Row],[Term to Maturity (Years)]]*Table1[[#This Row],[Coupon Frequency2]]</f>
        <v>15</v>
      </c>
      <c r="V110">
        <f>Table1[[#This Row],[Face value]]*Table1[[#This Row],[Current coupon %]]</f>
        <v>87.5</v>
      </c>
      <c r="W110" s="36">
        <f>RATE(Table1[[#This Row],[Total No. of Coupons]],Table1[[#This Row],[Coupon Amount]],-Table1[[#This Row],[Ask Price]],Table1[[#This Row],[Face value]])</f>
        <v>6.7794802533168025E-2</v>
      </c>
      <c r="X110" s="27">
        <f>Table1[[#This Row],[IRR]]*Table1[[#This Row],[Coupon Frequency2]]</f>
        <v>6.7794802533168025E-2</v>
      </c>
      <c r="Y110" s="19" cm="1">
        <f t="array" ref="Y1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0" s="33">
        <f>DURATION(Table1[[#This Row],[Issue date]],Table1[[#This Row],[Maturity date]],Table1[[#This Row],[Current coupon %]],Table1[[#This Row],[Yield (Annualised)]],Table1[[#This Row],[Coupon Frequency2]])</f>
        <v>9.3900039846561256</v>
      </c>
      <c r="AA110" s="33">
        <f>Table1[[#This Row],[Macaulay Duration in Years]]/(1+Table1[[#This Row],[IRR]])</f>
        <v>8.7938281422421998</v>
      </c>
      <c r="AB110" s="58">
        <f>VLOOKUP(Table1[[#This Row],[Yield Cluster]],'Cluster Details'!$B$3:$C$16,2,0)</f>
        <v>7.8548801574189142E-2</v>
      </c>
      <c r="AC110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1077.301199780899</v>
      </c>
      <c r="AD110" s="58" t="str">
        <f>IF(Table1[[#This Row],[Ask Price]]&gt;Table1[[#This Row],[Calculated Bond Price]],"Rich","Cheap")</f>
        <v>Rich</v>
      </c>
      <c r="AE1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1084.201780478558</v>
      </c>
      <c r="AF1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1292.7071266341545</v>
      </c>
      <c r="AG110" s="78">
        <f>(Table1[[#This Row],[P (+ shock)]]+Table1[[#This Row],[P (-shock)]]-2*Table1[[#This Row],[Ask Price]])/(2*Table1[[#This Row],[Ask Price]]*($AF$2^2))</f>
        <v>54.606206060544707</v>
      </c>
      <c r="AH110">
        <v>0.37583974028388401</v>
      </c>
      <c r="AI110" s="6">
        <f t="shared" si="5"/>
        <v>7.402707275803723E-2</v>
      </c>
      <c r="AK110" s="47">
        <f>RATE(Table1[[#This Row],[Total No. of Coupons]],Table1[[#This Row],[Coupon Amount]],-Table1[[#This Row],[Ask Price]],Table1[[#This Row],[Face value]])</f>
        <v>6.7794802533168025E-2</v>
      </c>
      <c r="AL110" s="27">
        <f>Table1[[#This Row],[IRR]]*Table1[[#This Row],[Coupon Frequency2]]</f>
        <v>6.7794802533168025E-2</v>
      </c>
      <c r="AM110" s="5">
        <f t="shared" si="6"/>
        <v>-10394.304864130279</v>
      </c>
      <c r="AN110" t="s">
        <v>64</v>
      </c>
      <c r="AO110" t="s">
        <v>62</v>
      </c>
      <c r="AP110">
        <f t="shared" si="7"/>
        <v>1</v>
      </c>
    </row>
    <row r="111" spans="1:42" x14ac:dyDescent="0.35">
      <c r="A111" s="48" t="s">
        <v>1102</v>
      </c>
      <c r="B111" s="49" t="s">
        <v>2389</v>
      </c>
      <c r="C111" s="49" t="s">
        <v>2273</v>
      </c>
      <c r="D111" s="50">
        <v>41243</v>
      </c>
      <c r="E111" s="50">
        <v>46721</v>
      </c>
      <c r="F111" s="49">
        <v>1000000</v>
      </c>
      <c r="G111" s="49" t="s">
        <v>76</v>
      </c>
      <c r="H111" s="49">
        <v>1053641.01</v>
      </c>
      <c r="I111" s="49" t="s">
        <v>76</v>
      </c>
      <c r="J111" s="49">
        <v>105.36410100000001</v>
      </c>
      <c r="K111" s="49">
        <v>2</v>
      </c>
      <c r="L111" s="51">
        <v>7.3800000000000004E-2</v>
      </c>
      <c r="M111" s="49" t="s">
        <v>93</v>
      </c>
      <c r="N111" s="49">
        <v>804</v>
      </c>
      <c r="O111" s="49">
        <v>7.0042831761075801</v>
      </c>
      <c r="P111" s="49" t="s">
        <v>2274</v>
      </c>
      <c r="Q111" s="49"/>
      <c r="R111" s="49" t="s">
        <v>2275</v>
      </c>
      <c r="S111">
        <f t="shared" si="4"/>
        <v>15</v>
      </c>
      <c r="T111" s="5" cm="1">
        <f t="array" ref="T1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1">
        <f>Table1[[#This Row],[Term to Maturity (Years)]]*Table1[[#This Row],[Coupon Frequency2]]</f>
        <v>15</v>
      </c>
      <c r="V111">
        <f>Table1[[#This Row],[Face value]]*Table1[[#This Row],[Current coupon %]]</f>
        <v>73800</v>
      </c>
      <c r="W111" s="36">
        <f>RATE(Table1[[#This Row],[Total No. of Coupons]],Table1[[#This Row],[Coupon Amount]],-Table1[[#This Row],[Ask Price]],Table1[[#This Row],[Face value]])</f>
        <v>6.7985231119525383E-2</v>
      </c>
      <c r="X111" s="27">
        <f>Table1[[#This Row],[IRR]]*Table1[[#This Row],[Coupon Frequency2]]</f>
        <v>6.7985231119525383E-2</v>
      </c>
      <c r="Y111" s="19" cm="1">
        <f t="array" ref="Y1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1" s="33">
        <f>DURATION(Table1[[#This Row],[Issue date]],Table1[[#This Row],[Maturity date]],Table1[[#This Row],[Current coupon %]],Table1[[#This Row],[Yield (Annualised)]],Table1[[#This Row],[Coupon Frequency2]])</f>
        <v>9.6963183265834179</v>
      </c>
      <c r="AA111" s="33">
        <f>Table1[[#This Row],[Macaulay Duration in Years]]/(1+Table1[[#This Row],[IRR]])</f>
        <v>9.0790752943457491</v>
      </c>
      <c r="AB111" s="58">
        <f>VLOOKUP(Table1[[#This Row],[Yield Cluster]],'Cluster Details'!$B$3:$C$16,2,0)</f>
        <v>7.8548801574189142E-2</v>
      </c>
      <c r="AC111" s="78">
        <f>PRICE(Table1[[#This Row],[Issue date]],Table1[[#This Row],[Maturity date]],Table1[[#This Row],[Current coupon %]],Table1[[#This Row],[Average Cluster Yield]],100,Table1[[#This Row],[Coupon Frequency2]])*Table1[[#This Row],[Face value]]/100</f>
        <v>958990.06571592391</v>
      </c>
      <c r="AD111" s="58" t="str">
        <f>IF(Table1[[#This Row],[Ask Price]]&gt;Table1[[#This Row],[Calculated Bond Price]],"Rich","Cheap")</f>
        <v>Rich</v>
      </c>
      <c r="AE1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963731.65388987376</v>
      </c>
      <c r="AF1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1155639.365283391</v>
      </c>
      <c r="AG111" s="78">
        <f>(Table1[[#This Row],[P (+ shock)]]+Table1[[#This Row],[P (-shock)]]-2*Table1[[#This Row],[Ask Price]])/(2*Table1[[#This Row],[Ask Price]]*($AF$2^2))</f>
        <v>57.367732740701143</v>
      </c>
      <c r="AI111" s="6">
        <f t="shared" si="5"/>
        <v>7.0042831761075813E-2</v>
      </c>
      <c r="AK111" s="47">
        <f>RATE(Table1[[#This Row],[Total No. of Coupons]],Table1[[#This Row],[Coupon Amount]],-Table1[[#This Row],[Ask Price]],Table1[[#This Row],[Face value]])</f>
        <v>6.7985231119525383E-2</v>
      </c>
      <c r="AL111" s="27">
        <f>Table1[[#This Row],[IRR]]*Table1[[#This Row],[Coupon Frequency2]]</f>
        <v>6.7985231119525383E-2</v>
      </c>
      <c r="AM111" s="5">
        <f t="shared" si="6"/>
        <v>-9566086.0630005021</v>
      </c>
      <c r="AN111" t="s">
        <v>64</v>
      </c>
      <c r="AO111" t="s">
        <v>62</v>
      </c>
      <c r="AP111">
        <f t="shared" si="7"/>
        <v>1</v>
      </c>
    </row>
    <row r="112" spans="1:42" x14ac:dyDescent="0.35">
      <c r="A112" s="48" t="s">
        <v>2039</v>
      </c>
      <c r="B112" s="49" t="s">
        <v>2390</v>
      </c>
      <c r="C112" s="49" t="s">
        <v>2273</v>
      </c>
      <c r="D112" s="50">
        <v>45281</v>
      </c>
      <c r="E112" s="50">
        <v>46012</v>
      </c>
      <c r="F112" s="49">
        <v>1000</v>
      </c>
      <c r="G112" s="49" t="s">
        <v>76</v>
      </c>
      <c r="H112" s="49">
        <v>1050.5</v>
      </c>
      <c r="I112" s="49" t="s">
        <v>76</v>
      </c>
      <c r="J112" s="49">
        <v>105.05</v>
      </c>
      <c r="K112" s="49">
        <v>30</v>
      </c>
      <c r="L112" s="51">
        <v>9.6000000000000002E-2</v>
      </c>
      <c r="M112" s="49" t="s">
        <v>93</v>
      </c>
      <c r="N112" s="49">
        <v>95</v>
      </c>
      <c r="O112" s="49">
        <v>9.1385054735840008</v>
      </c>
      <c r="P112" s="49"/>
      <c r="Q112" s="49"/>
      <c r="R112" s="49" t="s">
        <v>2275</v>
      </c>
      <c r="S112">
        <f t="shared" si="4"/>
        <v>2</v>
      </c>
      <c r="T112" s="5" cm="1">
        <f t="array" ref="T1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2">
        <f>Table1[[#This Row],[Term to Maturity (Years)]]*Table1[[#This Row],[Coupon Frequency2]]</f>
        <v>2</v>
      </c>
      <c r="V112">
        <f>Table1[[#This Row],[Face value]]*Table1[[#This Row],[Current coupon %]]</f>
        <v>96</v>
      </c>
      <c r="W112" s="36">
        <f>RATE(Table1[[#This Row],[Total No. of Coupons]],Table1[[#This Row],[Coupon Amount]],-Table1[[#This Row],[Ask Price]],Table1[[#This Row],[Face value]])</f>
        <v>6.814082204665696E-2</v>
      </c>
      <c r="X112" s="27">
        <f>Table1[[#This Row],[IRR]]*Table1[[#This Row],[Coupon Frequency2]]</f>
        <v>6.814082204665696E-2</v>
      </c>
      <c r="Y112" s="19" cm="1">
        <f t="array" ref="Y1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2" s="33">
        <f>DURATION(Table1[[#This Row],[Issue date]],Table1[[#This Row],[Maturity date]],Table1[[#This Row],[Current coupon %]],Table1[[#This Row],[Yield (Annualised)]],Table1[[#This Row],[Coupon Frequency2]])</f>
        <v>1.9144447503085416</v>
      </c>
      <c r="AA112" s="33">
        <f>Table1[[#This Row],[Macaulay Duration in Years]]/(1+Table1[[#This Row],[IRR]])</f>
        <v>1.7923149371262561</v>
      </c>
      <c r="AB112" s="58">
        <f>VLOOKUP(Table1[[#This Row],[Yield Cluster]],'Cluster Details'!$B$3:$C$16,2,0)</f>
        <v>7.8548801574189142E-2</v>
      </c>
      <c r="AC11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1031.1821374122003</v>
      </c>
      <c r="AD112" s="58" t="str">
        <f>IF(Table1[[#This Row],[Ask Price]]&gt;Table1[[#This Row],[Calculated Bond Price]],"Rich","Cheap")</f>
        <v>Rich</v>
      </c>
      <c r="AE1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1031.9290103628869</v>
      </c>
      <c r="AF1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1069.5920015905699</v>
      </c>
      <c r="AG112" s="78">
        <f>(Table1[[#This Row],[P (+ shock)]]+Table1[[#This Row],[P (-shock)]]-2*Table1[[#This Row],[Ask Price]])/(2*Table1[[#This Row],[Ask Price]]*($AF$2^2))</f>
        <v>2.4798284314934023</v>
      </c>
      <c r="AH112">
        <v>-3.7861161144305502</v>
      </c>
      <c r="AI112" s="6">
        <f t="shared" si="5"/>
        <v>9.1385054735840077E-2</v>
      </c>
      <c r="AK112" s="47">
        <f>RATE(Table1[[#This Row],[Total No. of Coupons]],Table1[[#This Row],[Coupon Amount]],-Table1[[#This Row],[Ask Price]],Table1[[#This Row],[Face value]])</f>
        <v>6.814082204665696E-2</v>
      </c>
      <c r="AL112" s="27">
        <f>Table1[[#This Row],[IRR]]*Table1[[#This Row],[Coupon Frequency2]]</f>
        <v>6.814082204665696E-2</v>
      </c>
      <c r="AM112" s="5">
        <f t="shared" si="6"/>
        <v>-1882.8268414511319</v>
      </c>
      <c r="AN112" t="s">
        <v>64</v>
      </c>
      <c r="AO112" t="s">
        <v>62</v>
      </c>
      <c r="AP112">
        <f t="shared" si="7"/>
        <v>1</v>
      </c>
    </row>
    <row r="113" spans="1:42" x14ac:dyDescent="0.35">
      <c r="A113" s="48" t="s">
        <v>386</v>
      </c>
      <c r="B113" s="49" t="s">
        <v>2391</v>
      </c>
      <c r="C113" s="49" t="s">
        <v>2273</v>
      </c>
      <c r="D113" s="50">
        <v>44218</v>
      </c>
      <c r="E113" s="50">
        <v>47870</v>
      </c>
      <c r="F113" s="49">
        <v>1000</v>
      </c>
      <c r="G113" s="49" t="s">
        <v>76</v>
      </c>
      <c r="H113" s="49">
        <v>1013</v>
      </c>
      <c r="I113" s="49" t="s">
        <v>76</v>
      </c>
      <c r="J113" s="49">
        <v>101.299999999999</v>
      </c>
      <c r="K113" s="49">
        <v>1</v>
      </c>
      <c r="L113" s="51">
        <v>7.0000000000000007E-2</v>
      </c>
      <c r="M113" s="49" t="s">
        <v>93</v>
      </c>
      <c r="N113" s="49">
        <v>1953</v>
      </c>
      <c r="O113" s="49">
        <v>6.9101678183613</v>
      </c>
      <c r="P113" s="49" t="s">
        <v>2282</v>
      </c>
      <c r="Q113" s="49"/>
      <c r="R113" s="49" t="s">
        <v>2275</v>
      </c>
      <c r="S113">
        <f t="shared" si="4"/>
        <v>10</v>
      </c>
      <c r="T113" s="5" cm="1">
        <f t="array" ref="T1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3">
        <f>Table1[[#This Row],[Term to Maturity (Years)]]*Table1[[#This Row],[Coupon Frequency2]]</f>
        <v>10</v>
      </c>
      <c r="V113">
        <f>Table1[[#This Row],[Face value]]*Table1[[#This Row],[Current coupon %]]</f>
        <v>70</v>
      </c>
      <c r="W113" s="36">
        <f>RATE(Table1[[#This Row],[Total No. of Coupons]],Table1[[#This Row],[Coupon Amount]],-Table1[[#This Row],[Ask Price]],Table1[[#This Row],[Face value]])</f>
        <v>6.8164763173703055E-2</v>
      </c>
      <c r="X113" s="27">
        <f>Table1[[#This Row],[IRR]]*Table1[[#This Row],[Coupon Frequency2]]</f>
        <v>6.8164763173703055E-2</v>
      </c>
      <c r="Y113" s="19" cm="1">
        <f t="array" ref="Y1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3" s="33">
        <f>DURATION(Table1[[#This Row],[Issue date]],Table1[[#This Row],[Maturity date]],Table1[[#This Row],[Current coupon %]],Table1[[#This Row],[Yield (Annualised)]],Table1[[#This Row],[Coupon Frequency2]])</f>
        <v>7.5329538169229027</v>
      </c>
      <c r="AA113" s="33">
        <f>Table1[[#This Row],[Macaulay Duration in Years]]/(1+Table1[[#This Row],[IRR]])</f>
        <v>7.0522395763563557</v>
      </c>
      <c r="AB113" s="58">
        <f>VLOOKUP(Table1[[#This Row],[Yield Cluster]],'Cluster Details'!$B$3:$C$16,2,0)</f>
        <v>7.8548801574189142E-2</v>
      </c>
      <c r="AC113" s="78">
        <f>PRICE(Table1[[#This Row],[Issue date]],Table1[[#This Row],[Maturity date]],Table1[[#This Row],[Current coupon %]],Table1[[#This Row],[Average Cluster Yield]],100,Table1[[#This Row],[Coupon Frequency2]])*Table1[[#This Row],[Face value]]/100</f>
        <v>942.2594657020577</v>
      </c>
      <c r="AD113" s="58" t="str">
        <f>IF(Table1[[#This Row],[Ask Price]]&gt;Table1[[#This Row],[Calculated Bond Price]],"Rich","Cheap")</f>
        <v>Rich</v>
      </c>
      <c r="AE1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944.75735422840557</v>
      </c>
      <c r="AF1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1087.8708049181266</v>
      </c>
      <c r="AG113" s="78">
        <f>(Table1[[#This Row],[P (+ shock)]]+Table1[[#This Row],[P (-shock)]]-2*Table1[[#This Row],[Ask Price]])/(2*Table1[[#This Row],[Ask Price]]*($AF$2^2))</f>
        <v>32.715494306674223</v>
      </c>
      <c r="AI113" s="6">
        <f t="shared" si="5"/>
        <v>6.9101678183613027E-2</v>
      </c>
      <c r="AK113" s="47">
        <f>RATE(Table1[[#This Row],[Total No. of Coupons]],Table1[[#This Row],[Coupon Amount]],-Table1[[#This Row],[Ask Price]],Table1[[#This Row],[Face value]])</f>
        <v>6.8164763173703055E-2</v>
      </c>
      <c r="AL113" s="27">
        <f>Table1[[#This Row],[IRR]]*Table1[[#This Row],[Coupon Frequency2]]</f>
        <v>6.8164763173703055E-2</v>
      </c>
      <c r="AM113" s="5">
        <f t="shared" si="6"/>
        <v>-7143.9186908489883</v>
      </c>
      <c r="AN113" t="s">
        <v>64</v>
      </c>
      <c r="AO113" t="s">
        <v>62</v>
      </c>
      <c r="AP113">
        <f t="shared" si="7"/>
        <v>1</v>
      </c>
    </row>
    <row r="114" spans="1:42" x14ac:dyDescent="0.35">
      <c r="A114" s="48" t="s">
        <v>1313</v>
      </c>
      <c r="B114" s="49" t="s">
        <v>2392</v>
      </c>
      <c r="C114" s="49" t="s">
        <v>2273</v>
      </c>
      <c r="D114" s="50">
        <v>45768</v>
      </c>
      <c r="E114" s="50">
        <v>46498</v>
      </c>
      <c r="F114" s="49">
        <v>1000</v>
      </c>
      <c r="G114" s="49" t="s">
        <v>76</v>
      </c>
      <c r="H114" s="49">
        <v>1045</v>
      </c>
      <c r="I114" s="49" t="s">
        <v>76</v>
      </c>
      <c r="J114" s="49">
        <v>104.5</v>
      </c>
      <c r="K114" s="49">
        <v>255</v>
      </c>
      <c r="L114" s="51">
        <v>9.3000000000000013E-2</v>
      </c>
      <c r="M114" s="49" t="s">
        <v>93</v>
      </c>
      <c r="N114" s="49">
        <v>581</v>
      </c>
      <c r="O114" s="49">
        <v>8.8995215311004792</v>
      </c>
      <c r="P114" s="49" t="s">
        <v>2279</v>
      </c>
      <c r="Q114" s="49"/>
      <c r="R114" s="49" t="s">
        <v>2275</v>
      </c>
      <c r="S114">
        <f t="shared" si="4"/>
        <v>2</v>
      </c>
      <c r="T114" s="5" cm="1">
        <f t="array" ref="T1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4">
        <f>Table1[[#This Row],[Term to Maturity (Years)]]*Table1[[#This Row],[Coupon Frequency2]]</f>
        <v>2</v>
      </c>
      <c r="V114">
        <f>Table1[[#This Row],[Face value]]*Table1[[#This Row],[Current coupon %]]</f>
        <v>93.000000000000014</v>
      </c>
      <c r="W114" s="36">
        <f>RATE(Table1[[#This Row],[Total No. of Coupons]],Table1[[#This Row],[Coupon Amount]],-Table1[[#This Row],[Ask Price]],Table1[[#This Row],[Face value]])</f>
        <v>6.8173851123692258E-2</v>
      </c>
      <c r="X114" s="27">
        <f>Table1[[#This Row],[IRR]]*Table1[[#This Row],[Coupon Frequency2]]</f>
        <v>6.8173851123692258E-2</v>
      </c>
      <c r="Y114" s="19" cm="1">
        <f t="array" ref="Y1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4" s="33">
        <f>DURATION(Table1[[#This Row],[Issue date]],Table1[[#This Row],[Maturity date]],Table1[[#This Row],[Current coupon %]],Table1[[#This Row],[Yield (Annualised)]],Table1[[#This Row],[Coupon Frequency2]])</f>
        <v>1.9166847089381702</v>
      </c>
      <c r="AA114" s="33">
        <f>Table1[[#This Row],[Macaulay Duration in Years]]/(1+Table1[[#This Row],[IRR]])</f>
        <v>1.794356515020346</v>
      </c>
      <c r="AB114" s="58">
        <f>VLOOKUP(Table1[[#This Row],[Yield Cluster]],'Cluster Details'!$B$3:$C$16,2,0)</f>
        <v>7.8548801574189142E-2</v>
      </c>
      <c r="AC114" s="78">
        <f>PRICE(Table1[[#This Row],[Issue date]],Table1[[#This Row],[Maturity date]],Table1[[#This Row],[Current coupon %]],Table1[[#This Row],[Average Cluster Yield]],100,Table1[[#This Row],[Coupon Frequency2]])*Table1[[#This Row],[Face value]]/100</f>
        <v>1025.8216796399572</v>
      </c>
      <c r="AD114" s="58" t="str">
        <f>IF(Table1[[#This Row],[Ask Price]]&gt;Table1[[#This Row],[Calculated Bond Price]],"Rich","Cheap")</f>
        <v>Rich</v>
      </c>
      <c r="AE1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1026.5052950661866</v>
      </c>
      <c r="AF1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1064.0137777655916</v>
      </c>
      <c r="AG114" s="78">
        <f>(Table1[[#This Row],[P (+ shock)]]+Table1[[#This Row],[P (-shock)]]-2*Table1[[#This Row],[Ask Price]])/(2*Table1[[#This Row],[Ask Price]]*($AF$2^2))</f>
        <v>2.4836020659255049</v>
      </c>
      <c r="AH114">
        <v>1.9240872077751501</v>
      </c>
      <c r="AI114" s="6">
        <f t="shared" si="5"/>
        <v>8.8995215311004794E-2</v>
      </c>
      <c r="AK114" s="47">
        <f>RATE(Table1[[#This Row],[Total No. of Coupons]],Table1[[#This Row],[Coupon Amount]],-Table1[[#This Row],[Ask Price]],Table1[[#This Row],[Face value]])</f>
        <v>6.8173851123692258E-2</v>
      </c>
      <c r="AL114" s="27">
        <f>Table1[[#This Row],[IRR]]*Table1[[#This Row],[Coupon Frequency2]]</f>
        <v>6.8173851123692258E-2</v>
      </c>
      <c r="AM114" s="5">
        <f t="shared" si="6"/>
        <v>-1875.1025581962615</v>
      </c>
      <c r="AN114" t="s">
        <v>64</v>
      </c>
      <c r="AO114" t="s">
        <v>62</v>
      </c>
      <c r="AP114">
        <f t="shared" si="7"/>
        <v>1</v>
      </c>
    </row>
    <row r="115" spans="1:42" x14ac:dyDescent="0.35">
      <c r="A115" s="48" t="s">
        <v>1569</v>
      </c>
      <c r="B115" s="49" t="s">
        <v>2393</v>
      </c>
      <c r="C115" s="49" t="s">
        <v>2273</v>
      </c>
      <c r="D115" s="50">
        <v>40831</v>
      </c>
      <c r="E115" s="50">
        <v>46310</v>
      </c>
      <c r="F115" s="49">
        <v>100000</v>
      </c>
      <c r="G115" s="49" t="s">
        <v>76</v>
      </c>
      <c r="H115" s="49">
        <v>108563.63</v>
      </c>
      <c r="I115" s="49" t="s">
        <v>76</v>
      </c>
      <c r="J115" s="49">
        <v>108.56363</v>
      </c>
      <c r="K115" s="49">
        <v>20</v>
      </c>
      <c r="L115" s="51">
        <v>7.7499999999999999E-2</v>
      </c>
      <c r="M115" s="49" t="s">
        <v>93</v>
      </c>
      <c r="N115" s="49">
        <v>393</v>
      </c>
      <c r="O115" s="49">
        <v>7.1386706579358101</v>
      </c>
      <c r="P115" s="49" t="s">
        <v>2282</v>
      </c>
      <c r="Q115" s="49"/>
      <c r="R115" s="49" t="s">
        <v>2275</v>
      </c>
      <c r="S115">
        <f t="shared" si="4"/>
        <v>15</v>
      </c>
      <c r="T115" s="5" cm="1">
        <f t="array" ref="T1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5">
        <f>Table1[[#This Row],[Term to Maturity (Years)]]*Table1[[#This Row],[Coupon Frequency2]]</f>
        <v>15</v>
      </c>
      <c r="V115">
        <f>Table1[[#This Row],[Face value]]*Table1[[#This Row],[Current coupon %]]</f>
        <v>7750</v>
      </c>
      <c r="W115" s="36">
        <f>RATE(Table1[[#This Row],[Total No. of Coupons]],Table1[[#This Row],[Coupon Amount]],-Table1[[#This Row],[Ask Price]],Table1[[#This Row],[Face value]])</f>
        <v>6.8203974192632855E-2</v>
      </c>
      <c r="X115" s="27">
        <f>Table1[[#This Row],[IRR]]*Table1[[#This Row],[Coupon Frequency2]]</f>
        <v>6.8203974192632855E-2</v>
      </c>
      <c r="Y115" s="19" cm="1">
        <f t="array" ref="Y1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5" s="33">
        <f>DURATION(Table1[[#This Row],[Issue date]],Table1[[#This Row],[Maturity date]],Table1[[#This Row],[Current coupon %]],Table1[[#This Row],[Yield (Annualised)]],Table1[[#This Row],[Coupon Frequency2]])</f>
        <v>9.5996754239326023</v>
      </c>
      <c r="AA115" s="33">
        <f>Table1[[#This Row],[Macaulay Duration in Years]]/(1+Table1[[#This Row],[IRR]])</f>
        <v>8.9867437828886612</v>
      </c>
      <c r="AB115" s="58">
        <f>VLOOKUP(Table1[[#This Row],[Yield Cluster]],'Cluster Details'!$B$3:$C$16,2,0)</f>
        <v>7.8548801574189142E-2</v>
      </c>
      <c r="AC115" s="78">
        <f>PRICE(Table1[[#This Row],[Issue date]],Table1[[#This Row],[Maturity date]],Table1[[#This Row],[Current coupon %]],Table1[[#This Row],[Average Cluster Yield]],100,Table1[[#This Row],[Coupon Frequency2]])*Table1[[#This Row],[Face value]]/100</f>
        <v>99094.270776266887</v>
      </c>
      <c r="AD115" s="58" t="str">
        <f>IF(Table1[[#This Row],[Ask Price]]&gt;Table1[[#This Row],[Calculated Bond Price]],"Rich","Cheap")</f>
        <v>Rich</v>
      </c>
      <c r="AE1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99390.770066761004</v>
      </c>
      <c r="AF1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118962.68066958556</v>
      </c>
      <c r="AG115" s="78">
        <f>(Table1[[#This Row],[P (+ shock)]]+Table1[[#This Row],[P (-shock)]]-2*Table1[[#This Row],[Ask Price]])/(2*Table1[[#This Row],[Ask Price]]*($AF$2^2))</f>
        <v>56.473366648966959</v>
      </c>
      <c r="AH115">
        <v>11.619279211871801</v>
      </c>
      <c r="AI115" s="6">
        <f t="shared" si="5"/>
        <v>7.1386706579358111E-2</v>
      </c>
      <c r="AK115" s="47">
        <f>RATE(Table1[[#This Row],[Total No. of Coupons]],Table1[[#This Row],[Coupon Amount]],-Table1[[#This Row],[Ask Price]],Table1[[#This Row],[Face value]])</f>
        <v>6.8203974192632855E-2</v>
      </c>
      <c r="AL115" s="27">
        <f>Table1[[#This Row],[IRR]]*Table1[[#This Row],[Coupon Frequency2]]</f>
        <v>6.8203974192632855E-2</v>
      </c>
      <c r="AM115" s="5">
        <f t="shared" si="6"/>
        <v>-975633.526950325</v>
      </c>
      <c r="AN115" t="s">
        <v>64</v>
      </c>
      <c r="AO115" t="s">
        <v>62</v>
      </c>
      <c r="AP115">
        <f t="shared" si="7"/>
        <v>1</v>
      </c>
    </row>
    <row r="116" spans="1:42" x14ac:dyDescent="0.35">
      <c r="A116" s="48" t="s">
        <v>878</v>
      </c>
      <c r="B116" s="49" t="s">
        <v>2394</v>
      </c>
      <c r="C116" s="49" t="s">
        <v>2273</v>
      </c>
      <c r="D116" s="50">
        <v>41522</v>
      </c>
      <c r="E116" s="50">
        <v>47001</v>
      </c>
      <c r="F116" s="49">
        <v>1000000</v>
      </c>
      <c r="G116" s="49" t="s">
        <v>76</v>
      </c>
      <c r="H116" s="49">
        <v>1151693</v>
      </c>
      <c r="I116" s="49" t="s">
        <v>76</v>
      </c>
      <c r="J116" s="49">
        <v>115.16930000000001</v>
      </c>
      <c r="K116" s="49">
        <v>500</v>
      </c>
      <c r="L116" s="51">
        <v>8.48E-2</v>
      </c>
      <c r="M116" s="49" t="s">
        <v>93</v>
      </c>
      <c r="N116" s="49">
        <v>1084</v>
      </c>
      <c r="O116" s="49">
        <v>7.3630733190181701</v>
      </c>
      <c r="P116" s="49" t="s">
        <v>2282</v>
      </c>
      <c r="Q116" s="49"/>
      <c r="R116" s="49" t="s">
        <v>2275</v>
      </c>
      <c r="S116">
        <f t="shared" si="4"/>
        <v>15</v>
      </c>
      <c r="T116" s="5" cm="1">
        <f t="array" ref="T1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6">
        <f>Table1[[#This Row],[Term to Maturity (Years)]]*Table1[[#This Row],[Coupon Frequency2]]</f>
        <v>15</v>
      </c>
      <c r="V116">
        <f>Table1[[#This Row],[Face value]]*Table1[[#This Row],[Current coupon %]]</f>
        <v>84800</v>
      </c>
      <c r="W116" s="36">
        <f>RATE(Table1[[#This Row],[Total No. of Coupons]],Table1[[#This Row],[Coupon Amount]],-Table1[[#This Row],[Ask Price]],Table1[[#This Row],[Face value]])</f>
        <v>6.8321102416475724E-2</v>
      </c>
      <c r="X116" s="27">
        <f>Table1[[#This Row],[IRR]]*Table1[[#This Row],[Coupon Frequency2]]</f>
        <v>6.8321102416475724E-2</v>
      </c>
      <c r="Y116" s="19" cm="1">
        <f t="array" ref="Y1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6" s="33">
        <f>DURATION(Table1[[#This Row],[Issue date]],Table1[[#This Row],[Maturity date]],Table1[[#This Row],[Current coupon %]],Table1[[#This Row],[Yield (Annualised)]],Table1[[#This Row],[Coupon Frequency2]])</f>
        <v>9.4327394137424942</v>
      </c>
      <c r="AA116" s="33">
        <f>Table1[[#This Row],[Macaulay Duration in Years]]/(1+Table1[[#This Row],[IRR]])</f>
        <v>8.8294983525142623</v>
      </c>
      <c r="AB116" s="58">
        <f>VLOOKUP(Table1[[#This Row],[Yield Cluster]],'Cluster Details'!$B$3:$C$16,2,0)</f>
        <v>7.8548801574189142E-2</v>
      </c>
      <c r="AC116" s="78">
        <f>PRICE(Table1[[#This Row],[Issue date]],Table1[[#This Row],[Maturity date]],Table1[[#This Row],[Current coupon %]],Table1[[#This Row],[Average Cluster Yield]],100,Table1[[#This Row],[Coupon Frequency2]])*Table1[[#This Row],[Face value]]/100</f>
        <v>1053984.4069359768</v>
      </c>
      <c r="AD116" s="58" t="str">
        <f>IF(Table1[[#This Row],[Ask Price]]&gt;Table1[[#This Row],[Calculated Bond Price]],"Rich","Cheap")</f>
        <v>Rich</v>
      </c>
      <c r="AE1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1056029.039799303</v>
      </c>
      <c r="AF1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1260014.4155422815</v>
      </c>
      <c r="AG116" s="78">
        <f>(Table1[[#This Row],[P (+ shock)]]+Table1[[#This Row],[P (-shock)]]-2*Table1[[#This Row],[Ask Price]])/(2*Table1[[#This Row],[Ask Price]]*($AF$2^2))</f>
        <v>54.9515163397907</v>
      </c>
      <c r="AI116" s="6">
        <f t="shared" si="5"/>
        <v>7.3630733190181763E-2</v>
      </c>
      <c r="AK116" s="47">
        <f>RATE(Table1[[#This Row],[Total No. of Coupons]],Table1[[#This Row],[Coupon Amount]],-Table1[[#This Row],[Ask Price]],Table1[[#This Row],[Face value]])</f>
        <v>6.8321102416475724E-2</v>
      </c>
      <c r="AL116" s="27">
        <f>Table1[[#This Row],[IRR]]*Table1[[#This Row],[Coupon Frequency2]]</f>
        <v>6.8321102416475724E-2</v>
      </c>
      <c r="AM116" s="5">
        <f t="shared" si="6"/>
        <v>-10168871.446102208</v>
      </c>
      <c r="AN116" t="s">
        <v>64</v>
      </c>
      <c r="AO116" t="s">
        <v>62</v>
      </c>
      <c r="AP116">
        <f t="shared" si="7"/>
        <v>1</v>
      </c>
    </row>
    <row r="117" spans="1:42" x14ac:dyDescent="0.35">
      <c r="A117" s="48" t="s">
        <v>1535</v>
      </c>
      <c r="B117" s="49" t="s">
        <v>2395</v>
      </c>
      <c r="C117" s="49" t="s">
        <v>2273</v>
      </c>
      <c r="D117" s="50">
        <v>40855</v>
      </c>
      <c r="E117" s="50">
        <v>46334</v>
      </c>
      <c r="F117" s="49">
        <v>100000</v>
      </c>
      <c r="G117" s="49" t="s">
        <v>76</v>
      </c>
      <c r="H117" s="49">
        <v>108614.18</v>
      </c>
      <c r="I117" s="49" t="s">
        <v>76</v>
      </c>
      <c r="J117" s="49">
        <v>108.614179999999</v>
      </c>
      <c r="K117" s="49">
        <v>15</v>
      </c>
      <c r="L117" s="51">
        <v>7.7699999999999991E-2</v>
      </c>
      <c r="M117" s="49" t="s">
        <v>93</v>
      </c>
      <c r="N117" s="49">
        <v>417</v>
      </c>
      <c r="O117" s="49">
        <v>7.1537620594290701</v>
      </c>
      <c r="P117" s="49" t="s">
        <v>2274</v>
      </c>
      <c r="Q117" s="49"/>
      <c r="R117" s="49" t="s">
        <v>2275</v>
      </c>
      <c r="S117">
        <f t="shared" si="4"/>
        <v>15</v>
      </c>
      <c r="T117" s="5" cm="1">
        <f t="array" ref="T1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7">
        <f>Table1[[#This Row],[Term to Maturity (Years)]]*Table1[[#This Row],[Coupon Frequency2]]</f>
        <v>15</v>
      </c>
      <c r="V117">
        <f>Table1[[#This Row],[Face value]]*Table1[[#This Row],[Current coupon %]]</f>
        <v>7769.9999999999991</v>
      </c>
      <c r="W117" s="36">
        <f>RATE(Table1[[#This Row],[Total No. of Coupons]],Table1[[#This Row],[Coupon Amount]],-Table1[[#This Row],[Ask Price]],Table1[[#This Row],[Face value]])</f>
        <v>6.8340959329272727E-2</v>
      </c>
      <c r="X117" s="27">
        <f>Table1[[#This Row],[IRR]]*Table1[[#This Row],[Coupon Frequency2]]</f>
        <v>6.8340959329272727E-2</v>
      </c>
      <c r="Y117" s="19" cm="1">
        <f t="array" ref="Y1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7" s="33">
        <f>DURATION(Table1[[#This Row],[Issue date]],Table1[[#This Row],[Maturity date]],Table1[[#This Row],[Current coupon %]],Table1[[#This Row],[Yield (Annualised)]],Table1[[#This Row],[Coupon Frequency2]])</f>
        <v>9.59146541993913</v>
      </c>
      <c r="AA117" s="33">
        <f>Table1[[#This Row],[Macaulay Duration in Years]]/(1+Table1[[#This Row],[IRR]])</f>
        <v>8.9779066656405799</v>
      </c>
      <c r="AB117" s="58">
        <f>VLOOKUP(Table1[[#This Row],[Yield Cluster]],'Cluster Details'!$B$3:$C$16,2,0)</f>
        <v>7.8548801574189142E-2</v>
      </c>
      <c r="AC117" s="78">
        <f>PRICE(Table1[[#This Row],[Issue date]],Table1[[#This Row],[Maturity date]],Table1[[#This Row],[Current coupon %]],Table1[[#This Row],[Average Cluster Yield]],100,Table1[[#This Row],[Coupon Frequency2]])*Table1[[#This Row],[Face value]]/100</f>
        <v>99266.987760303353</v>
      </c>
      <c r="AD117" s="58" t="str">
        <f>IF(Table1[[#This Row],[Ask Price]]&gt;Table1[[#This Row],[Calculated Bond Price]],"Rich","Cheap")</f>
        <v>Rich</v>
      </c>
      <c r="AE1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99445.770569632543</v>
      </c>
      <c r="AF1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119007.4865570766</v>
      </c>
      <c r="AG117" s="78">
        <f>(Table1[[#This Row],[P (+ shock)]]+Table1[[#This Row],[P (-shock)]]-2*Table1[[#This Row],[Ask Price]])/(2*Table1[[#This Row],[Ask Price]]*($AF$2^2))</f>
        <v>56.387532765480955</v>
      </c>
      <c r="AH117">
        <v>10</v>
      </c>
      <c r="AI117" s="6">
        <f t="shared" si="5"/>
        <v>7.1537620594290724E-2</v>
      </c>
      <c r="AK117" s="47">
        <f>RATE(Table1[[#This Row],[Total No. of Coupons]],Table1[[#This Row],[Coupon Amount]],-Table1[[#This Row],[Ask Price]],Table1[[#This Row],[Face value]])</f>
        <v>6.8340959329272727E-2</v>
      </c>
      <c r="AL117" s="27">
        <f>Table1[[#This Row],[IRR]]*Table1[[#This Row],[Coupon Frequency2]]</f>
        <v>6.8340959329272727E-2</v>
      </c>
      <c r="AM117" s="5">
        <f t="shared" si="6"/>
        <v>-975127.97060508572</v>
      </c>
      <c r="AN117" t="s">
        <v>64</v>
      </c>
      <c r="AO117" t="s">
        <v>62</v>
      </c>
      <c r="AP117">
        <f t="shared" si="7"/>
        <v>1</v>
      </c>
    </row>
    <row r="118" spans="1:42" x14ac:dyDescent="0.35">
      <c r="A118" s="48" t="s">
        <v>1967</v>
      </c>
      <c r="B118" s="49" t="s">
        <v>2396</v>
      </c>
      <c r="C118" s="49" t="s">
        <v>2273</v>
      </c>
      <c r="D118" s="50">
        <v>45322</v>
      </c>
      <c r="E118" s="50">
        <v>46053</v>
      </c>
      <c r="F118" s="49">
        <v>1000</v>
      </c>
      <c r="G118" s="49" t="s">
        <v>76</v>
      </c>
      <c r="H118" s="49">
        <v>1029.0899999999999</v>
      </c>
      <c r="I118" s="49" t="s">
        <v>76</v>
      </c>
      <c r="J118" s="49">
        <v>102.908999999999</v>
      </c>
      <c r="K118" s="49">
        <v>10</v>
      </c>
      <c r="L118" s="51">
        <v>8.4499999999999992E-2</v>
      </c>
      <c r="M118" s="49" t="s">
        <v>93</v>
      </c>
      <c r="N118" s="49">
        <v>136</v>
      </c>
      <c r="O118" s="49">
        <v>8.2111379957049397</v>
      </c>
      <c r="P118" s="49"/>
      <c r="Q118" s="49"/>
      <c r="R118" s="49" t="s">
        <v>2275</v>
      </c>
      <c r="S118">
        <f t="shared" si="4"/>
        <v>2</v>
      </c>
      <c r="T118" s="5" cm="1">
        <f t="array" ref="T1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8">
        <f>Table1[[#This Row],[Term to Maturity (Years)]]*Table1[[#This Row],[Coupon Frequency2]]</f>
        <v>2</v>
      </c>
      <c r="V118">
        <f>Table1[[#This Row],[Face value]]*Table1[[#This Row],[Current coupon %]]</f>
        <v>84.499999999999986</v>
      </c>
      <c r="W118" s="36">
        <f>RATE(Table1[[#This Row],[Total No. of Coupons]],Table1[[#This Row],[Coupon Amount]],-Table1[[#This Row],[Ask Price]],Table1[[#This Row],[Face value]])</f>
        <v>6.8445225072537974E-2</v>
      </c>
      <c r="X118" s="27">
        <f>Table1[[#This Row],[IRR]]*Table1[[#This Row],[Coupon Frequency2]]</f>
        <v>6.8445225072537974E-2</v>
      </c>
      <c r="Y118" s="19" cm="1">
        <f t="array" ref="Y1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8" s="33">
        <f>DURATION(Table1[[#This Row],[Issue date]],Table1[[#This Row],[Maturity date]],Table1[[#This Row],[Current coupon %]],Table1[[#This Row],[Yield (Annualised)]],Table1[[#This Row],[Coupon Frequency2]])</f>
        <v>1.92314872299469</v>
      </c>
      <c r="AA118" s="33">
        <f>Table1[[#This Row],[Macaulay Duration in Years]]/(1+Table1[[#This Row],[IRR]])</f>
        <v>1.7999506927125113</v>
      </c>
      <c r="AB118" s="58">
        <f>VLOOKUP(Table1[[#This Row],[Yield Cluster]],'Cluster Details'!$B$3:$C$16,2,0)</f>
        <v>7.8548801574189142E-2</v>
      </c>
      <c r="AC118" s="78">
        <f>PRICE(Table1[[#This Row],[Issue date]],Table1[[#This Row],[Maturity date]],Table1[[#This Row],[Current coupon %]],Table1[[#This Row],[Average Cluster Yield]],100,Table1[[#This Row],[Coupon Frequency2]])*Table1[[#This Row],[Face value]]/100</f>
        <v>1010.6337159519338</v>
      </c>
      <c r="AD118" s="58" t="str">
        <f>IF(Table1[[#This Row],[Ask Price]]&gt;Table1[[#This Row],[Calculated Bond Price]],"Rich","Cheap")</f>
        <v>Rich</v>
      </c>
      <c r="AE1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1010.8203274486311</v>
      </c>
      <c r="AF1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1047.872914134364</v>
      </c>
      <c r="AG118" s="78">
        <f>(Table1[[#This Row],[P (+ shock)]]+Table1[[#This Row],[P (-shock)]]-2*Table1[[#This Row],[Ask Price]])/(2*Table1[[#This Row],[Ask Price]]*($AF$2^2))</f>
        <v>2.4936671379340294</v>
      </c>
      <c r="AH118">
        <v>11.2471672055635</v>
      </c>
      <c r="AI118" s="6">
        <f t="shared" si="5"/>
        <v>8.2111379957049424E-2</v>
      </c>
      <c r="AK118" s="47">
        <f>RATE(Table1[[#This Row],[Total No. of Coupons]],Table1[[#This Row],[Coupon Amount]],-Table1[[#This Row],[Ask Price]],Table1[[#This Row],[Face value]])</f>
        <v>6.8445225072537974E-2</v>
      </c>
      <c r="AL118" s="27">
        <f>Table1[[#This Row],[IRR]]*Table1[[#This Row],[Coupon Frequency2]]</f>
        <v>6.8445225072537974E-2</v>
      </c>
      <c r="AM118" s="5">
        <f t="shared" si="6"/>
        <v>-1852.3112583635182</v>
      </c>
      <c r="AN118" t="s">
        <v>64</v>
      </c>
      <c r="AO118" t="s">
        <v>62</v>
      </c>
      <c r="AP118">
        <f t="shared" si="7"/>
        <v>1</v>
      </c>
    </row>
    <row r="119" spans="1:42" x14ac:dyDescent="0.35">
      <c r="A119" s="48" t="s">
        <v>1675</v>
      </c>
      <c r="B119" s="49" t="s">
        <v>2397</v>
      </c>
      <c r="C119" s="49" t="s">
        <v>2273</v>
      </c>
      <c r="D119" s="50">
        <v>45034</v>
      </c>
      <c r="E119" s="50">
        <v>46252</v>
      </c>
      <c r="F119" s="49">
        <v>100000</v>
      </c>
      <c r="G119" s="49" t="s">
        <v>76</v>
      </c>
      <c r="H119" s="49">
        <v>103321</v>
      </c>
      <c r="I119" s="49" t="s">
        <v>76</v>
      </c>
      <c r="J119" s="49">
        <v>103.321</v>
      </c>
      <c r="K119" s="49">
        <v>3</v>
      </c>
      <c r="L119" s="51">
        <v>8.1079999999999999E-2</v>
      </c>
      <c r="M119" s="49" t="s">
        <v>93</v>
      </c>
      <c r="N119" s="49">
        <v>335</v>
      </c>
      <c r="O119" s="49">
        <v>7.8473882366604997</v>
      </c>
      <c r="P119" s="49"/>
      <c r="Q119" s="49"/>
      <c r="R119" s="49" t="s">
        <v>2275</v>
      </c>
      <c r="S119">
        <f t="shared" si="4"/>
        <v>3</v>
      </c>
      <c r="T119" s="5" cm="1">
        <f t="array" ref="T1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19">
        <f>Table1[[#This Row],[Term to Maturity (Years)]]*Table1[[#This Row],[Coupon Frequency2]]</f>
        <v>3</v>
      </c>
      <c r="V119">
        <f>Table1[[#This Row],[Face value]]*Table1[[#This Row],[Current coupon %]]</f>
        <v>8108</v>
      </c>
      <c r="W119" s="36">
        <f>RATE(Table1[[#This Row],[Total No. of Coupons]],Table1[[#This Row],[Coupon Amount]],-Table1[[#This Row],[Ask Price]],Table1[[#This Row],[Face value]])</f>
        <v>6.8460844694540654E-2</v>
      </c>
      <c r="X119" s="27">
        <f>Table1[[#This Row],[IRR]]*Table1[[#This Row],[Coupon Frequency2]]</f>
        <v>6.8460844694540654E-2</v>
      </c>
      <c r="Y119" s="19" cm="1">
        <f t="array" ref="Y1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19" s="33">
        <f>DURATION(Table1[[#This Row],[Issue date]],Table1[[#This Row],[Maturity date]],Table1[[#This Row],[Current coupon %]],Table1[[#This Row],[Yield (Annualised)]],Table1[[#This Row],[Coupon Frequency2]])</f>
        <v>2.9151008186072485</v>
      </c>
      <c r="AA119" s="33">
        <f>Table1[[#This Row],[Macaulay Duration in Years]]/(1+Table1[[#This Row],[IRR]])</f>
        <v>2.7283178724632053</v>
      </c>
      <c r="AB119" s="58">
        <f>VLOOKUP(Table1[[#This Row],[Yield Cluster]],'Cluster Details'!$B$3:$C$16,2,0)</f>
        <v>7.8548801574189142E-2</v>
      </c>
      <c r="AC119" s="78">
        <f>PRICE(Table1[[#This Row],[Issue date]],Table1[[#This Row],[Maturity date]],Table1[[#This Row],[Current coupon %]],Table1[[#This Row],[Average Cluster Yield]],100,Table1[[#This Row],[Coupon Frequency2]])*Table1[[#This Row],[Face value]]/100</f>
        <v>100649.55471018664</v>
      </c>
      <c r="AD119" s="58" t="str">
        <f>IF(Table1[[#This Row],[Ask Price]]&gt;Table1[[#This Row],[Calculated Bond Price]],"Rich","Cheap")</f>
        <v>Rich</v>
      </c>
      <c r="AE1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100674.70452011419</v>
      </c>
      <c r="AF1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106624.15213647965</v>
      </c>
      <c r="AG119" s="78">
        <f>(Table1[[#This Row],[P (+ shock)]]+Table1[[#This Row],[P (-shock)]]-2*Table1[[#This Row],[Ask Price]])/(2*Table1[[#This Row],[Ask Price]]*($AF$2^2))</f>
        <v>31.787180563189121</v>
      </c>
      <c r="AH119">
        <v>9.5192686101777007</v>
      </c>
      <c r="AI119" s="6">
        <f t="shared" si="5"/>
        <v>7.8473882366605047E-2</v>
      </c>
      <c r="AK119" s="47">
        <f>RATE(Table1[[#This Row],[Total No. of Coupons]],Table1[[#This Row],[Coupon Amount]],-Table1[[#This Row],[Ask Price]],Table1[[#This Row],[Face value]])</f>
        <v>6.8460844694540654E-2</v>
      </c>
      <c r="AL119" s="27">
        <f>Table1[[#This Row],[IRR]]*Table1[[#This Row],[Coupon Frequency2]]</f>
        <v>6.8460844694540654E-2</v>
      </c>
      <c r="AM119" s="5">
        <f t="shared" si="6"/>
        <v>-281892.53090077086</v>
      </c>
      <c r="AN119" t="s">
        <v>64</v>
      </c>
      <c r="AO119" t="s">
        <v>62</v>
      </c>
      <c r="AP119">
        <f t="shared" si="7"/>
        <v>1</v>
      </c>
    </row>
    <row r="120" spans="1:42" x14ac:dyDescent="0.35">
      <c r="A120" s="48" t="s">
        <v>1000</v>
      </c>
      <c r="B120" s="49" t="s">
        <v>2398</v>
      </c>
      <c r="C120" s="49" t="s">
        <v>2273</v>
      </c>
      <c r="D120" s="50">
        <v>41359</v>
      </c>
      <c r="E120" s="50">
        <v>46837</v>
      </c>
      <c r="F120" s="49">
        <v>1000</v>
      </c>
      <c r="G120" s="49" t="s">
        <v>76</v>
      </c>
      <c r="H120" s="49">
        <v>1029.01</v>
      </c>
      <c r="I120" s="49" t="s">
        <v>76</v>
      </c>
      <c r="J120" s="49">
        <v>102.901</v>
      </c>
      <c r="K120" s="49">
        <v>271</v>
      </c>
      <c r="L120" s="51">
        <v>7.17E-2</v>
      </c>
      <c r="M120" s="49" t="s">
        <v>93</v>
      </c>
      <c r="N120" s="49">
        <v>920</v>
      </c>
      <c r="O120" s="49">
        <v>6.9678623142632201</v>
      </c>
      <c r="P120" s="49"/>
      <c r="Q120" s="49"/>
      <c r="R120" s="49" t="s">
        <v>2275</v>
      </c>
      <c r="S120">
        <f t="shared" si="4"/>
        <v>15</v>
      </c>
      <c r="T120" s="5" cm="1">
        <f t="array" ref="T1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0">
        <f>Table1[[#This Row],[Term to Maturity (Years)]]*Table1[[#This Row],[Coupon Frequency2]]</f>
        <v>15</v>
      </c>
      <c r="V120">
        <f>Table1[[#This Row],[Face value]]*Table1[[#This Row],[Current coupon %]]</f>
        <v>71.7</v>
      </c>
      <c r="W120" s="36">
        <f>RATE(Table1[[#This Row],[Total No. of Coupons]],Table1[[#This Row],[Coupon Amount]],-Table1[[#This Row],[Ask Price]],Table1[[#This Row],[Face value]])</f>
        <v>6.8544085283390635E-2</v>
      </c>
      <c r="X120" s="27">
        <f>Table1[[#This Row],[IRR]]*Table1[[#This Row],[Coupon Frequency2]]</f>
        <v>6.8544085283390635E-2</v>
      </c>
      <c r="Y120" s="19" cm="1">
        <f t="array" ref="Y1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0" s="33">
        <f>DURATION(Table1[[#This Row],[Issue date]],Table1[[#This Row],[Maturity date]],Table1[[#This Row],[Current coupon %]],Table1[[#This Row],[Yield (Annualised)]],Table1[[#This Row],[Coupon Frequency2]])</f>
        <v>9.7338607748104184</v>
      </c>
      <c r="AA120" s="33">
        <f>Table1[[#This Row],[Macaulay Duration in Years]]/(1+Table1[[#This Row],[IRR]])</f>
        <v>9.1094610965245124</v>
      </c>
      <c r="AB120" s="58">
        <f>VLOOKUP(Table1[[#This Row],[Yield Cluster]],'Cluster Details'!$B$3:$C$16,2,0)</f>
        <v>7.8548801574189142E-2</v>
      </c>
      <c r="AC120" s="78">
        <f>PRICE(Table1[[#This Row],[Issue date]],Table1[[#This Row],[Maturity date]],Table1[[#This Row],[Current coupon %]],Table1[[#This Row],[Average Cluster Yield]],100,Table1[[#This Row],[Coupon Frequency2]])*Table1[[#This Row],[Face value]]/100</f>
        <v>940.85325893950471</v>
      </c>
      <c r="AD120" s="58" t="str">
        <f>IF(Table1[[#This Row],[Ask Price]]&gt;Table1[[#This Row],[Calculated Bond Price]],"Rich","Cheap")</f>
        <v>Rich</v>
      </c>
      <c r="AE1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940.89227440436161</v>
      </c>
      <c r="AF1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1128.97711952755</v>
      </c>
      <c r="AG120" s="78">
        <f>(Table1[[#This Row],[P (+ shock)]]+Table1[[#This Row],[P (-shock)]]-2*Table1[[#This Row],[Ask Price]])/(2*Table1[[#This Row],[Ask Price]]*($AF$2^2))</f>
        <v>57.57667044981045</v>
      </c>
      <c r="AH120">
        <v>9.6208946819258294</v>
      </c>
      <c r="AI120" s="6">
        <f t="shared" si="5"/>
        <v>6.9678623142632248E-2</v>
      </c>
      <c r="AK120" s="47">
        <f>RATE(Table1[[#This Row],[Total No. of Coupons]],Table1[[#This Row],[Coupon Amount]],-Table1[[#This Row],[Ask Price]],Table1[[#This Row],[Face value]])</f>
        <v>6.8544085283390635E-2</v>
      </c>
      <c r="AL120" s="27">
        <f>Table1[[#This Row],[IRR]]*Table1[[#This Row],[Coupon Frequency2]]</f>
        <v>6.8544085283390635E-2</v>
      </c>
      <c r="AM120" s="5">
        <f t="shared" si="6"/>
        <v>-9373.7265629346875</v>
      </c>
      <c r="AN120" t="s">
        <v>64</v>
      </c>
      <c r="AO120" t="s">
        <v>62</v>
      </c>
      <c r="AP120">
        <f t="shared" si="7"/>
        <v>1</v>
      </c>
    </row>
    <row r="121" spans="1:42" x14ac:dyDescent="0.35">
      <c r="A121" s="48" t="s">
        <v>847</v>
      </c>
      <c r="B121" s="49" t="s">
        <v>2399</v>
      </c>
      <c r="C121" s="49" t="s">
        <v>2273</v>
      </c>
      <c r="D121" s="50">
        <v>45208</v>
      </c>
      <c r="E121" s="50">
        <v>47035</v>
      </c>
      <c r="F121" s="49">
        <v>1000</v>
      </c>
      <c r="G121" s="49" t="s">
        <v>76</v>
      </c>
      <c r="H121" s="49">
        <v>1049</v>
      </c>
      <c r="I121" s="49" t="s">
        <v>76</v>
      </c>
      <c r="J121" s="49">
        <v>104.899999999999</v>
      </c>
      <c r="K121" s="49">
        <v>1</v>
      </c>
      <c r="L121" s="51">
        <v>8.0500000000000002E-2</v>
      </c>
      <c r="M121" s="49" t="s">
        <v>93</v>
      </c>
      <c r="N121" s="49">
        <v>1118</v>
      </c>
      <c r="O121" s="49">
        <v>7.6739752144899898</v>
      </c>
      <c r="P121" s="49"/>
      <c r="Q121" s="49"/>
      <c r="R121" s="49" t="s">
        <v>2275</v>
      </c>
      <c r="S121">
        <f t="shared" si="4"/>
        <v>5</v>
      </c>
      <c r="T121" s="5" cm="1">
        <f t="array" ref="T1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1">
        <f>Table1[[#This Row],[Term to Maturity (Years)]]*Table1[[#This Row],[Coupon Frequency2]]</f>
        <v>5</v>
      </c>
      <c r="V121">
        <f>Table1[[#This Row],[Face value]]*Table1[[#This Row],[Current coupon %]]</f>
        <v>80.5</v>
      </c>
      <c r="W121" s="36">
        <f>RATE(Table1[[#This Row],[Total No. of Coupons]],Table1[[#This Row],[Coupon Amount]],-Table1[[#This Row],[Ask Price]],Table1[[#This Row],[Face value]])</f>
        <v>6.8594301087477966E-2</v>
      </c>
      <c r="X121" s="27">
        <f>Table1[[#This Row],[IRR]]*Table1[[#This Row],[Coupon Frequency2]]</f>
        <v>6.8594301087477966E-2</v>
      </c>
      <c r="Y121" s="19" cm="1">
        <f t="array" ref="Y1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1" s="33">
        <f>DURATION(Table1[[#This Row],[Issue date]],Table1[[#This Row],[Maturity date]],Table1[[#This Row],[Current coupon %]],Table1[[#This Row],[Yield (Annualised)]],Table1[[#This Row],[Coupon Frequency2]])</f>
        <v>4.3265001290690597</v>
      </c>
      <c r="AA121" s="33">
        <f>Table1[[#This Row],[Macaulay Duration in Years]]/(1+Table1[[#This Row],[IRR]])</f>
        <v>4.0487770940441141</v>
      </c>
      <c r="AB121" s="58">
        <f>VLOOKUP(Table1[[#This Row],[Yield Cluster]],'Cluster Details'!$B$3:$C$16,2,0)</f>
        <v>7.8548801574189142E-2</v>
      </c>
      <c r="AC121" s="78">
        <f>PRICE(Table1[[#This Row],[Issue date]],Table1[[#This Row],[Maturity date]],Table1[[#This Row],[Current coupon %]],Table1[[#This Row],[Average Cluster Yield]],100,Table1[[#This Row],[Coupon Frequency2]])*Table1[[#This Row],[Face value]]/100</f>
        <v>1007.820458193285</v>
      </c>
      <c r="AD121" s="58" t="str">
        <f>IF(Table1[[#This Row],[Ask Price]]&gt;Table1[[#This Row],[Calculated Bond Price]],"Rich","Cheap")</f>
        <v>Rich</v>
      </c>
      <c r="AE1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1007.6371769027554</v>
      </c>
      <c r="AF1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1092.6287115480375</v>
      </c>
      <c r="AG121" s="78">
        <f>(Table1[[#This Row],[P (+ shock)]]+Table1[[#This Row],[P (-shock)]]-2*Table1[[#This Row],[Ask Price]])/(2*Table1[[#This Row],[Ask Price]]*($AF$2^2))</f>
        <v>10.800230938001775</v>
      </c>
      <c r="AH121">
        <v>12.5876095331078</v>
      </c>
      <c r="AI121" s="6">
        <f t="shared" si="5"/>
        <v>7.6739752144899906E-2</v>
      </c>
      <c r="AK121" s="47">
        <f>RATE(Table1[[#This Row],[Total No. of Coupons]],Table1[[#This Row],[Coupon Amount]],-Table1[[#This Row],[Ask Price]],Table1[[#This Row],[Face value]])</f>
        <v>6.8594301087477966E-2</v>
      </c>
      <c r="AL121" s="27">
        <f>Table1[[#This Row],[IRR]]*Table1[[#This Row],[Coupon Frequency2]]</f>
        <v>6.8594301087477966E-2</v>
      </c>
      <c r="AM121" s="5">
        <f t="shared" si="6"/>
        <v>-4247.167171652276</v>
      </c>
      <c r="AN121" t="s">
        <v>64</v>
      </c>
      <c r="AO121" t="s">
        <v>62</v>
      </c>
      <c r="AP121">
        <f t="shared" si="7"/>
        <v>1</v>
      </c>
    </row>
    <row r="122" spans="1:42" x14ac:dyDescent="0.35">
      <c r="A122" s="48" t="s">
        <v>2100</v>
      </c>
      <c r="B122" s="49" t="s">
        <v>2400</v>
      </c>
      <c r="C122" s="49" t="s">
        <v>2273</v>
      </c>
      <c r="D122" s="50">
        <v>44868</v>
      </c>
      <c r="E122" s="50">
        <v>45964</v>
      </c>
      <c r="F122" s="49">
        <v>1000</v>
      </c>
      <c r="G122" s="49" t="s">
        <v>76</v>
      </c>
      <c r="H122" s="49">
        <v>1064.2</v>
      </c>
      <c r="I122" s="49" t="s">
        <v>76</v>
      </c>
      <c r="J122" s="49">
        <v>106.42</v>
      </c>
      <c r="K122" s="49">
        <v>50</v>
      </c>
      <c r="L122" s="51">
        <v>9.3000000000000013E-2</v>
      </c>
      <c r="M122" s="49" t="s">
        <v>93</v>
      </c>
      <c r="N122" s="49">
        <v>47</v>
      </c>
      <c r="O122" s="49">
        <v>8.7389588423228695</v>
      </c>
      <c r="P122" s="49" t="s">
        <v>2279</v>
      </c>
      <c r="Q122" s="49"/>
      <c r="R122" s="49" t="s">
        <v>2275</v>
      </c>
      <c r="S122">
        <f t="shared" si="4"/>
        <v>3</v>
      </c>
      <c r="T122" s="5" cm="1">
        <f t="array" ref="T1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2">
        <f>Table1[[#This Row],[Term to Maturity (Years)]]*Table1[[#This Row],[Coupon Frequency2]]</f>
        <v>3</v>
      </c>
      <c r="V122">
        <f>Table1[[#This Row],[Face value]]*Table1[[#This Row],[Current coupon %]]</f>
        <v>93.000000000000014</v>
      </c>
      <c r="W122" s="36">
        <f>RATE(Table1[[#This Row],[Total No. of Coupons]],Table1[[#This Row],[Coupon Amount]],-Table1[[#This Row],[Ask Price]],Table1[[#This Row],[Face value]])</f>
        <v>6.8599073289497395E-2</v>
      </c>
      <c r="X122" s="27">
        <f>Table1[[#This Row],[IRR]]*Table1[[#This Row],[Coupon Frequency2]]</f>
        <v>6.8599073289497395E-2</v>
      </c>
      <c r="Y122" s="19" cm="1">
        <f t="array" ref="Y1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2" s="33">
        <f>DURATION(Table1[[#This Row],[Issue date]],Table1[[#This Row],[Maturity date]],Table1[[#This Row],[Current coupon %]],Table1[[#This Row],[Yield (Annualised)]],Table1[[#This Row],[Coupon Frequency2]])</f>
        <v>2.7599111135702703</v>
      </c>
      <c r="AA122" s="33">
        <f>Table1[[#This Row],[Macaulay Duration in Years]]/(1+Table1[[#This Row],[IRR]])</f>
        <v>2.5827377007490391</v>
      </c>
      <c r="AB122" s="58">
        <f>VLOOKUP(Table1[[#This Row],[Yield Cluster]],'Cluster Details'!$B$3:$C$16,2,0)</f>
        <v>7.8548801574189142E-2</v>
      </c>
      <c r="AC12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1037.3398755874448</v>
      </c>
      <c r="AD122" s="58" t="str">
        <f>IF(Table1[[#This Row],[Ask Price]]&gt;Table1[[#This Row],[Calculated Bond Price]],"Rich","Cheap")</f>
        <v>Rich</v>
      </c>
      <c r="AE1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1037.2065993610188</v>
      </c>
      <c r="AF1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1092.1929491533995</v>
      </c>
      <c r="AG122" s="78">
        <f>(Table1[[#This Row],[P (+ shock)]]+Table1[[#This Row],[P (-shock)]]-2*Table1[[#This Row],[Ask Price]])/(2*Table1[[#This Row],[Ask Price]]*($AF$2^2))</f>
        <v>4.6962437249490963</v>
      </c>
      <c r="AH122">
        <v>13.9749003049495</v>
      </c>
      <c r="AI122" s="6">
        <f t="shared" si="5"/>
        <v>8.738958842322872E-2</v>
      </c>
      <c r="AK122" s="47">
        <f>RATE(Table1[[#This Row],[Total No. of Coupons]],Table1[[#This Row],[Coupon Amount]],-Table1[[#This Row],[Ask Price]],Table1[[#This Row],[Face value]])</f>
        <v>6.8599073289497395E-2</v>
      </c>
      <c r="AL122" s="27">
        <f>Table1[[#This Row],[IRR]]*Table1[[#This Row],[Coupon Frequency2]]</f>
        <v>6.8599073289497395E-2</v>
      </c>
      <c r="AM122" s="5">
        <f t="shared" si="6"/>
        <v>-2748.5494611371273</v>
      </c>
      <c r="AN122" t="s">
        <v>64</v>
      </c>
      <c r="AO122" t="s">
        <v>62</v>
      </c>
      <c r="AP122">
        <f t="shared" si="7"/>
        <v>1</v>
      </c>
    </row>
    <row r="123" spans="1:42" x14ac:dyDescent="0.35">
      <c r="A123" s="48" t="s">
        <v>102</v>
      </c>
      <c r="B123" s="49" t="s">
        <v>2401</v>
      </c>
      <c r="C123" s="49" t="s">
        <v>2273</v>
      </c>
      <c r="D123" s="50">
        <v>45800</v>
      </c>
      <c r="E123" s="50">
        <v>49795</v>
      </c>
      <c r="F123" s="49">
        <v>100000</v>
      </c>
      <c r="G123" s="49" t="s">
        <v>76</v>
      </c>
      <c r="H123" s="49">
        <v>99589</v>
      </c>
      <c r="I123" s="49" t="s">
        <v>76</v>
      </c>
      <c r="J123" s="49">
        <v>99.588999999999999</v>
      </c>
      <c r="K123" s="49">
        <v>500</v>
      </c>
      <c r="L123" s="51">
        <v>6.8099999999999994E-2</v>
      </c>
      <c r="M123" s="49" t="s">
        <v>93</v>
      </c>
      <c r="N123" s="49">
        <v>3878</v>
      </c>
      <c r="O123" s="49">
        <v>6.8381046099468801</v>
      </c>
      <c r="P123" s="49"/>
      <c r="Q123" s="49"/>
      <c r="R123" s="49" t="s">
        <v>2275</v>
      </c>
      <c r="S123">
        <f t="shared" si="4"/>
        <v>11</v>
      </c>
      <c r="T123" s="5" cm="1">
        <f t="array" ref="T1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3">
        <f>Table1[[#This Row],[Term to Maturity (Years)]]*Table1[[#This Row],[Coupon Frequency2]]</f>
        <v>11</v>
      </c>
      <c r="V123">
        <f>Table1[[#This Row],[Face value]]*Table1[[#This Row],[Current coupon %]]</f>
        <v>6809.9999999999991</v>
      </c>
      <c r="W123" s="36">
        <f>RATE(Table1[[#This Row],[Total No. of Coupons]],Table1[[#This Row],[Coupon Amount]],-Table1[[#This Row],[Ask Price]],Table1[[#This Row],[Face value]])</f>
        <v>6.8644401908051933E-2</v>
      </c>
      <c r="X123" s="27">
        <f>Table1[[#This Row],[IRR]]*Table1[[#This Row],[Coupon Frequency2]]</f>
        <v>6.8644401908051933E-2</v>
      </c>
      <c r="Y123" s="19" cm="1">
        <f t="array" ref="Y1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3" s="33">
        <f>DURATION(Table1[[#This Row],[Issue date]],Table1[[#This Row],[Maturity date]],Table1[[#This Row],[Current coupon %]],Table1[[#This Row],[Yield (Annualised)]],Table1[[#This Row],[Coupon Frequency2]])</f>
        <v>8.015165646457584</v>
      </c>
      <c r="AA123" s="33">
        <f>Table1[[#This Row],[Macaulay Duration in Years]]/(1+Table1[[#This Row],[IRR]])</f>
        <v>7.5003112655122708</v>
      </c>
      <c r="AB123" s="58">
        <f>VLOOKUP(Table1[[#This Row],[Yield Cluster]],'Cluster Details'!$B$3:$C$16,2,0)</f>
        <v>7.8548801574189142E-2</v>
      </c>
      <c r="AC123" s="78">
        <f>PRICE(Table1[[#This Row],[Issue date]],Table1[[#This Row],[Maturity date]],Table1[[#This Row],[Current coupon %]],Table1[[#This Row],[Average Cluster Yield]],100,Table1[[#This Row],[Coupon Frequency2]])*Table1[[#This Row],[Face value]]/100</f>
        <v>92500.646156499541</v>
      </c>
      <c r="AD123" s="58" t="str">
        <f>IF(Table1[[#This Row],[Ask Price]]&gt;Table1[[#This Row],[Calculated Bond Price]],"Rich","Cheap")</f>
        <v>Rich</v>
      </c>
      <c r="AE1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92435.652609401004</v>
      </c>
      <c r="AF1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107466.55843500662</v>
      </c>
      <c r="AG123" s="78">
        <f>(Table1[[#This Row],[P (+ shock)]]+Table1[[#This Row],[P (-shock)]]-2*Table1[[#This Row],[Ask Price]])/(2*Table1[[#This Row],[Ask Price]]*($AF$2^2))</f>
        <v>36.359991786624242</v>
      </c>
      <c r="AH123">
        <v>1.1162949476558901</v>
      </c>
      <c r="AI123" s="6">
        <f t="shared" si="5"/>
        <v>6.8381046099468809E-2</v>
      </c>
      <c r="AK123" s="47">
        <f>RATE(Table1[[#This Row],[Total No. of Coupons]],Table1[[#This Row],[Coupon Amount]],-Table1[[#This Row],[Ask Price]],Table1[[#This Row],[Face value]])</f>
        <v>6.8644401908051933E-2</v>
      </c>
      <c r="AL123" s="27">
        <f>Table1[[#This Row],[IRR]]*Table1[[#This Row],[Coupon Frequency2]]</f>
        <v>6.8644401908051933E-2</v>
      </c>
      <c r="AM123" s="5">
        <f t="shared" si="6"/>
        <v>-746948.49862110149</v>
      </c>
      <c r="AN123" t="s">
        <v>64</v>
      </c>
      <c r="AO123" t="s">
        <v>62</v>
      </c>
      <c r="AP123">
        <f t="shared" si="7"/>
        <v>1</v>
      </c>
    </row>
    <row r="124" spans="1:42" x14ac:dyDescent="0.35">
      <c r="A124" s="48" t="s">
        <v>1659</v>
      </c>
      <c r="B124" s="49" t="s">
        <v>2402</v>
      </c>
      <c r="C124" s="49" t="s">
        <v>2273</v>
      </c>
      <c r="D124" s="50">
        <v>45586</v>
      </c>
      <c r="E124" s="50">
        <v>46262</v>
      </c>
      <c r="F124" s="49">
        <v>100000</v>
      </c>
      <c r="G124" s="49" t="s">
        <v>76</v>
      </c>
      <c r="H124" s="49">
        <v>104311.9</v>
      </c>
      <c r="I124" s="49" t="s">
        <v>76</v>
      </c>
      <c r="J124" s="49">
        <v>104.31189999999999</v>
      </c>
      <c r="K124" s="49">
        <v>6</v>
      </c>
      <c r="L124" s="51">
        <v>9.2499999999999999E-2</v>
      </c>
      <c r="M124" s="49" t="s">
        <v>93</v>
      </c>
      <c r="N124" s="49">
        <v>345</v>
      </c>
      <c r="O124" s="49">
        <v>8.8676363866442802</v>
      </c>
      <c r="P124" s="49" t="s">
        <v>2279</v>
      </c>
      <c r="Q124" s="49"/>
      <c r="R124" s="49" t="s">
        <v>2275</v>
      </c>
      <c r="S124">
        <f t="shared" si="4"/>
        <v>2</v>
      </c>
      <c r="T124" s="5" cm="1">
        <f t="array" ref="T1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4">
        <f>Table1[[#This Row],[Term to Maturity (Years)]]*Table1[[#This Row],[Coupon Frequency2]]</f>
        <v>2</v>
      </c>
      <c r="V124">
        <f>Table1[[#This Row],[Face value]]*Table1[[#This Row],[Current coupon %]]</f>
        <v>9250</v>
      </c>
      <c r="W124" s="36">
        <f>RATE(Table1[[#This Row],[Total No. of Coupons]],Table1[[#This Row],[Coupon Amount]],-Table1[[#This Row],[Ask Price]],Table1[[#This Row],[Face value]])</f>
        <v>6.8694385308947989E-2</v>
      </c>
      <c r="X124" s="27">
        <f>Table1[[#This Row],[IRR]]*Table1[[#This Row],[Coupon Frequency2]]</f>
        <v>6.8694385308947989E-2</v>
      </c>
      <c r="Y124" s="19" cm="1">
        <f t="array" ref="Y1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4" s="33">
        <f>DURATION(Table1[[#This Row],[Issue date]],Table1[[#This Row],[Maturity date]],Table1[[#This Row],[Current coupon %]],Table1[[#This Row],[Yield (Annualised)]],Table1[[#This Row],[Coupon Frequency2]])</f>
        <v>1.7698014235595336</v>
      </c>
      <c r="AA124" s="33">
        <f>Table1[[#This Row],[Macaulay Duration in Years]]/(1+Table1[[#This Row],[IRR]])</f>
        <v>1.6560407239791977</v>
      </c>
      <c r="AB124" s="58">
        <f>VLOOKUP(Table1[[#This Row],[Yield Cluster]],'Cluster Details'!$B$3:$C$16,2,0)</f>
        <v>7.8548801574189142E-2</v>
      </c>
      <c r="AC124" s="78">
        <f>PRICE(Table1[[#This Row],[Issue date]],Table1[[#This Row],[Maturity date]],Table1[[#This Row],[Current coupon %]],Table1[[#This Row],[Average Cluster Yield]],100,Table1[[#This Row],[Coupon Frequency2]])*Table1[[#This Row],[Face value]]/100</f>
        <v>102278.38924660203</v>
      </c>
      <c r="AD124" s="58" t="str">
        <f>IF(Table1[[#This Row],[Ask Price]]&gt;Table1[[#This Row],[Calculated Bond Price]],"Rich","Cheap")</f>
        <v>Rich</v>
      </c>
      <c r="AE1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102253.6451666748</v>
      </c>
      <c r="AF1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105743.0467944939</v>
      </c>
      <c r="AG124" s="78">
        <f>(Table1[[#This Row],[P (+ shock)]]+Table1[[#This Row],[P (-shock)]]-2*Table1[[#This Row],[Ask Price]])/(2*Table1[[#This Row],[Ask Price]]*($AF$2^2))</f>
        <v>-30.059276018904335</v>
      </c>
      <c r="AH124">
        <v>39.3168604651162</v>
      </c>
      <c r="AI124" s="6">
        <f t="shared" si="5"/>
        <v>8.8676363866442856E-2</v>
      </c>
      <c r="AK124" s="47">
        <f>RATE(Table1[[#This Row],[Total No. of Coupons]],Table1[[#This Row],[Coupon Amount]],-Table1[[#This Row],[Ask Price]],Table1[[#This Row],[Face value]])</f>
        <v>6.8694385308947989E-2</v>
      </c>
      <c r="AL124" s="27">
        <f>Table1[[#This Row],[IRR]]*Table1[[#This Row],[Coupon Frequency2]]</f>
        <v>6.8694385308947989E-2</v>
      </c>
      <c r="AM124" s="5">
        <f t="shared" si="6"/>
        <v>-172744.75439564566</v>
      </c>
      <c r="AN124" t="s">
        <v>64</v>
      </c>
      <c r="AO124" t="s">
        <v>62</v>
      </c>
      <c r="AP124">
        <f t="shared" si="7"/>
        <v>1</v>
      </c>
    </row>
    <row r="125" spans="1:42" x14ac:dyDescent="0.35">
      <c r="A125" s="48" t="s">
        <v>1941</v>
      </c>
      <c r="B125" s="49" t="s">
        <v>2403</v>
      </c>
      <c r="C125" s="49" t="s">
        <v>2273</v>
      </c>
      <c r="D125" s="50">
        <v>42425</v>
      </c>
      <c r="E125" s="50">
        <v>46078</v>
      </c>
      <c r="F125" s="49">
        <v>1000000</v>
      </c>
      <c r="G125" s="49" t="s">
        <v>76</v>
      </c>
      <c r="H125" s="49">
        <v>1013500</v>
      </c>
      <c r="I125" s="49" t="s">
        <v>76</v>
      </c>
      <c r="J125" s="49">
        <v>101.35</v>
      </c>
      <c r="K125" s="49">
        <v>10</v>
      </c>
      <c r="L125" s="51">
        <v>7.0699999999999999E-2</v>
      </c>
      <c r="M125" s="49" t="s">
        <v>93</v>
      </c>
      <c r="N125" s="49">
        <v>161</v>
      </c>
      <c r="O125" s="49">
        <v>6.9758263443512503</v>
      </c>
      <c r="P125" s="49"/>
      <c r="Q125" s="49"/>
      <c r="R125" s="49" t="s">
        <v>2275</v>
      </c>
      <c r="S125">
        <f t="shared" si="4"/>
        <v>10</v>
      </c>
      <c r="T125" s="5" cm="1">
        <f t="array" ref="T1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5">
        <f>Table1[[#This Row],[Term to Maturity (Years)]]*Table1[[#This Row],[Coupon Frequency2]]</f>
        <v>10</v>
      </c>
      <c r="V125">
        <f>Table1[[#This Row],[Face value]]*Table1[[#This Row],[Current coupon %]]</f>
        <v>70700</v>
      </c>
      <c r="W125" s="36">
        <f>RATE(Table1[[#This Row],[Total No. of Coupons]],Table1[[#This Row],[Coupon Amount]],-Table1[[#This Row],[Ask Price]],Table1[[#This Row],[Face value]])</f>
        <v>6.8788652271605036E-2</v>
      </c>
      <c r="X125" s="27">
        <f>Table1[[#This Row],[IRR]]*Table1[[#This Row],[Coupon Frequency2]]</f>
        <v>6.8788652271605036E-2</v>
      </c>
      <c r="Y125" s="19" cm="1">
        <f t="array" ref="Y1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5" s="33">
        <f>DURATION(Table1[[#This Row],[Issue date]],Table1[[#This Row],[Maturity date]],Table1[[#This Row],[Current coupon %]],Table1[[#This Row],[Yield (Annualised)]],Table1[[#This Row],[Coupon Frequency2]])</f>
        <v>7.5143897235411643</v>
      </c>
      <c r="AA125" s="33">
        <f>Table1[[#This Row],[Macaulay Duration in Years]]/(1+Table1[[#This Row],[IRR]])</f>
        <v>7.030753655149752</v>
      </c>
      <c r="AB125" s="58">
        <f>VLOOKUP(Table1[[#This Row],[Yield Cluster]],'Cluster Details'!$B$3:$C$16,2,0)</f>
        <v>7.8548801574189142E-2</v>
      </c>
      <c r="AC125" s="78">
        <f>PRICE(Table1[[#This Row],[Issue date]],Table1[[#This Row],[Maturity date]],Table1[[#This Row],[Current coupon %]],Table1[[#This Row],[Average Cluster Yield]],100,Table1[[#This Row],[Coupon Frequency2]])*Table1[[#This Row],[Face value]]/100</f>
        <v>946987.42361028586</v>
      </c>
      <c r="AD125" s="58" t="str">
        <f>IF(Table1[[#This Row],[Ask Price]]&gt;Table1[[#This Row],[Calculated Bond Price]],"Rich","Cheap")</f>
        <v>Rich</v>
      </c>
      <c r="AE1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945426.68248514633</v>
      </c>
      <c r="AF1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1088173.8941984018</v>
      </c>
      <c r="AG125" s="78">
        <f>(Table1[[#This Row],[P (+ shock)]]+Table1[[#This Row],[P (-shock)]]-2*Table1[[#This Row],[Ask Price]])/(2*Table1[[#This Row],[Ask Price]]*($AF$2^2))</f>
        <v>32.56327914922683</v>
      </c>
      <c r="AH125">
        <v>11.019006912934399</v>
      </c>
      <c r="AI125" s="6">
        <f t="shared" si="5"/>
        <v>6.9758263443512575E-2</v>
      </c>
      <c r="AK125" s="47">
        <f>RATE(Table1[[#This Row],[Total No. of Coupons]],Table1[[#This Row],[Coupon Amount]],-Table1[[#This Row],[Ask Price]],Table1[[#This Row],[Face value]])</f>
        <v>6.8788652271605036E-2</v>
      </c>
      <c r="AL125" s="27">
        <f>Table1[[#This Row],[IRR]]*Table1[[#This Row],[Coupon Frequency2]]</f>
        <v>6.8788652271605036E-2</v>
      </c>
      <c r="AM125" s="5">
        <f t="shared" si="6"/>
        <v>-7125668.8294942733</v>
      </c>
      <c r="AN125" t="s">
        <v>64</v>
      </c>
      <c r="AO125" t="s">
        <v>62</v>
      </c>
      <c r="AP125">
        <f t="shared" si="7"/>
        <v>1</v>
      </c>
    </row>
    <row r="126" spans="1:42" x14ac:dyDescent="0.35">
      <c r="A126" s="48" t="s">
        <v>302</v>
      </c>
      <c r="B126" s="49" t="s">
        <v>2404</v>
      </c>
      <c r="C126" s="49" t="s">
        <v>2273</v>
      </c>
      <c r="D126" s="50">
        <v>44517</v>
      </c>
      <c r="E126" s="50">
        <v>48169</v>
      </c>
      <c r="F126" s="49">
        <v>1000000</v>
      </c>
      <c r="G126" s="49" t="s">
        <v>76</v>
      </c>
      <c r="H126" s="49">
        <v>1040000</v>
      </c>
      <c r="I126" s="49" t="s">
        <v>76</v>
      </c>
      <c r="J126" s="49">
        <v>104</v>
      </c>
      <c r="K126" s="49">
        <v>1</v>
      </c>
      <c r="L126" s="51">
        <v>7.4499999999999997E-2</v>
      </c>
      <c r="M126" s="49" t="s">
        <v>93</v>
      </c>
      <c r="N126" s="49">
        <v>2252</v>
      </c>
      <c r="O126" s="49">
        <v>7.1634615384615303</v>
      </c>
      <c r="P126" s="49"/>
      <c r="Q126" s="49"/>
      <c r="R126" s="49" t="s">
        <v>2275</v>
      </c>
      <c r="S126">
        <f t="shared" si="4"/>
        <v>10</v>
      </c>
      <c r="T126" s="5" cm="1">
        <f t="array" ref="T1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6">
        <f>Table1[[#This Row],[Term to Maturity (Years)]]*Table1[[#This Row],[Coupon Frequency2]]</f>
        <v>10</v>
      </c>
      <c r="V126">
        <f>Table1[[#This Row],[Face value]]*Table1[[#This Row],[Current coupon %]]</f>
        <v>74500</v>
      </c>
      <c r="W126" s="36">
        <f>RATE(Table1[[#This Row],[Total No. of Coupons]],Table1[[#This Row],[Coupon Amount]],-Table1[[#This Row],[Ask Price]],Table1[[#This Row],[Face value]])</f>
        <v>6.8835516909824729E-2</v>
      </c>
      <c r="X126" s="27">
        <f>Table1[[#This Row],[IRR]]*Table1[[#This Row],[Coupon Frequency2]]</f>
        <v>6.8835516909824729E-2</v>
      </c>
      <c r="Y126" s="19" cm="1">
        <f t="array" ref="Y1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6" s="33">
        <f>DURATION(Table1[[#This Row],[Issue date]],Table1[[#This Row],[Maturity date]],Table1[[#This Row],[Current coupon %]],Table1[[#This Row],[Yield (Annualised)]],Table1[[#This Row],[Coupon Frequency2]])</f>
        <v>7.4479075228366289</v>
      </c>
      <c r="AA126" s="33">
        <f>Table1[[#This Row],[Macaulay Duration in Years]]/(1+Table1[[#This Row],[IRR]])</f>
        <v>6.9682447907136611</v>
      </c>
      <c r="AB126" s="58">
        <f>VLOOKUP(Table1[[#This Row],[Yield Cluster]],'Cluster Details'!$B$3:$C$16,2,0)</f>
        <v>7.8548801574189142E-2</v>
      </c>
      <c r="AC126" s="78">
        <f>PRICE(Table1[[#This Row],[Issue date]],Table1[[#This Row],[Maturity date]],Table1[[#This Row],[Current coupon %]],Table1[[#This Row],[Average Cluster Yield]],100,Table1[[#This Row],[Coupon Frequency2]])*Table1[[#This Row],[Face value]]/100</f>
        <v>972653.48082638101</v>
      </c>
      <c r="AD126" s="58" t="str">
        <f>IF(Table1[[#This Row],[Ask Price]]&gt;Table1[[#This Row],[Calculated Bond Price]],"Rich","Cheap")</f>
        <v>Rich</v>
      </c>
      <c r="AE1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970754.90713475342</v>
      </c>
      <c r="AF1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1115930.7048301306</v>
      </c>
      <c r="AG126" s="78">
        <f>(Table1[[#This Row],[P (+ shock)]]+Table1[[#This Row],[P (-shock)]]-2*Table1[[#This Row],[Ask Price]])/(2*Table1[[#This Row],[Ask Price]]*($AF$2^2))</f>
        <v>32.142365215788374</v>
      </c>
      <c r="AH126">
        <v>2.0535146952710099</v>
      </c>
      <c r="AI126" s="6">
        <f t="shared" si="5"/>
        <v>7.163461538461538E-2</v>
      </c>
      <c r="AK126" s="47">
        <f>RATE(Table1[[#This Row],[Total No. of Coupons]],Table1[[#This Row],[Coupon Amount]],-Table1[[#This Row],[Ask Price]],Table1[[#This Row],[Face value]])</f>
        <v>6.8835516909824729E-2</v>
      </c>
      <c r="AL126" s="27">
        <f>Table1[[#This Row],[IRR]]*Table1[[#This Row],[Coupon Frequency2]]</f>
        <v>6.8835516909824729E-2</v>
      </c>
      <c r="AM126" s="5">
        <f t="shared" si="6"/>
        <v>-7246974.5823422074</v>
      </c>
      <c r="AN126" t="s">
        <v>64</v>
      </c>
      <c r="AO126" t="s">
        <v>62</v>
      </c>
      <c r="AP126">
        <f t="shared" si="7"/>
        <v>1</v>
      </c>
    </row>
    <row r="127" spans="1:42" x14ac:dyDescent="0.35">
      <c r="A127" s="48" t="s">
        <v>1614</v>
      </c>
      <c r="B127" s="49" t="s">
        <v>2405</v>
      </c>
      <c r="C127" s="49" t="s">
        <v>2273</v>
      </c>
      <c r="D127" s="50">
        <v>45560</v>
      </c>
      <c r="E127" s="50">
        <v>46290</v>
      </c>
      <c r="F127" s="49">
        <v>1000</v>
      </c>
      <c r="G127" s="49" t="s">
        <v>76</v>
      </c>
      <c r="H127" s="49">
        <v>1050</v>
      </c>
      <c r="I127" s="49" t="s">
        <v>76</v>
      </c>
      <c r="J127" s="49">
        <v>105</v>
      </c>
      <c r="K127" s="49">
        <v>178</v>
      </c>
      <c r="L127" s="51">
        <v>9.6500000000000002E-2</v>
      </c>
      <c r="M127" s="49" t="s">
        <v>93</v>
      </c>
      <c r="N127" s="49">
        <v>373</v>
      </c>
      <c r="O127" s="49">
        <v>9.1904761904761898</v>
      </c>
      <c r="P127" s="49" t="s">
        <v>2279</v>
      </c>
      <c r="Q127" s="49"/>
      <c r="R127" s="49" t="s">
        <v>2275</v>
      </c>
      <c r="S127">
        <f t="shared" si="4"/>
        <v>2</v>
      </c>
      <c r="T127" s="5" cm="1">
        <f t="array" ref="T1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7">
        <f>Table1[[#This Row],[Term to Maturity (Years)]]*Table1[[#This Row],[Coupon Frequency2]]</f>
        <v>2</v>
      </c>
      <c r="V127">
        <f>Table1[[#This Row],[Face value]]*Table1[[#This Row],[Current coupon %]]</f>
        <v>96.5</v>
      </c>
      <c r="W127" s="36">
        <f>RATE(Table1[[#This Row],[Total No. of Coupons]],Table1[[#This Row],[Coupon Amount]],-Table1[[#This Row],[Ask Price]],Table1[[#This Row],[Face value]])</f>
        <v>6.8888026826997795E-2</v>
      </c>
      <c r="X127" s="27">
        <f>Table1[[#This Row],[IRR]]*Table1[[#This Row],[Coupon Frequency2]]</f>
        <v>6.8888026826997795E-2</v>
      </c>
      <c r="Y127" s="19" cm="1">
        <f t="array" ref="Y1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7" s="33">
        <f>DURATION(Table1[[#This Row],[Issue date]],Table1[[#This Row],[Maturity date]],Table1[[#This Row],[Current coupon %]],Table1[[#This Row],[Yield (Annualised)]],Table1[[#This Row],[Coupon Frequency2]])</f>
        <v>1.9140183446739665</v>
      </c>
      <c r="AA127" s="33">
        <f>Table1[[#This Row],[Macaulay Duration in Years]]/(1+Table1[[#This Row],[IRR]])</f>
        <v>1.7906630971961996</v>
      </c>
      <c r="AB127" s="58">
        <f>VLOOKUP(Table1[[#This Row],[Yield Cluster]],'Cluster Details'!$B$3:$C$16,2,0)</f>
        <v>7.8548801574189142E-2</v>
      </c>
      <c r="AC127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1032.0755470409078</v>
      </c>
      <c r="AD127" s="58" t="str">
        <f>IF(Table1[[#This Row],[Ask Price]]&gt;Table1[[#This Row],[Calculated Bond Price]],"Rich","Cheap")</f>
        <v>Rich</v>
      </c>
      <c r="AE1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1031.4547593086647</v>
      </c>
      <c r="AF1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1069.0651199552544</v>
      </c>
      <c r="AG127" s="78">
        <f>(Table1[[#This Row],[P (+ shock)]]+Table1[[#This Row],[P (-shock)]]-2*Table1[[#This Row],[Ask Price]])/(2*Table1[[#This Row],[Ask Price]]*($AF$2^2))</f>
        <v>2.4756155424732977</v>
      </c>
      <c r="AH127">
        <v>11.109840634603</v>
      </c>
      <c r="AI127" s="6">
        <f t="shared" si="5"/>
        <v>9.1904761904761906E-2</v>
      </c>
      <c r="AK127" s="47">
        <f>RATE(Table1[[#This Row],[Total No. of Coupons]],Table1[[#This Row],[Coupon Amount]],-Table1[[#This Row],[Ask Price]],Table1[[#This Row],[Face value]])</f>
        <v>6.8888026826997795E-2</v>
      </c>
      <c r="AL127" s="27">
        <f>Table1[[#This Row],[IRR]]*Table1[[#This Row],[Coupon Frequency2]]</f>
        <v>6.8888026826997795E-2</v>
      </c>
      <c r="AM127" s="5">
        <f t="shared" si="6"/>
        <v>-1880.1962520560096</v>
      </c>
      <c r="AN127" t="s">
        <v>64</v>
      </c>
      <c r="AO127" t="s">
        <v>62</v>
      </c>
      <c r="AP127">
        <f t="shared" si="7"/>
        <v>1</v>
      </c>
    </row>
    <row r="128" spans="1:42" x14ac:dyDescent="0.35">
      <c r="A128" s="48" t="s">
        <v>1898</v>
      </c>
      <c r="B128" s="49" t="s">
        <v>2406</v>
      </c>
      <c r="C128" s="49" t="s">
        <v>2273</v>
      </c>
      <c r="D128" s="50">
        <v>42452</v>
      </c>
      <c r="E128" s="50">
        <v>46104</v>
      </c>
      <c r="F128" s="49">
        <v>1000</v>
      </c>
      <c r="G128" s="49" t="s">
        <v>76</v>
      </c>
      <c r="H128" s="49">
        <v>1028.1300000000001</v>
      </c>
      <c r="I128" s="49" t="s">
        <v>76</v>
      </c>
      <c r="J128" s="49">
        <v>102.813</v>
      </c>
      <c r="K128" s="49">
        <v>500</v>
      </c>
      <c r="L128" s="51">
        <v>7.2900000000000006E-2</v>
      </c>
      <c r="M128" s="49" t="s">
        <v>93</v>
      </c>
      <c r="N128" s="49">
        <v>187</v>
      </c>
      <c r="O128" s="49">
        <v>7.09054302471477</v>
      </c>
      <c r="P128" s="49"/>
      <c r="Q128" s="49"/>
      <c r="R128" s="49" t="s">
        <v>2275</v>
      </c>
      <c r="S128">
        <f t="shared" si="4"/>
        <v>10</v>
      </c>
      <c r="T128" s="5" cm="1">
        <f t="array" ref="T1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8">
        <f>Table1[[#This Row],[Term to Maturity (Years)]]*Table1[[#This Row],[Coupon Frequency2]]</f>
        <v>10</v>
      </c>
      <c r="V128">
        <f>Table1[[#This Row],[Face value]]*Table1[[#This Row],[Current coupon %]]</f>
        <v>72.900000000000006</v>
      </c>
      <c r="W128" s="36">
        <f>RATE(Table1[[#This Row],[Total No. of Coupons]],Table1[[#This Row],[Coupon Amount]],-Table1[[#This Row],[Ask Price]],Table1[[#This Row],[Face value]])</f>
        <v>6.891498463277973E-2</v>
      </c>
      <c r="X128" s="27">
        <f>Table1[[#This Row],[IRR]]*Table1[[#This Row],[Coupon Frequency2]]</f>
        <v>6.891498463277973E-2</v>
      </c>
      <c r="Y128" s="19" cm="1">
        <f t="array" ref="Y1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8" s="33">
        <f>DURATION(Table1[[#This Row],[Issue date]],Table1[[#This Row],[Maturity date]],Table1[[#This Row],[Current coupon %]],Table1[[#This Row],[Yield (Annualised)]],Table1[[#This Row],[Coupon Frequency2]])</f>
        <v>7.4745159549218769</v>
      </c>
      <c r="AA128" s="33">
        <f>Table1[[#This Row],[Macaulay Duration in Years]]/(1+Table1[[#This Row],[IRR]])</f>
        <v>6.9926196773167222</v>
      </c>
      <c r="AB128" s="58">
        <f>VLOOKUP(Table1[[#This Row],[Yield Cluster]],'Cluster Details'!$B$3:$C$16,2,0)</f>
        <v>7.8548801574189142E-2</v>
      </c>
      <c r="AC128" s="78">
        <f>PRICE(Table1[[#This Row],[Issue date]],Table1[[#This Row],[Maturity date]],Table1[[#This Row],[Current coupon %]],Table1[[#This Row],[Average Cluster Yield]],100,Table1[[#This Row],[Coupon Frequency2]])*Table1[[#This Row],[Face value]]/100</f>
        <v>961.84671989328842</v>
      </c>
      <c r="AD128" s="58" t="str">
        <f>IF(Table1[[#This Row],[Ask Price]]&gt;Table1[[#This Row],[Calculated Bond Price]],"Rich","Cheap")</f>
        <v>Rich</v>
      </c>
      <c r="AE1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959.44069115103719</v>
      </c>
      <c r="AF1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1103.4621241939412</v>
      </c>
      <c r="AG128" s="78">
        <f>(Table1[[#This Row],[P (+ shock)]]+Table1[[#This Row],[P (-shock)]]-2*Table1[[#This Row],[Ask Price]])/(2*Table1[[#This Row],[Ask Price]]*($AF$2^2))</f>
        <v>32.305327852403472</v>
      </c>
      <c r="AH128">
        <v>13.088202259902999</v>
      </c>
      <c r="AI128" s="6">
        <f t="shared" si="5"/>
        <v>7.0905430247147738E-2</v>
      </c>
      <c r="AK128" s="47">
        <f>RATE(Table1[[#This Row],[Total No. of Coupons]],Table1[[#This Row],[Coupon Amount]],-Table1[[#This Row],[Ask Price]],Table1[[#This Row],[Face value]])</f>
        <v>6.891498463277973E-2</v>
      </c>
      <c r="AL128" s="27">
        <f>Table1[[#This Row],[IRR]]*Table1[[#This Row],[Coupon Frequency2]]</f>
        <v>6.891498463277973E-2</v>
      </c>
      <c r="AM128" s="5">
        <f t="shared" si="6"/>
        <v>-7189.3220688396423</v>
      </c>
      <c r="AN128" t="s">
        <v>64</v>
      </c>
      <c r="AO128" t="s">
        <v>62</v>
      </c>
      <c r="AP128">
        <f t="shared" si="7"/>
        <v>1</v>
      </c>
    </row>
    <row r="129" spans="1:42" x14ac:dyDescent="0.35">
      <c r="A129" s="48" t="s">
        <v>464</v>
      </c>
      <c r="B129" s="49" t="s">
        <v>2407</v>
      </c>
      <c r="C129" s="49" t="s">
        <v>2273</v>
      </c>
      <c r="D129" s="50">
        <v>43962</v>
      </c>
      <c r="E129" s="50">
        <v>47614</v>
      </c>
      <c r="F129" s="49">
        <v>1000000</v>
      </c>
      <c r="G129" s="49" t="s">
        <v>76</v>
      </c>
      <c r="H129" s="49">
        <v>1046367</v>
      </c>
      <c r="I129" s="49" t="s">
        <v>76</v>
      </c>
      <c r="J129" s="49">
        <v>104.6367</v>
      </c>
      <c r="K129" s="49">
        <v>1</v>
      </c>
      <c r="L129" s="51">
        <v>7.5499999999999998E-2</v>
      </c>
      <c r="M129" s="49" t="s">
        <v>93</v>
      </c>
      <c r="N129" s="49">
        <v>1697</v>
      </c>
      <c r="O129" s="49">
        <v>7.2154416184761097</v>
      </c>
      <c r="P129" s="49"/>
      <c r="Q129" s="49"/>
      <c r="R129" s="49" t="s">
        <v>2275</v>
      </c>
      <c r="S129">
        <f t="shared" si="4"/>
        <v>10</v>
      </c>
      <c r="T129" s="5" cm="1">
        <f t="array" ref="T1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29">
        <f>Table1[[#This Row],[Term to Maturity (Years)]]*Table1[[#This Row],[Coupon Frequency2]]</f>
        <v>10</v>
      </c>
      <c r="V129">
        <f>Table1[[#This Row],[Face value]]*Table1[[#This Row],[Current coupon %]]</f>
        <v>75500</v>
      </c>
      <c r="W129" s="36">
        <f>RATE(Table1[[#This Row],[Total No. of Coupons]],Table1[[#This Row],[Coupon Amount]],-Table1[[#This Row],[Ask Price]],Table1[[#This Row],[Face value]])</f>
        <v>6.8930967111069996E-2</v>
      </c>
      <c r="X129" s="27">
        <f>Table1[[#This Row],[IRR]]*Table1[[#This Row],[Coupon Frequency2]]</f>
        <v>6.8930967111069996E-2</v>
      </c>
      <c r="Y129" s="19" cm="1">
        <f t="array" ref="Y1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29" s="33">
        <f>DURATION(Table1[[#This Row],[Issue date]],Table1[[#This Row],[Maturity date]],Table1[[#This Row],[Current coupon %]],Table1[[#This Row],[Yield (Annualised)]],Table1[[#This Row],[Coupon Frequency2]])</f>
        <v>7.4301589487038147</v>
      </c>
      <c r="AA129" s="33">
        <f>Table1[[#This Row],[Macaulay Duration in Years]]/(1+Table1[[#This Row],[IRR]])</f>
        <v>6.9510185197317469</v>
      </c>
      <c r="AB129" s="58">
        <f>VLOOKUP(Table1[[#This Row],[Yield Cluster]],'Cluster Details'!$B$3:$C$16,2,0)</f>
        <v>7.8548801574189142E-2</v>
      </c>
      <c r="AC129" s="78">
        <f>PRICE(Table1[[#This Row],[Issue date]],Table1[[#This Row],[Maturity date]],Table1[[#This Row],[Current coupon %]],Table1[[#This Row],[Average Cluster Yield]],100,Table1[[#This Row],[Coupon Frequency2]])*Table1[[#This Row],[Face value]]/100</f>
        <v>979407.70640956389</v>
      </c>
      <c r="AD129" s="58" t="str">
        <f>IF(Table1[[#This Row],[Ask Price]]&gt;Table1[[#This Row],[Calculated Bond Price]],"Rich","Cheap")</f>
        <v>Rich</v>
      </c>
      <c r="AE1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976866.50832935842</v>
      </c>
      <c r="AF1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1122569.5608649212</v>
      </c>
      <c r="AG129" s="78">
        <f>(Table1[[#This Row],[P (+ shock)]]+Table1[[#This Row],[P (-shock)]]-2*Table1[[#This Row],[Ask Price]])/(2*Table1[[#This Row],[Ask Price]]*($AF$2^2))</f>
        <v>32.025423175040935</v>
      </c>
      <c r="AI129" s="6">
        <f t="shared" si="5"/>
        <v>7.2154416184761178E-2</v>
      </c>
      <c r="AK129" s="47">
        <f>RATE(Table1[[#This Row],[Total No. of Coupons]],Table1[[#This Row],[Coupon Amount]],-Table1[[#This Row],[Ask Price]],Table1[[#This Row],[Face value]])</f>
        <v>6.8930967111069996E-2</v>
      </c>
      <c r="AL129" s="27">
        <f>Table1[[#This Row],[IRR]]*Table1[[#This Row],[Coupon Frequency2]]</f>
        <v>6.8930967111069996E-2</v>
      </c>
      <c r="AM129" s="5">
        <f t="shared" si="6"/>
        <v>-7273316.3954361491</v>
      </c>
      <c r="AN129" t="s">
        <v>69</v>
      </c>
      <c r="AO129" t="s">
        <v>62</v>
      </c>
      <c r="AP129">
        <f t="shared" si="7"/>
        <v>1</v>
      </c>
    </row>
    <row r="130" spans="1:42" x14ac:dyDescent="0.35">
      <c r="A130" s="48" t="s">
        <v>439</v>
      </c>
      <c r="B130" s="49" t="s">
        <v>2408</v>
      </c>
      <c r="C130" s="49" t="s">
        <v>2273</v>
      </c>
      <c r="D130" s="50">
        <v>43966</v>
      </c>
      <c r="E130" s="50">
        <v>47679</v>
      </c>
      <c r="F130" s="49">
        <v>1000000</v>
      </c>
      <c r="G130" s="49" t="s">
        <v>76</v>
      </c>
      <c r="H130" s="49">
        <v>1055000</v>
      </c>
      <c r="I130" s="49" t="s">
        <v>76</v>
      </c>
      <c r="J130" s="49">
        <v>105.5</v>
      </c>
      <c r="K130" s="49">
        <v>1</v>
      </c>
      <c r="L130" s="51">
        <v>7.6799999999999993E-2</v>
      </c>
      <c r="M130" s="49" t="s">
        <v>93</v>
      </c>
      <c r="N130" s="49">
        <v>1762</v>
      </c>
      <c r="O130" s="49">
        <v>7.2796208530805604</v>
      </c>
      <c r="P130" s="49" t="s">
        <v>2282</v>
      </c>
      <c r="Q130" s="49"/>
      <c r="R130" s="49" t="s">
        <v>2275</v>
      </c>
      <c r="S130">
        <f t="shared" si="4"/>
        <v>10</v>
      </c>
      <c r="T130" s="5" cm="1">
        <f t="array" ref="T1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0">
        <f>Table1[[#This Row],[Term to Maturity (Years)]]*Table1[[#This Row],[Coupon Frequency2]]</f>
        <v>10</v>
      </c>
      <c r="V130">
        <f>Table1[[#This Row],[Face value]]*Table1[[#This Row],[Current coupon %]]</f>
        <v>76800</v>
      </c>
      <c r="W130" s="36">
        <f>RATE(Table1[[#This Row],[Total No. of Coupons]],Table1[[#This Row],[Coupon Amount]],-Table1[[#This Row],[Ask Price]],Table1[[#This Row],[Face value]])</f>
        <v>6.9005207713299113E-2</v>
      </c>
      <c r="X130" s="27">
        <f>Table1[[#This Row],[IRR]]*Table1[[#This Row],[Coupon Frequency2]]</f>
        <v>6.9005207713299113E-2</v>
      </c>
      <c r="Y130" s="19" cm="1">
        <f t="array" ref="Y1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0" s="33">
        <f>DURATION(Table1[[#This Row],[Issue date]],Table1[[#This Row],[Maturity date]],Table1[[#This Row],[Current coupon %]],Table1[[#This Row],[Yield (Annualised)]],Table1[[#This Row],[Coupon Frequency2]])</f>
        <v>7.0718970919659672</v>
      </c>
      <c r="AA130" s="33">
        <f>Table1[[#This Row],[Macaulay Duration in Years]]/(1+Table1[[#This Row],[IRR]])</f>
        <v>6.6154000382218978</v>
      </c>
      <c r="AB130" s="58">
        <f>VLOOKUP(Table1[[#This Row],[Yield Cluster]],'Cluster Details'!$B$3:$C$16,2,0)</f>
        <v>7.8548801574189142E-2</v>
      </c>
      <c r="AC130" s="78">
        <f>PRICE(Table1[[#This Row],[Issue date]],Table1[[#This Row],[Maturity date]],Table1[[#This Row],[Current coupon %]],Table1[[#This Row],[Average Cluster Yield]],100,Table1[[#This Row],[Coupon Frequency2]])*Table1[[#This Row],[Face value]]/100</f>
        <v>987650.65246285393</v>
      </c>
      <c r="AD130" s="58" t="str">
        <f>IF(Table1[[#This Row],[Ask Price]]&gt;Table1[[#This Row],[Calculated Bond Price]],"Rich","Cheap")</f>
        <v>Rich</v>
      </c>
      <c r="AE1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984562.98630211886</v>
      </c>
      <c r="AF1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1132899.5318553536</v>
      </c>
      <c r="AG130" s="78">
        <f>(Table1[[#This Row],[P (+ shock)]]+Table1[[#This Row],[P (-shock)]]-2*Table1[[#This Row],[Ask Price]])/(2*Table1[[#This Row],[Ask Price]]*($AF$2^2))</f>
        <v>35.367384632570463</v>
      </c>
      <c r="AI130" s="6">
        <f t="shared" si="5"/>
        <v>7.2796208530805692E-2</v>
      </c>
      <c r="AK130" s="47">
        <f>RATE(Table1[[#This Row],[Total No. of Coupons]],Table1[[#This Row],[Coupon Amount]],-Table1[[#This Row],[Ask Price]],Table1[[#This Row],[Face value]])</f>
        <v>6.9005207713299113E-2</v>
      </c>
      <c r="AL130" s="27">
        <f>Table1[[#This Row],[IRR]]*Table1[[#This Row],[Coupon Frequency2]]</f>
        <v>6.9005207713299113E-2</v>
      </c>
      <c r="AM130" s="5">
        <f t="shared" si="6"/>
        <v>-6979247.0403241022</v>
      </c>
      <c r="AN130" t="s">
        <v>69</v>
      </c>
      <c r="AO130" t="s">
        <v>62</v>
      </c>
      <c r="AP130">
        <f t="shared" si="7"/>
        <v>1</v>
      </c>
    </row>
    <row r="131" spans="1:42" x14ac:dyDescent="0.35">
      <c r="A131" s="48" t="s">
        <v>1381</v>
      </c>
      <c r="B131" s="49" t="s">
        <v>2409</v>
      </c>
      <c r="C131" s="49" t="s">
        <v>2273</v>
      </c>
      <c r="D131" s="50">
        <v>40962</v>
      </c>
      <c r="E131" s="50">
        <v>46441</v>
      </c>
      <c r="F131" s="49">
        <v>1000</v>
      </c>
      <c r="G131" s="49" t="s">
        <v>76</v>
      </c>
      <c r="H131" s="49">
        <v>1108.5</v>
      </c>
      <c r="I131" s="49" t="s">
        <v>76</v>
      </c>
      <c r="J131" s="49">
        <v>110.85</v>
      </c>
      <c r="K131" s="49">
        <v>350</v>
      </c>
      <c r="L131" s="51">
        <v>8.1000000000000003E-2</v>
      </c>
      <c r="M131" s="49" t="s">
        <v>93</v>
      </c>
      <c r="N131" s="49">
        <v>524</v>
      </c>
      <c r="O131" s="49">
        <v>7.30717185385656</v>
      </c>
      <c r="P131" s="49" t="s">
        <v>2274</v>
      </c>
      <c r="Q131" s="49"/>
      <c r="R131" s="49" t="s">
        <v>2275</v>
      </c>
      <c r="S131">
        <f t="shared" si="4"/>
        <v>15</v>
      </c>
      <c r="T131" s="5" cm="1">
        <f t="array" ref="T1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1">
        <f>Table1[[#This Row],[Term to Maturity (Years)]]*Table1[[#This Row],[Coupon Frequency2]]</f>
        <v>15</v>
      </c>
      <c r="V131">
        <f>Table1[[#This Row],[Face value]]*Table1[[#This Row],[Current coupon %]]</f>
        <v>81</v>
      </c>
      <c r="W131" s="36">
        <f>RATE(Table1[[#This Row],[Total No. of Coupons]],Table1[[#This Row],[Coupon Amount]],-Table1[[#This Row],[Ask Price]],Table1[[#This Row],[Face value]])</f>
        <v>6.9151078818487574E-2</v>
      </c>
      <c r="X131" s="27">
        <f>Table1[[#This Row],[IRR]]*Table1[[#This Row],[Coupon Frequency2]]</f>
        <v>6.9151078818487574E-2</v>
      </c>
      <c r="Y131" s="19" cm="1">
        <f t="array" ref="Y1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1" s="33">
        <f>DURATION(Table1[[#This Row],[Issue date]],Table1[[#This Row],[Maturity date]],Table1[[#This Row],[Current coupon %]],Table1[[#This Row],[Yield (Annualised)]],Table1[[#This Row],[Coupon Frequency2]])</f>
        <v>9.4947842924253223</v>
      </c>
      <c r="AA131" s="33">
        <f>Table1[[#This Row],[Macaulay Duration in Years]]/(1+Table1[[#This Row],[IRR]])</f>
        <v>8.880675968561853</v>
      </c>
      <c r="AB131" s="58">
        <f>VLOOKUP(Table1[[#This Row],[Yield Cluster]],'Cluster Details'!$B$3:$C$16,2,0)</f>
        <v>7.8548801574189142E-2</v>
      </c>
      <c r="AC131" s="78">
        <f>PRICE(Table1[[#This Row],[Issue date]],Table1[[#This Row],[Maturity date]],Table1[[#This Row],[Current coupon %]],Table1[[#This Row],[Average Cluster Yield]],100,Table1[[#This Row],[Coupon Frequency2]])*Table1[[#This Row],[Face value]]/100</f>
        <v>1021.1681799690496</v>
      </c>
      <c r="AD131" s="58" t="str">
        <f>IF(Table1[[#This Row],[Ask Price]]&gt;Table1[[#This Row],[Calculated Bond Price]],"Rich","Cheap")</f>
        <v>Rich</v>
      </c>
      <c r="AE1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1015.9081658613973</v>
      </c>
      <c r="AF1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1213.3841813613165</v>
      </c>
      <c r="AG131" s="78">
        <f>(Table1[[#This Row],[P (+ shock)]]+Table1[[#This Row],[P (-shock)]]-2*Table1[[#This Row],[Ask Price]])/(2*Table1[[#This Row],[Ask Price]]*($AF$2^2))</f>
        <v>55.445860273856304</v>
      </c>
      <c r="AI131" s="6">
        <f t="shared" si="5"/>
        <v>7.307171853856563E-2</v>
      </c>
      <c r="AK131" s="47">
        <f>RATE(Table1[[#This Row],[Total No. of Coupons]],Table1[[#This Row],[Coupon Amount]],-Table1[[#This Row],[Ask Price]],Table1[[#This Row],[Face value]])</f>
        <v>6.9151078818487574E-2</v>
      </c>
      <c r="AL131" s="27">
        <f>Table1[[#This Row],[IRR]]*Table1[[#This Row],[Coupon Frequency2]]</f>
        <v>6.9151078818487574E-2</v>
      </c>
      <c r="AM131" s="5">
        <f t="shared" si="6"/>
        <v>-9844.2293111508134</v>
      </c>
      <c r="AN131" t="s">
        <v>69</v>
      </c>
      <c r="AO131" t="s">
        <v>62</v>
      </c>
      <c r="AP131">
        <f t="shared" si="7"/>
        <v>1</v>
      </c>
    </row>
    <row r="132" spans="1:42" x14ac:dyDescent="0.35">
      <c r="A132" s="48" t="s">
        <v>819</v>
      </c>
      <c r="B132" s="49" t="s">
        <v>2410</v>
      </c>
      <c r="C132" s="49" t="s">
        <v>2273</v>
      </c>
      <c r="D132" s="50">
        <v>41594</v>
      </c>
      <c r="E132" s="50">
        <v>47073</v>
      </c>
      <c r="F132" s="49">
        <v>1000</v>
      </c>
      <c r="G132" s="49" t="s">
        <v>76</v>
      </c>
      <c r="H132" s="49">
        <v>1148.01</v>
      </c>
      <c r="I132" s="49" t="s">
        <v>76</v>
      </c>
      <c r="J132" s="49">
        <v>114.801</v>
      </c>
      <c r="K132" s="49">
        <v>10</v>
      </c>
      <c r="L132" s="51">
        <v>8.539999999999999E-2</v>
      </c>
      <c r="M132" s="49" t="s">
        <v>93</v>
      </c>
      <c r="N132" s="49">
        <v>1156</v>
      </c>
      <c r="O132" s="49">
        <v>7.4389595909443198</v>
      </c>
      <c r="P132" s="49" t="s">
        <v>2282</v>
      </c>
      <c r="Q132" s="49"/>
      <c r="R132" s="49" t="s">
        <v>2275</v>
      </c>
      <c r="S132">
        <f t="shared" ref="S132:S195" si="8">ROUND(YEARFRAC(D132,E132),0)</f>
        <v>15</v>
      </c>
      <c r="T132" s="5" cm="1">
        <f t="array" ref="T1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2">
        <f>Table1[[#This Row],[Term to Maturity (Years)]]*Table1[[#This Row],[Coupon Frequency2]]</f>
        <v>15</v>
      </c>
      <c r="V132">
        <f>Table1[[#This Row],[Face value]]*Table1[[#This Row],[Current coupon %]]</f>
        <v>85.399999999999991</v>
      </c>
      <c r="W132" s="36">
        <f>RATE(Table1[[#This Row],[Total No. of Coupons]],Table1[[#This Row],[Coupon Amount]],-Table1[[#This Row],[Ask Price]],Table1[[#This Row],[Face value]])</f>
        <v>6.9228406039735166E-2</v>
      </c>
      <c r="X132" s="27">
        <f>Table1[[#This Row],[IRR]]*Table1[[#This Row],[Coupon Frequency2]]</f>
        <v>6.9228406039735166E-2</v>
      </c>
      <c r="Y132" s="19" cm="1">
        <f t="array" ref="Y1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2" s="33">
        <f>DURATION(Table1[[#This Row],[Issue date]],Table1[[#This Row],[Maturity date]],Table1[[#This Row],[Current coupon %]],Table1[[#This Row],[Yield (Annualised)]],Table1[[#This Row],[Coupon Frequency2]])</f>
        <v>9.3973652294167334</v>
      </c>
      <c r="AA132" s="33">
        <f>Table1[[#This Row],[Macaulay Duration in Years]]/(1+Table1[[#This Row],[IRR]])</f>
        <v>8.7889221576362644</v>
      </c>
      <c r="AB132" s="58">
        <f>VLOOKUP(Table1[[#This Row],[Yield Cluster]],'Cluster Details'!$B$3:$C$16,2,0)</f>
        <v>7.8548801574189142E-2</v>
      </c>
      <c r="AC132" s="78">
        <f>PRICE(Table1[[#This Row],[Issue date]],Table1[[#This Row],[Maturity date]],Table1[[#This Row],[Current coupon %]],Table1[[#This Row],[Average Cluster Yield]],100,Table1[[#This Row],[Coupon Frequency2]])*Table1[[#This Row],[Face value]]/100</f>
        <v>1059.1659164570706</v>
      </c>
      <c r="AD132" s="58" t="str">
        <f>IF(Table1[[#This Row],[Ask Price]]&gt;Table1[[#This Row],[Calculated Bond Price]],"Rich","Cheap")</f>
        <v>Rich</v>
      </c>
      <c r="AE1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1053.0754200021049</v>
      </c>
      <c r="AF1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1255.4714454419873</v>
      </c>
      <c r="AG132" s="78">
        <f>(Table1[[#This Row],[P (+ shock)]]+Table1[[#This Row],[P (-shock)]]-2*Table1[[#This Row],[Ask Price]])/(2*Table1[[#This Row],[Ask Price]]*($AF$2^2))</f>
        <v>54.559043231731351</v>
      </c>
      <c r="AH132">
        <v>12.2536500234112</v>
      </c>
      <c r="AI132" s="6">
        <f t="shared" ref="AI132:AI195" si="9">(L132*F132)/H132</f>
        <v>7.4389595909443287E-2</v>
      </c>
      <c r="AK132" s="47">
        <f>RATE(Table1[[#This Row],[Total No. of Coupons]],Table1[[#This Row],[Coupon Amount]],-Table1[[#This Row],[Ask Price]],Table1[[#This Row],[Face value]])</f>
        <v>6.9228406039735166E-2</v>
      </c>
      <c r="AL132" s="27">
        <f>Table1[[#This Row],[IRR]]*Table1[[#This Row],[Coupon Frequency2]]</f>
        <v>6.9228406039735166E-2</v>
      </c>
      <c r="AM132" s="5">
        <f t="shared" ref="AM132:AM195" si="10">-AA132*H132</f>
        <v>-10089.770526188007</v>
      </c>
      <c r="AN132" t="s">
        <v>64</v>
      </c>
      <c r="AO132" t="s">
        <v>62</v>
      </c>
      <c r="AP132">
        <f t="shared" ref="AP132:AP195" si="11">_xlfn.SWITCH(PROPER(TRIM(M132)),
   "Annual",1,
   "Semi-Annual",2,
   "Quarterly",4,
   "Monthly",12,
   "")</f>
        <v>1</v>
      </c>
    </row>
    <row r="133" spans="1:42" x14ac:dyDescent="0.35">
      <c r="A133" s="48" t="s">
        <v>300</v>
      </c>
      <c r="B133" s="49" t="s">
        <v>2411</v>
      </c>
      <c r="C133" s="49" t="s">
        <v>2273</v>
      </c>
      <c r="D133" s="50">
        <v>44531</v>
      </c>
      <c r="E133" s="50">
        <v>48183</v>
      </c>
      <c r="F133" s="49">
        <v>1000000</v>
      </c>
      <c r="G133" s="49" t="s">
        <v>76</v>
      </c>
      <c r="H133" s="49">
        <v>1008642</v>
      </c>
      <c r="I133" s="49" t="s">
        <v>76</v>
      </c>
      <c r="J133" s="49">
        <v>100.8642</v>
      </c>
      <c r="K133" s="49">
        <v>1</v>
      </c>
      <c r="L133" s="51">
        <v>7.0499999999999993E-2</v>
      </c>
      <c r="M133" s="49" t="s">
        <v>93</v>
      </c>
      <c r="N133" s="49">
        <v>2266</v>
      </c>
      <c r="O133" s="49">
        <v>6.9895959121273901</v>
      </c>
      <c r="P133" s="49" t="s">
        <v>2274</v>
      </c>
      <c r="Q133" s="49"/>
      <c r="R133" s="49" t="s">
        <v>2275</v>
      </c>
      <c r="S133">
        <f t="shared" si="8"/>
        <v>10</v>
      </c>
      <c r="T133" s="5" cm="1">
        <f t="array" ref="T1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3">
        <f>Table1[[#This Row],[Term to Maturity (Years)]]*Table1[[#This Row],[Coupon Frequency2]]</f>
        <v>10</v>
      </c>
      <c r="V133">
        <f>Table1[[#This Row],[Face value]]*Table1[[#This Row],[Current coupon %]]</f>
        <v>70500</v>
      </c>
      <c r="W133" s="36">
        <f>RATE(Table1[[#This Row],[Total No. of Coupons]],Table1[[#This Row],[Coupon Amount]],-Table1[[#This Row],[Ask Price]],Table1[[#This Row],[Face value]])</f>
        <v>6.9273701298922893E-2</v>
      </c>
      <c r="X133" s="27">
        <f>Table1[[#This Row],[IRR]]*Table1[[#This Row],[Coupon Frequency2]]</f>
        <v>6.9273701298922893E-2</v>
      </c>
      <c r="Y133" s="19" cm="1">
        <f t="array" ref="Y1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3" s="33">
        <f>DURATION(Table1[[#This Row],[Issue date]],Table1[[#This Row],[Maturity date]],Table1[[#This Row],[Current coupon %]],Table1[[#This Row],[Yield (Annualised)]],Table1[[#This Row],[Coupon Frequency2]])</f>
        <v>7.5132714397769096</v>
      </c>
      <c r="AA133" s="33">
        <f>Table1[[#This Row],[Macaulay Duration in Years]]/(1+Table1[[#This Row],[IRR]])</f>
        <v>7.0265184962933294</v>
      </c>
      <c r="AB133" s="58">
        <f>VLOOKUP(Table1[[#This Row],[Yield Cluster]],'Cluster Details'!$B$3:$C$16,2,0)</f>
        <v>7.8548801574189142E-2</v>
      </c>
      <c r="AC133" s="78">
        <f>PRICE(Table1[[#This Row],[Issue date]],Table1[[#This Row],[Maturity date]],Table1[[#This Row],[Current coupon %]],Table1[[#This Row],[Average Cluster Yield]],100,Table1[[#This Row],[Coupon Frequency2]])*Table1[[#This Row],[Face value]]/100</f>
        <v>945636.57849364891</v>
      </c>
      <c r="AD133" s="58" t="str">
        <f>IF(Table1[[#This Row],[Ask Price]]&gt;Table1[[#This Row],[Calculated Bond Price]],"Rich","Cheap")</f>
        <v>Rich</v>
      </c>
      <c r="AE1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940934.39900362934</v>
      </c>
      <c r="AF1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1082911.60045193</v>
      </c>
      <c r="AG133" s="78">
        <f>(Table1[[#This Row],[P (+ shock)]]+Table1[[#This Row],[P (-shock)]]-2*Table1[[#This Row],[Ask Price]])/(2*Table1[[#This Row],[Ask Price]]*($AF$2^2))</f>
        <v>32.528882673730124</v>
      </c>
      <c r="AI133" s="6">
        <f t="shared" si="9"/>
        <v>6.9895959121273957E-2</v>
      </c>
      <c r="AK133" s="47">
        <f>RATE(Table1[[#This Row],[Total No. of Coupons]],Table1[[#This Row],[Coupon Amount]],-Table1[[#This Row],[Ask Price]],Table1[[#This Row],[Face value]])</f>
        <v>6.9273701298922893E-2</v>
      </c>
      <c r="AL133" s="27">
        <f>Table1[[#This Row],[IRR]]*Table1[[#This Row],[Coupon Frequency2]]</f>
        <v>6.9273701298922893E-2</v>
      </c>
      <c r="AM133" s="5">
        <f t="shared" si="10"/>
        <v>-7087241.6691382965</v>
      </c>
      <c r="AN133" t="s">
        <v>69</v>
      </c>
      <c r="AO133" t="s">
        <v>62</v>
      </c>
      <c r="AP133">
        <f t="shared" si="11"/>
        <v>1</v>
      </c>
    </row>
    <row r="134" spans="1:42" x14ac:dyDescent="0.35">
      <c r="A134" s="48" t="s">
        <v>864</v>
      </c>
      <c r="B134" s="49" t="s">
        <v>2412</v>
      </c>
      <c r="C134" s="49" t="s">
        <v>2273</v>
      </c>
      <c r="D134" s="50">
        <v>41541</v>
      </c>
      <c r="E134" s="50">
        <v>47020</v>
      </c>
      <c r="F134" s="49">
        <v>1000</v>
      </c>
      <c r="G134" s="49" t="s">
        <v>76</v>
      </c>
      <c r="H134" s="49">
        <v>1140.05</v>
      </c>
      <c r="I134" s="49" t="s">
        <v>76</v>
      </c>
      <c r="J134" s="49">
        <v>114.005</v>
      </c>
      <c r="K134" s="49">
        <v>488</v>
      </c>
      <c r="L134" s="51">
        <v>8.4600000000000009E-2</v>
      </c>
      <c r="M134" s="49" t="s">
        <v>93</v>
      </c>
      <c r="N134" s="49">
        <v>1103</v>
      </c>
      <c r="O134" s="49">
        <v>7.4207271610894203</v>
      </c>
      <c r="P134" s="49"/>
      <c r="Q134" s="49"/>
      <c r="R134" s="49" t="s">
        <v>2275</v>
      </c>
      <c r="S134">
        <f t="shared" si="8"/>
        <v>15</v>
      </c>
      <c r="T134" s="5" cm="1">
        <f t="array" ref="T1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4">
        <f>Table1[[#This Row],[Term to Maturity (Years)]]*Table1[[#This Row],[Coupon Frequency2]]</f>
        <v>15</v>
      </c>
      <c r="V134">
        <f>Table1[[#This Row],[Face value]]*Table1[[#This Row],[Current coupon %]]</f>
        <v>84.600000000000009</v>
      </c>
      <c r="W134" s="36">
        <f>RATE(Table1[[#This Row],[Total No. of Coupons]],Table1[[#This Row],[Coupon Amount]],-Table1[[#This Row],[Ask Price]],Table1[[#This Row],[Face value]])</f>
        <v>6.9291957899214676E-2</v>
      </c>
      <c r="X134" s="27">
        <f>Table1[[#This Row],[IRR]]*Table1[[#This Row],[Coupon Frequency2]]</f>
        <v>6.9291957899214676E-2</v>
      </c>
      <c r="Y134" s="19" cm="1">
        <f t="array" ref="Y1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4" s="33">
        <f>DURATION(Table1[[#This Row],[Issue date]],Table1[[#This Row],[Maturity date]],Table1[[#This Row],[Current coupon %]],Table1[[#This Row],[Yield (Annualised)]],Table1[[#This Row],[Coupon Frequency2]])</f>
        <v>9.4126290000971693</v>
      </c>
      <c r="AA134" s="33">
        <f>Table1[[#This Row],[Macaulay Duration in Years]]/(1+Table1[[#This Row],[IRR]])</f>
        <v>8.802674452531841</v>
      </c>
      <c r="AB134" s="58">
        <f>VLOOKUP(Table1[[#This Row],[Yield Cluster]],'Cluster Details'!$B$3:$C$16,2,0)</f>
        <v>7.8548801574189142E-2</v>
      </c>
      <c r="AC13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1052.2572370956123</v>
      </c>
      <c r="AD134" s="58" t="str">
        <f>IF(Table1[[#This Row],[Ask Price]]&gt;Table1[[#This Row],[Calculated Bond Price]],"Rich","Cheap")</f>
        <v>Rich</v>
      </c>
      <c r="AE1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1045.6311595093755</v>
      </c>
      <c r="AF1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1246.939149735515</v>
      </c>
      <c r="AG134" s="78">
        <f>(Table1[[#This Row],[P (+ shock)]]+Table1[[#This Row],[P (-shock)]]-2*Table1[[#This Row],[Ask Price]])/(2*Table1[[#This Row],[Ask Price]]*($AF$2^2))</f>
        <v>54.691940024079464</v>
      </c>
      <c r="AI134" s="6">
        <f t="shared" si="9"/>
        <v>7.4207271610894271E-2</v>
      </c>
      <c r="AK134" s="47">
        <f>RATE(Table1[[#This Row],[Total No. of Coupons]],Table1[[#This Row],[Coupon Amount]],-Table1[[#This Row],[Ask Price]],Table1[[#This Row],[Face value]])</f>
        <v>6.9291957899214676E-2</v>
      </c>
      <c r="AL134" s="27">
        <f>Table1[[#This Row],[IRR]]*Table1[[#This Row],[Coupon Frequency2]]</f>
        <v>6.9291957899214676E-2</v>
      </c>
      <c r="AM134" s="5">
        <f t="shared" si="10"/>
        <v>-10035.489009608926</v>
      </c>
      <c r="AN134" t="s">
        <v>69</v>
      </c>
      <c r="AO134" t="s">
        <v>62</v>
      </c>
      <c r="AP134">
        <f t="shared" si="11"/>
        <v>1</v>
      </c>
    </row>
    <row r="135" spans="1:42" x14ac:dyDescent="0.35">
      <c r="A135" s="48" t="s">
        <v>845</v>
      </c>
      <c r="B135" s="49" t="s">
        <v>2413</v>
      </c>
      <c r="C135" s="49" t="s">
        <v>2273</v>
      </c>
      <c r="D135" s="50">
        <v>41558</v>
      </c>
      <c r="E135" s="50">
        <v>47037</v>
      </c>
      <c r="F135" s="49">
        <v>1000000</v>
      </c>
      <c r="G135" s="49" t="s">
        <v>76</v>
      </c>
      <c r="H135" s="49">
        <v>1147312.53</v>
      </c>
      <c r="I135" s="49" t="s">
        <v>76</v>
      </c>
      <c r="J135" s="49">
        <v>114.731253</v>
      </c>
      <c r="K135" s="49">
        <v>5</v>
      </c>
      <c r="L135" s="51">
        <v>8.539999999999999E-2</v>
      </c>
      <c r="M135" s="49" t="s">
        <v>93</v>
      </c>
      <c r="N135" s="49">
        <v>1120</v>
      </c>
      <c r="O135" s="49">
        <v>7.4434818558113296</v>
      </c>
      <c r="P135" s="49"/>
      <c r="Q135" s="49"/>
      <c r="R135" s="49" t="s">
        <v>2275</v>
      </c>
      <c r="S135">
        <f t="shared" si="8"/>
        <v>15</v>
      </c>
      <c r="T135" s="5" cm="1">
        <f t="array" ref="T1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5">
        <f>Table1[[#This Row],[Term to Maturity (Years)]]*Table1[[#This Row],[Coupon Frequency2]]</f>
        <v>15</v>
      </c>
      <c r="V135">
        <f>Table1[[#This Row],[Face value]]*Table1[[#This Row],[Current coupon %]]</f>
        <v>85399.999999999985</v>
      </c>
      <c r="W135" s="36">
        <f>RATE(Table1[[#This Row],[Total No. of Coupons]],Table1[[#This Row],[Coupon Amount]],-Table1[[#This Row],[Ask Price]],Table1[[#This Row],[Face value]])</f>
        <v>6.9297562110533673E-2</v>
      </c>
      <c r="X135" s="27">
        <f>Table1[[#This Row],[IRR]]*Table1[[#This Row],[Coupon Frequency2]]</f>
        <v>6.9297562110533673E-2</v>
      </c>
      <c r="Y135" s="19" cm="1">
        <f t="array" ref="Y1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5" s="33">
        <f>DURATION(Table1[[#This Row],[Issue date]],Table1[[#This Row],[Maturity date]],Table1[[#This Row],[Current coupon %]],Table1[[#This Row],[Yield (Annualised)]],Table1[[#This Row],[Coupon Frequency2]])</f>
        <v>9.3956315358680413</v>
      </c>
      <c r="AA135" s="33">
        <f>Table1[[#This Row],[Macaulay Duration in Years]]/(1+Table1[[#This Row],[IRR]])</f>
        <v>8.786732401524743</v>
      </c>
      <c r="AB135" s="58">
        <f>VLOOKUP(Table1[[#This Row],[Yield Cluster]],'Cluster Details'!$B$3:$C$16,2,0)</f>
        <v>7.8548801574189142E-2</v>
      </c>
      <c r="AC135" s="78">
        <f>PRICE(Table1[[#This Row],[Issue date]],Table1[[#This Row],[Maturity date]],Table1[[#This Row],[Current coupon %]],Table1[[#This Row],[Average Cluster Yield]],100,Table1[[#This Row],[Coupon Frequency2]])*Table1[[#This Row],[Face value]]/100</f>
        <v>1059165.9164570705</v>
      </c>
      <c r="AD135" s="58" t="str">
        <f>IF(Table1[[#This Row],[Ask Price]]&gt;Table1[[#This Row],[Calculated Bond Price]],"Rich","Cheap")</f>
        <v>Rich</v>
      </c>
      <c r="AE1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1052458.4696456552</v>
      </c>
      <c r="AF1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1254680.9905527716</v>
      </c>
      <c r="AG135" s="78">
        <f>(Table1[[#This Row],[P (+ shock)]]+Table1[[#This Row],[P (-shock)]]-2*Table1[[#This Row],[Ask Price]])/(2*Table1[[#This Row],[Ask Price]]*($AF$2^2))</f>
        <v>54.537886893062009</v>
      </c>
      <c r="AI135" s="6">
        <f t="shared" si="9"/>
        <v>7.4434818558113347E-2</v>
      </c>
      <c r="AK135" s="47">
        <f>RATE(Table1[[#This Row],[Total No. of Coupons]],Table1[[#This Row],[Coupon Amount]],-Table1[[#This Row],[Ask Price]],Table1[[#This Row],[Face value]])</f>
        <v>6.9297562110533673E-2</v>
      </c>
      <c r="AL135" s="27">
        <f>Table1[[#This Row],[IRR]]*Table1[[#This Row],[Coupon Frequency2]]</f>
        <v>6.9297562110533673E-2</v>
      </c>
      <c r="AM135" s="5">
        <f t="shared" si="10"/>
        <v>-10081128.182026329</v>
      </c>
      <c r="AN135" t="s">
        <v>69</v>
      </c>
      <c r="AO135" t="s">
        <v>62</v>
      </c>
      <c r="AP135">
        <f t="shared" si="11"/>
        <v>1</v>
      </c>
    </row>
    <row r="136" spans="1:42" x14ac:dyDescent="0.35">
      <c r="A136" s="48" t="s">
        <v>104</v>
      </c>
      <c r="B136" s="49" t="s">
        <v>2414</v>
      </c>
      <c r="C136" s="49" t="s">
        <v>2273</v>
      </c>
      <c r="D136" s="50">
        <v>44218</v>
      </c>
      <c r="E136" s="50">
        <v>49696</v>
      </c>
      <c r="F136" s="49">
        <v>1000</v>
      </c>
      <c r="G136" s="49" t="s">
        <v>76</v>
      </c>
      <c r="H136" s="49">
        <v>1020</v>
      </c>
      <c r="I136" s="49" t="s">
        <v>76</v>
      </c>
      <c r="J136" s="49">
        <v>102</v>
      </c>
      <c r="K136" s="49">
        <v>150</v>
      </c>
      <c r="L136" s="51">
        <v>7.1500000000000008E-2</v>
      </c>
      <c r="M136" s="49" t="s">
        <v>93</v>
      </c>
      <c r="N136" s="49">
        <v>3779</v>
      </c>
      <c r="O136" s="49">
        <v>7.0098039215686203</v>
      </c>
      <c r="P136" s="49" t="s">
        <v>2282</v>
      </c>
      <c r="Q136" s="49"/>
      <c r="R136" s="49" t="s">
        <v>2275</v>
      </c>
      <c r="S136">
        <f t="shared" si="8"/>
        <v>15</v>
      </c>
      <c r="T136" s="5" cm="1">
        <f t="array" ref="T1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6">
        <f>Table1[[#This Row],[Term to Maturity (Years)]]*Table1[[#This Row],[Coupon Frequency2]]</f>
        <v>15</v>
      </c>
      <c r="V136">
        <f>Table1[[#This Row],[Face value]]*Table1[[#This Row],[Current coupon %]]</f>
        <v>71.500000000000014</v>
      </c>
      <c r="W136" s="36">
        <f>RATE(Table1[[#This Row],[Total No. of Coupons]],Table1[[#This Row],[Coupon Amount]],-Table1[[#This Row],[Ask Price]],Table1[[#This Row],[Face value]])</f>
        <v>6.9313617786434023E-2</v>
      </c>
      <c r="X136" s="27">
        <f>Table1[[#This Row],[IRR]]*Table1[[#This Row],[Coupon Frequency2]]</f>
        <v>6.9313617786434023E-2</v>
      </c>
      <c r="Y136" s="19" cm="1">
        <f t="array" ref="Y1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6" s="33">
        <f>DURATION(Table1[[#This Row],[Issue date]],Table1[[#This Row],[Maturity date]],Table1[[#This Row],[Current coupon %]],Table1[[#This Row],[Yield (Annualised)]],Table1[[#This Row],[Coupon Frequency2]])</f>
        <v>9.722523118020753</v>
      </c>
      <c r="AA136" s="33">
        <f>Table1[[#This Row],[Macaulay Duration in Years]]/(1+Table1[[#This Row],[IRR]])</f>
        <v>9.0923027223268367</v>
      </c>
      <c r="AB136" s="58">
        <f>VLOOKUP(Table1[[#This Row],[Yield Cluster]],'Cluster Details'!$B$3:$C$16,2,0)</f>
        <v>7.8548801574189142E-2</v>
      </c>
      <c r="AC136" s="78">
        <f>PRICE(Table1[[#This Row],[Issue date]],Table1[[#This Row],[Maturity date]],Table1[[#This Row],[Current coupon %]],Table1[[#This Row],[Average Cluster Yield]],100,Table1[[#This Row],[Coupon Frequency2]])*Table1[[#This Row],[Face value]]/100</f>
        <v>939.12761255173098</v>
      </c>
      <c r="AD136" s="58" t="str">
        <f>IF(Table1[[#This Row],[Ask Price]]&gt;Table1[[#This Row],[Calculated Bond Price]],"Rich","Cheap")</f>
        <v>Rich</v>
      </c>
      <c r="AE1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932.83829142564548</v>
      </c>
      <c r="AF1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1118.8897973077073</v>
      </c>
      <c r="AG136" s="78">
        <f>(Table1[[#This Row],[P (+ shock)]]+Table1[[#This Row],[P (-shock)]]-2*Table1[[#This Row],[Ask Price]])/(2*Table1[[#This Row],[Ask Price]]*($AF$2^2))</f>
        <v>57.490631045846598</v>
      </c>
      <c r="AI136" s="6">
        <f t="shared" si="9"/>
        <v>7.0098039215686289E-2</v>
      </c>
      <c r="AK136" s="47">
        <f>RATE(Table1[[#This Row],[Total No. of Coupons]],Table1[[#This Row],[Coupon Amount]],-Table1[[#This Row],[Ask Price]],Table1[[#This Row],[Face value]])</f>
        <v>6.9313617786434023E-2</v>
      </c>
      <c r="AL136" s="27">
        <f>Table1[[#This Row],[IRR]]*Table1[[#This Row],[Coupon Frequency2]]</f>
        <v>6.9313617786434023E-2</v>
      </c>
      <c r="AM136" s="5">
        <f t="shared" si="10"/>
        <v>-9274.1487767733743</v>
      </c>
      <c r="AN136" t="s">
        <v>69</v>
      </c>
      <c r="AO136" t="s">
        <v>62</v>
      </c>
      <c r="AP136">
        <f t="shared" si="11"/>
        <v>1</v>
      </c>
    </row>
    <row r="137" spans="1:42" x14ac:dyDescent="0.35">
      <c r="A137" s="48" t="s">
        <v>547</v>
      </c>
      <c r="B137" s="49" t="s">
        <v>2415</v>
      </c>
      <c r="C137" s="49" t="s">
        <v>2273</v>
      </c>
      <c r="D137" s="50">
        <v>45663</v>
      </c>
      <c r="E137" s="50">
        <v>47489</v>
      </c>
      <c r="F137" s="49">
        <v>100000</v>
      </c>
      <c r="G137" s="49" t="s">
        <v>76</v>
      </c>
      <c r="H137" s="49">
        <v>101271.23</v>
      </c>
      <c r="I137" s="49" t="s">
        <v>76</v>
      </c>
      <c r="J137" s="49">
        <v>101.27123</v>
      </c>
      <c r="K137" s="49">
        <v>5</v>
      </c>
      <c r="L137" s="51">
        <v>7.2499999999999995E-2</v>
      </c>
      <c r="M137" s="49" t="s">
        <v>93</v>
      </c>
      <c r="N137" s="49">
        <v>1572</v>
      </c>
      <c r="O137" s="49">
        <v>7.1589927366340804</v>
      </c>
      <c r="P137" s="49" t="s">
        <v>2282</v>
      </c>
      <c r="Q137" s="49"/>
      <c r="R137" s="49" t="s">
        <v>2275</v>
      </c>
      <c r="S137">
        <f t="shared" si="8"/>
        <v>5</v>
      </c>
      <c r="T137" s="5" cm="1">
        <f t="array" ref="T1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7">
        <f>Table1[[#This Row],[Term to Maturity (Years)]]*Table1[[#This Row],[Coupon Frequency2]]</f>
        <v>5</v>
      </c>
      <c r="V137">
        <f>Table1[[#This Row],[Face value]]*Table1[[#This Row],[Current coupon %]]</f>
        <v>7249.9999999999991</v>
      </c>
      <c r="W137" s="36">
        <f>RATE(Table1[[#This Row],[Total No. of Coupons]],Table1[[#This Row],[Coupon Amount]],-Table1[[#This Row],[Ask Price]],Table1[[#This Row],[Face value]])</f>
        <v>6.9404529964158412E-2</v>
      </c>
      <c r="X137" s="27">
        <f>Table1[[#This Row],[IRR]]*Table1[[#This Row],[Coupon Frequency2]]</f>
        <v>6.9404529964158412E-2</v>
      </c>
      <c r="Y137" s="19" cm="1">
        <f t="array" ref="Y1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7" s="33">
        <f>DURATION(Table1[[#This Row],[Issue date]],Table1[[#This Row],[Maturity date]],Table1[[#This Row],[Current coupon %]],Table1[[#This Row],[Yield (Annualised)]],Table1[[#This Row],[Coupon Frequency2]])</f>
        <v>4.3726177518737943</v>
      </c>
      <c r="AA137" s="33">
        <f>Table1[[#This Row],[Macaulay Duration in Years]]/(1+Table1[[#This Row],[IRR]])</f>
        <v>4.0888341402671493</v>
      </c>
      <c r="AB137" s="58">
        <f>VLOOKUP(Table1[[#This Row],[Yield Cluster]],'Cluster Details'!$B$3:$C$16,2,0)</f>
        <v>7.8548801574189142E-2</v>
      </c>
      <c r="AC137" s="78">
        <f>PRICE(Table1[[#This Row],[Issue date]],Table1[[#This Row],[Maturity date]],Table1[[#This Row],[Current coupon %]],Table1[[#This Row],[Average Cluster Yield]],100,Table1[[#This Row],[Coupon Frequency2]])*Table1[[#This Row],[Face value]]/100</f>
        <v>97575.623309004994</v>
      </c>
      <c r="AD137" s="58" t="str">
        <f>IF(Table1[[#This Row],[Ask Price]]&gt;Table1[[#This Row],[Calculated Bond Price]],"Rich","Cheap")</f>
        <v>Rich</v>
      </c>
      <c r="AE1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97238.88938403553</v>
      </c>
      <c r="AF1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105525.2358234334</v>
      </c>
      <c r="AG137" s="78">
        <f>(Table1[[#This Row],[P (+ shock)]]+Table1[[#This Row],[P (-shock)]]-2*Table1[[#This Row],[Ask Price]])/(2*Table1[[#This Row],[Ask Price]]*($AF$2^2))</f>
        <v>10.944135242997131</v>
      </c>
      <c r="AH137">
        <v>28.272005374397001</v>
      </c>
      <c r="AI137" s="6">
        <f t="shared" si="9"/>
        <v>7.1589927366340858E-2</v>
      </c>
      <c r="AK137" s="47">
        <f>RATE(Table1[[#This Row],[Total No. of Coupons]],Table1[[#This Row],[Coupon Amount]],-Table1[[#This Row],[Ask Price]],Table1[[#This Row],[Face value]])</f>
        <v>6.9404529964158412E-2</v>
      </c>
      <c r="AL137" s="27">
        <f>Table1[[#This Row],[IRR]]*Table1[[#This Row],[Coupon Frequency2]]</f>
        <v>6.9404529964158412E-2</v>
      </c>
      <c r="AM137" s="5">
        <f t="shared" si="10"/>
        <v>-414081.26265084674</v>
      </c>
      <c r="AN137" t="s">
        <v>64</v>
      </c>
      <c r="AO137" t="s">
        <v>62</v>
      </c>
      <c r="AP137">
        <f t="shared" si="11"/>
        <v>1</v>
      </c>
    </row>
    <row r="138" spans="1:42" x14ac:dyDescent="0.35">
      <c r="A138" s="48" t="s">
        <v>404</v>
      </c>
      <c r="B138" s="49" t="s">
        <v>2416</v>
      </c>
      <c r="C138" s="49" t="s">
        <v>2273</v>
      </c>
      <c r="D138" s="50">
        <v>44189</v>
      </c>
      <c r="E138" s="50">
        <v>47841</v>
      </c>
      <c r="F138" s="49">
        <v>1000000</v>
      </c>
      <c r="G138" s="49" t="s">
        <v>76</v>
      </c>
      <c r="H138" s="49">
        <v>998436</v>
      </c>
      <c r="I138" s="49" t="s">
        <v>76</v>
      </c>
      <c r="J138" s="49">
        <v>99.843599999999995</v>
      </c>
      <c r="K138" s="49">
        <v>1</v>
      </c>
      <c r="L138" s="51">
        <v>6.9199999999999998E-2</v>
      </c>
      <c r="M138" s="49" t="s">
        <v>93</v>
      </c>
      <c r="N138" s="49">
        <v>1924</v>
      </c>
      <c r="O138" s="49">
        <v>6.93083983349959</v>
      </c>
      <c r="P138" s="49" t="s">
        <v>2274</v>
      </c>
      <c r="Q138" s="49"/>
      <c r="R138" s="49" t="s">
        <v>2275</v>
      </c>
      <c r="S138">
        <f t="shared" si="8"/>
        <v>10</v>
      </c>
      <c r="T138" s="5" cm="1">
        <f t="array" ref="T1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8">
        <f>Table1[[#This Row],[Term to Maturity (Years)]]*Table1[[#This Row],[Coupon Frequency2]]</f>
        <v>10</v>
      </c>
      <c r="V138">
        <f>Table1[[#This Row],[Face value]]*Table1[[#This Row],[Current coupon %]]</f>
        <v>69200</v>
      </c>
      <c r="W138" s="36">
        <f>RATE(Table1[[#This Row],[Total No. of Coupons]],Table1[[#This Row],[Coupon Amount]],-Table1[[#This Row],[Ask Price]],Table1[[#This Row],[Face value]])</f>
        <v>6.9422083920061578E-2</v>
      </c>
      <c r="X138" s="27">
        <f>Table1[[#This Row],[IRR]]*Table1[[#This Row],[Coupon Frequency2]]</f>
        <v>6.9422083920061578E-2</v>
      </c>
      <c r="Y138" s="19" cm="1">
        <f t="array" ref="Y1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8" s="33">
        <f>DURATION(Table1[[#This Row],[Issue date]],Table1[[#This Row],[Maturity date]],Table1[[#This Row],[Current coupon %]],Table1[[#This Row],[Yield (Annualised)]],Table1[[#This Row],[Coupon Frequency2]])</f>
        <v>7.5353225673510442</v>
      </c>
      <c r="AA138" s="33">
        <f>Table1[[#This Row],[Macaulay Duration in Years]]/(1+Table1[[#This Row],[IRR]])</f>
        <v>7.0461632321352949</v>
      </c>
      <c r="AB138" s="58">
        <f>VLOOKUP(Table1[[#This Row],[Yield Cluster]],'Cluster Details'!$B$3:$C$16,2,0)</f>
        <v>7.8548801574189142E-2</v>
      </c>
      <c r="AC138" s="78">
        <f>PRICE(Table1[[#This Row],[Issue date]],Table1[[#This Row],[Maturity date]],Table1[[#This Row],[Current coupon %]],Table1[[#This Row],[Average Cluster Yield]],100,Table1[[#This Row],[Coupon Frequency2]])*Table1[[#This Row],[Face value]]/100</f>
        <v>936856.08523551107</v>
      </c>
      <c r="AD138" s="58" t="str">
        <f>IF(Table1[[#This Row],[Ask Price]]&gt;Table1[[#This Row],[Calculated Bond Price]],"Rich","Cheap")</f>
        <v>Rich</v>
      </c>
      <c r="AE1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931229.83012201695</v>
      </c>
      <c r="AF1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1072163.7694848673</v>
      </c>
      <c r="AG138" s="78">
        <f>(Table1[[#This Row],[P (+ shock)]]+Table1[[#This Row],[P (-shock)]]-2*Table1[[#This Row],[Ask Price]])/(2*Table1[[#This Row],[Ask Price]]*($AF$2^2))</f>
        <v>32.659076830583921</v>
      </c>
      <c r="AH138">
        <v>9.0299999999999994</v>
      </c>
      <c r="AI138" s="6">
        <f t="shared" si="9"/>
        <v>6.9308398334995927E-2</v>
      </c>
      <c r="AK138" s="47">
        <f>RATE(Table1[[#This Row],[Total No. of Coupons]],Table1[[#This Row],[Coupon Amount]],-Table1[[#This Row],[Ask Price]],Table1[[#This Row],[Face value]])</f>
        <v>6.9422083920061578E-2</v>
      </c>
      <c r="AL138" s="27">
        <f>Table1[[#This Row],[IRR]]*Table1[[#This Row],[Coupon Frequency2]]</f>
        <v>6.9422083920061578E-2</v>
      </c>
      <c r="AM138" s="5">
        <f t="shared" si="10"/>
        <v>-7035143.0328402352</v>
      </c>
      <c r="AN138" t="s">
        <v>64</v>
      </c>
      <c r="AO138" t="s">
        <v>62</v>
      </c>
      <c r="AP138">
        <f t="shared" si="11"/>
        <v>1</v>
      </c>
    </row>
    <row r="139" spans="1:42" x14ac:dyDescent="0.35">
      <c r="A139" s="48" t="s">
        <v>937</v>
      </c>
      <c r="B139" s="49" t="s">
        <v>2417</v>
      </c>
      <c r="C139" s="49" t="s">
        <v>2273</v>
      </c>
      <c r="D139" s="50">
        <v>43252</v>
      </c>
      <c r="E139" s="50">
        <v>46905</v>
      </c>
      <c r="F139" s="49">
        <v>1000000</v>
      </c>
      <c r="G139" s="49" t="s">
        <v>76</v>
      </c>
      <c r="H139" s="49">
        <v>1157447.6000000001</v>
      </c>
      <c r="I139" s="49" t="s">
        <v>76</v>
      </c>
      <c r="J139" s="49">
        <v>115.74476</v>
      </c>
      <c r="K139" s="49">
        <v>1</v>
      </c>
      <c r="L139" s="51">
        <v>9.1799999999999993E-2</v>
      </c>
      <c r="M139" s="49" t="s">
        <v>93</v>
      </c>
      <c r="N139" s="49">
        <v>988</v>
      </c>
      <c r="O139" s="49">
        <v>7.9312445764283401</v>
      </c>
      <c r="P139" s="49"/>
      <c r="Q139" s="49"/>
      <c r="R139" s="49" t="s">
        <v>2275</v>
      </c>
      <c r="S139">
        <f t="shared" si="8"/>
        <v>10</v>
      </c>
      <c r="T139" s="5" cm="1">
        <f t="array" ref="T1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39">
        <f>Table1[[#This Row],[Term to Maturity (Years)]]*Table1[[#This Row],[Coupon Frequency2]]</f>
        <v>10</v>
      </c>
      <c r="V139">
        <f>Table1[[#This Row],[Face value]]*Table1[[#This Row],[Current coupon %]]</f>
        <v>91799.999999999985</v>
      </c>
      <c r="W139" s="36">
        <f>RATE(Table1[[#This Row],[Total No. of Coupons]],Table1[[#This Row],[Coupon Amount]],-Table1[[#This Row],[Ask Price]],Table1[[#This Row],[Face value]])</f>
        <v>6.9440903768725457E-2</v>
      </c>
      <c r="X139" s="27">
        <f>Table1[[#This Row],[IRR]]*Table1[[#This Row],[Coupon Frequency2]]</f>
        <v>6.9440903768725457E-2</v>
      </c>
      <c r="Y139" s="19" cm="1">
        <f t="array" ref="Y1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39" s="33">
        <f>DURATION(Table1[[#This Row],[Issue date]],Table1[[#This Row],[Maturity date]],Table1[[#This Row],[Current coupon %]],Table1[[#This Row],[Yield (Annualised)]],Table1[[#This Row],[Coupon Frequency2]])</f>
        <v>7.1797348458697909</v>
      </c>
      <c r="AA139" s="33">
        <f>Table1[[#This Row],[Macaulay Duration in Years]]/(1+Table1[[#This Row],[IRR]])</f>
        <v>6.7135405243696029</v>
      </c>
      <c r="AB139" s="58">
        <f>VLOOKUP(Table1[[#This Row],[Yield Cluster]],'Cluster Details'!$B$3:$C$16,2,0)</f>
        <v>7.8548801574189142E-2</v>
      </c>
      <c r="AC139" s="78">
        <f>PRICE(Table1[[#This Row],[Issue date]],Table1[[#This Row],[Maturity date]],Table1[[#This Row],[Current coupon %]],Table1[[#This Row],[Average Cluster Yield]],100,Table1[[#This Row],[Coupon Frequency2]])*Table1[[#This Row],[Face value]]/100</f>
        <v>1089501.5834154463</v>
      </c>
      <c r="AD139" s="58" t="str">
        <f>IF(Table1[[#This Row],[Ask Price]]&gt;Table1[[#This Row],[Calculated Bond Price]],"Rich","Cheap")</f>
        <v>Rich</v>
      </c>
      <c r="AE1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1083140.0826301929</v>
      </c>
      <c r="AF1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1238797.9042147531</v>
      </c>
      <c r="AG139" s="78">
        <f>(Table1[[#This Row],[P (+ shock)]]+Table1[[#This Row],[P (-shock)]]-2*Table1[[#This Row],[Ask Price]])/(2*Table1[[#This Row],[Ask Price]]*($AF$2^2))</f>
        <v>30.423782661718388</v>
      </c>
      <c r="AH139">
        <v>5.4865297034712999</v>
      </c>
      <c r="AI139" s="6">
        <f t="shared" si="9"/>
        <v>7.9312445764283396E-2</v>
      </c>
      <c r="AK139" s="47">
        <f>RATE(Table1[[#This Row],[Total No. of Coupons]],Table1[[#This Row],[Coupon Amount]],-Table1[[#This Row],[Ask Price]],Table1[[#This Row],[Face value]])</f>
        <v>6.9440903768725457E-2</v>
      </c>
      <c r="AL139" s="27">
        <f>Table1[[#This Row],[IRR]]*Table1[[#This Row],[Coupon Frequency2]]</f>
        <v>6.9440903768725457E-2</v>
      </c>
      <c r="AM139" s="5">
        <f t="shared" si="10"/>
        <v>-7770571.3674343387</v>
      </c>
      <c r="AN139" t="s">
        <v>64</v>
      </c>
      <c r="AO139" t="s">
        <v>62</v>
      </c>
      <c r="AP139">
        <f t="shared" si="11"/>
        <v>1</v>
      </c>
    </row>
    <row r="140" spans="1:42" x14ac:dyDescent="0.35">
      <c r="A140" s="48" t="s">
        <v>652</v>
      </c>
      <c r="B140" s="49" t="s">
        <v>2418</v>
      </c>
      <c r="C140" s="49" t="s">
        <v>2273</v>
      </c>
      <c r="D140" s="50">
        <v>44735</v>
      </c>
      <c r="E140" s="50">
        <v>47292</v>
      </c>
      <c r="F140" s="49">
        <v>1000</v>
      </c>
      <c r="G140" s="49" t="s">
        <v>76</v>
      </c>
      <c r="H140" s="49">
        <v>1030</v>
      </c>
      <c r="I140" s="49" t="s">
        <v>76</v>
      </c>
      <c r="J140" s="49">
        <v>103</v>
      </c>
      <c r="K140" s="49">
        <v>363</v>
      </c>
      <c r="L140" s="51">
        <v>7.4999999999999997E-2</v>
      </c>
      <c r="M140" s="49" t="s">
        <v>93</v>
      </c>
      <c r="N140" s="49">
        <v>1375</v>
      </c>
      <c r="O140" s="49">
        <v>7.2815533980582501</v>
      </c>
      <c r="P140" s="49" t="s">
        <v>2285</v>
      </c>
      <c r="Q140" s="49"/>
      <c r="R140" s="49" t="s">
        <v>2275</v>
      </c>
      <c r="S140">
        <f t="shared" si="8"/>
        <v>7</v>
      </c>
      <c r="T140" s="5" cm="1">
        <f t="array" ref="T1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0">
        <f>Table1[[#This Row],[Term to Maturity (Years)]]*Table1[[#This Row],[Coupon Frequency2]]</f>
        <v>7</v>
      </c>
      <c r="V140">
        <f>Table1[[#This Row],[Face value]]*Table1[[#This Row],[Current coupon %]]</f>
        <v>75</v>
      </c>
      <c r="W140" s="36">
        <f>RATE(Table1[[#This Row],[Total No. of Coupons]],Table1[[#This Row],[Coupon Amount]],-Table1[[#This Row],[Ask Price]],Table1[[#This Row],[Face value]])</f>
        <v>6.944418547388917E-2</v>
      </c>
      <c r="X140" s="27">
        <f>Table1[[#This Row],[IRR]]*Table1[[#This Row],[Coupon Frequency2]]</f>
        <v>6.944418547388917E-2</v>
      </c>
      <c r="Y140" s="19" cm="1">
        <f t="array" ref="Y1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0" s="33">
        <f>DURATION(Table1[[#This Row],[Issue date]],Table1[[#This Row],[Maturity date]],Table1[[#This Row],[Current coupon %]],Table1[[#This Row],[Yield (Annualised)]],Table1[[#This Row],[Coupon Frequency2]])</f>
        <v>5.7152454685462892</v>
      </c>
      <c r="AA140" s="33">
        <f>Table1[[#This Row],[Macaulay Duration in Years]]/(1+Table1[[#This Row],[IRR]])</f>
        <v>5.3441269270296372</v>
      </c>
      <c r="AB140" s="58">
        <f>VLOOKUP(Table1[[#This Row],[Yield Cluster]],'Cluster Details'!$B$3:$C$16,2,0)</f>
        <v>7.8548801574189142E-2</v>
      </c>
      <c r="AC140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981.43156797419465</v>
      </c>
      <c r="AD140" s="58" t="str">
        <f>IF(Table1[[#This Row],[Ask Price]]&gt;Table1[[#This Row],[Calculated Bond Price]],"Rich","Cheap")</f>
        <v>Rich</v>
      </c>
      <c r="AE1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976.81787692303931</v>
      </c>
      <c r="AF1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1087.0103056447508</v>
      </c>
      <c r="AG140" s="78">
        <f>(Table1[[#This Row],[P (+ shock)]]+Table1[[#This Row],[P (-shock)]]-2*Table1[[#This Row],[Ask Price]])/(2*Table1[[#This Row],[Ask Price]]*($AF$2^2))</f>
        <v>18.583410523252468</v>
      </c>
      <c r="AH140">
        <v>13.9217032967032</v>
      </c>
      <c r="AI140" s="6">
        <f t="shared" si="9"/>
        <v>7.281553398058252E-2</v>
      </c>
      <c r="AK140" s="47">
        <f>RATE(Table1[[#This Row],[Total No. of Coupons]],Table1[[#This Row],[Coupon Amount]],-Table1[[#This Row],[Ask Price]],Table1[[#This Row],[Face value]])</f>
        <v>6.944418547388917E-2</v>
      </c>
      <c r="AL140" s="27">
        <f>Table1[[#This Row],[IRR]]*Table1[[#This Row],[Coupon Frequency2]]</f>
        <v>6.944418547388917E-2</v>
      </c>
      <c r="AM140" s="5">
        <f t="shared" si="10"/>
        <v>-5504.4507348405259</v>
      </c>
      <c r="AN140" t="s">
        <v>64</v>
      </c>
      <c r="AO140" t="s">
        <v>62</v>
      </c>
      <c r="AP140">
        <f t="shared" si="11"/>
        <v>1</v>
      </c>
    </row>
    <row r="141" spans="1:42" x14ac:dyDescent="0.35">
      <c r="A141" s="48" t="s">
        <v>1565</v>
      </c>
      <c r="B141" s="49" t="s">
        <v>2419</v>
      </c>
      <c r="C141" s="49" t="s">
        <v>2273</v>
      </c>
      <c r="D141" s="50">
        <v>45589</v>
      </c>
      <c r="E141" s="50">
        <v>46319</v>
      </c>
      <c r="F141" s="49">
        <v>1000</v>
      </c>
      <c r="G141" s="49" t="s">
        <v>76</v>
      </c>
      <c r="H141" s="49">
        <v>1046.2</v>
      </c>
      <c r="I141" s="49" t="s">
        <v>76</v>
      </c>
      <c r="J141" s="49">
        <v>104.62</v>
      </c>
      <c r="K141" s="49">
        <v>2</v>
      </c>
      <c r="L141" s="51">
        <v>9.5000000000000001E-2</v>
      </c>
      <c r="M141" s="49" t="s">
        <v>93</v>
      </c>
      <c r="N141" s="49">
        <v>402</v>
      </c>
      <c r="O141" s="49">
        <v>9.0804817434524896</v>
      </c>
      <c r="P141" s="49"/>
      <c r="Q141" s="49"/>
      <c r="R141" s="49" t="s">
        <v>2275</v>
      </c>
      <c r="S141">
        <f t="shared" si="8"/>
        <v>2</v>
      </c>
      <c r="T141" s="5" cm="1">
        <f t="array" ref="T1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1">
        <f>Table1[[#This Row],[Term to Maturity (Years)]]*Table1[[#This Row],[Coupon Frequency2]]</f>
        <v>2</v>
      </c>
      <c r="V141">
        <f>Table1[[#This Row],[Face value]]*Table1[[#This Row],[Current coupon %]]</f>
        <v>95</v>
      </c>
      <c r="W141" s="36">
        <f>RATE(Table1[[#This Row],[Total No. of Coupons]],Table1[[#This Row],[Coupon Amount]],-Table1[[#This Row],[Ask Price]],Table1[[#This Row],[Face value]])</f>
        <v>6.9466068688252794E-2</v>
      </c>
      <c r="X141" s="27">
        <f>Table1[[#This Row],[IRR]]*Table1[[#This Row],[Coupon Frequency2]]</f>
        <v>6.9466068688252794E-2</v>
      </c>
      <c r="Y141" s="19" cm="1">
        <f t="array" ref="Y1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1" s="33">
        <f>DURATION(Table1[[#This Row],[Issue date]],Table1[[#This Row],[Maturity date]],Table1[[#This Row],[Current coupon %]],Table1[[#This Row],[Yield (Annualised)]],Table1[[#This Row],[Coupon Frequency2]])</f>
        <v>1.9150933161012746</v>
      </c>
      <c r="AA141" s="33">
        <f>Table1[[#This Row],[Macaulay Duration in Years]]/(1+Table1[[#This Row],[IRR]])</f>
        <v>1.7907003991722905</v>
      </c>
      <c r="AB141" s="58">
        <f>VLOOKUP(Table1[[#This Row],[Yield Cluster]],'Cluster Details'!$B$3:$C$16,2,0)</f>
        <v>7.8548801574189142E-2</v>
      </c>
      <c r="AC141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1029.3953181547861</v>
      </c>
      <c r="AD141" s="58" t="str">
        <f>IF(Table1[[#This Row],[Ask Price]]&gt;Table1[[#This Row],[Calculated Bond Price]],"Rich","Cheap")</f>
        <v>Rich</v>
      </c>
      <c r="AE1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1027.7214043526458</v>
      </c>
      <c r="AF1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1065.196426944146</v>
      </c>
      <c r="AG141" s="78">
        <f>(Table1[[#This Row],[P (+ shock)]]+Table1[[#This Row],[P (-shock)]]-2*Table1[[#This Row],[Ask Price]])/(2*Table1[[#This Row],[Ask Price]]*($AF$2^2))</f>
        <v>2.4748198087909961</v>
      </c>
      <c r="AH141">
        <v>11.3446635668857</v>
      </c>
      <c r="AI141" s="6">
        <f t="shared" si="9"/>
        <v>9.080481743452494E-2</v>
      </c>
      <c r="AK141" s="47">
        <f>RATE(Table1[[#This Row],[Total No. of Coupons]],Table1[[#This Row],[Coupon Amount]],-Table1[[#This Row],[Ask Price]],Table1[[#This Row],[Face value]])</f>
        <v>6.9466068688252794E-2</v>
      </c>
      <c r="AL141" s="27">
        <f>Table1[[#This Row],[IRR]]*Table1[[#This Row],[Coupon Frequency2]]</f>
        <v>6.9466068688252794E-2</v>
      </c>
      <c r="AM141" s="5">
        <f t="shared" si="10"/>
        <v>-1873.4307576140504</v>
      </c>
      <c r="AN141" t="s">
        <v>64</v>
      </c>
      <c r="AO141" t="s">
        <v>62</v>
      </c>
      <c r="AP141">
        <f t="shared" si="11"/>
        <v>1</v>
      </c>
    </row>
    <row r="142" spans="1:42" x14ac:dyDescent="0.35">
      <c r="A142" s="48" t="s">
        <v>103</v>
      </c>
      <c r="B142" s="49" t="s">
        <v>2420</v>
      </c>
      <c r="C142" s="49" t="s">
        <v>2273</v>
      </c>
      <c r="D142" s="50">
        <v>44218</v>
      </c>
      <c r="E142" s="50">
        <v>49696</v>
      </c>
      <c r="F142" s="49">
        <v>1000</v>
      </c>
      <c r="G142" s="49" t="s">
        <v>76</v>
      </c>
      <c r="H142" s="49">
        <v>1000</v>
      </c>
      <c r="I142" s="49" t="s">
        <v>76</v>
      </c>
      <c r="J142" s="49">
        <v>100</v>
      </c>
      <c r="K142" s="49">
        <v>25</v>
      </c>
      <c r="L142" s="51">
        <v>6.9500000000000006E-2</v>
      </c>
      <c r="M142" s="49" t="s">
        <v>93</v>
      </c>
      <c r="N142" s="49">
        <v>3779</v>
      </c>
      <c r="O142" s="49">
        <v>6.95</v>
      </c>
      <c r="P142" s="49" t="s">
        <v>2282</v>
      </c>
      <c r="Q142" s="49"/>
      <c r="R142" s="49" t="s">
        <v>2275</v>
      </c>
      <c r="S142">
        <f t="shared" si="8"/>
        <v>15</v>
      </c>
      <c r="T142" s="5" cm="1">
        <f t="array" ref="T1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2">
        <f>Table1[[#This Row],[Term to Maturity (Years)]]*Table1[[#This Row],[Coupon Frequency2]]</f>
        <v>15</v>
      </c>
      <c r="V142">
        <f>Table1[[#This Row],[Face value]]*Table1[[#This Row],[Current coupon %]]</f>
        <v>69.5</v>
      </c>
      <c r="W142" s="36">
        <f>RATE(Table1[[#This Row],[Total No. of Coupons]],Table1[[#This Row],[Coupon Amount]],-Table1[[#This Row],[Ask Price]],Table1[[#This Row],[Face value]])</f>
        <v>6.9500000000001325E-2</v>
      </c>
      <c r="X142" s="27">
        <f>Table1[[#This Row],[IRR]]*Table1[[#This Row],[Coupon Frequency2]]</f>
        <v>6.9500000000001325E-2</v>
      </c>
      <c r="Y142" s="19" cm="1">
        <f t="array" ref="Y1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2" s="33">
        <f>DURATION(Table1[[#This Row],[Issue date]],Table1[[#This Row],[Maturity date]],Table1[[#This Row],[Current coupon %]],Table1[[#This Row],[Yield (Annualised)]],Table1[[#This Row],[Coupon Frequency2]])</f>
        <v>9.7717514080243593</v>
      </c>
      <c r="AA142" s="33">
        <f>Table1[[#This Row],[Macaulay Duration in Years]]/(1+Table1[[#This Row],[IRR]])</f>
        <v>9.136747459583308</v>
      </c>
      <c r="AB142" s="58">
        <f>VLOOKUP(Table1[[#This Row],[Yield Cluster]],'Cluster Details'!$B$3:$C$16,2,0)</f>
        <v>7.8548801574189142E-2</v>
      </c>
      <c r="AC142" s="78">
        <f>PRICE(Table1[[#This Row],[Issue date]],Table1[[#This Row],[Maturity date]],Table1[[#This Row],[Current coupon %]],Table1[[#This Row],[Average Cluster Yield]],100,Table1[[#This Row],[Coupon Frequency2]])*Table1[[#This Row],[Face value]]/100</f>
        <v>921.85591414808516</v>
      </c>
      <c r="AD142" s="58" t="str">
        <f>IF(Table1[[#This Row],[Ask Price]]&gt;Table1[[#This Row],[Calculated Bond Price]],"Rich","Cheap")</f>
        <v>Rich</v>
      </c>
      <c r="AE1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914.14327205743712</v>
      </c>
      <c r="AF1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1097.4405750187284</v>
      </c>
      <c r="AG142" s="78">
        <f>(Table1[[#This Row],[P (+ shock)]]+Table1[[#This Row],[P (-shock)]]-2*Table1[[#This Row],[Ask Price]])/(2*Table1[[#This Row],[Ask Price]]*($AF$2^2))</f>
        <v>57.919235380827558</v>
      </c>
      <c r="AH142">
        <v>3.0686587075027099</v>
      </c>
      <c r="AI142" s="6">
        <f t="shared" si="9"/>
        <v>6.9500000000000006E-2</v>
      </c>
      <c r="AK142" s="47">
        <f>RATE(Table1[[#This Row],[Total No. of Coupons]],Table1[[#This Row],[Coupon Amount]],-Table1[[#This Row],[Ask Price]],Table1[[#This Row],[Face value]])</f>
        <v>6.9500000000001325E-2</v>
      </c>
      <c r="AL142" s="27">
        <f>Table1[[#This Row],[IRR]]*Table1[[#This Row],[Coupon Frequency2]]</f>
        <v>6.9500000000001325E-2</v>
      </c>
      <c r="AM142" s="5">
        <f t="shared" si="10"/>
        <v>-9136.7474595833082</v>
      </c>
      <c r="AN142" t="s">
        <v>64</v>
      </c>
      <c r="AO142" t="s">
        <v>62</v>
      </c>
      <c r="AP142">
        <f t="shared" si="11"/>
        <v>1</v>
      </c>
    </row>
    <row r="143" spans="1:42" x14ac:dyDescent="0.35">
      <c r="A143" s="48" t="s">
        <v>217</v>
      </c>
      <c r="B143" s="49" t="s">
        <v>2421</v>
      </c>
      <c r="C143" s="49" t="s">
        <v>2273</v>
      </c>
      <c r="D143" s="50">
        <v>45208</v>
      </c>
      <c r="E143" s="50">
        <v>48861</v>
      </c>
      <c r="F143" s="49">
        <v>1000</v>
      </c>
      <c r="G143" s="49" t="s">
        <v>76</v>
      </c>
      <c r="H143" s="49">
        <v>1080</v>
      </c>
      <c r="I143" s="49" t="s">
        <v>76</v>
      </c>
      <c r="J143" s="49">
        <v>108</v>
      </c>
      <c r="K143" s="49">
        <v>500</v>
      </c>
      <c r="L143" s="51">
        <v>8.1000000000000003E-2</v>
      </c>
      <c r="M143" s="49" t="s">
        <v>93</v>
      </c>
      <c r="N143" s="49">
        <v>2944</v>
      </c>
      <c r="O143" s="49">
        <v>7.5</v>
      </c>
      <c r="P143" s="49"/>
      <c r="Q143" s="49"/>
      <c r="R143" s="49" t="s">
        <v>2275</v>
      </c>
      <c r="S143">
        <f t="shared" si="8"/>
        <v>10</v>
      </c>
      <c r="T143" s="5" cm="1">
        <f t="array" ref="T1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3">
        <f>Table1[[#This Row],[Term to Maturity (Years)]]*Table1[[#This Row],[Coupon Frequency2]]</f>
        <v>10</v>
      </c>
      <c r="V143">
        <f>Table1[[#This Row],[Face value]]*Table1[[#This Row],[Current coupon %]]</f>
        <v>81</v>
      </c>
      <c r="W143" s="36">
        <f>RATE(Table1[[#This Row],[Total No. of Coupons]],Table1[[#This Row],[Coupon Amount]],-Table1[[#This Row],[Ask Price]],Table1[[#This Row],[Face value]])</f>
        <v>6.9629309248478252E-2</v>
      </c>
      <c r="X143" s="27">
        <f>Table1[[#This Row],[IRR]]*Table1[[#This Row],[Coupon Frequency2]]</f>
        <v>6.9629309248478252E-2</v>
      </c>
      <c r="Y143" s="19" cm="1">
        <f t="array" ref="Y1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3" s="33">
        <f>DURATION(Table1[[#This Row],[Issue date]],Table1[[#This Row],[Maturity date]],Table1[[#This Row],[Current coupon %]],Table1[[#This Row],[Yield (Annualised)]],Table1[[#This Row],[Coupon Frequency2]])</f>
        <v>7.3346553754952888</v>
      </c>
      <c r="AA143" s="33">
        <f>Table1[[#This Row],[Macaulay Duration in Years]]/(1+Table1[[#This Row],[IRR]])</f>
        <v>6.8571937138190595</v>
      </c>
      <c r="AB143" s="58">
        <f>VLOOKUP(Table1[[#This Row],[Yield Cluster]],'Cluster Details'!$B$3:$C$16,2,0)</f>
        <v>7.8548801574189142E-2</v>
      </c>
      <c r="AC143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1016.5559471170703</v>
      </c>
      <c r="AD143" s="58" t="str">
        <f>IF(Table1[[#This Row],[Ask Price]]&gt;Table1[[#This Row],[Calculated Bond Price]],"Rich","Cheap")</f>
        <v>Rich</v>
      </c>
      <c r="AE1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1009.2128444249537</v>
      </c>
      <c r="AF1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1157.5667523838281</v>
      </c>
      <c r="AG143" s="78">
        <f>(Table1[[#This Row],[P (+ shock)]]+Table1[[#This Row],[P (-shock)]]-2*Table1[[#This Row],[Ask Price]])/(2*Table1[[#This Row],[Ask Price]]*($AF$2^2))</f>
        <v>31.387022262878066</v>
      </c>
      <c r="AH143">
        <v>11.372909756868101</v>
      </c>
      <c r="AI143" s="6">
        <f t="shared" si="9"/>
        <v>7.4999999999999997E-2</v>
      </c>
      <c r="AK143" s="47">
        <f>RATE(Table1[[#This Row],[Total No. of Coupons]],Table1[[#This Row],[Coupon Amount]],-Table1[[#This Row],[Ask Price]],Table1[[#This Row],[Face value]])</f>
        <v>6.9629309248478252E-2</v>
      </c>
      <c r="AL143" s="27">
        <f>Table1[[#This Row],[IRR]]*Table1[[#This Row],[Coupon Frequency2]]</f>
        <v>6.9629309248478252E-2</v>
      </c>
      <c r="AM143" s="5">
        <f t="shared" si="10"/>
        <v>-7405.7692109245845</v>
      </c>
      <c r="AN143" t="s">
        <v>64</v>
      </c>
      <c r="AO143" t="s">
        <v>62</v>
      </c>
      <c r="AP143">
        <f t="shared" si="11"/>
        <v>1</v>
      </c>
    </row>
    <row r="144" spans="1:42" x14ac:dyDescent="0.35">
      <c r="A144" s="48" t="s">
        <v>1833</v>
      </c>
      <c r="B144" s="49" t="s">
        <v>2422</v>
      </c>
      <c r="C144" s="49" t="s">
        <v>2273</v>
      </c>
      <c r="D144" s="50">
        <v>44322</v>
      </c>
      <c r="E144" s="50">
        <v>46148</v>
      </c>
      <c r="F144" s="49">
        <v>1000</v>
      </c>
      <c r="G144" s="49" t="s">
        <v>76</v>
      </c>
      <c r="H144" s="49">
        <v>1026</v>
      </c>
      <c r="I144" s="49" t="s">
        <v>76</v>
      </c>
      <c r="J144" s="49">
        <v>102.6</v>
      </c>
      <c r="K144" s="49">
        <v>10</v>
      </c>
      <c r="L144" s="51">
        <v>7.5999999999999998E-2</v>
      </c>
      <c r="M144" s="49" t="s">
        <v>93</v>
      </c>
      <c r="N144" s="49">
        <v>231</v>
      </c>
      <c r="O144" s="49">
        <v>7.4074074074074003</v>
      </c>
      <c r="P144" s="49"/>
      <c r="Q144" s="49"/>
      <c r="R144" s="49" t="s">
        <v>2275</v>
      </c>
      <c r="S144">
        <f t="shared" si="8"/>
        <v>5</v>
      </c>
      <c r="T144" s="5" cm="1">
        <f t="array" ref="T1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4">
        <f>Table1[[#This Row],[Term to Maturity (Years)]]*Table1[[#This Row],[Coupon Frequency2]]</f>
        <v>5</v>
      </c>
      <c r="V144">
        <f>Table1[[#This Row],[Face value]]*Table1[[#This Row],[Current coupon %]]</f>
        <v>76</v>
      </c>
      <c r="W144" s="36">
        <f>RATE(Table1[[#This Row],[Total No. of Coupons]],Table1[[#This Row],[Coupon Amount]],-Table1[[#This Row],[Ask Price]],Table1[[#This Row],[Face value]])</f>
        <v>6.9664536598121718E-2</v>
      </c>
      <c r="X144" s="27">
        <f>Table1[[#This Row],[IRR]]*Table1[[#This Row],[Coupon Frequency2]]</f>
        <v>6.9664536598121718E-2</v>
      </c>
      <c r="Y144" s="19" cm="1">
        <f t="array" ref="Y1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4" s="33">
        <f>DURATION(Table1[[#This Row],[Issue date]],Table1[[#This Row],[Maturity date]],Table1[[#This Row],[Current coupon %]],Table1[[#This Row],[Yield (Annualised)]],Table1[[#This Row],[Coupon Frequency2]])</f>
        <v>4.3511529569772165</v>
      </c>
      <c r="AA144" s="33">
        <f>Table1[[#This Row],[Macaulay Duration in Years]]/(1+Table1[[#This Row],[IRR]])</f>
        <v>4.0677734075538172</v>
      </c>
      <c r="AB144" s="58">
        <f>VLOOKUP(Table1[[#This Row],[Yield Cluster]],'Cluster Details'!$B$3:$C$16,2,0)</f>
        <v>7.8548801574189142E-2</v>
      </c>
      <c r="AC144" s="78">
        <f>PRICE(Table1[[#This Row],[Issue date]],Table1[[#This Row],[Maturity date]],Table1[[#This Row],[Current coupon %]],Table1[[#This Row],[Average Cluster Yield]],100,Table1[[#This Row],[Coupon Frequency2]])*Table1[[#This Row],[Face value]]/100</f>
        <v>989.78433157271536</v>
      </c>
      <c r="AD144" s="58" t="str">
        <f>IF(Table1[[#This Row],[Ask Price]]&gt;Table1[[#This Row],[Calculated Bond Price]],"Rich","Cheap")</f>
        <v>Rich</v>
      </c>
      <c r="AE1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985.35562235999953</v>
      </c>
      <c r="AF1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1068.873756609381</v>
      </c>
      <c r="AG144" s="78">
        <f>(Table1[[#This Row],[P (+ shock)]]+Table1[[#This Row],[P (-shock)]]-2*Table1[[#This Row],[Ask Price]])/(2*Table1[[#This Row],[Ask Price]]*($AF$2^2))</f>
        <v>10.864419928754275</v>
      </c>
      <c r="AI144" s="6">
        <f t="shared" si="9"/>
        <v>7.407407407407407E-2</v>
      </c>
      <c r="AK144" s="47">
        <f>RATE(Table1[[#This Row],[Total No. of Coupons]],Table1[[#This Row],[Coupon Amount]],-Table1[[#This Row],[Ask Price]],Table1[[#This Row],[Face value]])</f>
        <v>6.9664536598121718E-2</v>
      </c>
      <c r="AL144" s="27">
        <f>Table1[[#This Row],[IRR]]*Table1[[#This Row],[Coupon Frequency2]]</f>
        <v>6.9664536598121718E-2</v>
      </c>
      <c r="AM144" s="5">
        <f t="shared" si="10"/>
        <v>-4173.5355161502166</v>
      </c>
      <c r="AN144" t="s">
        <v>64</v>
      </c>
      <c r="AO144" t="s">
        <v>62</v>
      </c>
      <c r="AP144">
        <f t="shared" si="11"/>
        <v>1</v>
      </c>
    </row>
    <row r="145" spans="1:42" x14ac:dyDescent="0.35">
      <c r="A145" s="48" t="s">
        <v>730</v>
      </c>
      <c r="B145" s="49" t="s">
        <v>2423</v>
      </c>
      <c r="C145" s="49" t="s">
        <v>2273</v>
      </c>
      <c r="D145" s="50">
        <v>43517</v>
      </c>
      <c r="E145" s="50">
        <v>47170</v>
      </c>
      <c r="F145" s="49">
        <v>1000000</v>
      </c>
      <c r="G145" s="49" t="s">
        <v>76</v>
      </c>
      <c r="H145" s="49">
        <v>1110896</v>
      </c>
      <c r="I145" s="49" t="s">
        <v>76</v>
      </c>
      <c r="J145" s="49">
        <v>111.0896</v>
      </c>
      <c r="K145" s="49">
        <v>30</v>
      </c>
      <c r="L145" s="51">
        <v>8.5500000000000007E-2</v>
      </c>
      <c r="M145" s="49" t="s">
        <v>93</v>
      </c>
      <c r="N145" s="49">
        <v>1253</v>
      </c>
      <c r="O145" s="49">
        <v>7.6964900404718302</v>
      </c>
      <c r="P145" s="49" t="s">
        <v>2274</v>
      </c>
      <c r="Q145" s="49"/>
      <c r="R145" s="49" t="s">
        <v>2275</v>
      </c>
      <c r="S145">
        <f t="shared" si="8"/>
        <v>10</v>
      </c>
      <c r="T145" s="5" cm="1">
        <f t="array" ref="T1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5">
        <f>Table1[[#This Row],[Term to Maturity (Years)]]*Table1[[#This Row],[Coupon Frequency2]]</f>
        <v>10</v>
      </c>
      <c r="V145">
        <f>Table1[[#This Row],[Face value]]*Table1[[#This Row],[Current coupon %]]</f>
        <v>85500</v>
      </c>
      <c r="W145" s="36">
        <f>RATE(Table1[[#This Row],[Total No. of Coupons]],Table1[[#This Row],[Coupon Amount]],-Table1[[#This Row],[Ask Price]],Table1[[#This Row],[Face value]])</f>
        <v>6.9730563550973068E-2</v>
      </c>
      <c r="X145" s="27">
        <f>Table1[[#This Row],[IRR]]*Table1[[#This Row],[Coupon Frequency2]]</f>
        <v>6.9730563550973068E-2</v>
      </c>
      <c r="Y145" s="19" cm="1">
        <f t="array" ref="Y1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5" s="33">
        <f>DURATION(Table1[[#This Row],[Issue date]],Table1[[#This Row],[Maturity date]],Table1[[#This Row],[Current coupon %]],Table1[[#This Row],[Yield (Annualised)]],Table1[[#This Row],[Coupon Frequency2]])</f>
        <v>7.2656946234681525</v>
      </c>
      <c r="AA145" s="33">
        <f>Table1[[#This Row],[Macaulay Duration in Years]]/(1+Table1[[#This Row],[IRR]])</f>
        <v>6.792079118829383</v>
      </c>
      <c r="AB145" s="58">
        <f>VLOOKUP(Table1[[#This Row],[Yield Cluster]],'Cluster Details'!$B$3:$C$16,2,0)</f>
        <v>7.8548801574189142E-2</v>
      </c>
      <c r="AC145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1046949.9622413937</v>
      </c>
      <c r="AD145" s="58" t="str">
        <f>IF(Table1[[#This Row],[Ask Price]]&gt;Table1[[#This Row],[Calculated Bond Price]],"Rich","Cheap")</f>
        <v>Rich</v>
      </c>
      <c r="AE1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1038760.480200935</v>
      </c>
      <c r="AF1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1189907.6423509934</v>
      </c>
      <c r="AG145" s="78">
        <f>(Table1[[#This Row],[P (+ shock)]]+Table1[[#This Row],[P (-shock)]]-2*Table1[[#This Row],[Ask Price]])/(2*Table1[[#This Row],[Ask Price]]*($AF$2^2))</f>
        <v>30.94854312162558</v>
      </c>
      <c r="AH145">
        <v>11.273221043085</v>
      </c>
      <c r="AI145" s="6">
        <f t="shared" si="9"/>
        <v>7.6964900404718359E-2</v>
      </c>
      <c r="AK145" s="47">
        <f>RATE(Table1[[#This Row],[Total No. of Coupons]],Table1[[#This Row],[Coupon Amount]],-Table1[[#This Row],[Ask Price]],Table1[[#This Row],[Face value]])</f>
        <v>6.9730563550973068E-2</v>
      </c>
      <c r="AL145" s="27">
        <f>Table1[[#This Row],[IRR]]*Table1[[#This Row],[Coupon Frequency2]]</f>
        <v>6.9730563550973068E-2</v>
      </c>
      <c r="AM145" s="5">
        <f t="shared" si="10"/>
        <v>-7545293.5247910861</v>
      </c>
      <c r="AN145" t="s">
        <v>64</v>
      </c>
      <c r="AO145" t="s">
        <v>62</v>
      </c>
      <c r="AP145">
        <f t="shared" si="11"/>
        <v>1</v>
      </c>
    </row>
    <row r="146" spans="1:42" x14ac:dyDescent="0.35">
      <c r="A146" s="48" t="s">
        <v>820</v>
      </c>
      <c r="B146" s="49" t="s">
        <v>2424</v>
      </c>
      <c r="C146" s="49" t="s">
        <v>2273</v>
      </c>
      <c r="D146" s="50">
        <v>41594</v>
      </c>
      <c r="E146" s="50">
        <v>47073</v>
      </c>
      <c r="F146" s="49">
        <v>1000</v>
      </c>
      <c r="G146" s="49" t="s">
        <v>76</v>
      </c>
      <c r="H146" s="49">
        <v>1165</v>
      </c>
      <c r="I146" s="49" t="s">
        <v>76</v>
      </c>
      <c r="J146" s="49">
        <v>116.5</v>
      </c>
      <c r="K146" s="49">
        <v>240</v>
      </c>
      <c r="L146" s="51">
        <v>8.7899999999999992E-2</v>
      </c>
      <c r="M146" s="49" t="s">
        <v>93</v>
      </c>
      <c r="N146" s="49">
        <v>1156</v>
      </c>
      <c r="O146" s="49">
        <v>7.5450643776824</v>
      </c>
      <c r="P146" s="49" t="s">
        <v>2282</v>
      </c>
      <c r="Q146" s="49"/>
      <c r="R146" s="49" t="s">
        <v>2275</v>
      </c>
      <c r="S146">
        <f t="shared" si="8"/>
        <v>15</v>
      </c>
      <c r="T146" s="5" cm="1">
        <f t="array" ref="T1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6">
        <f>Table1[[#This Row],[Term to Maturity (Years)]]*Table1[[#This Row],[Coupon Frequency2]]</f>
        <v>15</v>
      </c>
      <c r="V146">
        <f>Table1[[#This Row],[Face value]]*Table1[[#This Row],[Current coupon %]]</f>
        <v>87.899999999999991</v>
      </c>
      <c r="W146" s="36">
        <f>RATE(Table1[[#This Row],[Total No. of Coupons]],Table1[[#This Row],[Coupon Amount]],-Table1[[#This Row],[Ask Price]],Table1[[#This Row],[Face value]])</f>
        <v>6.9806070835798789E-2</v>
      </c>
      <c r="X146" s="27">
        <f>Table1[[#This Row],[IRR]]*Table1[[#This Row],[Coupon Frequency2]]</f>
        <v>6.9806070835798789E-2</v>
      </c>
      <c r="Y146" s="19" cm="1">
        <f t="array" ref="Y1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6" s="33">
        <f>DURATION(Table1[[#This Row],[Issue date]],Table1[[#This Row],[Maturity date]],Table1[[#This Row],[Current coupon %]],Table1[[#This Row],[Yield (Annualised)]],Table1[[#This Row],[Coupon Frequency2]])</f>
        <v>9.3315855064722477</v>
      </c>
      <c r="AA146" s="33">
        <f>Table1[[#This Row],[Macaulay Duration in Years]]/(1+Table1[[#This Row],[IRR]])</f>
        <v>8.7226888693778246</v>
      </c>
      <c r="AB146" s="58">
        <f>VLOOKUP(Table1[[#This Row],[Yield Cluster]],'Cluster Details'!$B$3:$C$16,2,0)</f>
        <v>7.8548801574189142E-2</v>
      </c>
      <c r="AC146" s="78">
        <f>PRICE(Table1[[#This Row],[Issue date]],Table1[[#This Row],[Maturity date]],Table1[[#This Row],[Current coupon %]],Table1[[#This Row],[Average Cluster Yield]],100,Table1[[#This Row],[Coupon Frequency2]])*Table1[[#This Row],[Face value]]/100</f>
        <v>1080.7555394616281</v>
      </c>
      <c r="AD146" s="58" t="str">
        <f>IF(Table1[[#This Row],[Ask Price]]&gt;Table1[[#This Row],[Calculated Bond Price]],"Rich","Cheap")</f>
        <v>Rich</v>
      </c>
      <c r="AE1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1069.36192586383</v>
      </c>
      <c r="AF1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1273.2013087947164</v>
      </c>
      <c r="AG146" s="78">
        <f>(Table1[[#This Row],[P (+ shock)]]+Table1[[#This Row],[P (-shock)]]-2*Table1[[#This Row],[Ask Price]])/(2*Table1[[#This Row],[Ask Price]]*($AF$2^2))</f>
        <v>53.919462053846381</v>
      </c>
      <c r="AH146">
        <v>6.6782989019169898</v>
      </c>
      <c r="AI146" s="6">
        <f t="shared" si="9"/>
        <v>7.5450643776824033E-2</v>
      </c>
      <c r="AK146" s="47">
        <f>RATE(Table1[[#This Row],[Total No. of Coupons]],Table1[[#This Row],[Coupon Amount]],-Table1[[#This Row],[Ask Price]],Table1[[#This Row],[Face value]])</f>
        <v>6.9806070835798789E-2</v>
      </c>
      <c r="AL146" s="27">
        <f>Table1[[#This Row],[IRR]]*Table1[[#This Row],[Coupon Frequency2]]</f>
        <v>6.9806070835798789E-2</v>
      </c>
      <c r="AM146" s="5">
        <f t="shared" si="10"/>
        <v>-10161.932532825165</v>
      </c>
      <c r="AN146" t="s">
        <v>64</v>
      </c>
      <c r="AO146" t="s">
        <v>62</v>
      </c>
      <c r="AP146">
        <f t="shared" si="11"/>
        <v>1</v>
      </c>
    </row>
    <row r="147" spans="1:42" x14ac:dyDescent="0.35">
      <c r="A147" s="48" t="s">
        <v>1234</v>
      </c>
      <c r="B147" s="49" t="s">
        <v>2425</v>
      </c>
      <c r="C147" s="49" t="s">
        <v>2273</v>
      </c>
      <c r="D147" s="50">
        <v>44735</v>
      </c>
      <c r="E147" s="50">
        <v>46561</v>
      </c>
      <c r="F147" s="49">
        <v>1000</v>
      </c>
      <c r="G147" s="49" t="s">
        <v>76</v>
      </c>
      <c r="H147" s="49">
        <v>1011</v>
      </c>
      <c r="I147" s="49" t="s">
        <v>76</v>
      </c>
      <c r="J147" s="49">
        <v>101.1</v>
      </c>
      <c r="K147" s="49">
        <v>25</v>
      </c>
      <c r="L147" s="51">
        <v>7.2499999999999995E-2</v>
      </c>
      <c r="M147" s="49" t="s">
        <v>93</v>
      </c>
      <c r="N147" s="49">
        <v>644</v>
      </c>
      <c r="O147" s="49">
        <v>7.1711177052423301</v>
      </c>
      <c r="P147" s="49" t="s">
        <v>2285</v>
      </c>
      <c r="Q147" s="49"/>
      <c r="R147" s="49" t="s">
        <v>2275</v>
      </c>
      <c r="S147">
        <f t="shared" si="8"/>
        <v>5</v>
      </c>
      <c r="T147" s="5" cm="1">
        <f t="array" ref="T1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7">
        <f>Table1[[#This Row],[Term to Maturity (Years)]]*Table1[[#This Row],[Coupon Frequency2]]</f>
        <v>5</v>
      </c>
      <c r="V147">
        <f>Table1[[#This Row],[Face value]]*Table1[[#This Row],[Current coupon %]]</f>
        <v>72.5</v>
      </c>
      <c r="W147" s="36">
        <f>RATE(Table1[[#This Row],[Total No. of Coupons]],Table1[[#This Row],[Coupon Amount]],-Table1[[#This Row],[Ask Price]],Table1[[#This Row],[Face value]])</f>
        <v>6.9818505949584442E-2</v>
      </c>
      <c r="X147" s="27">
        <f>Table1[[#This Row],[IRR]]*Table1[[#This Row],[Coupon Frequency2]]</f>
        <v>6.9818505949584442E-2</v>
      </c>
      <c r="Y147" s="19" cm="1">
        <f t="array" ref="Y1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7" s="33">
        <f>DURATION(Table1[[#This Row],[Issue date]],Table1[[#This Row],[Maturity date]],Table1[[#This Row],[Current coupon %]],Table1[[#This Row],[Yield (Annualised)]],Table1[[#This Row],[Coupon Frequency2]])</f>
        <v>4.3720254280360704</v>
      </c>
      <c r="AA147" s="33">
        <f>Table1[[#This Row],[Macaulay Duration in Years]]/(1+Table1[[#This Row],[IRR]])</f>
        <v>4.0866982611741287</v>
      </c>
      <c r="AB147" s="58">
        <f>VLOOKUP(Table1[[#This Row],[Yield Cluster]],'Cluster Details'!$B$3:$C$16,2,0)</f>
        <v>7.8548801574189142E-2</v>
      </c>
      <c r="AC147" s="78">
        <f>PRICE(Table1[[#This Row],[Issue date]],Table1[[#This Row],[Maturity date]],Table1[[#This Row],[Current coupon %]],Table1[[#This Row],[Average Cluster Yield]],100,Table1[[#This Row],[Coupon Frequency2]])*Table1[[#This Row],[Face value]]/100</f>
        <v>975.75623309004993</v>
      </c>
      <c r="AD147" s="58" t="str">
        <f>IF(Table1[[#This Row],[Ask Price]]&gt;Table1[[#This Row],[Calculated Bond Price]],"Rich","Cheap")</f>
        <v>Rich</v>
      </c>
      <c r="AE1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970.7653448011439</v>
      </c>
      <c r="AF1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1053.4454516399646</v>
      </c>
      <c r="AG147" s="78">
        <f>(Table1[[#This Row],[P (+ shock)]]+Table1[[#This Row],[P (-shock)]]-2*Table1[[#This Row],[Ask Price]])/(2*Table1[[#This Row],[Ask Price]]*($AF$2^2))</f>
        <v>10.93371138035813</v>
      </c>
      <c r="AH147">
        <v>2.9090590193913699</v>
      </c>
      <c r="AI147" s="6">
        <f t="shared" si="9"/>
        <v>7.1711177052423344E-2</v>
      </c>
      <c r="AK147" s="47">
        <f>RATE(Table1[[#This Row],[Total No. of Coupons]],Table1[[#This Row],[Coupon Amount]],-Table1[[#This Row],[Ask Price]],Table1[[#This Row],[Face value]])</f>
        <v>6.9818505949584442E-2</v>
      </c>
      <c r="AL147" s="27">
        <f>Table1[[#This Row],[IRR]]*Table1[[#This Row],[Coupon Frequency2]]</f>
        <v>6.9818505949584442E-2</v>
      </c>
      <c r="AM147" s="5">
        <f t="shared" si="10"/>
        <v>-4131.651942047044</v>
      </c>
      <c r="AN147" t="s">
        <v>64</v>
      </c>
      <c r="AO147" t="s">
        <v>62</v>
      </c>
      <c r="AP147">
        <f t="shared" si="11"/>
        <v>1</v>
      </c>
    </row>
    <row r="148" spans="1:42" x14ac:dyDescent="0.35">
      <c r="A148" s="48" t="s">
        <v>713</v>
      </c>
      <c r="B148" s="49" t="s">
        <v>2426</v>
      </c>
      <c r="C148" s="49" t="s">
        <v>2273</v>
      </c>
      <c r="D148" s="50">
        <v>41722</v>
      </c>
      <c r="E148" s="50">
        <v>47201</v>
      </c>
      <c r="F148" s="49">
        <v>1000</v>
      </c>
      <c r="G148" s="49" t="s">
        <v>76</v>
      </c>
      <c r="H148" s="49">
        <v>1149.0999999999999</v>
      </c>
      <c r="I148" s="49" t="s">
        <v>76</v>
      </c>
      <c r="J148" s="49">
        <v>114.91</v>
      </c>
      <c r="K148" s="49">
        <v>55</v>
      </c>
      <c r="L148" s="51">
        <v>8.6300000000000002E-2</v>
      </c>
      <c r="M148" s="49" t="s">
        <v>93</v>
      </c>
      <c r="N148" s="49">
        <v>1284</v>
      </c>
      <c r="O148" s="49">
        <v>7.5102253937864401</v>
      </c>
      <c r="P148" s="49"/>
      <c r="Q148" s="49"/>
      <c r="R148" s="49" t="s">
        <v>2275</v>
      </c>
      <c r="S148">
        <f t="shared" si="8"/>
        <v>15</v>
      </c>
      <c r="T148" s="5" cm="1">
        <f t="array" ref="T1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8">
        <f>Table1[[#This Row],[Term to Maturity (Years)]]*Table1[[#This Row],[Coupon Frequency2]]</f>
        <v>15</v>
      </c>
      <c r="V148">
        <f>Table1[[#This Row],[Face value]]*Table1[[#This Row],[Current coupon %]]</f>
        <v>86.3</v>
      </c>
      <c r="W148" s="36">
        <f>RATE(Table1[[#This Row],[Total No. of Coupons]],Table1[[#This Row],[Coupon Amount]],-Table1[[#This Row],[Ask Price]],Table1[[#This Row],[Face value]])</f>
        <v>6.9936215980122077E-2</v>
      </c>
      <c r="X148" s="27">
        <f>Table1[[#This Row],[IRR]]*Table1[[#This Row],[Coupon Frequency2]]</f>
        <v>6.9936215980122077E-2</v>
      </c>
      <c r="Y148" s="19" cm="1">
        <f t="array" ref="Y1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8" s="33">
        <f>DURATION(Table1[[#This Row],[Issue date]],Table1[[#This Row],[Maturity date]],Table1[[#This Row],[Current coupon %]],Table1[[#This Row],[Yield (Annualised)]],Table1[[#This Row],[Coupon Frequency2]])</f>
        <v>9.3609203773564964</v>
      </c>
      <c r="AA148" s="33">
        <f>Table1[[#This Row],[Macaulay Duration in Years]]/(1+Table1[[#This Row],[IRR]])</f>
        <v>8.7490452585356824</v>
      </c>
      <c r="AB148" s="58">
        <f>VLOOKUP(Table1[[#This Row],[Yield Cluster]],'Cluster Details'!$B$3:$C$16,2,0)</f>
        <v>7.8548801574189142E-2</v>
      </c>
      <c r="AC148" s="78">
        <f>PRICE(Table1[[#This Row],[Issue date]],Table1[[#This Row],[Maturity date]],Table1[[#This Row],[Current coupon %]],Table1[[#This Row],[Average Cluster Yield]],100,Table1[[#This Row],[Coupon Frequency2]])*Table1[[#This Row],[Face value]]/100</f>
        <v>1066.9381807387115</v>
      </c>
      <c r="AD148" s="58" t="str">
        <f>IF(Table1[[#This Row],[Ask Price]]&gt;Table1[[#This Row],[Calculated Bond Price]],"Rich","Cheap")</f>
        <v>Rich</v>
      </c>
      <c r="AE1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1054.4918944823812</v>
      </c>
      <c r="AF1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1256.1583807608711</v>
      </c>
      <c r="AG148" s="78">
        <f>(Table1[[#This Row],[P (+ shock)]]+Table1[[#This Row],[P (-shock)]]-2*Table1[[#This Row],[Ask Price]])/(2*Table1[[#This Row],[Ask Price]]*($AF$2^2))</f>
        <v>54.174028558231186</v>
      </c>
      <c r="AH148">
        <v>11.565789144728599</v>
      </c>
      <c r="AI148" s="6">
        <f t="shared" si="9"/>
        <v>7.5102253937864419E-2</v>
      </c>
      <c r="AK148" s="47">
        <f>RATE(Table1[[#This Row],[Total No. of Coupons]],Table1[[#This Row],[Coupon Amount]],-Table1[[#This Row],[Ask Price]],Table1[[#This Row],[Face value]])</f>
        <v>6.9936215980122077E-2</v>
      </c>
      <c r="AL148" s="27">
        <f>Table1[[#This Row],[IRR]]*Table1[[#This Row],[Coupon Frequency2]]</f>
        <v>6.9936215980122077E-2</v>
      </c>
      <c r="AM148" s="5">
        <f t="shared" si="10"/>
        <v>-10053.527906583351</v>
      </c>
      <c r="AN148" t="s">
        <v>64</v>
      </c>
      <c r="AO148" t="s">
        <v>62</v>
      </c>
      <c r="AP148">
        <f t="shared" si="11"/>
        <v>1</v>
      </c>
    </row>
    <row r="149" spans="1:42" x14ac:dyDescent="0.35">
      <c r="A149" s="48" t="s">
        <v>1464</v>
      </c>
      <c r="B149" s="49" t="s">
        <v>2427</v>
      </c>
      <c r="C149" s="49" t="s">
        <v>2273</v>
      </c>
      <c r="D149" s="50">
        <v>45653</v>
      </c>
      <c r="E149" s="50">
        <v>46383</v>
      </c>
      <c r="F149" s="49">
        <v>1000</v>
      </c>
      <c r="G149" s="49" t="s">
        <v>76</v>
      </c>
      <c r="H149" s="49">
        <v>1047.9000000000001</v>
      </c>
      <c r="I149" s="49" t="s">
        <v>76</v>
      </c>
      <c r="J149" s="49">
        <v>104.79</v>
      </c>
      <c r="K149" s="49">
        <v>9</v>
      </c>
      <c r="L149" s="51">
        <v>9.6500000000000002E-2</v>
      </c>
      <c r="M149" s="49" t="s">
        <v>93</v>
      </c>
      <c r="N149" s="49">
        <v>466</v>
      </c>
      <c r="O149" s="49">
        <v>9.2088939784330499</v>
      </c>
      <c r="P149" s="49" t="s">
        <v>2279</v>
      </c>
      <c r="Q149" s="49"/>
      <c r="R149" s="49" t="s">
        <v>2275</v>
      </c>
      <c r="S149">
        <f t="shared" si="8"/>
        <v>2</v>
      </c>
      <c r="T149" s="5" cm="1">
        <f t="array" ref="T1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49">
        <f>Table1[[#This Row],[Term to Maturity (Years)]]*Table1[[#This Row],[Coupon Frequency2]]</f>
        <v>2</v>
      </c>
      <c r="V149">
        <f>Table1[[#This Row],[Face value]]*Table1[[#This Row],[Current coupon %]]</f>
        <v>96.5</v>
      </c>
      <c r="W149" s="36">
        <f>RATE(Table1[[#This Row],[Total No. of Coupons]],Table1[[#This Row],[Coupon Amount]],-Table1[[#This Row],[Ask Price]],Table1[[#This Row],[Face value]])</f>
        <v>7.0006658860015031E-2</v>
      </c>
      <c r="X149" s="27">
        <f>Table1[[#This Row],[IRR]]*Table1[[#This Row],[Coupon Frequency2]]</f>
        <v>7.0006658860015031E-2</v>
      </c>
      <c r="Y149" s="19" cm="1">
        <f t="array" ref="Y1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49" s="33">
        <f>DURATION(Table1[[#This Row],[Issue date]],Table1[[#This Row],[Maturity date]],Table1[[#This Row],[Current coupon %]],Table1[[#This Row],[Yield (Annualised)]],Table1[[#This Row],[Coupon Frequency2]])</f>
        <v>1.9139361058907398</v>
      </c>
      <c r="AA149" s="33">
        <f>Table1[[#This Row],[Macaulay Duration in Years]]/(1+Table1[[#This Row],[IRR]])</f>
        <v>1.7887142010217461</v>
      </c>
      <c r="AB149" s="58">
        <f>VLOOKUP(Table1[[#This Row],[Yield Cluster]],'Cluster Details'!$B$3:$C$16,2,0)</f>
        <v>7.8548801574189142E-2</v>
      </c>
      <c r="AC149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1032.0755470409078</v>
      </c>
      <c r="AD149" s="58" t="str">
        <f>IF(Table1[[#This Row],[Ask Price]]&gt;Table1[[#This Row],[Calculated Bond Price]],"Rich","Cheap")</f>
        <v>Rich</v>
      </c>
      <c r="AE1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1029.411725277625</v>
      </c>
      <c r="AF1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1066.905999690244</v>
      </c>
      <c r="AG149" s="78">
        <f>(Table1[[#This Row],[P (+ shock)]]+Table1[[#This Row],[P (-shock)]]-2*Table1[[#This Row],[Ask Price]])/(2*Table1[[#This Row],[Ask Price]]*($AF$2^2))</f>
        <v>2.4702975850227662</v>
      </c>
      <c r="AH149">
        <v>3.2236038916088599</v>
      </c>
      <c r="AI149" s="6">
        <f t="shared" si="9"/>
        <v>9.2088939784330553E-2</v>
      </c>
      <c r="AK149" s="47">
        <f>RATE(Table1[[#This Row],[Total No. of Coupons]],Table1[[#This Row],[Coupon Amount]],-Table1[[#This Row],[Ask Price]],Table1[[#This Row],[Face value]])</f>
        <v>7.0006658860015031E-2</v>
      </c>
      <c r="AL149" s="27">
        <f>Table1[[#This Row],[IRR]]*Table1[[#This Row],[Coupon Frequency2]]</f>
        <v>7.0006658860015031E-2</v>
      </c>
      <c r="AM149" s="5">
        <f t="shared" si="10"/>
        <v>-1874.3936112506879</v>
      </c>
      <c r="AN149" t="s">
        <v>64</v>
      </c>
      <c r="AO149" t="s">
        <v>62</v>
      </c>
      <c r="AP149">
        <f t="shared" si="11"/>
        <v>1</v>
      </c>
    </row>
    <row r="150" spans="1:42" x14ac:dyDescent="0.35">
      <c r="A150" s="48" t="s">
        <v>1205</v>
      </c>
      <c r="B150" s="49" t="s">
        <v>2428</v>
      </c>
      <c r="C150" s="49" t="s">
        <v>2273</v>
      </c>
      <c r="D150" s="50">
        <v>45604</v>
      </c>
      <c r="E150" s="50">
        <v>46588</v>
      </c>
      <c r="F150" s="49">
        <v>100000</v>
      </c>
      <c r="G150" s="49" t="s">
        <v>76</v>
      </c>
      <c r="H150" s="49">
        <v>105043.97</v>
      </c>
      <c r="I150" s="49" t="s">
        <v>76</v>
      </c>
      <c r="J150" s="49">
        <v>105.04397</v>
      </c>
      <c r="K150" s="49">
        <v>10</v>
      </c>
      <c r="L150" s="51">
        <v>8.9270000000000002E-2</v>
      </c>
      <c r="M150" s="49" t="s">
        <v>93</v>
      </c>
      <c r="N150" s="49">
        <v>671</v>
      </c>
      <c r="O150" s="49">
        <v>8.4983459783555393</v>
      </c>
      <c r="P150" s="49" t="s">
        <v>2285</v>
      </c>
      <c r="Q150" s="49"/>
      <c r="R150" s="49" t="s">
        <v>2275</v>
      </c>
      <c r="S150">
        <f t="shared" si="8"/>
        <v>3</v>
      </c>
      <c r="T150" s="5" cm="1">
        <f t="array" ref="T1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0">
        <f>Table1[[#This Row],[Term to Maturity (Years)]]*Table1[[#This Row],[Coupon Frequency2]]</f>
        <v>3</v>
      </c>
      <c r="V150">
        <f>Table1[[#This Row],[Face value]]*Table1[[#This Row],[Current coupon %]]</f>
        <v>8927</v>
      </c>
      <c r="W150" s="36">
        <f>RATE(Table1[[#This Row],[Total No. of Coupons]],Table1[[#This Row],[Coupon Amount]],-Table1[[#This Row],[Ask Price]],Table1[[#This Row],[Face value]])</f>
        <v>7.0048176514676097E-2</v>
      </c>
      <c r="X150" s="27">
        <f>Table1[[#This Row],[IRR]]*Table1[[#This Row],[Coupon Frequency2]]</f>
        <v>7.0048176514676097E-2</v>
      </c>
      <c r="Y150" s="19" cm="1">
        <f t="array" ref="Y1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0" s="33">
        <f>DURATION(Table1[[#This Row],[Issue date]],Table1[[#This Row],[Maturity date]],Table1[[#This Row],[Current coupon %]],Table1[[#This Row],[Yield (Annualised)]],Table1[[#This Row],[Coupon Frequency2]])</f>
        <v>2.4669384020710341</v>
      </c>
      <c r="AA150" s="33">
        <f>Table1[[#This Row],[Macaulay Duration in Years]]/(1+Table1[[#This Row],[IRR]])</f>
        <v>2.3054461062737013</v>
      </c>
      <c r="AB150" s="58">
        <f>VLOOKUP(Table1[[#This Row],[Yield Cluster]],'Cluster Details'!$B$3:$C$16,2,0)</f>
        <v>7.8548801574189142E-2</v>
      </c>
      <c r="AC150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102450.08693492312</v>
      </c>
      <c r="AD150" s="58" t="str">
        <f>IF(Table1[[#This Row],[Ask Price]]&gt;Table1[[#This Row],[Calculated Bond Price]],"Rich","Cheap")</f>
        <v>Rich</v>
      </c>
      <c r="AE1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102090.84397000819</v>
      </c>
      <c r="AF1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107034.89354884662</v>
      </c>
      <c r="AG150" s="78">
        <f>(Table1[[#This Row],[P (+ shock)]]+Table1[[#This Row],[P (-shock)]]-2*Table1[[#This Row],[Ask Price]])/(2*Table1[[#This Row],[Ask Price]]*($AF$2^2))</f>
        <v>-45.7999864792422</v>
      </c>
      <c r="AI150" s="6">
        <f t="shared" si="9"/>
        <v>8.4983459783555398E-2</v>
      </c>
      <c r="AK150" s="47">
        <f>RATE(Table1[[#This Row],[Total No. of Coupons]],Table1[[#This Row],[Coupon Amount]],-Table1[[#This Row],[Ask Price]],Table1[[#This Row],[Face value]])</f>
        <v>7.0048176514676097E-2</v>
      </c>
      <c r="AL150" s="27">
        <f>Table1[[#This Row],[IRR]]*Table1[[#This Row],[Coupon Frequency2]]</f>
        <v>7.0048176514676097E-2</v>
      </c>
      <c r="AM150" s="5">
        <f t="shared" si="10"/>
        <v>-242173.21162403148</v>
      </c>
      <c r="AN150" t="s">
        <v>64</v>
      </c>
      <c r="AO150" t="s">
        <v>62</v>
      </c>
      <c r="AP150">
        <f t="shared" si="11"/>
        <v>1</v>
      </c>
    </row>
    <row r="151" spans="1:42" x14ac:dyDescent="0.35">
      <c r="A151" s="48" t="s">
        <v>863</v>
      </c>
      <c r="B151" s="49" t="s">
        <v>2429</v>
      </c>
      <c r="C151" s="49" t="s">
        <v>2273</v>
      </c>
      <c r="D151" s="50">
        <v>41541</v>
      </c>
      <c r="E151" s="50">
        <v>47020</v>
      </c>
      <c r="F151" s="49">
        <v>1000</v>
      </c>
      <c r="G151" s="49" t="s">
        <v>76</v>
      </c>
      <c r="H151" s="49">
        <v>1154.74</v>
      </c>
      <c r="I151" s="49" t="s">
        <v>76</v>
      </c>
      <c r="J151" s="49">
        <v>115.474</v>
      </c>
      <c r="K151" s="49">
        <v>32</v>
      </c>
      <c r="L151" s="51">
        <v>8.7100000000000011E-2</v>
      </c>
      <c r="M151" s="49" t="s">
        <v>93</v>
      </c>
      <c r="N151" s="49">
        <v>1103</v>
      </c>
      <c r="O151" s="49">
        <v>7.5428234927342901</v>
      </c>
      <c r="P151" s="49"/>
      <c r="Q151" s="49"/>
      <c r="R151" s="49" t="s">
        <v>2275</v>
      </c>
      <c r="S151">
        <f t="shared" si="8"/>
        <v>15</v>
      </c>
      <c r="T151" s="5" cm="1">
        <f t="array" ref="T1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1">
        <f>Table1[[#This Row],[Term to Maturity (Years)]]*Table1[[#This Row],[Coupon Frequency2]]</f>
        <v>15</v>
      </c>
      <c r="V151">
        <f>Table1[[#This Row],[Face value]]*Table1[[#This Row],[Current coupon %]]</f>
        <v>87.100000000000009</v>
      </c>
      <c r="W151" s="36">
        <f>RATE(Table1[[#This Row],[Total No. of Coupons]],Table1[[#This Row],[Coupon Amount]],-Table1[[#This Row],[Ask Price]],Table1[[#This Row],[Face value]])</f>
        <v>7.0099681472141115E-2</v>
      </c>
      <c r="X151" s="27">
        <f>Table1[[#This Row],[IRR]]*Table1[[#This Row],[Coupon Frequency2]]</f>
        <v>7.0099681472141115E-2</v>
      </c>
      <c r="Y151" s="19" cm="1">
        <f t="array" ref="Y1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1" s="33">
        <f>DURATION(Table1[[#This Row],[Issue date]],Table1[[#This Row],[Maturity date]],Table1[[#This Row],[Current coupon %]],Table1[[#This Row],[Yield (Annualised)]],Table1[[#This Row],[Coupon Frequency2]])</f>
        <v>9.3404275526978022</v>
      </c>
      <c r="AA151" s="33">
        <f>Table1[[#This Row],[Macaulay Duration in Years]]/(1+Table1[[#This Row],[IRR]])</f>
        <v>8.7285583898577865</v>
      </c>
      <c r="AB151" s="58">
        <f>VLOOKUP(Table1[[#This Row],[Yield Cluster]],'Cluster Details'!$B$3:$C$16,2,0)</f>
        <v>7.8548801574189142E-2</v>
      </c>
      <c r="AC151" s="78">
        <f>PRICE(Table1[[#This Row],[Issue date]],Table1[[#This Row],[Maturity date]],Table1[[#This Row],[Current coupon %]],Table1[[#This Row],[Average Cluster Yield]],100,Table1[[#This Row],[Coupon Frequency2]])*Table1[[#This Row],[Face value]]/100</f>
        <v>1073.8468601001698</v>
      </c>
      <c r="AD151" s="58" t="str">
        <f>IF(Table1[[#This Row],[Ask Price]]&gt;Table1[[#This Row],[Calculated Bond Price]],"Rich","Cheap")</f>
        <v>Rich</v>
      </c>
      <c r="AE1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1059.8826245430857</v>
      </c>
      <c r="AF1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1262.0631045343605</v>
      </c>
      <c r="AG151" s="78">
        <f>(Table1[[#This Row],[P (+ shock)]]+Table1[[#This Row],[P (-shock)]]-2*Table1[[#This Row],[Ask Price]])/(2*Table1[[#This Row],[Ask Price]]*($AF$2^2))</f>
        <v>53.976345659829107</v>
      </c>
      <c r="AH151">
        <v>12.167066392626101</v>
      </c>
      <c r="AI151" s="6">
        <f t="shared" si="9"/>
        <v>7.5428234927342963E-2</v>
      </c>
      <c r="AK151" s="47">
        <f>RATE(Table1[[#This Row],[Total No. of Coupons]],Table1[[#This Row],[Coupon Amount]],-Table1[[#This Row],[Ask Price]],Table1[[#This Row],[Face value]])</f>
        <v>7.0099681472141115E-2</v>
      </c>
      <c r="AL151" s="27">
        <f>Table1[[#This Row],[IRR]]*Table1[[#This Row],[Coupon Frequency2]]</f>
        <v>7.0099681472141115E-2</v>
      </c>
      <c r="AM151" s="5">
        <f t="shared" si="10"/>
        <v>-10079.215515104381</v>
      </c>
      <c r="AN151" t="s">
        <v>64</v>
      </c>
      <c r="AO151" t="s">
        <v>62</v>
      </c>
      <c r="AP151">
        <f t="shared" si="11"/>
        <v>1</v>
      </c>
    </row>
    <row r="152" spans="1:42" x14ac:dyDescent="0.35">
      <c r="A152" s="48" t="s">
        <v>1974</v>
      </c>
      <c r="B152" s="49" t="s">
        <v>2430</v>
      </c>
      <c r="C152" s="49" t="s">
        <v>2273</v>
      </c>
      <c r="D152" s="50">
        <v>45320</v>
      </c>
      <c r="E152" s="50">
        <v>46051</v>
      </c>
      <c r="F152" s="49">
        <v>1000</v>
      </c>
      <c r="G152" s="49" t="s">
        <v>76</v>
      </c>
      <c r="H152" s="49">
        <v>1035</v>
      </c>
      <c r="I152" s="49" t="s">
        <v>76</v>
      </c>
      <c r="J152" s="49">
        <v>103.49999999999901</v>
      </c>
      <c r="K152" s="49">
        <v>50</v>
      </c>
      <c r="L152" s="51">
        <v>8.9499999999999996E-2</v>
      </c>
      <c r="M152" s="49" t="s">
        <v>93</v>
      </c>
      <c r="N152" s="49">
        <v>134</v>
      </c>
      <c r="O152" s="49">
        <v>8.6473429951690797</v>
      </c>
      <c r="P152" s="49"/>
      <c r="Q152" s="49"/>
      <c r="R152" s="49" t="s">
        <v>2275</v>
      </c>
      <c r="S152">
        <f t="shared" si="8"/>
        <v>2</v>
      </c>
      <c r="T152" s="5" cm="1">
        <f t="array" ref="T1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2">
        <f>Table1[[#This Row],[Term to Maturity (Years)]]*Table1[[#This Row],[Coupon Frequency2]]</f>
        <v>2</v>
      </c>
      <c r="V152">
        <f>Table1[[#This Row],[Face value]]*Table1[[#This Row],[Current coupon %]]</f>
        <v>89.5</v>
      </c>
      <c r="W152" s="36">
        <f>RATE(Table1[[#This Row],[Total No. of Coupons]],Table1[[#This Row],[Coupon Amount]],-Table1[[#This Row],[Ask Price]],Table1[[#This Row],[Face value]])</f>
        <v>7.0138082368463625E-2</v>
      </c>
      <c r="X152" s="27">
        <f>Table1[[#This Row],[IRR]]*Table1[[#This Row],[Coupon Frequency2]]</f>
        <v>7.0138082368463625E-2</v>
      </c>
      <c r="Y152" s="19" cm="1">
        <f t="array" ref="Y1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2" s="33">
        <f>DURATION(Table1[[#This Row],[Issue date]],Table1[[#This Row],[Maturity date]],Table1[[#This Row],[Current coupon %]],Table1[[#This Row],[Yield (Annualised)]],Table1[[#This Row],[Coupon Frequency2]])</f>
        <v>1.9191941382365294</v>
      </c>
      <c r="AA152" s="33">
        <f>Table1[[#This Row],[Macaulay Duration in Years]]/(1+Table1[[#This Row],[IRR]])</f>
        <v>1.7934079441308246</v>
      </c>
      <c r="AB152" s="58">
        <f>VLOOKUP(Table1[[#This Row],[Yield Cluster]],'Cluster Details'!$B$3:$C$16,2,0)</f>
        <v>7.8548801574189142E-2</v>
      </c>
      <c r="AC152" s="78">
        <f>PRICE(Table1[[#This Row],[Issue date]],Table1[[#This Row],[Maturity date]],Table1[[#This Row],[Current coupon %]],Table1[[#This Row],[Average Cluster Yield]],100,Table1[[#This Row],[Coupon Frequency2]])*Table1[[#This Row],[Face value]]/100</f>
        <v>1019.5678122390063</v>
      </c>
      <c r="AD152" s="58" t="str">
        <f>IF(Table1[[#This Row],[Ask Price]]&gt;Table1[[#This Row],[Calculated Bond Price]],"Rich","Cheap")</f>
        <v>Rich</v>
      </c>
      <c r="AE1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1016.6916175103304</v>
      </c>
      <c r="AF1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1053.8215096463668</v>
      </c>
      <c r="AG152" s="78">
        <f>(Table1[[#This Row],[P (+ shock)]]+Table1[[#This Row],[P (-shock)]]-2*Table1[[#This Row],[Ask Price]])/(2*Table1[[#This Row],[Ask Price]]*($AF$2^2))</f>
        <v>2.4788751531256517</v>
      </c>
      <c r="AH152">
        <v>5.5168511375362401</v>
      </c>
      <c r="AI152" s="6">
        <f t="shared" si="9"/>
        <v>8.6473429951690828E-2</v>
      </c>
      <c r="AK152" s="47">
        <f>RATE(Table1[[#This Row],[Total No. of Coupons]],Table1[[#This Row],[Coupon Amount]],-Table1[[#This Row],[Ask Price]],Table1[[#This Row],[Face value]])</f>
        <v>7.0138082368463625E-2</v>
      </c>
      <c r="AL152" s="27">
        <f>Table1[[#This Row],[IRR]]*Table1[[#This Row],[Coupon Frequency2]]</f>
        <v>7.0138082368463625E-2</v>
      </c>
      <c r="AM152" s="5">
        <f t="shared" si="10"/>
        <v>-1856.1772221754034</v>
      </c>
      <c r="AN152" t="s">
        <v>64</v>
      </c>
      <c r="AO152" t="s">
        <v>62</v>
      </c>
      <c r="AP152">
        <f t="shared" si="11"/>
        <v>1</v>
      </c>
    </row>
    <row r="153" spans="1:42" x14ac:dyDescent="0.35">
      <c r="A153" s="48" t="s">
        <v>962</v>
      </c>
      <c r="B153" s="49" t="s">
        <v>2431</v>
      </c>
      <c r="C153" s="49" t="s">
        <v>2273</v>
      </c>
      <c r="D153" s="50">
        <v>45044</v>
      </c>
      <c r="E153" s="50">
        <v>46871</v>
      </c>
      <c r="F153" s="49">
        <v>100000</v>
      </c>
      <c r="G153" s="49" t="s">
        <v>76</v>
      </c>
      <c r="H153" s="49">
        <v>107094</v>
      </c>
      <c r="I153" s="49" t="s">
        <v>76</v>
      </c>
      <c r="J153" s="49">
        <v>107.09399999999999</v>
      </c>
      <c r="K153" s="49">
        <v>70</v>
      </c>
      <c r="L153" s="51">
        <v>8.7499999999999994E-2</v>
      </c>
      <c r="M153" s="49" t="s">
        <v>93</v>
      </c>
      <c r="N153" s="49">
        <v>954</v>
      </c>
      <c r="O153" s="49">
        <v>8.1703923655853696</v>
      </c>
      <c r="P153" s="49" t="s">
        <v>2285</v>
      </c>
      <c r="Q153" s="49"/>
      <c r="R153" s="49" t="s">
        <v>2275</v>
      </c>
      <c r="S153">
        <f t="shared" si="8"/>
        <v>5</v>
      </c>
      <c r="T153" s="5" cm="1">
        <f t="array" ref="T1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3">
        <f>Table1[[#This Row],[Term to Maturity (Years)]]*Table1[[#This Row],[Coupon Frequency2]]</f>
        <v>5</v>
      </c>
      <c r="V153">
        <f>Table1[[#This Row],[Face value]]*Table1[[#This Row],[Current coupon %]]</f>
        <v>8750</v>
      </c>
      <c r="W153" s="36">
        <f>RATE(Table1[[#This Row],[Total No. of Coupons]],Table1[[#This Row],[Coupon Amount]],-Table1[[#This Row],[Ask Price]],Table1[[#This Row],[Face value]])</f>
        <v>7.018960947869754E-2</v>
      </c>
      <c r="X153" s="27">
        <f>Table1[[#This Row],[IRR]]*Table1[[#This Row],[Coupon Frequency2]]</f>
        <v>7.018960947869754E-2</v>
      </c>
      <c r="Y153" s="19" cm="1">
        <f t="array" ref="Y1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3" s="33">
        <f>DURATION(Table1[[#This Row],[Issue date]],Table1[[#This Row],[Maturity date]],Table1[[#This Row],[Current coupon %]],Table1[[#This Row],[Yield (Annualised)]],Table1[[#This Row],[Coupon Frequency2]])</f>
        <v>4.2849986666047393</v>
      </c>
      <c r="AA153" s="33">
        <f>Table1[[#This Row],[Macaulay Duration in Years]]/(1+Table1[[#This Row],[IRR]])</f>
        <v>4.0039621284419074</v>
      </c>
      <c r="AB153" s="58">
        <f>VLOOKUP(Table1[[#This Row],[Yield Cluster]],'Cluster Details'!$B$3:$C$16,2,0)</f>
        <v>7.8548801574189142E-2</v>
      </c>
      <c r="AC153" s="78">
        <f>PRICE(Table1[[#This Row],[Issue date]],Table1[[#This Row],[Maturity date]],Table1[[#This Row],[Current coupon %]],Table1[[#This Row],[Average Cluster Yield]],100,Table1[[#This Row],[Coupon Frequency2]])*Table1[[#This Row],[Face value]]/100</f>
        <v>103587.66551586156</v>
      </c>
      <c r="AD153" s="58" t="str">
        <f>IF(Table1[[#This Row],[Ask Price]]&gt;Table1[[#This Row],[Calculated Bond Price]],"Rich","Cheap")</f>
        <v>Rich</v>
      </c>
      <c r="AE1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102917.36889120263</v>
      </c>
      <c r="AF1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111498.1984207927</v>
      </c>
      <c r="AG153" s="78">
        <f>(Table1[[#This Row],[P (+ shock)]]+Table1[[#This Row],[P (-shock)]]-2*Table1[[#This Row],[Ask Price]])/(2*Table1[[#This Row],[Ask Price]]*($AF$2^2))</f>
        <v>10.62465273476168</v>
      </c>
      <c r="AH153">
        <v>14.1031371392023</v>
      </c>
      <c r="AI153" s="6">
        <f t="shared" si="9"/>
        <v>8.170392365585373E-2</v>
      </c>
      <c r="AK153" s="47">
        <f>RATE(Table1[[#This Row],[Total No. of Coupons]],Table1[[#This Row],[Coupon Amount]],-Table1[[#This Row],[Ask Price]],Table1[[#This Row],[Face value]])</f>
        <v>7.018960947869754E-2</v>
      </c>
      <c r="AL153" s="27">
        <f>Table1[[#This Row],[IRR]]*Table1[[#This Row],[Coupon Frequency2]]</f>
        <v>7.018960947869754E-2</v>
      </c>
      <c r="AM153" s="5">
        <f t="shared" si="10"/>
        <v>-428800.32018335763</v>
      </c>
      <c r="AN153" t="s">
        <v>64</v>
      </c>
      <c r="AO153" t="s">
        <v>62</v>
      </c>
      <c r="AP153">
        <f t="shared" si="11"/>
        <v>1</v>
      </c>
    </row>
    <row r="154" spans="1:42" x14ac:dyDescent="0.35">
      <c r="A154" s="48" t="s">
        <v>1864</v>
      </c>
      <c r="B154" s="49" t="s">
        <v>2432</v>
      </c>
      <c r="C154" s="49" t="s">
        <v>2273</v>
      </c>
      <c r="D154" s="50">
        <v>44306</v>
      </c>
      <c r="E154" s="50">
        <v>46132</v>
      </c>
      <c r="F154" s="49">
        <v>1000</v>
      </c>
      <c r="G154" s="49" t="s">
        <v>76</v>
      </c>
      <c r="H154" s="49">
        <v>1023.8</v>
      </c>
      <c r="I154" s="49" t="s">
        <v>76</v>
      </c>
      <c r="J154" s="49">
        <v>102.38</v>
      </c>
      <c r="K154" s="49">
        <v>100</v>
      </c>
      <c r="L154" s="51">
        <v>7.5999999999999998E-2</v>
      </c>
      <c r="M154" s="49" t="s">
        <v>93</v>
      </c>
      <c r="N154" s="49">
        <v>215</v>
      </c>
      <c r="O154" s="49">
        <v>7.4233248681382999</v>
      </c>
      <c r="P154" s="49" t="s">
        <v>2285</v>
      </c>
      <c r="Q154" s="49"/>
      <c r="R154" s="49" t="s">
        <v>2275</v>
      </c>
      <c r="S154">
        <f t="shared" si="8"/>
        <v>5</v>
      </c>
      <c r="T154" s="5" cm="1">
        <f t="array" ref="T1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4">
        <f>Table1[[#This Row],[Term to Maturity (Years)]]*Table1[[#This Row],[Coupon Frequency2]]</f>
        <v>5</v>
      </c>
      <c r="V154">
        <f>Table1[[#This Row],[Face value]]*Table1[[#This Row],[Current coupon %]]</f>
        <v>76</v>
      </c>
      <c r="W154" s="36">
        <f>RATE(Table1[[#This Row],[Total No. of Coupons]],Table1[[#This Row],[Coupon Amount]],-Table1[[#This Row],[Ask Price]],Table1[[#This Row],[Face value]])</f>
        <v>7.0192410719631088E-2</v>
      </c>
      <c r="X154" s="27">
        <f>Table1[[#This Row],[IRR]]*Table1[[#This Row],[Coupon Frequency2]]</f>
        <v>7.0192410719631088E-2</v>
      </c>
      <c r="Y154" s="19" cm="1">
        <f t="array" ref="Y1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4" s="33">
        <f>DURATION(Table1[[#This Row],[Issue date]],Table1[[#This Row],[Maturity date]],Table1[[#This Row],[Current coupon %]],Table1[[#This Row],[Yield (Annualised)]],Table1[[#This Row],[Coupon Frequency2]])</f>
        <v>4.3503787727251231</v>
      </c>
      <c r="AA154" s="33">
        <f>Table1[[#This Row],[Macaulay Duration in Years]]/(1+Table1[[#This Row],[IRR]])</f>
        <v>4.0650435652031875</v>
      </c>
      <c r="AB154" s="58">
        <f>VLOOKUP(Table1[[#This Row],[Yield Cluster]],'Cluster Details'!$B$3:$C$16,2,0)</f>
        <v>7.8548801574189142E-2</v>
      </c>
      <c r="AC154" s="78">
        <f>PRICE(Table1[[#This Row],[Issue date]],Table1[[#This Row],[Maturity date]],Table1[[#This Row],[Current coupon %]],Table1[[#This Row],[Average Cluster Yield]],100,Table1[[#This Row],[Coupon Frequency2]])*Table1[[#This Row],[Face value]]/100</f>
        <v>989.78433157271536</v>
      </c>
      <c r="AD154" s="58" t="str">
        <f>IF(Table1[[#This Row],[Ask Price]]&gt;Table1[[#This Row],[Calculated Bond Price]],"Rich","Cheap")</f>
        <v>Rich</v>
      </c>
      <c r="AE1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983.26940495971508</v>
      </c>
      <c r="AF1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1066.5524769002468</v>
      </c>
      <c r="AG154" s="78">
        <f>(Table1[[#This Row],[P (+ shock)]]+Table1[[#This Row],[P (-shock)]]-2*Table1[[#This Row],[Ask Price]])/(2*Table1[[#This Row],[Ask Price]]*($AF$2^2))</f>
        <v>10.851151884946965</v>
      </c>
      <c r="AH154">
        <v>10.934877475662899</v>
      </c>
      <c r="AI154" s="6">
        <f t="shared" si="9"/>
        <v>7.4233248681383091E-2</v>
      </c>
      <c r="AK154" s="47">
        <f>RATE(Table1[[#This Row],[Total No. of Coupons]],Table1[[#This Row],[Coupon Amount]],-Table1[[#This Row],[Ask Price]],Table1[[#This Row],[Face value]])</f>
        <v>7.0192410719631088E-2</v>
      </c>
      <c r="AL154" s="27">
        <f>Table1[[#This Row],[IRR]]*Table1[[#This Row],[Coupon Frequency2]]</f>
        <v>7.0192410719631088E-2</v>
      </c>
      <c r="AM154" s="5">
        <f t="shared" si="10"/>
        <v>-4161.7916020550228</v>
      </c>
      <c r="AN154" t="s">
        <v>64</v>
      </c>
      <c r="AO154" t="s">
        <v>62</v>
      </c>
      <c r="AP154">
        <f t="shared" si="11"/>
        <v>1</v>
      </c>
    </row>
    <row r="155" spans="1:42" x14ac:dyDescent="0.35">
      <c r="A155" s="48" t="s">
        <v>823</v>
      </c>
      <c r="B155" s="49" t="s">
        <v>2433</v>
      </c>
      <c r="C155" s="49" t="s">
        <v>2273</v>
      </c>
      <c r="D155" s="50">
        <v>41590</v>
      </c>
      <c r="E155" s="50">
        <v>47069</v>
      </c>
      <c r="F155" s="49">
        <v>1000</v>
      </c>
      <c r="G155" s="49" t="s">
        <v>76</v>
      </c>
      <c r="H155" s="49">
        <v>1123</v>
      </c>
      <c r="I155" s="49" t="s">
        <v>76</v>
      </c>
      <c r="J155" s="49">
        <v>112.3</v>
      </c>
      <c r="K155" s="49">
        <v>120</v>
      </c>
      <c r="L155" s="51">
        <v>8.3800000000000013E-2</v>
      </c>
      <c r="M155" s="49" t="s">
        <v>93</v>
      </c>
      <c r="N155" s="49">
        <v>1152</v>
      </c>
      <c r="O155" s="49">
        <v>7.4621549421193203</v>
      </c>
      <c r="P155" s="49" t="s">
        <v>2282</v>
      </c>
      <c r="Q155" s="49"/>
      <c r="R155" s="49" t="s">
        <v>2275</v>
      </c>
      <c r="S155">
        <f t="shared" si="8"/>
        <v>15</v>
      </c>
      <c r="T155" s="5" cm="1">
        <f t="array" ref="T1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5">
        <f>Table1[[#This Row],[Term to Maturity (Years)]]*Table1[[#This Row],[Coupon Frequency2]]</f>
        <v>15</v>
      </c>
      <c r="V155">
        <f>Table1[[#This Row],[Face value]]*Table1[[#This Row],[Current coupon %]]</f>
        <v>83.800000000000011</v>
      </c>
      <c r="W155" s="36">
        <f>RATE(Table1[[#This Row],[Total No. of Coupons]],Table1[[#This Row],[Coupon Amount]],-Table1[[#This Row],[Ask Price]],Table1[[#This Row],[Face value]])</f>
        <v>7.0272046833957449E-2</v>
      </c>
      <c r="X155" s="27">
        <f>Table1[[#This Row],[IRR]]*Table1[[#This Row],[Coupon Frequency2]]</f>
        <v>7.0272046833957449E-2</v>
      </c>
      <c r="Y155" s="19" cm="1">
        <f t="array" ref="Y1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5" s="33">
        <f>DURATION(Table1[[#This Row],[Issue date]],Table1[[#This Row],[Maturity date]],Table1[[#This Row],[Current coupon %]],Table1[[#This Row],[Yield (Annualised)]],Table1[[#This Row],[Coupon Frequency2]])</f>
        <v>9.4051057018328414</v>
      </c>
      <c r="AA155" s="33">
        <f>Table1[[#This Row],[Macaulay Duration in Years]]/(1+Table1[[#This Row],[IRR]])</f>
        <v>8.7875841751213688</v>
      </c>
      <c r="AB155" s="58">
        <f>VLOOKUP(Table1[[#This Row],[Yield Cluster]],'Cluster Details'!$B$3:$C$16,2,0)</f>
        <v>7.8548801574189142E-2</v>
      </c>
      <c r="AC155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1045.3485577341539</v>
      </c>
      <c r="AD155" s="58" t="str">
        <f>IF(Table1[[#This Row],[Ask Price]]&gt;Table1[[#This Row],[Calculated Bond Price]],"Rich","Cheap")</f>
        <v>Rich</v>
      </c>
      <c r="AE1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1030.1473432337393</v>
      </c>
      <c r="AF1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1228.1037031714163</v>
      </c>
      <c r="AG155" s="78">
        <f>(Table1[[#This Row],[P (+ shock)]]+Table1[[#This Row],[P (-shock)]]-2*Table1[[#This Row],[Ask Price]])/(2*Table1[[#This Row],[Ask Price]]*($AF$2^2))</f>
        <v>54.546065917879105</v>
      </c>
      <c r="AH155">
        <v>4.2245586040497702</v>
      </c>
      <c r="AI155" s="6">
        <f t="shared" si="9"/>
        <v>7.4621549421193242E-2</v>
      </c>
      <c r="AK155" s="47">
        <f>RATE(Table1[[#This Row],[Total No. of Coupons]],Table1[[#This Row],[Coupon Amount]],-Table1[[#This Row],[Ask Price]],Table1[[#This Row],[Face value]])</f>
        <v>7.0272046833957449E-2</v>
      </c>
      <c r="AL155" s="27">
        <f>Table1[[#This Row],[IRR]]*Table1[[#This Row],[Coupon Frequency2]]</f>
        <v>7.0272046833957449E-2</v>
      </c>
      <c r="AM155" s="5">
        <f t="shared" si="10"/>
        <v>-9868.457028661298</v>
      </c>
      <c r="AN155" t="s">
        <v>64</v>
      </c>
      <c r="AO155" t="s">
        <v>62</v>
      </c>
      <c r="AP155">
        <f t="shared" si="11"/>
        <v>1</v>
      </c>
    </row>
    <row r="156" spans="1:42" x14ac:dyDescent="0.35">
      <c r="A156" s="48" t="s">
        <v>1899</v>
      </c>
      <c r="B156" s="49" t="s">
        <v>2434</v>
      </c>
      <c r="C156" s="49" t="s">
        <v>2273</v>
      </c>
      <c r="D156" s="50">
        <v>42452</v>
      </c>
      <c r="E156" s="50">
        <v>46104</v>
      </c>
      <c r="F156" s="49">
        <v>1000</v>
      </c>
      <c r="G156" s="49" t="s">
        <v>76</v>
      </c>
      <c r="H156" s="49">
        <v>1000.1</v>
      </c>
      <c r="I156" s="49" t="s">
        <v>76</v>
      </c>
      <c r="J156" s="49">
        <v>100.01</v>
      </c>
      <c r="K156" s="49">
        <v>8</v>
      </c>
      <c r="L156" s="51">
        <v>7.0400000000000004E-2</v>
      </c>
      <c r="M156" s="49" t="s">
        <v>93</v>
      </c>
      <c r="N156" s="49">
        <v>187</v>
      </c>
      <c r="O156" s="49">
        <v>7.0392960703929601</v>
      </c>
      <c r="P156" s="49"/>
      <c r="Q156" s="49"/>
      <c r="R156" s="49" t="s">
        <v>2275</v>
      </c>
      <c r="S156">
        <f t="shared" si="8"/>
        <v>10</v>
      </c>
      <c r="T156" s="5" cm="1">
        <f t="array" ref="T1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6">
        <f>Table1[[#This Row],[Term to Maturity (Years)]]*Table1[[#This Row],[Coupon Frequency2]]</f>
        <v>10</v>
      </c>
      <c r="V156">
        <f>Table1[[#This Row],[Face value]]*Table1[[#This Row],[Current coupon %]]</f>
        <v>70.400000000000006</v>
      </c>
      <c r="W156" s="36">
        <f>RATE(Table1[[#This Row],[Total No. of Coupons]],Table1[[#This Row],[Coupon Amount]],-Table1[[#This Row],[Ask Price]],Table1[[#This Row],[Face value]])</f>
        <v>7.0385736853213823E-2</v>
      </c>
      <c r="X156" s="27">
        <f>Table1[[#This Row],[IRR]]*Table1[[#This Row],[Coupon Frequency2]]</f>
        <v>7.0385736853213823E-2</v>
      </c>
      <c r="Y156" s="19" cm="1">
        <f t="array" ref="Y1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6" s="33">
        <f>DURATION(Table1[[#This Row],[Issue date]],Table1[[#This Row],[Maturity date]],Table1[[#This Row],[Current coupon %]],Table1[[#This Row],[Yield (Annualised)]],Table1[[#This Row],[Coupon Frequency2]])</f>
        <v>7.5042986803227532</v>
      </c>
      <c r="AA156" s="33">
        <f>Table1[[#This Row],[Macaulay Duration in Years]]/(1+Table1[[#This Row],[IRR]])</f>
        <v>7.0108358341772696</v>
      </c>
      <c r="AB156" s="58">
        <f>VLOOKUP(Table1[[#This Row],[Yield Cluster]],'Cluster Details'!$B$3:$C$16,2,0)</f>
        <v>7.8548801574189142E-2</v>
      </c>
      <c r="AC156" s="78">
        <f>PRICE(Table1[[#This Row],[Issue date]],Table1[[#This Row],[Maturity date]],Table1[[#This Row],[Current coupon %]],Table1[[#This Row],[Average Cluster Yield]],100,Table1[[#This Row],[Coupon Frequency2]])*Table1[[#This Row],[Face value]]/100</f>
        <v>944.96115593533091</v>
      </c>
      <c r="AD156" s="58" t="str">
        <f>IF(Table1[[#This Row],[Ask Price]]&gt;Table1[[#This Row],[Calculated Bond Price]],"Rich","Cheap")</f>
        <v>Rich</v>
      </c>
      <c r="AE1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933.11131588678313</v>
      </c>
      <c r="AF1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1073.5713364246772</v>
      </c>
      <c r="AG156" s="78">
        <f>(Table1[[#This Row],[P (+ shock)]]+Table1[[#This Row],[P (-shock)]]-2*Table1[[#This Row],[Ask Price]])/(2*Table1[[#This Row],[Ask Price]]*($AF$2^2))</f>
        <v>32.410020555245687</v>
      </c>
      <c r="AH156">
        <v>3.4023017492377101</v>
      </c>
      <c r="AI156" s="6">
        <f t="shared" si="9"/>
        <v>7.0392960703929613E-2</v>
      </c>
      <c r="AK156" s="47">
        <f>RATE(Table1[[#This Row],[Total No. of Coupons]],Table1[[#This Row],[Coupon Amount]],-Table1[[#This Row],[Ask Price]],Table1[[#This Row],[Face value]])</f>
        <v>7.0385736853213823E-2</v>
      </c>
      <c r="AL156" s="27">
        <f>Table1[[#This Row],[IRR]]*Table1[[#This Row],[Coupon Frequency2]]</f>
        <v>7.0385736853213823E-2</v>
      </c>
      <c r="AM156" s="5">
        <f t="shared" si="10"/>
        <v>-7011.5369177606872</v>
      </c>
      <c r="AN156" t="s">
        <v>64</v>
      </c>
      <c r="AO156" t="s">
        <v>62</v>
      </c>
      <c r="AP156">
        <f t="shared" si="11"/>
        <v>1</v>
      </c>
    </row>
    <row r="157" spans="1:42" x14ac:dyDescent="0.35">
      <c r="A157" s="48" t="s">
        <v>572</v>
      </c>
      <c r="B157" s="49" t="s">
        <v>2435</v>
      </c>
      <c r="C157" s="49" t="s">
        <v>2273</v>
      </c>
      <c r="D157" s="50">
        <v>44874</v>
      </c>
      <c r="E157" s="50">
        <v>47431</v>
      </c>
      <c r="F157" s="49">
        <v>1000000</v>
      </c>
      <c r="G157" s="49" t="s">
        <v>76</v>
      </c>
      <c r="H157" s="49">
        <v>1082898.3</v>
      </c>
      <c r="I157" s="49" t="s">
        <v>76</v>
      </c>
      <c r="J157" s="49">
        <v>108.28982999999999</v>
      </c>
      <c r="K157" s="49">
        <v>1</v>
      </c>
      <c r="L157" s="51">
        <v>8.5800000000000001E-2</v>
      </c>
      <c r="M157" s="49" t="s">
        <v>93</v>
      </c>
      <c r="N157" s="49">
        <v>1514</v>
      </c>
      <c r="O157" s="49">
        <v>7.9231817059829099</v>
      </c>
      <c r="P157" s="49"/>
      <c r="Q157" s="49"/>
      <c r="R157" s="49" t="s">
        <v>2275</v>
      </c>
      <c r="S157">
        <f t="shared" si="8"/>
        <v>7</v>
      </c>
      <c r="T157" s="5" cm="1">
        <f t="array" ref="T1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7">
        <f>Table1[[#This Row],[Term to Maturity (Years)]]*Table1[[#This Row],[Coupon Frequency2]]</f>
        <v>7</v>
      </c>
      <c r="V157">
        <f>Table1[[#This Row],[Face value]]*Table1[[#This Row],[Current coupon %]]</f>
        <v>85800</v>
      </c>
      <c r="W157" s="36">
        <f>RATE(Table1[[#This Row],[Total No. of Coupons]],Table1[[#This Row],[Coupon Amount]],-Table1[[#This Row],[Ask Price]],Table1[[#This Row],[Face value]])</f>
        <v>7.0396674423390468E-2</v>
      </c>
      <c r="X157" s="27">
        <f>Table1[[#This Row],[IRR]]*Table1[[#This Row],[Coupon Frequency2]]</f>
        <v>7.0396674423390468E-2</v>
      </c>
      <c r="Y157" s="19" cm="1">
        <f t="array" ref="Y1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7" s="33">
        <f>DURATION(Table1[[#This Row],[Issue date]],Table1[[#This Row],[Maturity date]],Table1[[#This Row],[Current coupon %]],Table1[[#This Row],[Yield (Annualised)]],Table1[[#This Row],[Coupon Frequency2]])</f>
        <v>5.6051707911817745</v>
      </c>
      <c r="AA157" s="33">
        <f>Table1[[#This Row],[Macaulay Duration in Years]]/(1+Table1[[#This Row],[IRR]])</f>
        <v>5.2365360665953222</v>
      </c>
      <c r="AB157" s="58">
        <f>VLOOKUP(Table1[[#This Row],[Yield Cluster]],'Cluster Details'!$B$3:$C$16,2,0)</f>
        <v>7.8548801574189142E-2</v>
      </c>
      <c r="AC157" s="78">
        <f>PRICE(Table1[[#This Row],[Issue date]],Table1[[#This Row],[Maturity date]],Table1[[#This Row],[Current coupon %]],Table1[[#This Row],[Average Cluster Yield]],100,Table1[[#This Row],[Coupon Frequency2]])*Table1[[#This Row],[Face value]]/100</f>
        <v>1037940.5222468841</v>
      </c>
      <c r="AD157" s="58" t="str">
        <f>IF(Table1[[#This Row],[Ask Price]]&gt;Table1[[#This Row],[Calculated Bond Price]],"Rich","Cheap")</f>
        <v>Rich</v>
      </c>
      <c r="AE1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1028093.5879443779</v>
      </c>
      <c r="AF1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1141611.3301250129</v>
      </c>
      <c r="AG157" s="78">
        <f>(Table1[[#This Row],[P (+ shock)]]+Table1[[#This Row],[P (-shock)]]-2*Table1[[#This Row],[Ask Price]])/(2*Table1[[#This Row],[Ask Price]]*($AF$2^2))</f>
        <v>18.045637662329355</v>
      </c>
      <c r="AH157">
        <v>10.3452858897505</v>
      </c>
      <c r="AI157" s="6">
        <f t="shared" si="9"/>
        <v>7.9231817059829165E-2</v>
      </c>
      <c r="AK157" s="47">
        <f>RATE(Table1[[#This Row],[Total No. of Coupons]],Table1[[#This Row],[Coupon Amount]],-Table1[[#This Row],[Ask Price]],Table1[[#This Row],[Face value]])</f>
        <v>7.0396674423390468E-2</v>
      </c>
      <c r="AL157" s="27">
        <f>Table1[[#This Row],[IRR]]*Table1[[#This Row],[Coupon Frequency2]]</f>
        <v>7.0396674423390468E-2</v>
      </c>
      <c r="AM157" s="5">
        <f t="shared" si="10"/>
        <v>-5670636.0044047618</v>
      </c>
      <c r="AN157" t="s">
        <v>64</v>
      </c>
      <c r="AO157" t="s">
        <v>62</v>
      </c>
      <c r="AP157">
        <f t="shared" si="11"/>
        <v>1</v>
      </c>
    </row>
    <row r="158" spans="1:42" x14ac:dyDescent="0.35">
      <c r="A158" s="48" t="s">
        <v>824</v>
      </c>
      <c r="B158" s="49" t="s">
        <v>2436</v>
      </c>
      <c r="C158" s="49" t="s">
        <v>2273</v>
      </c>
      <c r="D158" s="50">
        <v>41590</v>
      </c>
      <c r="E158" s="50">
        <v>47069</v>
      </c>
      <c r="F158" s="49">
        <v>1000</v>
      </c>
      <c r="G158" s="49" t="s">
        <v>76</v>
      </c>
      <c r="H158" s="49">
        <v>1144</v>
      </c>
      <c r="I158" s="49" t="s">
        <v>76</v>
      </c>
      <c r="J158" s="49">
        <v>114.399999999999</v>
      </c>
      <c r="K158" s="49">
        <v>1000</v>
      </c>
      <c r="L158" s="51">
        <v>8.6300000000000002E-2</v>
      </c>
      <c r="M158" s="49" t="s">
        <v>93</v>
      </c>
      <c r="N158" s="49">
        <v>1152</v>
      </c>
      <c r="O158" s="49">
        <v>7.5437062937062898</v>
      </c>
      <c r="P158" s="49" t="s">
        <v>2282</v>
      </c>
      <c r="Q158" s="49"/>
      <c r="R158" s="49" t="s">
        <v>2275</v>
      </c>
      <c r="S158">
        <f t="shared" si="8"/>
        <v>15</v>
      </c>
      <c r="T158" s="5" cm="1">
        <f t="array" ref="T1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8">
        <f>Table1[[#This Row],[Term to Maturity (Years)]]*Table1[[#This Row],[Coupon Frequency2]]</f>
        <v>15</v>
      </c>
      <c r="V158">
        <f>Table1[[#This Row],[Face value]]*Table1[[#This Row],[Current coupon %]]</f>
        <v>86.3</v>
      </c>
      <c r="W158" s="36">
        <f>RATE(Table1[[#This Row],[Total No. of Coupons]],Table1[[#This Row],[Coupon Amount]],-Table1[[#This Row],[Ask Price]],Table1[[#This Row],[Face value]])</f>
        <v>7.0445097143788382E-2</v>
      </c>
      <c r="X158" s="27">
        <f>Table1[[#This Row],[IRR]]*Table1[[#This Row],[Coupon Frequency2]]</f>
        <v>7.0445097143788382E-2</v>
      </c>
      <c r="Y158" s="19" cm="1">
        <f t="array" ref="Y1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8" s="33">
        <f>DURATION(Table1[[#This Row],[Issue date]],Table1[[#This Row],[Maturity date]],Table1[[#This Row],[Current coupon %]],Table1[[#This Row],[Yield (Annualised)]],Table1[[#This Row],[Coupon Frequency2]])</f>
        <v>9.3481682530564676</v>
      </c>
      <c r="AA158" s="33">
        <f>Table1[[#This Row],[Macaulay Duration in Years]]/(1+Table1[[#This Row],[IRR]])</f>
        <v>8.732973113707267</v>
      </c>
      <c r="AB158" s="58">
        <f>VLOOKUP(Table1[[#This Row],[Yield Cluster]],'Cluster Details'!$B$3:$C$16,2,0)</f>
        <v>7.8548801574189142E-2</v>
      </c>
      <c r="AC158" s="78">
        <f>PRICE(Table1[[#This Row],[Issue date]],Table1[[#This Row],[Maturity date]],Table1[[#This Row],[Current coupon %]],Table1[[#This Row],[Average Cluster Yield]],100,Table1[[#This Row],[Coupon Frequency2]])*Table1[[#This Row],[Face value]]/100</f>
        <v>1066.9381807387115</v>
      </c>
      <c r="AD158" s="58" t="str">
        <f>IF(Table1[[#This Row],[Ask Price]]&gt;Table1[[#This Row],[Calculated Bond Price]],"Rich","Cheap")</f>
        <v>Rich</v>
      </c>
      <c r="AE1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1049.9790031914113</v>
      </c>
      <c r="AF1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1250.3805788723398</v>
      </c>
      <c r="AG158" s="78">
        <f>(Table1[[#This Row],[P (+ shock)]]+Table1[[#This Row],[P (-shock)]]-2*Table1[[#This Row],[Ask Price]])/(2*Table1[[#This Row],[Ask Price]]*($AF$2^2))</f>
        <v>54.019152376534429</v>
      </c>
      <c r="AH158">
        <v>4.9969007888780004</v>
      </c>
      <c r="AI158" s="6">
        <f t="shared" si="9"/>
        <v>7.543706293706294E-2</v>
      </c>
      <c r="AK158" s="47">
        <f>RATE(Table1[[#This Row],[Total No. of Coupons]],Table1[[#This Row],[Coupon Amount]],-Table1[[#This Row],[Ask Price]],Table1[[#This Row],[Face value]])</f>
        <v>7.0445097143788382E-2</v>
      </c>
      <c r="AL158" s="27">
        <f>Table1[[#This Row],[IRR]]*Table1[[#This Row],[Coupon Frequency2]]</f>
        <v>7.0445097143788382E-2</v>
      </c>
      <c r="AM158" s="5">
        <f t="shared" si="10"/>
        <v>-9990.5212420811131</v>
      </c>
      <c r="AN158" t="s">
        <v>64</v>
      </c>
      <c r="AO158" t="s">
        <v>62</v>
      </c>
      <c r="AP158">
        <f t="shared" si="11"/>
        <v>1</v>
      </c>
    </row>
    <row r="159" spans="1:42" x14ac:dyDescent="0.35">
      <c r="A159" s="48" t="s">
        <v>1874</v>
      </c>
      <c r="B159" s="49" t="s">
        <v>2437</v>
      </c>
      <c r="C159" s="49" t="s">
        <v>2273</v>
      </c>
      <c r="D159" s="50">
        <v>44995</v>
      </c>
      <c r="E159" s="50">
        <v>46122</v>
      </c>
      <c r="F159" s="49">
        <v>1000</v>
      </c>
      <c r="G159" s="49" t="s">
        <v>76</v>
      </c>
      <c r="H159" s="49">
        <v>1025</v>
      </c>
      <c r="I159" s="49" t="s">
        <v>76</v>
      </c>
      <c r="J159" s="49">
        <v>102.49999999999901</v>
      </c>
      <c r="K159" s="49">
        <v>50</v>
      </c>
      <c r="L159" s="51">
        <v>0.08</v>
      </c>
      <c r="M159" s="49" t="s">
        <v>93</v>
      </c>
      <c r="N159" s="49">
        <v>205</v>
      </c>
      <c r="O159" s="49">
        <v>7.8048780487804796</v>
      </c>
      <c r="P159" s="49" t="s">
        <v>2285</v>
      </c>
      <c r="Q159" s="49"/>
      <c r="R159" s="49" t="s">
        <v>2275</v>
      </c>
      <c r="S159">
        <f t="shared" si="8"/>
        <v>3</v>
      </c>
      <c r="T159" s="5" cm="1">
        <f t="array" ref="T1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59">
        <f>Table1[[#This Row],[Term to Maturity (Years)]]*Table1[[#This Row],[Coupon Frequency2]]</f>
        <v>3</v>
      </c>
      <c r="V159">
        <f>Table1[[#This Row],[Face value]]*Table1[[#This Row],[Current coupon %]]</f>
        <v>80</v>
      </c>
      <c r="W159" s="36">
        <f>RATE(Table1[[#This Row],[Total No. of Coupons]],Table1[[#This Row],[Coupon Amount]],-Table1[[#This Row],[Ask Price]],Table1[[#This Row],[Face value]])</f>
        <v>7.0465603502500779E-2</v>
      </c>
      <c r="X159" s="27">
        <f>Table1[[#This Row],[IRR]]*Table1[[#This Row],[Coupon Frequency2]]</f>
        <v>7.0465603502500779E-2</v>
      </c>
      <c r="Y159" s="19" cm="1">
        <f t="array" ref="Y1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59" s="33">
        <f>DURATION(Table1[[#This Row],[Issue date]],Table1[[#This Row],[Maturity date]],Table1[[#This Row],[Current coupon %]],Table1[[#This Row],[Yield (Annualised)]],Table1[[#This Row],[Coupon Frequency2]])</f>
        <v>2.6676935170899787</v>
      </c>
      <c r="AA159" s="33">
        <f>Table1[[#This Row],[Macaulay Duration in Years]]/(1+Table1[[#This Row],[IRR]])</f>
        <v>2.4920870958968151</v>
      </c>
      <c r="AB159" s="58">
        <f>VLOOKUP(Table1[[#This Row],[Yield Cluster]],'Cluster Details'!$B$3:$C$16,2,0)</f>
        <v>7.8548801574189142E-2</v>
      </c>
      <c r="AC159" s="78">
        <f>PRICE(Table1[[#This Row],[Issue date]],Table1[[#This Row],[Maturity date]],Table1[[#This Row],[Current coupon %]],Table1[[#This Row],[Average Cluster Yield]],100,Table1[[#This Row],[Coupon Frequency2]])*Table1[[#This Row],[Face value]]/100</f>
        <v>1003.6087242916212</v>
      </c>
      <c r="AD159" s="58" t="str">
        <f>IF(Table1[[#This Row],[Ask Price]]&gt;Table1[[#This Row],[Calculated Bond Price]],"Rich","Cheap")</f>
        <v>Rich</v>
      </c>
      <c r="AE1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998.53260276772085</v>
      </c>
      <c r="AF1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1053.3119585416143</v>
      </c>
      <c r="AG159" s="78">
        <f>(Table1[[#This Row],[P (+ shock)]]+Table1[[#This Row],[P (-shock)]]-2*Table1[[#This Row],[Ask Price]])/(2*Table1[[#This Row],[Ask Price]]*($AF$2^2))</f>
        <v>8.9978600455385553</v>
      </c>
      <c r="AI159" s="6">
        <f t="shared" si="9"/>
        <v>7.8048780487804878E-2</v>
      </c>
      <c r="AK159" s="47">
        <f>RATE(Table1[[#This Row],[Total No. of Coupons]],Table1[[#This Row],[Coupon Amount]],-Table1[[#This Row],[Ask Price]],Table1[[#This Row],[Face value]])</f>
        <v>7.0465603502500779E-2</v>
      </c>
      <c r="AL159" s="27">
        <f>Table1[[#This Row],[IRR]]*Table1[[#This Row],[Coupon Frequency2]]</f>
        <v>7.0465603502500779E-2</v>
      </c>
      <c r="AM159" s="5">
        <f t="shared" si="10"/>
        <v>-2554.3892732942354</v>
      </c>
      <c r="AN159" t="s">
        <v>64</v>
      </c>
      <c r="AO159" t="s">
        <v>62</v>
      </c>
      <c r="AP159">
        <f t="shared" si="11"/>
        <v>1</v>
      </c>
    </row>
    <row r="160" spans="1:42" x14ac:dyDescent="0.35">
      <c r="A160" s="48" t="s">
        <v>880</v>
      </c>
      <c r="B160" s="49" t="s">
        <v>2438</v>
      </c>
      <c r="C160" s="49" t="s">
        <v>2273</v>
      </c>
      <c r="D160" s="50">
        <v>41516</v>
      </c>
      <c r="E160" s="50">
        <v>46995</v>
      </c>
      <c r="F160" s="49">
        <v>1000000</v>
      </c>
      <c r="G160" s="49" t="s">
        <v>76</v>
      </c>
      <c r="H160" s="49">
        <v>1127649</v>
      </c>
      <c r="I160" s="49" t="s">
        <v>76</v>
      </c>
      <c r="J160" s="49">
        <v>112.764899999999</v>
      </c>
      <c r="K160" s="49">
        <v>1</v>
      </c>
      <c r="L160" s="51">
        <v>8.4600000000000009E-2</v>
      </c>
      <c r="M160" s="49" t="s">
        <v>93</v>
      </c>
      <c r="N160" s="49">
        <v>1078</v>
      </c>
      <c r="O160" s="49">
        <v>7.5023345030235404</v>
      </c>
      <c r="P160" s="49" t="s">
        <v>2282</v>
      </c>
      <c r="Q160" s="49"/>
      <c r="R160" s="49" t="s">
        <v>2275</v>
      </c>
      <c r="S160">
        <f t="shared" si="8"/>
        <v>15</v>
      </c>
      <c r="T160" s="5" cm="1">
        <f t="array" ref="T1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0">
        <f>Table1[[#This Row],[Term to Maturity (Years)]]*Table1[[#This Row],[Coupon Frequency2]]</f>
        <v>15</v>
      </c>
      <c r="V160">
        <f>Table1[[#This Row],[Face value]]*Table1[[#This Row],[Current coupon %]]</f>
        <v>84600.000000000015</v>
      </c>
      <c r="W160" s="36">
        <f>RATE(Table1[[#This Row],[Total No. of Coupons]],Table1[[#This Row],[Coupon Amount]],-Table1[[#This Row],[Ask Price]],Table1[[#This Row],[Face value]])</f>
        <v>7.0537231678201626E-2</v>
      </c>
      <c r="X160" s="27">
        <f>Table1[[#This Row],[IRR]]*Table1[[#This Row],[Coupon Frequency2]]</f>
        <v>7.0537231678201626E-2</v>
      </c>
      <c r="Y160" s="19" cm="1">
        <f t="array" ref="Y1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0" s="33">
        <f>DURATION(Table1[[#This Row],[Issue date]],Table1[[#This Row],[Maturity date]],Table1[[#This Row],[Current coupon %]],Table1[[#This Row],[Yield (Annualised)]],Table1[[#This Row],[Coupon Frequency2]])</f>
        <v>9.3813900524254166</v>
      </c>
      <c r="AA160" s="33">
        <f>Table1[[#This Row],[Macaulay Duration in Years]]/(1+Table1[[#This Row],[IRR]])</f>
        <v>8.7632543500788938</v>
      </c>
      <c r="AB160" s="58">
        <f>VLOOKUP(Table1[[#This Row],[Yield Cluster]],'Cluster Details'!$B$3:$C$16,2,0)</f>
        <v>7.8548801574189142E-2</v>
      </c>
      <c r="AC160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1052257.2370956123</v>
      </c>
      <c r="AD160" s="58" t="str">
        <f>IF(Table1[[#This Row],[Ask Price]]&gt;Table1[[#This Row],[Calculated Bond Price]],"Rich","Cheap")</f>
        <v>Rich</v>
      </c>
      <c r="AE1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1034661.3949816263</v>
      </c>
      <c r="AF1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1232885.4241292055</v>
      </c>
      <c r="AG160" s="78">
        <f>(Table1[[#This Row],[P (+ shock)]]+Table1[[#This Row],[P (-shock)]]-2*Table1[[#This Row],[Ask Price]])/(2*Table1[[#This Row],[Ask Price]]*($AF$2^2))</f>
        <v>54.311311014472189</v>
      </c>
      <c r="AI160" s="6">
        <f t="shared" si="9"/>
        <v>7.5023345030235486E-2</v>
      </c>
      <c r="AK160" s="47">
        <f>RATE(Table1[[#This Row],[Total No. of Coupons]],Table1[[#This Row],[Coupon Amount]],-Table1[[#This Row],[Ask Price]],Table1[[#This Row],[Face value]])</f>
        <v>7.0537231678201626E-2</v>
      </c>
      <c r="AL160" s="27">
        <f>Table1[[#This Row],[IRR]]*Table1[[#This Row],[Coupon Frequency2]]</f>
        <v>7.0537231678201626E-2</v>
      </c>
      <c r="AM160" s="5">
        <f t="shared" si="10"/>
        <v>-9881875.0046121143</v>
      </c>
      <c r="AN160" t="s">
        <v>64</v>
      </c>
      <c r="AO160" t="s">
        <v>62</v>
      </c>
      <c r="AP160">
        <f t="shared" si="11"/>
        <v>1</v>
      </c>
    </row>
    <row r="161" spans="1:42" x14ac:dyDescent="0.35">
      <c r="A161" s="48" t="s">
        <v>1398</v>
      </c>
      <c r="B161" s="49" t="s">
        <v>2439</v>
      </c>
      <c r="C161" s="49" t="s">
        <v>2273</v>
      </c>
      <c r="D161" s="50">
        <v>40940</v>
      </c>
      <c r="E161" s="50">
        <v>46419</v>
      </c>
      <c r="F161" s="49">
        <v>1000</v>
      </c>
      <c r="G161" s="49" t="s">
        <v>76</v>
      </c>
      <c r="H161" s="49">
        <v>1111</v>
      </c>
      <c r="I161" s="49" t="s">
        <v>76</v>
      </c>
      <c r="J161" s="49">
        <v>111.1</v>
      </c>
      <c r="K161" s="49">
        <v>150</v>
      </c>
      <c r="L161" s="51">
        <v>8.3000000000000004E-2</v>
      </c>
      <c r="M161" s="49" t="s">
        <v>93</v>
      </c>
      <c r="N161" s="49">
        <v>502</v>
      </c>
      <c r="O161" s="49">
        <v>7.4707470747074698</v>
      </c>
      <c r="P161" s="49" t="s">
        <v>2282</v>
      </c>
      <c r="Q161" s="49"/>
      <c r="R161" s="49" t="s">
        <v>2275</v>
      </c>
      <c r="S161">
        <f t="shared" si="8"/>
        <v>15</v>
      </c>
      <c r="T161" s="5" cm="1">
        <f t="array" ref="T1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1">
        <f>Table1[[#This Row],[Term to Maturity (Years)]]*Table1[[#This Row],[Coupon Frequency2]]</f>
        <v>15</v>
      </c>
      <c r="V161">
        <f>Table1[[#This Row],[Face value]]*Table1[[#This Row],[Current coupon %]]</f>
        <v>83</v>
      </c>
      <c r="W161" s="36">
        <f>RATE(Table1[[#This Row],[Total No. of Coupons]],Table1[[#This Row],[Coupon Amount]],-Table1[[#This Row],[Ask Price]],Table1[[#This Row],[Face value]])</f>
        <v>7.0754642871587545E-2</v>
      </c>
      <c r="X161" s="27">
        <f>Table1[[#This Row],[IRR]]*Table1[[#This Row],[Coupon Frequency2]]</f>
        <v>7.0754642871587545E-2</v>
      </c>
      <c r="Y161" s="19" cm="1">
        <f t="array" ref="Y1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1" s="33">
        <f>DURATION(Table1[[#This Row],[Issue date]],Table1[[#This Row],[Maturity date]],Table1[[#This Row],[Current coupon %]],Table1[[#This Row],[Yield (Annualised)]],Table1[[#This Row],[Coupon Frequency2]])</f>
        <v>9.4102701043442867</v>
      </c>
      <c r="AA161" s="33">
        <f>Table1[[#This Row],[Macaulay Duration in Years]]/(1+Table1[[#This Row],[IRR]])</f>
        <v>8.7884466969085402</v>
      </c>
      <c r="AB161" s="58">
        <f>VLOOKUP(Table1[[#This Row],[Yield Cluster]],'Cluster Details'!$B$3:$C$16,2,0)</f>
        <v>7.8548801574189142E-2</v>
      </c>
      <c r="AC161" s="78">
        <f>PRICE(Table1[[#This Row],[Issue date]],Table1[[#This Row],[Maturity date]],Table1[[#This Row],[Current coupon %]],Table1[[#This Row],[Average Cluster Yield]],100,Table1[[#This Row],[Coupon Frequency2]])*Table1[[#This Row],[Face value]]/100</f>
        <v>1038.4398783726956</v>
      </c>
      <c r="AD161" s="58" t="str">
        <f>IF(Table1[[#This Row],[Ask Price]]&gt;Table1[[#This Row],[Calculated Bond Price]],"Rich","Cheap")</f>
        <v>Rich</v>
      </c>
      <c r="AE1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1019.1308441463229</v>
      </c>
      <c r="AF1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1214.9911152648049</v>
      </c>
      <c r="AG161" s="78">
        <f>(Table1[[#This Row],[P (+ shock)]]+Table1[[#This Row],[P (-shock)]]-2*Table1[[#This Row],[Ask Price]])/(2*Table1[[#This Row],[Ask Price]]*($AF$2^2))</f>
        <v>54.554272777353937</v>
      </c>
      <c r="AH161">
        <v>12.1752315383984</v>
      </c>
      <c r="AI161" s="6">
        <f t="shared" si="9"/>
        <v>7.4707470747074706E-2</v>
      </c>
      <c r="AK161" s="47">
        <f>RATE(Table1[[#This Row],[Total No. of Coupons]],Table1[[#This Row],[Coupon Amount]],-Table1[[#This Row],[Ask Price]],Table1[[#This Row],[Face value]])</f>
        <v>7.0754642871587545E-2</v>
      </c>
      <c r="AL161" s="27">
        <f>Table1[[#This Row],[IRR]]*Table1[[#This Row],[Coupon Frequency2]]</f>
        <v>7.0754642871587545E-2</v>
      </c>
      <c r="AM161" s="5">
        <f t="shared" si="10"/>
        <v>-9763.9642802653889</v>
      </c>
      <c r="AN161" t="s">
        <v>64</v>
      </c>
      <c r="AO161" t="s">
        <v>62</v>
      </c>
      <c r="AP161">
        <f t="shared" si="11"/>
        <v>1</v>
      </c>
    </row>
    <row r="162" spans="1:42" x14ac:dyDescent="0.35">
      <c r="A162" s="48" t="s">
        <v>732</v>
      </c>
      <c r="B162" s="49" t="s">
        <v>2440</v>
      </c>
      <c r="C162" s="49" t="s">
        <v>2273</v>
      </c>
      <c r="D162" s="50">
        <v>41688</v>
      </c>
      <c r="E162" s="50">
        <v>47167</v>
      </c>
      <c r="F162" s="49">
        <v>1000</v>
      </c>
      <c r="G162" s="49" t="s">
        <v>76</v>
      </c>
      <c r="H162" s="49">
        <v>1120</v>
      </c>
      <c r="I162" s="49" t="s">
        <v>76</v>
      </c>
      <c r="J162" s="49">
        <v>112</v>
      </c>
      <c r="K162" s="49">
        <v>20</v>
      </c>
      <c r="L162" s="51">
        <v>8.4000000000000005E-2</v>
      </c>
      <c r="M162" s="49" t="s">
        <v>93</v>
      </c>
      <c r="N162" s="49">
        <v>1250</v>
      </c>
      <c r="O162" s="49">
        <v>7.4999999999999902</v>
      </c>
      <c r="P162" s="49" t="s">
        <v>2274</v>
      </c>
      <c r="Q162" s="49"/>
      <c r="R162" s="49" t="s">
        <v>2275</v>
      </c>
      <c r="S162">
        <f t="shared" si="8"/>
        <v>15</v>
      </c>
      <c r="T162" s="5" cm="1">
        <f t="array" ref="T1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2">
        <f>Table1[[#This Row],[Term to Maturity (Years)]]*Table1[[#This Row],[Coupon Frequency2]]</f>
        <v>15</v>
      </c>
      <c r="V162">
        <f>Table1[[#This Row],[Face value]]*Table1[[#This Row],[Current coupon %]]</f>
        <v>84</v>
      </c>
      <c r="W162" s="36">
        <f>RATE(Table1[[#This Row],[Total No. of Coupons]],Table1[[#This Row],[Coupon Amount]],-Table1[[#This Row],[Ask Price]],Table1[[#This Row],[Face value]])</f>
        <v>7.0761226951251116E-2</v>
      </c>
      <c r="X162" s="27">
        <f>Table1[[#This Row],[IRR]]*Table1[[#This Row],[Coupon Frequency2]]</f>
        <v>7.0761226951251116E-2</v>
      </c>
      <c r="Y162" s="19" cm="1">
        <f t="array" ref="Y1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2" s="33">
        <f>DURATION(Table1[[#This Row],[Issue date]],Table1[[#This Row],[Maturity date]],Table1[[#This Row],[Current coupon %]],Table1[[#This Row],[Yield (Annualised)]],Table1[[#This Row],[Coupon Frequency2]])</f>
        <v>9.3885412947085847</v>
      </c>
      <c r="AA162" s="33">
        <f>Table1[[#This Row],[Macaulay Duration in Years]]/(1+Table1[[#This Row],[IRR]])</f>
        <v>8.7680997951712527</v>
      </c>
      <c r="AB162" s="58">
        <f>VLOOKUP(Table1[[#This Row],[Yield Cluster]],'Cluster Details'!$B$3:$C$16,2,0)</f>
        <v>7.8548801574189142E-2</v>
      </c>
      <c r="AC162" s="78">
        <f>PRICE(Table1[[#This Row],[Issue date]],Table1[[#This Row],[Maturity date]],Table1[[#This Row],[Current coupon %]],Table1[[#This Row],[Average Cluster Yield]],100,Table1[[#This Row],[Coupon Frequency2]])*Table1[[#This Row],[Face value]]/100</f>
        <v>1047.0757275745182</v>
      </c>
      <c r="AD162" s="58" t="str">
        <f>IF(Table1[[#This Row],[Ask Price]]&gt;Table1[[#This Row],[Calculated Bond Price]],"Rich","Cheap")</f>
        <v>Rich</v>
      </c>
      <c r="AE1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1027.5938188667894</v>
      </c>
      <c r="AF1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1224.5823849559447</v>
      </c>
      <c r="AG162" s="78">
        <f>(Table1[[#This Row],[P (+ shock)]]+Table1[[#This Row],[P (-shock)]]-2*Table1[[#This Row],[Ask Price]])/(2*Table1[[#This Row],[Ask Price]]*($AF$2^2))</f>
        <v>54.358052780064064</v>
      </c>
      <c r="AI162" s="6">
        <f t="shared" si="9"/>
        <v>7.4999999999999997E-2</v>
      </c>
      <c r="AK162" s="47">
        <f>RATE(Table1[[#This Row],[Total No. of Coupons]],Table1[[#This Row],[Coupon Amount]],-Table1[[#This Row],[Ask Price]],Table1[[#This Row],[Face value]])</f>
        <v>7.0761226951251116E-2</v>
      </c>
      <c r="AL162" s="27">
        <f>Table1[[#This Row],[IRR]]*Table1[[#This Row],[Coupon Frequency2]]</f>
        <v>7.0761226951251116E-2</v>
      </c>
      <c r="AM162" s="5">
        <f t="shared" si="10"/>
        <v>-9820.2717705918039</v>
      </c>
      <c r="AN162" t="s">
        <v>64</v>
      </c>
      <c r="AO162" t="s">
        <v>62</v>
      </c>
      <c r="AP162">
        <f t="shared" si="11"/>
        <v>1</v>
      </c>
    </row>
    <row r="163" spans="1:42" x14ac:dyDescent="0.35">
      <c r="A163" s="48" t="s">
        <v>811</v>
      </c>
      <c r="B163" s="49" t="s">
        <v>2441</v>
      </c>
      <c r="C163" s="49" t="s">
        <v>2273</v>
      </c>
      <c r="D163" s="50">
        <v>45267</v>
      </c>
      <c r="E163" s="50">
        <v>47094</v>
      </c>
      <c r="F163" s="49">
        <v>1000</v>
      </c>
      <c r="G163" s="49" t="s">
        <v>76</v>
      </c>
      <c r="H163" s="49">
        <v>1062</v>
      </c>
      <c r="I163" s="49" t="s">
        <v>76</v>
      </c>
      <c r="J163" s="49">
        <v>106.2</v>
      </c>
      <c r="K163" s="49">
        <v>50</v>
      </c>
      <c r="L163" s="51">
        <v>8.5999999999999993E-2</v>
      </c>
      <c r="M163" s="49" t="s">
        <v>93</v>
      </c>
      <c r="N163" s="49">
        <v>1177</v>
      </c>
      <c r="O163" s="49">
        <v>8.0979284369114808</v>
      </c>
      <c r="P163" s="49"/>
      <c r="Q163" s="49"/>
      <c r="R163" s="49" t="s">
        <v>2275</v>
      </c>
      <c r="S163">
        <f t="shared" si="8"/>
        <v>5</v>
      </c>
      <c r="T163" s="5" cm="1">
        <f t="array" ref="T1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3">
        <f>Table1[[#This Row],[Term to Maturity (Years)]]*Table1[[#This Row],[Coupon Frequency2]]</f>
        <v>5</v>
      </c>
      <c r="V163">
        <f>Table1[[#This Row],[Face value]]*Table1[[#This Row],[Current coupon %]]</f>
        <v>86</v>
      </c>
      <c r="W163" s="36">
        <f>RATE(Table1[[#This Row],[Total No. of Coupons]],Table1[[#This Row],[Coupon Amount]],-Table1[[#This Row],[Ask Price]],Table1[[#This Row],[Face value]])</f>
        <v>7.084456680708652E-2</v>
      </c>
      <c r="X163" s="27">
        <f>Table1[[#This Row],[IRR]]*Table1[[#This Row],[Coupon Frequency2]]</f>
        <v>7.084456680708652E-2</v>
      </c>
      <c r="Y163" s="19" cm="1">
        <f t="array" ref="Y1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3" s="33">
        <f>DURATION(Table1[[#This Row],[Issue date]],Table1[[#This Row],[Maturity date]],Table1[[#This Row],[Current coupon %]],Table1[[#This Row],[Yield (Annualised)]],Table1[[#This Row],[Coupon Frequency2]])</f>
        <v>4.2921777939342762</v>
      </c>
      <c r="AA163" s="33">
        <f>Table1[[#This Row],[Macaulay Duration in Years]]/(1+Table1[[#This Row],[IRR]])</f>
        <v>4.0082173706424706</v>
      </c>
      <c r="AB163" s="58">
        <f>VLOOKUP(Table1[[#This Row],[Yield Cluster]],'Cluster Details'!$B$3:$C$16,2,0)</f>
        <v>7.8548801574189142E-2</v>
      </c>
      <c r="AC163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1029.8646129517592</v>
      </c>
      <c r="AD163" s="58" t="str">
        <f>IF(Table1[[#This Row],[Ask Price]]&gt;Table1[[#This Row],[Calculated Bond Price]],"Rich","Cheap")</f>
        <v>Rich</v>
      </c>
      <c r="AE1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1020.5384116650051</v>
      </c>
      <c r="AF1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1105.7208197315194</v>
      </c>
      <c r="AG163" s="78">
        <f>(Table1[[#This Row],[P (+ shock)]]+Table1[[#This Row],[P (-shock)]]-2*Table1[[#This Row],[Ask Price]])/(2*Table1[[#This Row],[Ask Price]]*($AF$2^2))</f>
        <v>10.636682657837492</v>
      </c>
      <c r="AH163">
        <v>11.3408443729107</v>
      </c>
      <c r="AI163" s="6">
        <f t="shared" si="9"/>
        <v>8.0979284369114876E-2</v>
      </c>
      <c r="AK163" s="47">
        <f>RATE(Table1[[#This Row],[Total No. of Coupons]],Table1[[#This Row],[Coupon Amount]],-Table1[[#This Row],[Ask Price]],Table1[[#This Row],[Face value]])</f>
        <v>7.084456680708652E-2</v>
      </c>
      <c r="AL163" s="27">
        <f>Table1[[#This Row],[IRR]]*Table1[[#This Row],[Coupon Frequency2]]</f>
        <v>7.084456680708652E-2</v>
      </c>
      <c r="AM163" s="5">
        <f t="shared" si="10"/>
        <v>-4256.7268476223035</v>
      </c>
      <c r="AN163" t="s">
        <v>64</v>
      </c>
      <c r="AO163" t="s">
        <v>62</v>
      </c>
      <c r="AP163">
        <f t="shared" si="11"/>
        <v>1</v>
      </c>
    </row>
    <row r="164" spans="1:42" x14ac:dyDescent="0.35">
      <c r="A164" s="48" t="s">
        <v>1828</v>
      </c>
      <c r="B164" s="49" t="s">
        <v>2442</v>
      </c>
      <c r="C164" s="49" t="s">
        <v>2273</v>
      </c>
      <c r="D164" s="50">
        <v>45421</v>
      </c>
      <c r="E164" s="50">
        <v>46151</v>
      </c>
      <c r="F164" s="49">
        <v>1000</v>
      </c>
      <c r="G164" s="49" t="s">
        <v>76</v>
      </c>
      <c r="H164" s="49">
        <v>1031.8</v>
      </c>
      <c r="I164" s="49" t="s">
        <v>76</v>
      </c>
      <c r="J164" s="49">
        <v>103.18</v>
      </c>
      <c r="K164" s="49">
        <v>8</v>
      </c>
      <c r="L164" s="51">
        <v>8.8499999999999995E-2</v>
      </c>
      <c r="M164" s="49" t="s">
        <v>93</v>
      </c>
      <c r="N164" s="49">
        <v>234</v>
      </c>
      <c r="O164" s="49">
        <v>8.5772436518705106</v>
      </c>
      <c r="P164" s="49"/>
      <c r="Q164" s="49"/>
      <c r="R164" s="49" t="s">
        <v>2275</v>
      </c>
      <c r="S164">
        <f t="shared" si="8"/>
        <v>2</v>
      </c>
      <c r="T164" s="5" cm="1">
        <f t="array" ref="T1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4">
        <f>Table1[[#This Row],[Term to Maturity (Years)]]*Table1[[#This Row],[Coupon Frequency2]]</f>
        <v>2</v>
      </c>
      <c r="V164">
        <f>Table1[[#This Row],[Face value]]*Table1[[#This Row],[Current coupon %]]</f>
        <v>88.5</v>
      </c>
      <c r="W164" s="36">
        <f>RATE(Table1[[#This Row],[Total No. of Coupons]],Table1[[#This Row],[Coupon Amount]],-Table1[[#This Row],[Ask Price]],Table1[[#This Row],[Face value]])</f>
        <v>7.0889981819091133E-2</v>
      </c>
      <c r="X164" s="27">
        <f>Table1[[#This Row],[IRR]]*Table1[[#This Row],[Coupon Frequency2]]</f>
        <v>7.0889981819091133E-2</v>
      </c>
      <c r="Y164" s="19" cm="1">
        <f t="array" ref="Y1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4" s="33">
        <f>DURATION(Table1[[#This Row],[Issue date]],Table1[[#This Row],[Maturity date]],Table1[[#This Row],[Current coupon %]],Table1[[#This Row],[Yield (Annualised)]],Table1[[#This Row],[Coupon Frequency2]])</f>
        <v>1.919905463703184</v>
      </c>
      <c r="AA164" s="33">
        <f>Table1[[#This Row],[Macaulay Duration in Years]]/(1+Table1[[#This Row],[IRR]])</f>
        <v>1.7928129838715028</v>
      </c>
      <c r="AB164" s="58">
        <f>VLOOKUP(Table1[[#This Row],[Yield Cluster]],'Cluster Details'!$B$3:$C$16,2,0)</f>
        <v>7.8548801574189142E-2</v>
      </c>
      <c r="AC164" s="78">
        <f>PRICE(Table1[[#This Row],[Issue date]],Table1[[#This Row],[Maturity date]],Table1[[#This Row],[Current coupon %]],Table1[[#This Row],[Average Cluster Yield]],100,Table1[[#This Row],[Coupon Frequency2]])*Table1[[#This Row],[Face value]]/100</f>
        <v>1017.7809929815918</v>
      </c>
      <c r="AD164" s="58" t="str">
        <f>IF(Table1[[#This Row],[Ask Price]]&gt;Table1[[#This Row],[Calculated Bond Price]],"Rich","Cheap")</f>
        <v>Rich</v>
      </c>
      <c r="AE1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1013.5541357339408</v>
      </c>
      <c r="AF1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1050.5569428011083</v>
      </c>
      <c r="AG164" s="78">
        <f>(Table1[[#This Row],[P (+ shock)]]+Table1[[#This Row],[P (-shock)]]-2*Table1[[#This Row],[Ask Price]])/(2*Table1[[#This Row],[Ask Price]]*($AF$2^2))</f>
        <v>2.4766356612200249</v>
      </c>
      <c r="AH164">
        <v>12</v>
      </c>
      <c r="AI164" s="6">
        <f t="shared" si="9"/>
        <v>8.5772436518705183E-2</v>
      </c>
      <c r="AK164" s="47">
        <f>RATE(Table1[[#This Row],[Total No. of Coupons]],Table1[[#This Row],[Coupon Amount]],-Table1[[#This Row],[Ask Price]],Table1[[#This Row],[Face value]])</f>
        <v>7.0889981819091133E-2</v>
      </c>
      <c r="AL164" s="27">
        <f>Table1[[#This Row],[IRR]]*Table1[[#This Row],[Coupon Frequency2]]</f>
        <v>7.0889981819091133E-2</v>
      </c>
      <c r="AM164" s="5">
        <f t="shared" si="10"/>
        <v>-1849.8244367586165</v>
      </c>
      <c r="AN164" t="s">
        <v>64</v>
      </c>
      <c r="AO164" t="s">
        <v>62</v>
      </c>
      <c r="AP164">
        <f t="shared" si="11"/>
        <v>1</v>
      </c>
    </row>
    <row r="165" spans="1:42" x14ac:dyDescent="0.35">
      <c r="A165" s="48" t="s">
        <v>325</v>
      </c>
      <c r="B165" s="49" t="s">
        <v>2443</v>
      </c>
      <c r="C165" s="49" t="s">
        <v>2273</v>
      </c>
      <c r="D165" s="50">
        <v>44396</v>
      </c>
      <c r="E165" s="50">
        <v>48047</v>
      </c>
      <c r="F165" s="49">
        <v>1000000</v>
      </c>
      <c r="G165" s="49" t="s">
        <v>76</v>
      </c>
      <c r="H165" s="49">
        <v>1097440</v>
      </c>
      <c r="I165" s="49" t="s">
        <v>76</v>
      </c>
      <c r="J165" s="49">
        <v>109.744</v>
      </c>
      <c r="K165" s="49">
        <v>2</v>
      </c>
      <c r="L165" s="51">
        <v>8.5000000000000006E-2</v>
      </c>
      <c r="M165" s="49" t="s">
        <v>93</v>
      </c>
      <c r="N165" s="49">
        <v>2130</v>
      </c>
      <c r="O165" s="49">
        <v>7.7452981484181302</v>
      </c>
      <c r="P165" s="49"/>
      <c r="Q165" s="49"/>
      <c r="R165" s="49" t="s">
        <v>2275</v>
      </c>
      <c r="S165">
        <f t="shared" si="8"/>
        <v>10</v>
      </c>
      <c r="T165" s="5" cm="1">
        <f t="array" ref="T1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5">
        <f>Table1[[#This Row],[Term to Maturity (Years)]]*Table1[[#This Row],[Coupon Frequency2]]</f>
        <v>10</v>
      </c>
      <c r="V165">
        <f>Table1[[#This Row],[Face value]]*Table1[[#This Row],[Current coupon %]]</f>
        <v>85000</v>
      </c>
      <c r="W165" s="36">
        <f>RATE(Table1[[#This Row],[Total No. of Coupons]],Table1[[#This Row],[Coupon Amount]],-Table1[[#This Row],[Ask Price]],Table1[[#This Row],[Face value]])</f>
        <v>7.1058761007433413E-2</v>
      </c>
      <c r="X165" s="27">
        <f>Table1[[#This Row],[IRR]]*Table1[[#This Row],[Coupon Frequency2]]</f>
        <v>7.1058761007433413E-2</v>
      </c>
      <c r="Y165" s="19" cm="1">
        <f t="array" ref="Y1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5" s="33">
        <f>DURATION(Table1[[#This Row],[Issue date]],Table1[[#This Row],[Maturity date]],Table1[[#This Row],[Current coupon %]],Table1[[#This Row],[Yield (Annualised)]],Table1[[#This Row],[Coupon Frequency2]])</f>
        <v>7.2569883249289413</v>
      </c>
      <c r="AA165" s="33">
        <f>Table1[[#This Row],[Macaulay Duration in Years]]/(1+Table1[[#This Row],[IRR]])</f>
        <v>6.7755277199759316</v>
      </c>
      <c r="AB165" s="58">
        <f>VLOOKUP(Table1[[#This Row],[Yield Cluster]],'Cluster Details'!$B$3:$C$16,2,0)</f>
        <v>7.8548801574189142E-2</v>
      </c>
      <c r="AC165" s="78">
        <f>PRICE(Table1[[#This Row],[Issue date]],Table1[[#This Row],[Maturity date]],Table1[[#This Row],[Current coupon %]],Table1[[#This Row],[Average Cluster Yield]],100,Table1[[#This Row],[Coupon Frequency2]])*Table1[[#This Row],[Face value]]/100</f>
        <v>1043555.9593023802</v>
      </c>
      <c r="AD165" s="58" t="str">
        <f>IF(Table1[[#This Row],[Ask Price]]&gt;Table1[[#This Row],[Calculated Bond Price]],"Rich","Cheap")</f>
        <v>Rich</v>
      </c>
      <c r="AE1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1026306.3186313132</v>
      </c>
      <c r="AF1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1175286.4728627421</v>
      </c>
      <c r="AG165" s="78">
        <f>(Table1[[#This Row],[P (+ shock)]]+Table1[[#This Row],[P (-shock)]]-2*Table1[[#This Row],[Ask Price]])/(2*Table1[[#This Row],[Ask Price]]*($AF$2^2))</f>
        <v>30.583865605660382</v>
      </c>
      <c r="AI165" s="6">
        <f t="shared" si="9"/>
        <v>7.7452981484181366E-2</v>
      </c>
      <c r="AK165" s="47">
        <f>RATE(Table1[[#This Row],[Total No. of Coupons]],Table1[[#This Row],[Coupon Amount]],-Table1[[#This Row],[Ask Price]],Table1[[#This Row],[Face value]])</f>
        <v>7.1058761007433413E-2</v>
      </c>
      <c r="AL165" s="27">
        <f>Table1[[#This Row],[IRR]]*Table1[[#This Row],[Coupon Frequency2]]</f>
        <v>7.1058761007433413E-2</v>
      </c>
      <c r="AM165" s="5">
        <f t="shared" si="10"/>
        <v>-7435735.1410103859</v>
      </c>
      <c r="AN165" t="s">
        <v>64</v>
      </c>
      <c r="AO165" t="s">
        <v>62</v>
      </c>
      <c r="AP165">
        <f t="shared" si="11"/>
        <v>1</v>
      </c>
    </row>
    <row r="166" spans="1:42" x14ac:dyDescent="0.35">
      <c r="A166" s="48" t="s">
        <v>712</v>
      </c>
      <c r="B166" s="49" t="s">
        <v>2444</v>
      </c>
      <c r="C166" s="49" t="s">
        <v>2273</v>
      </c>
      <c r="D166" s="50">
        <v>41722</v>
      </c>
      <c r="E166" s="50">
        <v>47201</v>
      </c>
      <c r="F166" s="49">
        <v>1000</v>
      </c>
      <c r="G166" s="49" t="s">
        <v>76</v>
      </c>
      <c r="H166" s="49">
        <v>1160.48</v>
      </c>
      <c r="I166" s="49" t="s">
        <v>76</v>
      </c>
      <c r="J166" s="49">
        <v>116.048</v>
      </c>
      <c r="K166" s="49">
        <v>350</v>
      </c>
      <c r="L166" s="51">
        <v>8.8800000000000004E-2</v>
      </c>
      <c r="M166" s="49" t="s">
        <v>93</v>
      </c>
      <c r="N166" s="49">
        <v>1284</v>
      </c>
      <c r="O166" s="49">
        <v>7.65200606645526</v>
      </c>
      <c r="P166" s="49"/>
      <c r="Q166" s="49"/>
      <c r="R166" s="49" t="s">
        <v>2275</v>
      </c>
      <c r="S166">
        <f t="shared" si="8"/>
        <v>15</v>
      </c>
      <c r="T166" s="5" cm="1">
        <f t="array" ref="T1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6">
        <f>Table1[[#This Row],[Term to Maturity (Years)]]*Table1[[#This Row],[Coupon Frequency2]]</f>
        <v>15</v>
      </c>
      <c r="V166">
        <f>Table1[[#This Row],[Face value]]*Table1[[#This Row],[Current coupon %]]</f>
        <v>88.8</v>
      </c>
      <c r="W166" s="36">
        <f>RATE(Table1[[#This Row],[Total No. of Coupons]],Table1[[#This Row],[Coupon Amount]],-Table1[[#This Row],[Ask Price]],Table1[[#This Row],[Face value]])</f>
        <v>7.1061806905582448E-2</v>
      </c>
      <c r="X166" s="27">
        <f>Table1[[#This Row],[IRR]]*Table1[[#This Row],[Coupon Frequency2]]</f>
        <v>7.1061806905582448E-2</v>
      </c>
      <c r="Y166" s="19" cm="1">
        <f t="array" ref="Y1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6" s="33">
        <f>DURATION(Table1[[#This Row],[Issue date]],Table1[[#This Row],[Maturity date]],Table1[[#This Row],[Current coupon %]],Table1[[#This Row],[Yield (Annualised)]],Table1[[#This Row],[Coupon Frequency2]])</f>
        <v>9.2821942730248743</v>
      </c>
      <c r="AA166" s="33">
        <f>Table1[[#This Row],[Macaulay Duration in Years]]/(1+Table1[[#This Row],[IRR]])</f>
        <v>8.6663479298567978</v>
      </c>
      <c r="AB166" s="58">
        <f>VLOOKUP(Table1[[#This Row],[Yield Cluster]],'Cluster Details'!$B$3:$C$16,2,0)</f>
        <v>7.8548801574189142E-2</v>
      </c>
      <c r="AC166" s="78">
        <f>PRICE(Table1[[#This Row],[Issue date]],Table1[[#This Row],[Maturity date]],Table1[[#This Row],[Current coupon %]],Table1[[#This Row],[Average Cluster Yield]],100,Table1[[#This Row],[Coupon Frequency2]])*Table1[[#This Row],[Face value]]/100</f>
        <v>1088.5278037432688</v>
      </c>
      <c r="AD166" s="58" t="str">
        <f>IF(Table1[[#This Row],[Ask Price]]&gt;Table1[[#This Row],[Calculated Bond Price]],"Rich","Cheap")</f>
        <v>Rich</v>
      </c>
      <c r="AE1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1065.8076270370066</v>
      </c>
      <c r="AF1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1267.541004076061</v>
      </c>
      <c r="AG166" s="78">
        <f>(Table1[[#This Row],[P (+ shock)]]+Table1[[#This Row],[P (-shock)]]-2*Table1[[#This Row],[Ask Price]])/(2*Table1[[#This Row],[Ask Price]]*($AF$2^2))</f>
        <v>53.377184928078364</v>
      </c>
      <c r="AH166">
        <v>10.75</v>
      </c>
      <c r="AI166" s="6">
        <f t="shared" si="9"/>
        <v>7.6520060664552594E-2</v>
      </c>
      <c r="AK166" s="47">
        <f>RATE(Table1[[#This Row],[Total No. of Coupons]],Table1[[#This Row],[Coupon Amount]],-Table1[[#This Row],[Ask Price]],Table1[[#This Row],[Face value]])</f>
        <v>7.1061806905582448E-2</v>
      </c>
      <c r="AL166" s="27">
        <f>Table1[[#This Row],[IRR]]*Table1[[#This Row],[Coupon Frequency2]]</f>
        <v>7.1061806905582448E-2</v>
      </c>
      <c r="AM166" s="5">
        <f t="shared" si="10"/>
        <v>-10057.123445640216</v>
      </c>
      <c r="AN166" t="s">
        <v>64</v>
      </c>
      <c r="AO166" t="s">
        <v>62</v>
      </c>
      <c r="AP166">
        <f t="shared" si="11"/>
        <v>1</v>
      </c>
    </row>
    <row r="167" spans="1:42" x14ac:dyDescent="0.35">
      <c r="A167" s="48" t="s">
        <v>2140</v>
      </c>
      <c r="B167" s="49" t="s">
        <v>2445</v>
      </c>
      <c r="C167" s="49" t="s">
        <v>2273</v>
      </c>
      <c r="D167" s="50">
        <v>42282</v>
      </c>
      <c r="E167" s="50">
        <v>45935</v>
      </c>
      <c r="F167" s="49">
        <v>1000</v>
      </c>
      <c r="G167" s="49" t="s">
        <v>76</v>
      </c>
      <c r="H167" s="49">
        <v>1000.21</v>
      </c>
      <c r="I167" s="49" t="s">
        <v>76</v>
      </c>
      <c r="J167" s="49">
        <v>100.021</v>
      </c>
      <c r="K167" s="49">
        <v>20</v>
      </c>
      <c r="L167" s="51">
        <v>7.1099999999999997E-2</v>
      </c>
      <c r="M167" s="49" t="s">
        <v>93</v>
      </c>
      <c r="N167" s="49">
        <v>18</v>
      </c>
      <c r="O167" s="49">
        <v>7.1085072134851597</v>
      </c>
      <c r="P167" s="49" t="s">
        <v>2274</v>
      </c>
      <c r="Q167" s="49"/>
      <c r="R167" s="49" t="s">
        <v>2275</v>
      </c>
      <c r="S167">
        <f t="shared" si="8"/>
        <v>10</v>
      </c>
      <c r="T167" s="5" cm="1">
        <f t="array" ref="T1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7">
        <f>Table1[[#This Row],[Term to Maturity (Years)]]*Table1[[#This Row],[Coupon Frequency2]]</f>
        <v>10</v>
      </c>
      <c r="V167">
        <f>Table1[[#This Row],[Face value]]*Table1[[#This Row],[Current coupon %]]</f>
        <v>71.099999999999994</v>
      </c>
      <c r="W167" s="36">
        <f>RATE(Table1[[#This Row],[Total No. of Coupons]],Table1[[#This Row],[Coupon Amount]],-Table1[[#This Row],[Ask Price]],Table1[[#This Row],[Face value]])</f>
        <v>7.1069952676676831E-2</v>
      </c>
      <c r="X167" s="27">
        <f>Table1[[#This Row],[IRR]]*Table1[[#This Row],[Coupon Frequency2]]</f>
        <v>7.1069952676676831E-2</v>
      </c>
      <c r="Y167" s="19" cm="1">
        <f t="array" ref="Y1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7" s="33">
        <f>DURATION(Table1[[#This Row],[Issue date]],Table1[[#This Row],[Maturity date]],Table1[[#This Row],[Current coupon %]],Table1[[#This Row],[Yield (Annualised)]],Table1[[#This Row],[Coupon Frequency2]])</f>
        <v>7.4851463481630374</v>
      </c>
      <c r="AA167" s="33">
        <f>Table1[[#This Row],[Macaulay Duration in Years]]/(1+Table1[[#This Row],[IRR]])</f>
        <v>6.9884757101598689</v>
      </c>
      <c r="AB167" s="58">
        <f>VLOOKUP(Table1[[#This Row],[Yield Cluster]],'Cluster Details'!$B$3:$C$16,2,0)</f>
        <v>7.8548801574189142E-2</v>
      </c>
      <c r="AC167" s="78">
        <f>PRICE(Table1[[#This Row],[Issue date]],Table1[[#This Row],[Maturity date]],Table1[[#This Row],[Current coupon %]],Table1[[#This Row],[Average Cluster Yield]],100,Table1[[#This Row],[Coupon Frequency2]])*Table1[[#This Row],[Face value]]/100</f>
        <v>949.68911384355874</v>
      </c>
      <c r="AD167" s="58" t="str">
        <f>IF(Table1[[#This Row],[Ask Price]]&gt;Table1[[#This Row],[Calculated Bond Price]],"Rich","Cheap")</f>
        <v>Rich</v>
      </c>
      <c r="AE1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933.42246302662488</v>
      </c>
      <c r="AF1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1073.4492435459813</v>
      </c>
      <c r="AG167" s="78">
        <f>(Table1[[#This Row],[P (+ shock)]]+Table1[[#This Row],[P (-shock)]]-2*Table1[[#This Row],[Ask Price]])/(2*Table1[[#This Row],[Ask Price]]*($AF$2^2))</f>
        <v>32.251759993431868</v>
      </c>
      <c r="AH167">
        <v>-2.0266392621334299</v>
      </c>
      <c r="AI167" s="6">
        <f t="shared" si="9"/>
        <v>7.1085072134851671E-2</v>
      </c>
      <c r="AK167" s="47">
        <f>RATE(Table1[[#This Row],[Total No. of Coupons]],Table1[[#This Row],[Coupon Amount]],-Table1[[#This Row],[Ask Price]],Table1[[#This Row],[Face value]])</f>
        <v>7.1069952676676831E-2</v>
      </c>
      <c r="AL167" s="27">
        <f>Table1[[#This Row],[IRR]]*Table1[[#This Row],[Coupon Frequency2]]</f>
        <v>7.1069952676676831E-2</v>
      </c>
      <c r="AM167" s="5">
        <f t="shared" si="10"/>
        <v>-6989.9432900590027</v>
      </c>
      <c r="AN167" t="s">
        <v>64</v>
      </c>
      <c r="AO167" t="s">
        <v>62</v>
      </c>
      <c r="AP167">
        <f t="shared" si="11"/>
        <v>1</v>
      </c>
    </row>
    <row r="168" spans="1:42" x14ac:dyDescent="0.35">
      <c r="A168" s="48" t="s">
        <v>702</v>
      </c>
      <c r="B168" s="49" t="s">
        <v>2446</v>
      </c>
      <c r="C168" s="49" t="s">
        <v>2273</v>
      </c>
      <c r="D168" s="50">
        <v>41725</v>
      </c>
      <c r="E168" s="50">
        <v>47204</v>
      </c>
      <c r="F168" s="49">
        <v>1000</v>
      </c>
      <c r="G168" s="49" t="s">
        <v>76</v>
      </c>
      <c r="H168" s="49">
        <v>1130</v>
      </c>
      <c r="I168" s="49" t="s">
        <v>76</v>
      </c>
      <c r="J168" s="49">
        <v>112.99999999999901</v>
      </c>
      <c r="K168" s="49">
        <v>800</v>
      </c>
      <c r="L168" s="51">
        <v>8.5500000000000007E-2</v>
      </c>
      <c r="M168" s="49" t="s">
        <v>93</v>
      </c>
      <c r="N168" s="49">
        <v>1287</v>
      </c>
      <c r="O168" s="49">
        <v>7.5663716814159301</v>
      </c>
      <c r="P168" s="49" t="s">
        <v>2282</v>
      </c>
      <c r="Q168" s="49"/>
      <c r="R168" s="49" t="s">
        <v>2275</v>
      </c>
      <c r="S168">
        <f t="shared" si="8"/>
        <v>15</v>
      </c>
      <c r="T168" s="5" cm="1">
        <f t="array" ref="T1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8">
        <f>Table1[[#This Row],[Term to Maturity (Years)]]*Table1[[#This Row],[Coupon Frequency2]]</f>
        <v>15</v>
      </c>
      <c r="V168">
        <f>Table1[[#This Row],[Face value]]*Table1[[#This Row],[Current coupon %]]</f>
        <v>85.5</v>
      </c>
      <c r="W168" s="36">
        <f>RATE(Table1[[#This Row],[Total No. of Coupons]],Table1[[#This Row],[Coupon Amount]],-Table1[[#This Row],[Ask Price]],Table1[[#This Row],[Face value]])</f>
        <v>7.1125101259408768E-2</v>
      </c>
      <c r="X168" s="27">
        <f>Table1[[#This Row],[IRR]]*Table1[[#This Row],[Coupon Frequency2]]</f>
        <v>7.1125101259408768E-2</v>
      </c>
      <c r="Y168" s="19" cm="1">
        <f t="array" ref="Y1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8" s="33">
        <f>DURATION(Table1[[#This Row],[Issue date]],Table1[[#This Row],[Maturity date]],Table1[[#This Row],[Current coupon %]],Table1[[#This Row],[Yield (Annualised)]],Table1[[#This Row],[Coupon Frequency2]])</f>
        <v>9.3477180881033917</v>
      </c>
      <c r="AA168" s="33">
        <f>Table1[[#This Row],[Macaulay Duration in Years]]/(1+Table1[[#This Row],[IRR]])</f>
        <v>8.7270087099186835</v>
      </c>
      <c r="AB168" s="58">
        <f>VLOOKUP(Table1[[#This Row],[Yield Cluster]],'Cluster Details'!$B$3:$C$16,2,0)</f>
        <v>7.8548801574189142E-2</v>
      </c>
      <c r="AC168" s="78">
        <f>PRICE(Table1[[#This Row],[Issue date]],Table1[[#This Row],[Maturity date]],Table1[[#This Row],[Current coupon %]],Table1[[#This Row],[Average Cluster Yield]],100,Table1[[#This Row],[Coupon Frequency2]])*Table1[[#This Row],[Face value]]/100</f>
        <v>1060.0295013772532</v>
      </c>
      <c r="AD168" s="58" t="str">
        <f>IF(Table1[[#This Row],[Ask Price]]&gt;Table1[[#This Row],[Calculated Bond Price]],"Rich","Cheap")</f>
        <v>Rich</v>
      </c>
      <c r="AE1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1037.1909651710696</v>
      </c>
      <c r="AF1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1235.0044375510683</v>
      </c>
      <c r="AG168" s="78">
        <f>(Table1[[#This Row],[P (+ shock)]]+Table1[[#This Row],[P (-shock)]]-2*Table1[[#This Row],[Ask Price]])/(2*Table1[[#This Row],[Ask Price]]*($AF$2^2))</f>
        <v>53.96195894751402</v>
      </c>
      <c r="AH168">
        <v>11.5713206834702</v>
      </c>
      <c r="AI168" s="6">
        <f t="shared" si="9"/>
        <v>7.5663716814159288E-2</v>
      </c>
      <c r="AK168" s="47">
        <f>RATE(Table1[[#This Row],[Total No. of Coupons]],Table1[[#This Row],[Coupon Amount]],-Table1[[#This Row],[Ask Price]],Table1[[#This Row],[Face value]])</f>
        <v>7.1125101259408768E-2</v>
      </c>
      <c r="AL168" s="27">
        <f>Table1[[#This Row],[IRR]]*Table1[[#This Row],[Coupon Frequency2]]</f>
        <v>7.1125101259408768E-2</v>
      </c>
      <c r="AM168" s="5">
        <f t="shared" si="10"/>
        <v>-9861.5198422081121</v>
      </c>
      <c r="AN168" t="s">
        <v>64</v>
      </c>
      <c r="AO168" t="s">
        <v>62</v>
      </c>
      <c r="AP168">
        <f t="shared" si="11"/>
        <v>1</v>
      </c>
    </row>
    <row r="169" spans="1:42" x14ac:dyDescent="0.35">
      <c r="A169" s="48" t="s">
        <v>2447</v>
      </c>
      <c r="B169" s="49" t="s">
        <v>2448</v>
      </c>
      <c r="C169" s="49" t="s">
        <v>2273</v>
      </c>
      <c r="D169" s="50">
        <v>45139</v>
      </c>
      <c r="E169" s="50">
        <v>50618</v>
      </c>
      <c r="F169" s="49">
        <v>100000</v>
      </c>
      <c r="G169" s="49" t="s">
        <v>76</v>
      </c>
      <c r="H169" s="49">
        <v>103833</v>
      </c>
      <c r="I169" s="49" t="s">
        <v>76</v>
      </c>
      <c r="J169" s="49">
        <v>103.833</v>
      </c>
      <c r="K169" s="49">
        <v>6910</v>
      </c>
      <c r="L169" s="51">
        <v>7.5399999999999995E-2</v>
      </c>
      <c r="M169" s="49" t="s">
        <v>93</v>
      </c>
      <c r="N169" s="49">
        <v>4701</v>
      </c>
      <c r="O169" s="49">
        <v>7.2616605510772096</v>
      </c>
      <c r="P169" s="49" t="s">
        <v>2274</v>
      </c>
      <c r="Q169" s="49"/>
      <c r="R169" s="49" t="s">
        <v>2275</v>
      </c>
      <c r="S169">
        <f t="shared" si="8"/>
        <v>15</v>
      </c>
      <c r="T169" s="5" cm="1">
        <f t="array" ref="T1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69">
        <f>Table1[[#This Row],[Term to Maturity (Years)]]*Table1[[#This Row],[Coupon Frequency2]]</f>
        <v>15</v>
      </c>
      <c r="V169">
        <f>Table1[[#This Row],[Face value]]*Table1[[#This Row],[Current coupon %]]</f>
        <v>7539.9999999999991</v>
      </c>
      <c r="W169" s="36">
        <f>RATE(Table1[[#This Row],[Total No. of Coupons]],Table1[[#This Row],[Coupon Amount]],-Table1[[#This Row],[Ask Price]],Table1[[#This Row],[Face value]])</f>
        <v>7.1160667838364999E-2</v>
      </c>
      <c r="X169" s="27">
        <f>Table1[[#This Row],[IRR]]*Table1[[#This Row],[Coupon Frequency2]]</f>
        <v>7.1160667838364999E-2</v>
      </c>
      <c r="Y169" s="19" cm="1">
        <f t="array" ref="Y1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69" s="33">
        <f>DURATION(Table1[[#This Row],[Issue date]],Table1[[#This Row],[Maturity date]],Table1[[#This Row],[Current coupon %]],Table1[[#This Row],[Yield (Annualised)]],Table1[[#This Row],[Coupon Frequency2]])</f>
        <v>9.5761731106930927</v>
      </c>
      <c r="AA169" s="33">
        <f>Table1[[#This Row],[Macaulay Duration in Years]]/(1+Table1[[#This Row],[IRR]])</f>
        <v>8.9399969567759641</v>
      </c>
      <c r="AB169" s="58">
        <f>VLOOKUP(Table1[[#This Row],[Yield Cluster]],'Cluster Details'!$B$3:$C$16,2,0)</f>
        <v>7.8548801574189142E-2</v>
      </c>
      <c r="AC169" s="78">
        <f>PRICE(Table1[[#This Row],[Issue date]],Table1[[#This Row],[Maturity date]],Table1[[#This Row],[Current coupon %]],Table1[[#This Row],[Average Cluster Yield]],100,Table1[[#This Row],[Coupon Frequency2]])*Table1[[#This Row],[Face value]]/100</f>
        <v>97280.742443884068</v>
      </c>
      <c r="AD169" s="58" t="str">
        <f>IF(Table1[[#This Row],[Ask Price]]&gt;Table1[[#This Row],[Calculated Bond Price]],"Rich","Cheap")</f>
        <v>Rich</v>
      </c>
      <c r="AE1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95103.922016816068</v>
      </c>
      <c r="AF1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113725.31525769066</v>
      </c>
      <c r="AG169" s="78">
        <f>(Table1[[#This Row],[P (+ shock)]]+Table1[[#This Row],[P (-shock)]]-2*Table1[[#This Row],[Ask Price]])/(2*Table1[[#This Row],[Ask Price]]*($AF$2^2))</f>
        <v>56.014815834402903</v>
      </c>
      <c r="AH169">
        <v>13.427989001611801</v>
      </c>
      <c r="AI169" s="6">
        <f t="shared" si="9"/>
        <v>7.2616605510772092E-2</v>
      </c>
      <c r="AK169" s="47">
        <f>RATE(Table1[[#This Row],[Total No. of Coupons]],Table1[[#This Row],[Coupon Amount]],-Table1[[#This Row],[Ask Price]],Table1[[#This Row],[Face value]])</f>
        <v>7.1160667838364999E-2</v>
      </c>
      <c r="AL169" s="27">
        <f>Table1[[#This Row],[IRR]]*Table1[[#This Row],[Coupon Frequency2]]</f>
        <v>7.1160667838364999E-2</v>
      </c>
      <c r="AM169" s="5">
        <f t="shared" si="10"/>
        <v>-928266.70401291864</v>
      </c>
      <c r="AN169" t="s">
        <v>64</v>
      </c>
      <c r="AO169" t="s">
        <v>62</v>
      </c>
      <c r="AP169">
        <f t="shared" si="11"/>
        <v>1</v>
      </c>
    </row>
    <row r="170" spans="1:42" x14ac:dyDescent="0.35">
      <c r="A170" s="48" t="s">
        <v>1965</v>
      </c>
      <c r="B170" s="49" t="s">
        <v>2449</v>
      </c>
      <c r="C170" s="49" t="s">
        <v>2273</v>
      </c>
      <c r="D170" s="50">
        <v>44958</v>
      </c>
      <c r="E170" s="50">
        <v>46054</v>
      </c>
      <c r="F170" s="49">
        <v>100000</v>
      </c>
      <c r="G170" s="49" t="s">
        <v>76</v>
      </c>
      <c r="H170" s="49">
        <v>105585.38</v>
      </c>
      <c r="I170" s="49" t="s">
        <v>76</v>
      </c>
      <c r="J170" s="49">
        <v>105.58538</v>
      </c>
      <c r="K170" s="49">
        <v>5</v>
      </c>
      <c r="L170" s="51">
        <v>9.2499999999999999E-2</v>
      </c>
      <c r="M170" s="49" t="s">
        <v>93</v>
      </c>
      <c r="N170" s="49">
        <v>137</v>
      </c>
      <c r="O170" s="49">
        <v>8.7606825869263307</v>
      </c>
      <c r="P170" s="49"/>
      <c r="Q170" s="49"/>
      <c r="R170" s="49" t="s">
        <v>2275</v>
      </c>
      <c r="S170">
        <f t="shared" si="8"/>
        <v>3</v>
      </c>
      <c r="T170" s="5" cm="1">
        <f t="array" ref="T1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0">
        <f>Table1[[#This Row],[Term to Maturity (Years)]]*Table1[[#This Row],[Coupon Frequency2]]</f>
        <v>3</v>
      </c>
      <c r="V170">
        <f>Table1[[#This Row],[Face value]]*Table1[[#This Row],[Current coupon %]]</f>
        <v>9250</v>
      </c>
      <c r="W170" s="36">
        <f>RATE(Table1[[#This Row],[Total No. of Coupons]],Table1[[#This Row],[Coupon Amount]],-Table1[[#This Row],[Ask Price]],Table1[[#This Row],[Face value]])</f>
        <v>7.1171256676923922E-2</v>
      </c>
      <c r="X170" s="27">
        <f>Table1[[#This Row],[IRR]]*Table1[[#This Row],[Coupon Frequency2]]</f>
        <v>7.1171256676923922E-2</v>
      </c>
      <c r="Y170" s="19" cm="1">
        <f t="array" ref="Y1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0" s="33">
        <f>DURATION(Table1[[#This Row],[Issue date]],Table1[[#This Row],[Maturity date]],Table1[[#This Row],[Current coupon %]],Table1[[#This Row],[Yield (Annualised)]],Table1[[#This Row],[Coupon Frequency2]])</f>
        <v>2.7600760263942563</v>
      </c>
      <c r="AA170" s="33">
        <f>Table1[[#This Row],[Macaulay Duration in Years]]/(1+Table1[[#This Row],[IRR]])</f>
        <v>2.5766897769053219</v>
      </c>
      <c r="AB170" s="58">
        <f>VLOOKUP(Table1[[#This Row],[Yield Cluster]],'Cluster Details'!$B$3:$C$16,2,0)</f>
        <v>7.8548801574189142E-2</v>
      </c>
      <c r="AC170" s="78">
        <f>PRICE(Table1[[#This Row],[Issue date]],Table1[[#This Row],[Maturity date]],Table1[[#This Row],[Current coupon %]],Table1[[#This Row],[Average Cluster Yield]],100,Table1[[#This Row],[Coupon Frequency2]])*Table1[[#This Row],[Face value]]/100</f>
        <v>103604.79455174532</v>
      </c>
      <c r="AD170" s="58" t="str">
        <f>IF(Table1[[#This Row],[Ask Price]]&gt;Table1[[#This Row],[Calculated Bond Price]],"Rich","Cheap")</f>
        <v>Rich</v>
      </c>
      <c r="AE1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102913.36787192344</v>
      </c>
      <c r="AF1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108356.09648645339</v>
      </c>
      <c r="AG170" s="78">
        <f>(Table1[[#This Row],[P (+ shock)]]+Table1[[#This Row],[P (-shock)]]-2*Table1[[#This Row],[Ask Price]])/(2*Table1[[#This Row],[Ask Price]]*($AF$2^2))</f>
        <v>4.6741489388409896</v>
      </c>
      <c r="AH170">
        <v>13.7589299012509</v>
      </c>
      <c r="AI170" s="6">
        <f t="shared" si="9"/>
        <v>8.7606825869263341E-2</v>
      </c>
      <c r="AK170" s="47">
        <f>RATE(Table1[[#This Row],[Total No. of Coupons]],Table1[[#This Row],[Coupon Amount]],-Table1[[#This Row],[Ask Price]],Table1[[#This Row],[Face value]])</f>
        <v>7.1171256676923922E-2</v>
      </c>
      <c r="AL170" s="27">
        <f>Table1[[#This Row],[IRR]]*Table1[[#This Row],[Coupon Frequency2]]</f>
        <v>7.1171256676923922E-2</v>
      </c>
      <c r="AM170" s="5">
        <f t="shared" si="10"/>
        <v>-272060.76923666365</v>
      </c>
      <c r="AN170" t="s">
        <v>64</v>
      </c>
      <c r="AO170" t="s">
        <v>62</v>
      </c>
      <c r="AP170">
        <f t="shared" si="11"/>
        <v>1</v>
      </c>
    </row>
    <row r="171" spans="1:42" x14ac:dyDescent="0.35">
      <c r="A171" s="48" t="s">
        <v>453</v>
      </c>
      <c r="B171" s="49" t="s">
        <v>2450</v>
      </c>
      <c r="C171" s="49" t="s">
        <v>2273</v>
      </c>
      <c r="D171" s="50">
        <v>43993</v>
      </c>
      <c r="E171" s="50">
        <v>47645</v>
      </c>
      <c r="F171" s="49">
        <v>1000000</v>
      </c>
      <c r="G171" s="49" t="s">
        <v>76</v>
      </c>
      <c r="H171" s="49">
        <v>1044000</v>
      </c>
      <c r="I171" s="49" t="s">
        <v>76</v>
      </c>
      <c r="J171" s="49">
        <v>104.4</v>
      </c>
      <c r="K171" s="49">
        <v>1</v>
      </c>
      <c r="L171" s="51">
        <v>7.7499999999999999E-2</v>
      </c>
      <c r="M171" s="49" t="s">
        <v>93</v>
      </c>
      <c r="N171" s="49">
        <v>1728</v>
      </c>
      <c r="O171" s="49">
        <v>7.4233716475095699</v>
      </c>
      <c r="P171" s="49" t="s">
        <v>2282</v>
      </c>
      <c r="Q171" s="49"/>
      <c r="R171" s="49" t="s">
        <v>2275</v>
      </c>
      <c r="S171">
        <f t="shared" si="8"/>
        <v>10</v>
      </c>
      <c r="T171" s="5" cm="1">
        <f t="array" ref="T1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1">
        <f>Table1[[#This Row],[Term to Maturity (Years)]]*Table1[[#This Row],[Coupon Frequency2]]</f>
        <v>10</v>
      </c>
      <c r="V171">
        <f>Table1[[#This Row],[Face value]]*Table1[[#This Row],[Current coupon %]]</f>
        <v>77500</v>
      </c>
      <c r="W171" s="36">
        <f>RATE(Table1[[#This Row],[Total No. of Coupons]],Table1[[#This Row],[Coupon Amount]],-Table1[[#This Row],[Ask Price]],Table1[[#This Row],[Face value]])</f>
        <v>7.1200578246765137E-2</v>
      </c>
      <c r="X171" s="27">
        <f>Table1[[#This Row],[IRR]]*Table1[[#This Row],[Coupon Frequency2]]</f>
        <v>7.1200578246765137E-2</v>
      </c>
      <c r="Y171" s="19" cm="1">
        <f t="array" ref="Y1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1" s="33">
        <f>DURATION(Table1[[#This Row],[Issue date]],Table1[[#This Row],[Maturity date]],Table1[[#This Row],[Current coupon %]],Table1[[#This Row],[Yield (Annualised)]],Table1[[#This Row],[Coupon Frequency2]])</f>
        <v>7.3748247675002983</v>
      </c>
      <c r="AA171" s="33">
        <f>Table1[[#This Row],[Macaulay Duration in Years]]/(1+Table1[[#This Row],[IRR]])</f>
        <v>6.8846347894720896</v>
      </c>
      <c r="AB171" s="58">
        <f>VLOOKUP(Table1[[#This Row],[Yield Cluster]],'Cluster Details'!$B$3:$C$16,2,0)</f>
        <v>7.8548801574189142E-2</v>
      </c>
      <c r="AC171" s="78">
        <f>PRICE(Table1[[#This Row],[Issue date]],Table1[[#This Row],[Maturity date]],Table1[[#This Row],[Current coupon %]],Table1[[#This Row],[Average Cluster Yield]],100,Table1[[#This Row],[Coupon Frequency2]])*Table1[[#This Row],[Face value]]/100</f>
        <v>992916.15757592977</v>
      </c>
      <c r="AD171" s="58" t="str">
        <f>IF(Table1[[#This Row],[Ask Price]]&gt;Table1[[#This Row],[Calculated Bond Price]],"Rich","Cheap")</f>
        <v>Rich</v>
      </c>
      <c r="AE1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975302.72429117409</v>
      </c>
      <c r="AF1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1119285.7381223235</v>
      </c>
      <c r="AG171" s="78">
        <f>(Table1[[#This Row],[P (+ shock)]]+Table1[[#This Row],[P (-shock)]]-2*Table1[[#This Row],[Ask Price]])/(2*Table1[[#This Row],[Ask Price]]*($AF$2^2))</f>
        <v>31.553938761962328</v>
      </c>
      <c r="AH171">
        <v>12.6033650508534</v>
      </c>
      <c r="AI171" s="6">
        <f t="shared" si="9"/>
        <v>7.4233716475095787E-2</v>
      </c>
      <c r="AK171" s="47">
        <f>RATE(Table1[[#This Row],[Total No. of Coupons]],Table1[[#This Row],[Coupon Amount]],-Table1[[#This Row],[Ask Price]],Table1[[#This Row],[Face value]])</f>
        <v>7.1200578246765137E-2</v>
      </c>
      <c r="AL171" s="27">
        <f>Table1[[#This Row],[IRR]]*Table1[[#This Row],[Coupon Frequency2]]</f>
        <v>7.1200578246765137E-2</v>
      </c>
      <c r="AM171" s="5">
        <f t="shared" si="10"/>
        <v>-7187558.7202088619</v>
      </c>
      <c r="AN171" t="s">
        <v>64</v>
      </c>
      <c r="AO171" t="s">
        <v>62</v>
      </c>
      <c r="AP171">
        <f t="shared" si="11"/>
        <v>1</v>
      </c>
    </row>
    <row r="172" spans="1:42" x14ac:dyDescent="0.35">
      <c r="A172" s="48" t="s">
        <v>800</v>
      </c>
      <c r="B172" s="49" t="s">
        <v>2451</v>
      </c>
      <c r="C172" s="49" t="s">
        <v>2273</v>
      </c>
      <c r="D172" s="50">
        <v>41624</v>
      </c>
      <c r="E172" s="50">
        <v>47103</v>
      </c>
      <c r="F172" s="49">
        <v>1000</v>
      </c>
      <c r="G172" s="49" t="s">
        <v>76</v>
      </c>
      <c r="H172" s="49">
        <v>1145.05</v>
      </c>
      <c r="I172" s="49" t="s">
        <v>76</v>
      </c>
      <c r="J172" s="49">
        <v>114.505</v>
      </c>
      <c r="K172" s="49">
        <v>525</v>
      </c>
      <c r="L172" s="51">
        <v>8.7300000000000003E-2</v>
      </c>
      <c r="M172" s="49" t="s">
        <v>93</v>
      </c>
      <c r="N172" s="49">
        <v>1186</v>
      </c>
      <c r="O172" s="49">
        <v>7.6241212174140802</v>
      </c>
      <c r="P172" s="49" t="s">
        <v>2274</v>
      </c>
      <c r="Q172" s="49"/>
      <c r="R172" s="49" t="s">
        <v>2275</v>
      </c>
      <c r="S172">
        <f t="shared" si="8"/>
        <v>15</v>
      </c>
      <c r="T172" s="5" cm="1">
        <f t="array" ref="T1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2">
        <f>Table1[[#This Row],[Term to Maturity (Years)]]*Table1[[#This Row],[Coupon Frequency2]]</f>
        <v>15</v>
      </c>
      <c r="V172">
        <f>Table1[[#This Row],[Face value]]*Table1[[#This Row],[Current coupon %]]</f>
        <v>87.3</v>
      </c>
      <c r="W172" s="36">
        <f>RATE(Table1[[#This Row],[Total No. of Coupons]],Table1[[#This Row],[Coupon Amount]],-Table1[[#This Row],[Ask Price]],Table1[[#This Row],[Face value]])</f>
        <v>7.1248476977404551E-2</v>
      </c>
      <c r="X172" s="27">
        <f>Table1[[#This Row],[IRR]]*Table1[[#This Row],[Coupon Frequency2]]</f>
        <v>7.1248476977404551E-2</v>
      </c>
      <c r="Y172" s="19" cm="1">
        <f t="array" ref="Y1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2" s="33">
        <f>DURATION(Table1[[#This Row],[Issue date]],Table1[[#This Row],[Maturity date]],Table1[[#This Row],[Current coupon %]],Table1[[#This Row],[Yield (Annualised)]],Table1[[#This Row],[Coupon Frequency2]])</f>
        <v>9.3075910418977958</v>
      </c>
      <c r="AA172" s="33">
        <f>Table1[[#This Row],[Macaulay Duration in Years]]/(1+Table1[[#This Row],[IRR]])</f>
        <v>8.6885454140011991</v>
      </c>
      <c r="AB172" s="58">
        <f>VLOOKUP(Table1[[#This Row],[Yield Cluster]],'Cluster Details'!$B$3:$C$16,2,0)</f>
        <v>7.8548801574189142E-2</v>
      </c>
      <c r="AC172" s="78">
        <f>PRICE(Table1[[#This Row],[Issue date]],Table1[[#This Row],[Maturity date]],Table1[[#This Row],[Current coupon %]],Table1[[#This Row],[Average Cluster Yield]],100,Table1[[#This Row],[Coupon Frequency2]])*Table1[[#This Row],[Face value]]/100</f>
        <v>1075.5740299405343</v>
      </c>
      <c r="AD172" s="58" t="str">
        <f>IF(Table1[[#This Row],[Ask Price]]&gt;Table1[[#This Row],[Calculated Bond Price]],"Rich","Cheap")</f>
        <v>Rich</v>
      </c>
      <c r="AE1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1051.405344768518</v>
      </c>
      <c r="AF1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1250.9676069397187</v>
      </c>
      <c r="AG172" s="78">
        <f>(Table1[[#This Row],[P (+ shock)]]+Table1[[#This Row],[P (-shock)]]-2*Table1[[#This Row],[Ask Price]])/(2*Table1[[#This Row],[Ask Price]]*($AF$2^2))</f>
        <v>53.591335348834697</v>
      </c>
      <c r="AH172">
        <v>13.5233262558652</v>
      </c>
      <c r="AI172" s="6">
        <f t="shared" si="9"/>
        <v>7.6241212174140871E-2</v>
      </c>
      <c r="AK172" s="47">
        <f>RATE(Table1[[#This Row],[Total No. of Coupons]],Table1[[#This Row],[Coupon Amount]],-Table1[[#This Row],[Ask Price]],Table1[[#This Row],[Face value]])</f>
        <v>7.1248476977404551E-2</v>
      </c>
      <c r="AL172" s="27">
        <f>Table1[[#This Row],[IRR]]*Table1[[#This Row],[Coupon Frequency2]]</f>
        <v>7.1248476977404551E-2</v>
      </c>
      <c r="AM172" s="5">
        <f t="shared" si="10"/>
        <v>-9948.8189263020722</v>
      </c>
      <c r="AN172" t="s">
        <v>64</v>
      </c>
      <c r="AO172" t="s">
        <v>62</v>
      </c>
      <c r="AP172">
        <f t="shared" si="11"/>
        <v>1</v>
      </c>
    </row>
    <row r="173" spans="1:42" x14ac:dyDescent="0.35">
      <c r="A173" s="48" t="s">
        <v>1084</v>
      </c>
      <c r="B173" s="49" t="s">
        <v>2452</v>
      </c>
      <c r="C173" s="49" t="s">
        <v>2273</v>
      </c>
      <c r="D173" s="50">
        <v>44918</v>
      </c>
      <c r="E173" s="50">
        <v>46744</v>
      </c>
      <c r="F173" s="49">
        <v>1000</v>
      </c>
      <c r="G173" s="49" t="s">
        <v>76</v>
      </c>
      <c r="H173" s="49">
        <v>1025.02</v>
      </c>
      <c r="I173" s="49" t="s">
        <v>76</v>
      </c>
      <c r="J173" s="49">
        <v>102.502</v>
      </c>
      <c r="K173" s="49">
        <v>150</v>
      </c>
      <c r="L173" s="51">
        <v>7.7499999999999999E-2</v>
      </c>
      <c r="M173" s="49" t="s">
        <v>93</v>
      </c>
      <c r="N173" s="49">
        <v>827</v>
      </c>
      <c r="O173" s="49">
        <v>7.5608280814032804</v>
      </c>
      <c r="P173" s="49" t="s">
        <v>2285</v>
      </c>
      <c r="Q173" s="49"/>
      <c r="R173" s="49" t="s">
        <v>2275</v>
      </c>
      <c r="S173">
        <f t="shared" si="8"/>
        <v>5</v>
      </c>
      <c r="T173" s="5" cm="1">
        <f t="array" ref="T1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3">
        <f>Table1[[#This Row],[Term to Maturity (Years)]]*Table1[[#This Row],[Coupon Frequency2]]</f>
        <v>5</v>
      </c>
      <c r="V173">
        <f>Table1[[#This Row],[Face value]]*Table1[[#This Row],[Current coupon %]]</f>
        <v>77.5</v>
      </c>
      <c r="W173" s="36">
        <f>RATE(Table1[[#This Row],[Total No. of Coupons]],Table1[[#This Row],[Coupon Amount]],-Table1[[#This Row],[Ask Price]],Table1[[#This Row],[Face value]])</f>
        <v>7.1375366313370089E-2</v>
      </c>
      <c r="X173" s="27">
        <f>Table1[[#This Row],[IRR]]*Table1[[#This Row],[Coupon Frequency2]]</f>
        <v>7.1375366313370089E-2</v>
      </c>
      <c r="Y173" s="19" cm="1">
        <f t="array" ref="Y1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3" s="33">
        <f>DURATION(Table1[[#This Row],[Issue date]],Table1[[#This Row],[Maturity date]],Table1[[#This Row],[Current coupon %]],Table1[[#This Row],[Yield (Annualised)]],Table1[[#This Row],[Coupon Frequency2]])</f>
        <v>4.3397572438581591</v>
      </c>
      <c r="AA173" s="33">
        <f>Table1[[#This Row],[Macaulay Duration in Years]]/(1+Table1[[#This Row],[IRR]])</f>
        <v>4.0506412414459128</v>
      </c>
      <c r="AB173" s="58">
        <f>VLOOKUP(Table1[[#This Row],[Yield Cluster]],'Cluster Details'!$B$3:$C$16,2,0)</f>
        <v>7.8548801574189142E-2</v>
      </c>
      <c r="AC173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995.79637377957192</v>
      </c>
      <c r="AD173" s="58" t="str">
        <f>IF(Table1[[#This Row],[Ask Price]]&gt;Table1[[#This Row],[Calculated Bond Price]],"Rich","Cheap")</f>
        <v>Rich</v>
      </c>
      <c r="AE17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984.58271370899672</v>
      </c>
      <c r="AF17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1067.6694380029357</v>
      </c>
      <c r="AG173" s="78">
        <f>(Table1[[#This Row],[P (+ shock)]]+Table1[[#This Row],[P (-shock)]]-2*Table1[[#This Row],[Ask Price]])/(2*Table1[[#This Row],[Ask Price]]*($AF$2^2))</f>
        <v>10.790773408970653</v>
      </c>
      <c r="AH173">
        <v>5.3869816303432998</v>
      </c>
      <c r="AI173" s="6">
        <f t="shared" si="9"/>
        <v>7.5608280814032897E-2</v>
      </c>
      <c r="AK173" s="47">
        <f>RATE(Table1[[#This Row],[Total No. of Coupons]],Table1[[#This Row],[Coupon Amount]],-Table1[[#This Row],[Ask Price]],Table1[[#This Row],[Face value]])</f>
        <v>7.1375366313370089E-2</v>
      </c>
      <c r="AL173" s="27">
        <f>Table1[[#This Row],[IRR]]*Table1[[#This Row],[Coupon Frequency2]]</f>
        <v>7.1375366313370089E-2</v>
      </c>
      <c r="AM173" s="5">
        <f t="shared" si="10"/>
        <v>-4151.9882853068893</v>
      </c>
      <c r="AN173" t="s">
        <v>64</v>
      </c>
      <c r="AO173" t="s">
        <v>62</v>
      </c>
      <c r="AP173">
        <f t="shared" si="11"/>
        <v>1</v>
      </c>
    </row>
    <row r="174" spans="1:42" x14ac:dyDescent="0.35">
      <c r="A174" s="48" t="s">
        <v>1996</v>
      </c>
      <c r="B174" s="49" t="s">
        <v>2453</v>
      </c>
      <c r="C174" s="49" t="s">
        <v>2273</v>
      </c>
      <c r="D174" s="50">
        <v>45309</v>
      </c>
      <c r="E174" s="50">
        <v>46040</v>
      </c>
      <c r="F174" s="49">
        <v>1000</v>
      </c>
      <c r="G174" s="49" t="s">
        <v>76</v>
      </c>
      <c r="H174" s="49">
        <v>1041</v>
      </c>
      <c r="I174" s="49" t="s">
        <v>76</v>
      </c>
      <c r="J174" s="49">
        <v>104.1</v>
      </c>
      <c r="K174" s="49">
        <v>117</v>
      </c>
      <c r="L174" s="51">
        <v>9.4100000000000003E-2</v>
      </c>
      <c r="M174" s="49" t="s">
        <v>93</v>
      </c>
      <c r="N174" s="49">
        <v>123</v>
      </c>
      <c r="O174" s="49">
        <v>9.0393852065321791</v>
      </c>
      <c r="P174" s="49"/>
      <c r="Q174" s="49"/>
      <c r="R174" s="49" t="s">
        <v>2275</v>
      </c>
      <c r="S174">
        <f t="shared" si="8"/>
        <v>2</v>
      </c>
      <c r="T174" s="5" cm="1">
        <f t="array" ref="T1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4">
        <f>Table1[[#This Row],[Term to Maturity (Years)]]*Table1[[#This Row],[Coupon Frequency2]]</f>
        <v>2</v>
      </c>
      <c r="V174">
        <f>Table1[[#This Row],[Face value]]*Table1[[#This Row],[Current coupon %]]</f>
        <v>94.100000000000009</v>
      </c>
      <c r="W174" s="36">
        <f>RATE(Table1[[#This Row],[Total No. of Coupons]],Table1[[#This Row],[Coupon Amount]],-Table1[[#This Row],[Ask Price]],Table1[[#This Row],[Face value]])</f>
        <v>7.1379856925564381E-2</v>
      </c>
      <c r="X174" s="27">
        <f>Table1[[#This Row],[IRR]]*Table1[[#This Row],[Coupon Frequency2]]</f>
        <v>7.1379856925564381E-2</v>
      </c>
      <c r="Y174" s="19" cm="1">
        <f t="array" ref="Y1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4" s="33">
        <f>DURATION(Table1[[#This Row],[Issue date]],Table1[[#This Row],[Maturity date]],Table1[[#This Row],[Current coupon %]],Table1[[#This Row],[Yield (Annualised)]],Table1[[#This Row],[Coupon Frequency2]])</f>
        <v>1.9156285686341754</v>
      </c>
      <c r="AA174" s="33">
        <f>Table1[[#This Row],[Macaulay Duration in Years]]/(1+Table1[[#This Row],[IRR]])</f>
        <v>1.7880012922132682</v>
      </c>
      <c r="AB174" s="58">
        <f>VLOOKUP(Table1[[#This Row],[Yield Cluster]],'Cluster Details'!$B$3:$C$16,2,0)</f>
        <v>7.8548801574189142E-2</v>
      </c>
      <c r="AC174" s="78">
        <f>PRICE(Table1[[#This Row],[Issue date]],Table1[[#This Row],[Maturity date]],Table1[[#This Row],[Current coupon %]],Table1[[#This Row],[Average Cluster Yield]],100,Table1[[#This Row],[Coupon Frequency2]])*Table1[[#This Row],[Face value]]/100</f>
        <v>1027.787180823113</v>
      </c>
      <c r="AD174" s="58" t="str">
        <f>IF(Table1[[#This Row],[Ask Price]]&gt;Table1[[#This Row],[Calculated Bond Price]],"Rich","Cheap")</f>
        <v>Rich</v>
      </c>
      <c r="AE17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1022.6405405848004</v>
      </c>
      <c r="AF17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1059.8730716916657</v>
      </c>
      <c r="AG174" s="78">
        <f>(Table1[[#This Row],[P (+ shock)]]+Table1[[#This Row],[P (-shock)]]-2*Table1[[#This Row],[Ask Price]])/(2*Table1[[#This Row],[Ask Price]]*($AF$2^2))</f>
        <v>2.4669177544001899</v>
      </c>
      <c r="AI174" s="6">
        <f t="shared" si="9"/>
        <v>9.0393852065321814E-2</v>
      </c>
      <c r="AK174" s="47">
        <f>RATE(Table1[[#This Row],[Total No. of Coupons]],Table1[[#This Row],[Coupon Amount]],-Table1[[#This Row],[Ask Price]],Table1[[#This Row],[Face value]])</f>
        <v>7.1379856925564381E-2</v>
      </c>
      <c r="AL174" s="27">
        <f>Table1[[#This Row],[IRR]]*Table1[[#This Row],[Coupon Frequency2]]</f>
        <v>7.1379856925564381E-2</v>
      </c>
      <c r="AM174" s="5">
        <f t="shared" si="10"/>
        <v>-1861.3093451940122</v>
      </c>
      <c r="AN174" t="s">
        <v>64</v>
      </c>
      <c r="AO174" t="s">
        <v>62</v>
      </c>
      <c r="AP174">
        <f t="shared" si="11"/>
        <v>1</v>
      </c>
    </row>
    <row r="175" spans="1:42" x14ac:dyDescent="0.35">
      <c r="A175" s="48" t="s">
        <v>243</v>
      </c>
      <c r="B175" s="49" t="s">
        <v>2454</v>
      </c>
      <c r="C175" s="49" t="s">
        <v>2273</v>
      </c>
      <c r="D175" s="50">
        <v>44974</v>
      </c>
      <c r="E175" s="50">
        <v>48627</v>
      </c>
      <c r="F175" s="49">
        <v>100000</v>
      </c>
      <c r="G175" s="49" t="s">
        <v>76</v>
      </c>
      <c r="H175" s="49">
        <v>105734</v>
      </c>
      <c r="I175" s="49" t="s">
        <v>76</v>
      </c>
      <c r="J175" s="49">
        <v>105.73399999999999</v>
      </c>
      <c r="K175" s="49">
        <v>10</v>
      </c>
      <c r="L175" s="51">
        <v>7.9699999999999993E-2</v>
      </c>
      <c r="M175" s="49" t="s">
        <v>93</v>
      </c>
      <c r="N175" s="49">
        <v>2710</v>
      </c>
      <c r="O175" s="49">
        <v>7.5377834944294104</v>
      </c>
      <c r="P175" s="49" t="s">
        <v>2274</v>
      </c>
      <c r="Q175" s="49"/>
      <c r="R175" s="49" t="s">
        <v>2275</v>
      </c>
      <c r="S175">
        <f t="shared" si="8"/>
        <v>10</v>
      </c>
      <c r="T175" s="5" cm="1">
        <f t="array" ref="T1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5">
        <f>Table1[[#This Row],[Term to Maturity (Years)]]*Table1[[#This Row],[Coupon Frequency2]]</f>
        <v>10</v>
      </c>
      <c r="V175">
        <f>Table1[[#This Row],[Face value]]*Table1[[#This Row],[Current coupon %]]</f>
        <v>7969.9999999999991</v>
      </c>
      <c r="W175" s="36">
        <f>RATE(Table1[[#This Row],[Total No. of Coupons]],Table1[[#This Row],[Coupon Amount]],-Table1[[#This Row],[Ask Price]],Table1[[#This Row],[Face value]])</f>
        <v>7.1480127986138425E-2</v>
      </c>
      <c r="X175" s="27">
        <f>Table1[[#This Row],[IRR]]*Table1[[#This Row],[Coupon Frequency2]]</f>
        <v>7.1480127986138425E-2</v>
      </c>
      <c r="Y175" s="19" cm="1">
        <f t="array" ref="Y1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5" s="33">
        <f>DURATION(Table1[[#This Row],[Issue date]],Table1[[#This Row],[Maturity date]],Table1[[#This Row],[Current coupon %]],Table1[[#This Row],[Yield (Annualised)]],Table1[[#This Row],[Coupon Frequency2]])</f>
        <v>7.336690310922898</v>
      </c>
      <c r="AA175" s="33">
        <f>Table1[[#This Row],[Macaulay Duration in Years]]/(1+Table1[[#This Row],[IRR]])</f>
        <v>6.8472481376881049</v>
      </c>
      <c r="AB175" s="58">
        <f>VLOOKUP(Table1[[#This Row],[Yield Cluster]],'Cluster Details'!$B$3:$C$16,2,0)</f>
        <v>7.8548801574189142E-2</v>
      </c>
      <c r="AC175" s="78">
        <f>PRICE(Table1[[#This Row],[Issue date]],Table1[[#This Row],[Maturity date]],Table1[[#This Row],[Current coupon %]],Table1[[#This Row],[Average Cluster Yield]],100,Table1[[#This Row],[Coupon Frequency2]])*Table1[[#This Row],[Face value]]/100</f>
        <v>100777.54538589323</v>
      </c>
      <c r="AD175" s="58" t="str">
        <f>IF(Table1[[#This Row],[Ask Price]]&gt;Table1[[#This Row],[Calculated Bond Price]],"Rich","Cheap")</f>
        <v>Rich</v>
      </c>
      <c r="AE17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98813.453187492967</v>
      </c>
      <c r="AF17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113316.44655637871</v>
      </c>
      <c r="AG175" s="78">
        <f>(Table1[[#This Row],[P (+ shock)]]+Table1[[#This Row],[P (-shock)]]-2*Table1[[#This Row],[Ask Price]])/(2*Table1[[#This Row],[Ask Price]]*($AF$2^2))</f>
        <v>31.300231896630979</v>
      </c>
      <c r="AI175" s="6">
        <f t="shared" si="9"/>
        <v>7.5377834944294161E-2</v>
      </c>
      <c r="AK175" s="47">
        <f>RATE(Table1[[#This Row],[Total No. of Coupons]],Table1[[#This Row],[Coupon Amount]],-Table1[[#This Row],[Ask Price]],Table1[[#This Row],[Face value]])</f>
        <v>7.1480127986138425E-2</v>
      </c>
      <c r="AL175" s="27">
        <f>Table1[[#This Row],[IRR]]*Table1[[#This Row],[Coupon Frequency2]]</f>
        <v>7.1480127986138425E-2</v>
      </c>
      <c r="AM175" s="5">
        <f t="shared" si="10"/>
        <v>-723986.93459031405</v>
      </c>
      <c r="AN175" t="s">
        <v>64</v>
      </c>
      <c r="AO175" t="s">
        <v>62</v>
      </c>
      <c r="AP175">
        <f t="shared" si="11"/>
        <v>1</v>
      </c>
    </row>
    <row r="176" spans="1:42" x14ac:dyDescent="0.35">
      <c r="A176" s="48" t="s">
        <v>731</v>
      </c>
      <c r="B176" s="49" t="s">
        <v>2455</v>
      </c>
      <c r="C176" s="49" t="s">
        <v>2273</v>
      </c>
      <c r="D176" s="50">
        <v>41688</v>
      </c>
      <c r="E176" s="50">
        <v>47167</v>
      </c>
      <c r="F176" s="49">
        <v>1000</v>
      </c>
      <c r="G176" s="49" t="s">
        <v>76</v>
      </c>
      <c r="H176" s="49">
        <v>1135</v>
      </c>
      <c r="I176" s="49" t="s">
        <v>76</v>
      </c>
      <c r="J176" s="49">
        <v>113.5</v>
      </c>
      <c r="K176" s="49">
        <v>100</v>
      </c>
      <c r="L176" s="51">
        <v>8.6500000000000007E-2</v>
      </c>
      <c r="M176" s="49" t="s">
        <v>93</v>
      </c>
      <c r="N176" s="49">
        <v>1250</v>
      </c>
      <c r="O176" s="49">
        <v>7.6211453744493296</v>
      </c>
      <c r="P176" s="49" t="s">
        <v>2274</v>
      </c>
      <c r="Q176" s="49"/>
      <c r="R176" s="49" t="s">
        <v>2275</v>
      </c>
      <c r="S176">
        <f t="shared" si="8"/>
        <v>15</v>
      </c>
      <c r="T176" s="5" cm="1">
        <f t="array" ref="T1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6">
        <f>Table1[[#This Row],[Term to Maturity (Years)]]*Table1[[#This Row],[Coupon Frequency2]]</f>
        <v>15</v>
      </c>
      <c r="V176">
        <f>Table1[[#This Row],[Face value]]*Table1[[#This Row],[Current coupon %]]</f>
        <v>86.500000000000014</v>
      </c>
      <c r="W176" s="36">
        <f>RATE(Table1[[#This Row],[Total No. of Coupons]],Table1[[#This Row],[Coupon Amount]],-Table1[[#This Row],[Ask Price]],Table1[[#This Row],[Face value]])</f>
        <v>7.1533808823839737E-2</v>
      </c>
      <c r="X176" s="27">
        <f>Table1[[#This Row],[IRR]]*Table1[[#This Row],[Coupon Frequency2]]</f>
        <v>7.1533808823839737E-2</v>
      </c>
      <c r="Y176" s="19" cm="1">
        <f t="array" ref="Y1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6" s="33">
        <f>DURATION(Table1[[#This Row],[Issue date]],Table1[[#This Row],[Maturity date]],Table1[[#This Row],[Current coupon %]],Table1[[#This Row],[Yield (Annualised)]],Table1[[#This Row],[Coupon Frequency2]])</f>
        <v>9.3167690092342177</v>
      </c>
      <c r="AA176" s="33">
        <f>Table1[[#This Row],[Macaulay Duration in Years]]/(1+Table1[[#This Row],[IRR]])</f>
        <v>8.69479705867675</v>
      </c>
      <c r="AB176" s="58">
        <f>VLOOKUP(Table1[[#This Row],[Yield Cluster]],'Cluster Details'!$B$3:$C$16,2,0)</f>
        <v>7.8548801574189142E-2</v>
      </c>
      <c r="AC176" s="78">
        <f>PRICE(Table1[[#This Row],[Issue date]],Table1[[#This Row],[Maturity date]],Table1[[#This Row],[Current coupon %]],Table1[[#This Row],[Average Cluster Yield]],100,Table1[[#This Row],[Coupon Frequency2]])*Table1[[#This Row],[Face value]]/100</f>
        <v>1068.6653505790762</v>
      </c>
      <c r="AD176" s="58" t="str">
        <f>IF(Table1[[#This Row],[Ask Price]]&gt;Table1[[#This Row],[Calculated Bond Price]],"Rich","Cheap")</f>
        <v>Rich</v>
      </c>
      <c r="AE17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1042.1127816018623</v>
      </c>
      <c r="AF17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1240.0661794720206</v>
      </c>
      <c r="AG176" s="78">
        <f>(Table1[[#This Row],[P (+ shock)]]+Table1[[#This Row],[P (-shock)]]-2*Table1[[#This Row],[Ask Price]])/(2*Table1[[#This Row],[Ask Price]]*($AF$2^2))</f>
        <v>53.651810898162438</v>
      </c>
      <c r="AH176">
        <v>11.769276475158801</v>
      </c>
      <c r="AI176" s="6">
        <f t="shared" si="9"/>
        <v>7.621145374449341E-2</v>
      </c>
      <c r="AK176" s="47">
        <f>RATE(Table1[[#This Row],[Total No. of Coupons]],Table1[[#This Row],[Coupon Amount]],-Table1[[#This Row],[Ask Price]],Table1[[#This Row],[Face value]])</f>
        <v>7.1533808823839737E-2</v>
      </c>
      <c r="AL176" s="27">
        <f>Table1[[#This Row],[IRR]]*Table1[[#This Row],[Coupon Frequency2]]</f>
        <v>7.1533808823839737E-2</v>
      </c>
      <c r="AM176" s="5">
        <f t="shared" si="10"/>
        <v>-9868.594661598112</v>
      </c>
      <c r="AN176" t="s">
        <v>64</v>
      </c>
      <c r="AO176" t="s">
        <v>62</v>
      </c>
      <c r="AP176">
        <f t="shared" si="11"/>
        <v>1</v>
      </c>
    </row>
    <row r="177" spans="1:42" x14ac:dyDescent="0.35">
      <c r="A177" s="48" t="s">
        <v>764</v>
      </c>
      <c r="B177" s="49" t="s">
        <v>2456</v>
      </c>
      <c r="C177" s="49" t="s">
        <v>2273</v>
      </c>
      <c r="D177" s="50">
        <v>41661</v>
      </c>
      <c r="E177" s="50">
        <v>47140</v>
      </c>
      <c r="F177" s="49">
        <v>1000</v>
      </c>
      <c r="G177" s="49" t="s">
        <v>76</v>
      </c>
      <c r="H177" s="49">
        <v>1141.55</v>
      </c>
      <c r="I177" s="49" t="s">
        <v>76</v>
      </c>
      <c r="J177" s="49">
        <v>114.155</v>
      </c>
      <c r="K177" s="49">
        <v>275</v>
      </c>
      <c r="L177" s="51">
        <v>8.7300000000000003E-2</v>
      </c>
      <c r="M177" s="49" t="s">
        <v>93</v>
      </c>
      <c r="N177" s="49">
        <v>1223</v>
      </c>
      <c r="O177" s="49">
        <v>7.6474968244930102</v>
      </c>
      <c r="P177" s="49" t="s">
        <v>2282</v>
      </c>
      <c r="Q177" s="49"/>
      <c r="R177" s="49" t="s">
        <v>2275</v>
      </c>
      <c r="S177">
        <f t="shared" si="8"/>
        <v>15</v>
      </c>
      <c r="T177" s="5" cm="1">
        <f t="array" ref="T1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7">
        <f>Table1[[#This Row],[Term to Maturity (Years)]]*Table1[[#This Row],[Coupon Frequency2]]</f>
        <v>15</v>
      </c>
      <c r="V177">
        <f>Table1[[#This Row],[Face value]]*Table1[[#This Row],[Current coupon %]]</f>
        <v>87.3</v>
      </c>
      <c r="W177" s="36">
        <f>RATE(Table1[[#This Row],[Total No. of Coupons]],Table1[[#This Row],[Coupon Amount]],-Table1[[#This Row],[Ask Price]],Table1[[#This Row],[Face value]])</f>
        <v>7.1601041498276535E-2</v>
      </c>
      <c r="X177" s="27">
        <f>Table1[[#This Row],[IRR]]*Table1[[#This Row],[Coupon Frequency2]]</f>
        <v>7.1601041498276535E-2</v>
      </c>
      <c r="Y177" s="19" cm="1">
        <f t="array" ref="Y1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7" s="33">
        <f>DURATION(Table1[[#This Row],[Issue date]],Table1[[#This Row],[Maturity date]],Table1[[#This Row],[Current coupon %]],Table1[[#This Row],[Yield (Annualised)]],Table1[[#This Row],[Coupon Frequency2]])</f>
        <v>9.2987608783726188</v>
      </c>
      <c r="AA177" s="33">
        <f>Table1[[#This Row],[Macaulay Duration in Years]]/(1+Table1[[#This Row],[IRR]])</f>
        <v>8.6774466599728228</v>
      </c>
      <c r="AB177" s="58">
        <f>VLOOKUP(Table1[[#This Row],[Yield Cluster]],'Cluster Details'!$B$3:$C$16,2,0)</f>
        <v>7.8548801574189142E-2</v>
      </c>
      <c r="AC177" s="78">
        <f>PRICE(Table1[[#This Row],[Issue date]],Table1[[#This Row],[Maturity date]],Table1[[#This Row],[Current coupon %]],Table1[[#This Row],[Average Cluster Yield]],100,Table1[[#This Row],[Coupon Frequency2]])*Table1[[#This Row],[Face value]]/100</f>
        <v>1075.5740299405343</v>
      </c>
      <c r="AD177" s="58" t="str">
        <f>IF(Table1[[#This Row],[Ask Price]]&gt;Table1[[#This Row],[Calculated Bond Price]],"Rich","Cheap")</f>
        <v>Rich</v>
      </c>
      <c r="AE17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1048.3068416075864</v>
      </c>
      <c r="AF17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1247.0042583956813</v>
      </c>
      <c r="AG177" s="78">
        <f>(Table1[[#This Row],[P (+ shock)]]+Table1[[#This Row],[P (-shock)]]-2*Table1[[#This Row],[Ask Price]])/(2*Table1[[#This Row],[Ask Price]]*($AF$2^2))</f>
        <v>53.484735680731468</v>
      </c>
      <c r="AH177">
        <v>12.426686217008699</v>
      </c>
      <c r="AI177" s="6">
        <f t="shared" si="9"/>
        <v>7.6474968244930136E-2</v>
      </c>
      <c r="AK177" s="47">
        <f>RATE(Table1[[#This Row],[Total No. of Coupons]],Table1[[#This Row],[Coupon Amount]],-Table1[[#This Row],[Ask Price]],Table1[[#This Row],[Face value]])</f>
        <v>7.1601041498276535E-2</v>
      </c>
      <c r="AL177" s="27">
        <f>Table1[[#This Row],[IRR]]*Table1[[#This Row],[Coupon Frequency2]]</f>
        <v>7.1601041498276535E-2</v>
      </c>
      <c r="AM177" s="5">
        <f t="shared" si="10"/>
        <v>-9905.7392346919751</v>
      </c>
      <c r="AN177" t="s">
        <v>64</v>
      </c>
      <c r="AO177" t="s">
        <v>62</v>
      </c>
      <c r="AP177">
        <f t="shared" si="11"/>
        <v>1</v>
      </c>
    </row>
    <row r="178" spans="1:42" x14ac:dyDescent="0.35">
      <c r="A178" s="48" t="s">
        <v>1984</v>
      </c>
      <c r="B178" s="49" t="s">
        <v>2457</v>
      </c>
      <c r="C178" s="49" t="s">
        <v>2273</v>
      </c>
      <c r="D178" s="50">
        <v>44950</v>
      </c>
      <c r="E178" s="50">
        <v>46046</v>
      </c>
      <c r="F178" s="49">
        <v>1000</v>
      </c>
      <c r="G178" s="49" t="s">
        <v>76</v>
      </c>
      <c r="H178" s="49">
        <v>1041.2</v>
      </c>
      <c r="I178" s="49" t="s">
        <v>76</v>
      </c>
      <c r="J178" s="49">
        <v>104.12</v>
      </c>
      <c r="K178" s="49">
        <v>104</v>
      </c>
      <c r="L178" s="51">
        <v>8.7499999999999994E-2</v>
      </c>
      <c r="M178" s="49" t="s">
        <v>93</v>
      </c>
      <c r="N178" s="49">
        <v>129</v>
      </c>
      <c r="O178" s="49">
        <v>8.4037648866692205</v>
      </c>
      <c r="P178" s="49" t="s">
        <v>2279</v>
      </c>
      <c r="Q178" s="49"/>
      <c r="R178" s="49" t="s">
        <v>2275</v>
      </c>
      <c r="S178">
        <f t="shared" si="8"/>
        <v>3</v>
      </c>
      <c r="T178" s="5" cm="1">
        <f t="array" ref="T1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8">
        <f>Table1[[#This Row],[Term to Maturity (Years)]]*Table1[[#This Row],[Coupon Frequency2]]</f>
        <v>3</v>
      </c>
      <c r="V178">
        <f>Table1[[#This Row],[Face value]]*Table1[[#This Row],[Current coupon %]]</f>
        <v>87.5</v>
      </c>
      <c r="W178" s="36">
        <f>RATE(Table1[[#This Row],[Total No. of Coupons]],Table1[[#This Row],[Coupon Amount]],-Table1[[#This Row],[Ask Price]],Table1[[#This Row],[Face value]])</f>
        <v>7.175043792132875E-2</v>
      </c>
      <c r="X178" s="27">
        <f>Table1[[#This Row],[IRR]]*Table1[[#This Row],[Coupon Frequency2]]</f>
        <v>7.175043792132875E-2</v>
      </c>
      <c r="Y178" s="19" cm="1">
        <f t="array" ref="Y1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8" s="33">
        <f>DURATION(Table1[[#This Row],[Issue date]],Table1[[#This Row],[Maturity date]],Table1[[#This Row],[Current coupon %]],Table1[[#This Row],[Yield (Annualised)]],Table1[[#This Row],[Coupon Frequency2]])</f>
        <v>2.7700146671924788</v>
      </c>
      <c r="AA178" s="33">
        <f>Table1[[#This Row],[Macaulay Duration in Years]]/(1+Table1[[#This Row],[IRR]])</f>
        <v>2.5845705951517512</v>
      </c>
      <c r="AB178" s="58">
        <f>VLOOKUP(Table1[[#This Row],[Yield Cluster]],'Cluster Details'!$B$3:$C$16,2,0)</f>
        <v>7.8548801574189142E-2</v>
      </c>
      <c r="AC178" s="78">
        <f>PRICE(Table1[[#This Row],[Issue date]],Table1[[#This Row],[Maturity date]],Table1[[#This Row],[Current coupon %]],Table1[[#This Row],[Average Cluster Yield]],100,Table1[[#This Row],[Coupon Frequency2]])*Table1[[#This Row],[Face value]]/100</f>
        <v>1023.1286448175357</v>
      </c>
      <c r="AD178" s="58" t="str">
        <f>IF(Table1[[#This Row],[Ask Price]]&gt;Table1[[#This Row],[Calculated Bond Price]],"Rich","Cheap")</f>
        <v>Rich</v>
      </c>
      <c r="AE17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1014.7705038765856</v>
      </c>
      <c r="AF17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1068.6065838131572</v>
      </c>
      <c r="AG178" s="78">
        <f>(Table1[[#This Row],[P (+ shock)]]+Table1[[#This Row],[P (-shock)]]-2*Table1[[#This Row],[Ask Price]])/(2*Table1[[#This Row],[Ask Price]]*($AF$2^2))</f>
        <v>4.6921229818613259</v>
      </c>
      <c r="AH178">
        <v>11.3759908882439</v>
      </c>
      <c r="AI178" s="6">
        <f t="shared" si="9"/>
        <v>8.403764886669228E-2</v>
      </c>
      <c r="AK178" s="47">
        <f>RATE(Table1[[#This Row],[Total No. of Coupons]],Table1[[#This Row],[Coupon Amount]],-Table1[[#This Row],[Ask Price]],Table1[[#This Row],[Face value]])</f>
        <v>7.175043792132875E-2</v>
      </c>
      <c r="AL178" s="27">
        <f>Table1[[#This Row],[IRR]]*Table1[[#This Row],[Coupon Frequency2]]</f>
        <v>7.175043792132875E-2</v>
      </c>
      <c r="AM178" s="5">
        <f t="shared" si="10"/>
        <v>-2691.0549036720035</v>
      </c>
      <c r="AN178" t="s">
        <v>64</v>
      </c>
      <c r="AO178" t="s">
        <v>62</v>
      </c>
      <c r="AP178">
        <f t="shared" si="11"/>
        <v>1</v>
      </c>
    </row>
    <row r="179" spans="1:42" x14ac:dyDescent="0.35">
      <c r="A179" s="48" t="s">
        <v>707</v>
      </c>
      <c r="B179" s="49" t="s">
        <v>2458</v>
      </c>
      <c r="C179" s="49" t="s">
        <v>2273</v>
      </c>
      <c r="D179" s="50">
        <v>41724</v>
      </c>
      <c r="E179" s="50">
        <v>47203</v>
      </c>
      <c r="F179" s="49">
        <v>1000</v>
      </c>
      <c r="G179" s="49" t="s">
        <v>76</v>
      </c>
      <c r="H179" s="49">
        <v>1130</v>
      </c>
      <c r="I179" s="49" t="s">
        <v>76</v>
      </c>
      <c r="J179" s="49">
        <v>112.99999999999901</v>
      </c>
      <c r="K179" s="49">
        <v>570</v>
      </c>
      <c r="L179" s="51">
        <v>8.6300000000000002E-2</v>
      </c>
      <c r="M179" s="49" t="s">
        <v>93</v>
      </c>
      <c r="N179" s="49">
        <v>1286</v>
      </c>
      <c r="O179" s="49">
        <v>7.6371681415929196</v>
      </c>
      <c r="P179" s="49" t="s">
        <v>2274</v>
      </c>
      <c r="Q179" s="49"/>
      <c r="R179" s="49" t="s">
        <v>2275</v>
      </c>
      <c r="S179">
        <f t="shared" si="8"/>
        <v>15</v>
      </c>
      <c r="T179" s="5" cm="1">
        <f t="array" ref="T1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79">
        <f>Table1[[#This Row],[Term to Maturity (Years)]]*Table1[[#This Row],[Coupon Frequency2]]</f>
        <v>15</v>
      </c>
      <c r="V179">
        <f>Table1[[#This Row],[Face value]]*Table1[[#This Row],[Current coupon %]]</f>
        <v>86.3</v>
      </c>
      <c r="W179" s="36">
        <f>RATE(Table1[[#This Row],[Total No. of Coupons]],Table1[[#This Row],[Coupon Amount]],-Table1[[#This Row],[Ask Price]],Table1[[#This Row],[Face value]])</f>
        <v>7.1858679344296197E-2</v>
      </c>
      <c r="X179" s="27">
        <f>Table1[[#This Row],[IRR]]*Table1[[#This Row],[Coupon Frequency2]]</f>
        <v>7.1858679344296197E-2</v>
      </c>
      <c r="Y179" s="19" cm="1">
        <f t="array" ref="Y1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79" s="33">
        <f>DURATION(Table1[[#This Row],[Issue date]],Table1[[#This Row],[Maturity date]],Table1[[#This Row],[Current coupon %]],Table1[[#This Row],[Yield (Annualised)]],Table1[[#This Row],[Coupon Frequency2]])</f>
        <v>9.3127397293557017</v>
      </c>
      <c r="AA179" s="33">
        <f>Table1[[#This Row],[Macaulay Duration in Years]]/(1+Table1[[#This Row],[IRR]])</f>
        <v>8.6884025933835982</v>
      </c>
      <c r="AB179" s="58">
        <f>VLOOKUP(Table1[[#This Row],[Yield Cluster]],'Cluster Details'!$B$3:$C$16,2,0)</f>
        <v>7.8548801574189142E-2</v>
      </c>
      <c r="AC179" s="78">
        <f>PRICE(Table1[[#This Row],[Issue date]],Table1[[#This Row],[Maturity date]],Table1[[#This Row],[Current coupon %]],Table1[[#This Row],[Average Cluster Yield]],100,Table1[[#This Row],[Coupon Frequency2]])*Table1[[#This Row],[Face value]]/100</f>
        <v>1066.9381807387115</v>
      </c>
      <c r="AD179" s="58" t="str">
        <f>IF(Table1[[#This Row],[Ask Price]]&gt;Table1[[#This Row],[Calculated Bond Price]],"Rich","Cheap")</f>
        <v>Rich</v>
      </c>
      <c r="AE17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1037.5877265185104</v>
      </c>
      <c r="AF17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1234.5237206037236</v>
      </c>
      <c r="AG179" s="78">
        <f>(Table1[[#This Row],[P (+ shock)]]+Table1[[#This Row],[P (-shock)]]-2*Table1[[#This Row],[Ask Price]])/(2*Table1[[#This Row],[Ask Price]]*($AF$2^2))</f>
        <v>53.590473992186013</v>
      </c>
      <c r="AI179" s="6">
        <f t="shared" si="9"/>
        <v>7.6371681415929205E-2</v>
      </c>
      <c r="AK179" s="47">
        <f>RATE(Table1[[#This Row],[Total No. of Coupons]],Table1[[#This Row],[Coupon Amount]],-Table1[[#This Row],[Ask Price]],Table1[[#This Row],[Face value]])</f>
        <v>7.1858679344296197E-2</v>
      </c>
      <c r="AL179" s="27">
        <f>Table1[[#This Row],[IRR]]*Table1[[#This Row],[Coupon Frequency2]]</f>
        <v>7.1858679344296197E-2</v>
      </c>
      <c r="AM179" s="5">
        <f t="shared" si="10"/>
        <v>-9817.8949305234655</v>
      </c>
      <c r="AN179" t="s">
        <v>64</v>
      </c>
      <c r="AO179" t="s">
        <v>62</v>
      </c>
      <c r="AP179">
        <f t="shared" si="11"/>
        <v>1</v>
      </c>
    </row>
    <row r="180" spans="1:42" x14ac:dyDescent="0.35">
      <c r="A180" s="48" t="s">
        <v>1476</v>
      </c>
      <c r="B180" s="49" t="s">
        <v>2459</v>
      </c>
      <c r="C180" s="49" t="s">
        <v>2273</v>
      </c>
      <c r="D180" s="50">
        <v>45652</v>
      </c>
      <c r="E180" s="50">
        <v>46382</v>
      </c>
      <c r="F180" s="49">
        <v>1000</v>
      </c>
      <c r="G180" s="49" t="s">
        <v>76</v>
      </c>
      <c r="H180" s="49">
        <v>1030</v>
      </c>
      <c r="I180" s="49" t="s">
        <v>76</v>
      </c>
      <c r="J180" s="49">
        <v>103</v>
      </c>
      <c r="K180" s="49">
        <v>20</v>
      </c>
      <c r="L180" s="51">
        <v>8.8499999999999995E-2</v>
      </c>
      <c r="M180" s="49" t="s">
        <v>93</v>
      </c>
      <c r="N180" s="49">
        <v>465</v>
      </c>
      <c r="O180" s="49">
        <v>8.5922330097087301</v>
      </c>
      <c r="P180" s="49"/>
      <c r="Q180" s="49"/>
      <c r="R180" s="49" t="s">
        <v>2275</v>
      </c>
      <c r="S180">
        <f t="shared" si="8"/>
        <v>2</v>
      </c>
      <c r="T180" s="5" cm="1">
        <f t="array" ref="T1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0">
        <f>Table1[[#This Row],[Term to Maturity (Years)]]*Table1[[#This Row],[Coupon Frequency2]]</f>
        <v>2</v>
      </c>
      <c r="V180">
        <f>Table1[[#This Row],[Face value]]*Table1[[#This Row],[Current coupon %]]</f>
        <v>88.5</v>
      </c>
      <c r="W180" s="36">
        <f>RATE(Table1[[#This Row],[Total No. of Coupons]],Table1[[#This Row],[Coupon Amount]],-Table1[[#This Row],[Ask Price]],Table1[[#This Row],[Face value]])</f>
        <v>7.186435690246544E-2</v>
      </c>
      <c r="X180" s="27">
        <f>Table1[[#This Row],[IRR]]*Table1[[#This Row],[Coupon Frequency2]]</f>
        <v>7.186435690246544E-2</v>
      </c>
      <c r="Y180" s="19" cm="1">
        <f t="array" ref="Y1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0" s="33">
        <f>DURATION(Table1[[#This Row],[Issue date]],Table1[[#This Row],[Maturity date]],Table1[[#This Row],[Current coupon %]],Table1[[#This Row],[Yield (Annualised)]],Table1[[#This Row],[Coupon Frequency2]])</f>
        <v>1.9198384296074635</v>
      </c>
      <c r="AA180" s="33">
        <f>Table1[[#This Row],[Macaulay Duration in Years]]/(1+Table1[[#This Row],[IRR]])</f>
        <v>1.7911206928790147</v>
      </c>
      <c r="AB180" s="58">
        <f>VLOOKUP(Table1[[#This Row],[Yield Cluster]],'Cluster Details'!$B$3:$C$16,2,0)</f>
        <v>7.8548801574189142E-2</v>
      </c>
      <c r="AC180" s="78">
        <f>PRICE(Table1[[#This Row],[Issue date]],Table1[[#This Row],[Maturity date]],Table1[[#This Row],[Current coupon %]],Table1[[#This Row],[Average Cluster Yield]],100,Table1[[#This Row],[Coupon Frequency2]])*Table1[[#This Row],[Face value]]/100</f>
        <v>1017.7809929815918</v>
      </c>
      <c r="AD180" s="58" t="str">
        <f>IF(Table1[[#This Row],[Ask Price]]&gt;Table1[[#This Row],[Calculated Bond Price]],"Rich","Cheap")</f>
        <v>Rich</v>
      </c>
      <c r="AE18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1011.8029297821931</v>
      </c>
      <c r="AF18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1048.7063058417825</v>
      </c>
      <c r="AG180" s="78">
        <f>(Table1[[#This Row],[P (+ shock)]]+Table1[[#This Row],[P (-shock)]]-2*Table1[[#This Row],[Ask Price]])/(2*Table1[[#This Row],[Ask Price]]*($AF$2^2))</f>
        <v>2.4720175921148324</v>
      </c>
      <c r="AI180" s="6">
        <f t="shared" si="9"/>
        <v>8.5922330097087385E-2</v>
      </c>
      <c r="AK180" s="47">
        <f>RATE(Table1[[#This Row],[Total No. of Coupons]],Table1[[#This Row],[Coupon Amount]],-Table1[[#This Row],[Ask Price]],Table1[[#This Row],[Face value]])</f>
        <v>7.186435690246544E-2</v>
      </c>
      <c r="AL180" s="27">
        <f>Table1[[#This Row],[IRR]]*Table1[[#This Row],[Coupon Frequency2]]</f>
        <v>7.186435690246544E-2</v>
      </c>
      <c r="AM180" s="5">
        <f t="shared" si="10"/>
        <v>-1844.854313665385</v>
      </c>
      <c r="AN180" t="s">
        <v>64</v>
      </c>
      <c r="AO180" t="s">
        <v>62</v>
      </c>
      <c r="AP180">
        <f t="shared" si="11"/>
        <v>1</v>
      </c>
    </row>
    <row r="181" spans="1:42" x14ac:dyDescent="0.35">
      <c r="A181" s="48" t="s">
        <v>1586</v>
      </c>
      <c r="B181" s="49" t="s">
        <v>2460</v>
      </c>
      <c r="C181" s="49" t="s">
        <v>2273</v>
      </c>
      <c r="D181" s="50">
        <v>42647</v>
      </c>
      <c r="E181" s="50">
        <v>46296</v>
      </c>
      <c r="F181" s="49">
        <v>1000000</v>
      </c>
      <c r="G181" s="49" t="s">
        <v>76</v>
      </c>
      <c r="H181" s="49">
        <v>1066088</v>
      </c>
      <c r="I181" s="49" t="s">
        <v>76</v>
      </c>
      <c r="J181" s="49">
        <v>106.60879999999899</v>
      </c>
      <c r="K181" s="49">
        <v>2</v>
      </c>
      <c r="L181" s="51">
        <v>8.1500000000000003E-2</v>
      </c>
      <c r="M181" s="49" t="s">
        <v>93</v>
      </c>
      <c r="N181" s="49">
        <v>379</v>
      </c>
      <c r="O181" s="49">
        <v>7.6447722889667604</v>
      </c>
      <c r="P181" s="49" t="s">
        <v>2274</v>
      </c>
      <c r="Q181" s="49"/>
      <c r="R181" s="49" t="s">
        <v>2275</v>
      </c>
      <c r="S181">
        <f t="shared" si="8"/>
        <v>10</v>
      </c>
      <c r="T181" s="5" cm="1">
        <f t="array" ref="T1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1">
        <f>Table1[[#This Row],[Term to Maturity (Years)]]*Table1[[#This Row],[Coupon Frequency2]]</f>
        <v>10</v>
      </c>
      <c r="V181">
        <f>Table1[[#This Row],[Face value]]*Table1[[#This Row],[Current coupon %]]</f>
        <v>81500</v>
      </c>
      <c r="W181" s="36">
        <f>RATE(Table1[[#This Row],[Total No. of Coupons]],Table1[[#This Row],[Coupon Amount]],-Table1[[#This Row],[Ask Price]],Table1[[#This Row],[Face value]])</f>
        <v>7.2003236043913982E-2</v>
      </c>
      <c r="X181" s="27">
        <f>Table1[[#This Row],[IRR]]*Table1[[#This Row],[Coupon Frequency2]]</f>
        <v>7.2003236043913982E-2</v>
      </c>
      <c r="Y181" s="19" cm="1">
        <f t="array" ref="Y1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1" s="33">
        <f>DURATION(Table1[[#This Row],[Issue date]],Table1[[#This Row],[Maturity date]],Table1[[#This Row],[Current coupon %]],Table1[[#This Row],[Yield (Annualised)]],Table1[[#This Row],[Coupon Frequency2]])</f>
        <v>7.2949593191960158</v>
      </c>
      <c r="AA181" s="33">
        <f>Table1[[#This Row],[Macaulay Duration in Years]]/(1+Table1[[#This Row],[IRR]])</f>
        <v>6.8049788227478656</v>
      </c>
      <c r="AB181" s="58">
        <f>VLOOKUP(Table1[[#This Row],[Yield Cluster]],'Cluster Details'!$B$3:$C$16,2,0)</f>
        <v>7.8548801574189142E-2</v>
      </c>
      <c r="AC181" s="78">
        <f>PRICE(Table1[[#This Row],[Issue date]],Table1[[#This Row],[Maturity date]],Table1[[#This Row],[Current coupon %]],Table1[[#This Row],[Average Cluster Yield]],100,Table1[[#This Row],[Coupon Frequency2]])*Table1[[#This Row],[Face value]]/100</f>
        <v>1019896.7932969966</v>
      </c>
      <c r="AD181" s="58" t="str">
        <f>IF(Table1[[#This Row],[Ask Price]]&gt;Table1[[#This Row],[Calculated Bond Price]],"Rich","Cheap")</f>
        <v>Rich</v>
      </c>
      <c r="AE18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996629.17978149443</v>
      </c>
      <c r="AF18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1142039.2813258988</v>
      </c>
      <c r="AG181" s="78">
        <f>(Table1[[#This Row],[P (+ shock)]]+Table1[[#This Row],[P (-shock)]]-2*Table1[[#This Row],[Ask Price]])/(2*Table1[[#This Row],[Ask Price]]*($AF$2^2))</f>
        <v>30.449930528217468</v>
      </c>
      <c r="AH181">
        <v>9.6715476916819192</v>
      </c>
      <c r="AI181" s="6">
        <f t="shared" si="9"/>
        <v>7.6447722889667641E-2</v>
      </c>
      <c r="AK181" s="47">
        <f>RATE(Table1[[#This Row],[Total No. of Coupons]],Table1[[#This Row],[Coupon Amount]],-Table1[[#This Row],[Ask Price]],Table1[[#This Row],[Face value]])</f>
        <v>7.2003236043913982E-2</v>
      </c>
      <c r="AL181" s="27">
        <f>Table1[[#This Row],[IRR]]*Table1[[#This Row],[Coupon Frequency2]]</f>
        <v>7.2003236043913982E-2</v>
      </c>
      <c r="AM181" s="5">
        <f t="shared" si="10"/>
        <v>-7254706.2631856268</v>
      </c>
      <c r="AN181" t="s">
        <v>64</v>
      </c>
      <c r="AO181" t="s">
        <v>62</v>
      </c>
      <c r="AP181">
        <f t="shared" si="11"/>
        <v>1</v>
      </c>
    </row>
    <row r="182" spans="1:42" x14ac:dyDescent="0.35">
      <c r="A182" s="48" t="s">
        <v>2057</v>
      </c>
      <c r="B182" s="49" t="s">
        <v>2461</v>
      </c>
      <c r="C182" s="49" t="s">
        <v>2273</v>
      </c>
      <c r="D182" s="50">
        <v>45274</v>
      </c>
      <c r="E182" s="50">
        <v>46003</v>
      </c>
      <c r="F182" s="49">
        <v>1000</v>
      </c>
      <c r="G182" s="49" t="s">
        <v>76</v>
      </c>
      <c r="H182" s="49">
        <v>1082</v>
      </c>
      <c r="I182" s="49" t="s">
        <v>76</v>
      </c>
      <c r="J182" s="49">
        <v>108.2</v>
      </c>
      <c r="K182" s="49">
        <v>1</v>
      </c>
      <c r="L182" s="51">
        <v>0.11749999999999999</v>
      </c>
      <c r="M182" s="49" t="s">
        <v>93</v>
      </c>
      <c r="N182" s="49">
        <v>86</v>
      </c>
      <c r="O182" s="49">
        <v>10.859519408502701</v>
      </c>
      <c r="P182" s="49"/>
      <c r="Q182" s="49"/>
      <c r="R182" s="49" t="s">
        <v>2275</v>
      </c>
      <c r="S182">
        <f t="shared" si="8"/>
        <v>2</v>
      </c>
      <c r="T182" s="5" cm="1">
        <f t="array" ref="T1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2">
        <f>Table1[[#This Row],[Term to Maturity (Years)]]*Table1[[#This Row],[Coupon Frequency2]]</f>
        <v>2</v>
      </c>
      <c r="V182">
        <f>Table1[[#This Row],[Face value]]*Table1[[#This Row],[Current coupon %]]</f>
        <v>117.5</v>
      </c>
      <c r="W182" s="36">
        <f>RATE(Table1[[#This Row],[Total No. of Coupons]],Table1[[#This Row],[Coupon Amount]],-Table1[[#This Row],[Ask Price]],Table1[[#This Row],[Face value]])</f>
        <v>7.201948482647097E-2</v>
      </c>
      <c r="X182" s="27">
        <f>Table1[[#This Row],[IRR]]*Table1[[#This Row],[Coupon Frequency2]]</f>
        <v>7.201948482647097E-2</v>
      </c>
      <c r="Y182" s="19" cm="1">
        <f t="array" ref="Y1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2" s="33">
        <f>DURATION(Table1[[#This Row],[Issue date]],Table1[[#This Row],[Maturity date]],Table1[[#This Row],[Current coupon %]],Table1[[#This Row],[Yield (Annualised)]],Table1[[#This Row],[Coupon Frequency2]])</f>
        <v>1.8931447986617873</v>
      </c>
      <c r="AA182" s="33">
        <f>Table1[[#This Row],[Macaulay Duration in Years]]/(1+Table1[[#This Row],[IRR]])</f>
        <v>1.765961183968809</v>
      </c>
      <c r="AB182" s="58">
        <f>VLOOKUP(Table1[[#This Row],[Yield Cluster]],'Cluster Details'!$B$3:$C$16,2,0)</f>
        <v>7.8548801574189142E-2</v>
      </c>
      <c r="AC182" s="78">
        <f>PRICE(Table1[[#This Row],[Issue date]],Table1[[#This Row],[Maturity date]],Table1[[#This Row],[Current coupon %]],Table1[[#This Row],[Average Cluster Yield]],100,Table1[[#This Row],[Coupon Frequency2]])*Table1[[#This Row],[Face value]]/100</f>
        <v>1069.3953971994576</v>
      </c>
      <c r="AD182" s="58" t="str">
        <f>IF(Table1[[#This Row],[Ask Price]]&gt;Table1[[#This Row],[Calculated Bond Price]],"Rich","Cheap")</f>
        <v>Rich</v>
      </c>
      <c r="AE18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1062.9092911137832</v>
      </c>
      <c r="AF18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1101.1459145779697</v>
      </c>
      <c r="AG182" s="78">
        <f>(Table1[[#This Row],[P (+ shock)]]+Table1[[#This Row],[P (-shock)]]-2*Table1[[#This Row],[Ask Price]])/(2*Table1[[#This Row],[Ask Price]]*($AF$2^2))</f>
        <v>0.25510948129918898</v>
      </c>
      <c r="AH182">
        <v>4.5575694713416297</v>
      </c>
      <c r="AI182" s="6">
        <f t="shared" si="9"/>
        <v>0.10859519408502773</v>
      </c>
      <c r="AK182" s="47">
        <f>RATE(Table1[[#This Row],[Total No. of Coupons]],Table1[[#This Row],[Coupon Amount]],-Table1[[#This Row],[Ask Price]],Table1[[#This Row],[Face value]])</f>
        <v>7.201948482647097E-2</v>
      </c>
      <c r="AL182" s="27">
        <f>Table1[[#This Row],[IRR]]*Table1[[#This Row],[Coupon Frequency2]]</f>
        <v>7.201948482647097E-2</v>
      </c>
      <c r="AM182" s="5">
        <f t="shared" si="10"/>
        <v>-1910.7700010542512</v>
      </c>
      <c r="AN182" t="s">
        <v>64</v>
      </c>
      <c r="AO182" t="s">
        <v>62</v>
      </c>
      <c r="AP182">
        <f t="shared" si="11"/>
        <v>1</v>
      </c>
    </row>
    <row r="183" spans="1:42" x14ac:dyDescent="0.35">
      <c r="A183" s="48" t="s">
        <v>1557</v>
      </c>
      <c r="B183" s="49" t="s">
        <v>2462</v>
      </c>
      <c r="C183" s="49" t="s">
        <v>2273</v>
      </c>
      <c r="D183" s="50">
        <v>45225</v>
      </c>
      <c r="E183" s="50">
        <v>46321</v>
      </c>
      <c r="F183" s="49">
        <v>1000</v>
      </c>
      <c r="G183" s="49" t="s">
        <v>76</v>
      </c>
      <c r="H183" s="49">
        <v>1062</v>
      </c>
      <c r="I183" s="49" t="s">
        <v>76</v>
      </c>
      <c r="J183" s="49">
        <v>106.2</v>
      </c>
      <c r="K183" s="49">
        <v>15</v>
      </c>
      <c r="L183" s="51">
        <v>9.6000000000000002E-2</v>
      </c>
      <c r="M183" s="49" t="s">
        <v>93</v>
      </c>
      <c r="N183" s="49">
        <v>404</v>
      </c>
      <c r="O183" s="49">
        <v>9.0395480225988702</v>
      </c>
      <c r="P183" s="49"/>
      <c r="Q183" s="49"/>
      <c r="R183" s="49" t="s">
        <v>2275</v>
      </c>
      <c r="S183">
        <f t="shared" si="8"/>
        <v>3</v>
      </c>
      <c r="T183" s="5" cm="1">
        <f t="array" ref="T1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3">
        <f>Table1[[#This Row],[Term to Maturity (Years)]]*Table1[[#This Row],[Coupon Frequency2]]</f>
        <v>3</v>
      </c>
      <c r="V183">
        <f>Table1[[#This Row],[Face value]]*Table1[[#This Row],[Current coupon %]]</f>
        <v>96</v>
      </c>
      <c r="W183" s="36">
        <f>RATE(Table1[[#This Row],[Total No. of Coupons]],Table1[[#This Row],[Coupon Amount]],-Table1[[#This Row],[Ask Price]],Table1[[#This Row],[Face value]])</f>
        <v>7.2276470741107046E-2</v>
      </c>
      <c r="X183" s="27">
        <f>Table1[[#This Row],[IRR]]*Table1[[#This Row],[Coupon Frequency2]]</f>
        <v>7.2276470741107046E-2</v>
      </c>
      <c r="Y183" s="19" cm="1">
        <f t="array" ref="Y1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3" s="33">
        <f>DURATION(Table1[[#This Row],[Issue date]],Table1[[#This Row],[Maturity date]],Table1[[#This Row],[Current coupon %]],Table1[[#This Row],[Yield (Annualised)]],Table1[[#This Row],[Coupon Frequency2]])</f>
        <v>2.7527751769754305</v>
      </c>
      <c r="AA183" s="33">
        <f>Table1[[#This Row],[Macaulay Duration in Years]]/(1+Table1[[#This Row],[IRR]])</f>
        <v>2.5672251999270692</v>
      </c>
      <c r="AB183" s="58">
        <f>VLOOKUP(Table1[[#This Row],[Yield Cluster]],'Cluster Details'!$B$3:$C$16,2,0)</f>
        <v>7.8548801574189142E-2</v>
      </c>
      <c r="AC183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1045.0914560073952</v>
      </c>
      <c r="AD183" s="58" t="str">
        <f>IF(Table1[[#This Row],[Ask Price]]&gt;Table1[[#This Row],[Calculated Bond Price]],"Rich","Cheap")</f>
        <v>Rich</v>
      </c>
      <c r="AE18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1035.2220934911131</v>
      </c>
      <c r="AF18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1089.7650676265107</v>
      </c>
      <c r="AG183" s="78">
        <f>(Table1[[#This Row],[P (+ shock)]]+Table1[[#This Row],[P (-shock)]]-2*Table1[[#This Row],[Ask Price]])/(2*Table1[[#This Row],[Ask Price]]*($AF$2^2))</f>
        <v>4.6476512129192793</v>
      </c>
      <c r="AI183" s="6">
        <f t="shared" si="9"/>
        <v>9.03954802259887E-2</v>
      </c>
      <c r="AK183" s="47">
        <f>RATE(Table1[[#This Row],[Total No. of Coupons]],Table1[[#This Row],[Coupon Amount]],-Table1[[#This Row],[Ask Price]],Table1[[#This Row],[Face value]])</f>
        <v>7.2276470741107046E-2</v>
      </c>
      <c r="AL183" s="27">
        <f>Table1[[#This Row],[IRR]]*Table1[[#This Row],[Coupon Frequency2]]</f>
        <v>7.2276470741107046E-2</v>
      </c>
      <c r="AM183" s="5">
        <f t="shared" si="10"/>
        <v>-2726.3931623225476</v>
      </c>
      <c r="AN183" t="s">
        <v>64</v>
      </c>
      <c r="AO183" t="s">
        <v>62</v>
      </c>
      <c r="AP183">
        <f t="shared" si="11"/>
        <v>1</v>
      </c>
    </row>
    <row r="184" spans="1:42" x14ac:dyDescent="0.35">
      <c r="A184" s="48" t="s">
        <v>315</v>
      </c>
      <c r="B184" s="49" t="s">
        <v>2463</v>
      </c>
      <c r="C184" s="49" t="s">
        <v>2273</v>
      </c>
      <c r="D184" s="50">
        <v>44420</v>
      </c>
      <c r="E184" s="50">
        <v>48072</v>
      </c>
      <c r="F184" s="49">
        <v>1000000</v>
      </c>
      <c r="G184" s="49" t="s">
        <v>76</v>
      </c>
      <c r="H184" s="49">
        <v>1000000</v>
      </c>
      <c r="I184" s="49" t="s">
        <v>76</v>
      </c>
      <c r="J184" s="49">
        <v>100</v>
      </c>
      <c r="K184" s="49">
        <v>1</v>
      </c>
      <c r="L184" s="51">
        <v>7.2499999999999995E-2</v>
      </c>
      <c r="M184" s="49" t="s">
        <v>93</v>
      </c>
      <c r="N184" s="49">
        <v>2155</v>
      </c>
      <c r="O184" s="49">
        <v>7.25</v>
      </c>
      <c r="P184" s="49"/>
      <c r="Q184" s="49"/>
      <c r="R184" s="49" t="s">
        <v>2275</v>
      </c>
      <c r="S184">
        <f t="shared" si="8"/>
        <v>10</v>
      </c>
      <c r="T184" s="5" cm="1">
        <f t="array" ref="T1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4">
        <f>Table1[[#This Row],[Term to Maturity (Years)]]*Table1[[#This Row],[Coupon Frequency2]]</f>
        <v>10</v>
      </c>
      <c r="V184">
        <f>Table1[[#This Row],[Face value]]*Table1[[#This Row],[Current coupon %]]</f>
        <v>72500</v>
      </c>
      <c r="W184" s="36">
        <f>RATE(Table1[[#This Row],[Total No. of Coupons]],Table1[[#This Row],[Coupon Amount]],-Table1[[#This Row],[Ask Price]],Table1[[#This Row],[Face value]])</f>
        <v>7.2500000000000009E-2</v>
      </c>
      <c r="X184" s="27">
        <f>Table1[[#This Row],[IRR]]*Table1[[#This Row],[Coupon Frequency2]]</f>
        <v>7.2500000000000009E-2</v>
      </c>
      <c r="Y184" s="19" cm="1">
        <f t="array" ref="Y1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4" s="33">
        <f>DURATION(Table1[[#This Row],[Issue date]],Table1[[#This Row],[Maturity date]],Table1[[#This Row],[Current coupon %]],Table1[[#This Row],[Yield (Annualised)]],Table1[[#This Row],[Coupon Frequency2]])</f>
        <v>7.4465052880411404</v>
      </c>
      <c r="AA184" s="33">
        <f>Table1[[#This Row],[Macaulay Duration in Years]]/(1+Table1[[#This Row],[IRR]])</f>
        <v>6.9431284736980325</v>
      </c>
      <c r="AB184" s="58">
        <f>VLOOKUP(Table1[[#This Row],[Yield Cluster]],'Cluster Details'!$B$3:$C$16,2,0)</f>
        <v>7.8548801574189142E-2</v>
      </c>
      <c r="AC184" s="78">
        <f>PRICE(Table1[[#This Row],[Issue date]],Table1[[#This Row],[Maturity date]],Table1[[#This Row],[Current coupon %]],Table1[[#This Row],[Average Cluster Yield]],100,Table1[[#This Row],[Coupon Frequency2]])*Table1[[#This Row],[Face value]]/100</f>
        <v>959145.0296600149</v>
      </c>
      <c r="AD184" s="58" t="str">
        <f>IF(Table1[[#This Row],[Ask Price]]&gt;Table1[[#This Row],[Calculated Bond Price]],"Rich","Cheap")</f>
        <v>Rich</v>
      </c>
      <c r="AE18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933649.29332628543</v>
      </c>
      <c r="AF18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1072736.9083780565</v>
      </c>
      <c r="AG184" s="78">
        <f>(Table1[[#This Row],[P (+ shock)]]+Table1[[#This Row],[P (-shock)]]-2*Table1[[#This Row],[Ask Price]])/(2*Table1[[#This Row],[Ask Price]]*($AF$2^2))</f>
        <v>31.93100852170959</v>
      </c>
      <c r="AH184">
        <v>19.203245610983402</v>
      </c>
      <c r="AI184" s="6">
        <f t="shared" si="9"/>
        <v>7.2499999999999995E-2</v>
      </c>
      <c r="AK184" s="47">
        <f>RATE(Table1[[#This Row],[Total No. of Coupons]],Table1[[#This Row],[Coupon Amount]],-Table1[[#This Row],[Ask Price]],Table1[[#This Row],[Face value]])</f>
        <v>7.2500000000000009E-2</v>
      </c>
      <c r="AL184" s="27">
        <f>Table1[[#This Row],[IRR]]*Table1[[#This Row],[Coupon Frequency2]]</f>
        <v>7.2500000000000009E-2</v>
      </c>
      <c r="AM184" s="5">
        <f t="shared" si="10"/>
        <v>-6943128.4736980321</v>
      </c>
      <c r="AN184" t="s">
        <v>64</v>
      </c>
      <c r="AO184" t="s">
        <v>62</v>
      </c>
      <c r="AP184">
        <f t="shared" si="11"/>
        <v>1</v>
      </c>
    </row>
    <row r="185" spans="1:42" x14ac:dyDescent="0.35">
      <c r="A185" s="48" t="s">
        <v>970</v>
      </c>
      <c r="B185" s="49" t="s">
        <v>2464</v>
      </c>
      <c r="C185" s="49" t="s">
        <v>2273</v>
      </c>
      <c r="D185" s="50">
        <v>45042</v>
      </c>
      <c r="E185" s="50">
        <v>46869</v>
      </c>
      <c r="F185" s="49">
        <v>100000</v>
      </c>
      <c r="G185" s="49" t="s">
        <v>76</v>
      </c>
      <c r="H185" s="49">
        <v>103455.67999999999</v>
      </c>
      <c r="I185" s="49" t="s">
        <v>76</v>
      </c>
      <c r="J185" s="49">
        <v>103.45567999999901</v>
      </c>
      <c r="K185" s="49">
        <v>150</v>
      </c>
      <c r="L185" s="51">
        <v>8.1000000000000003E-2</v>
      </c>
      <c r="M185" s="49" t="s">
        <v>93</v>
      </c>
      <c r="N185" s="49">
        <v>952</v>
      </c>
      <c r="O185" s="49">
        <v>7.8294396209082002</v>
      </c>
      <c r="P185" s="49"/>
      <c r="Q185" s="49"/>
      <c r="R185" s="49" t="s">
        <v>2275</v>
      </c>
      <c r="S185">
        <f t="shared" si="8"/>
        <v>5</v>
      </c>
      <c r="T185" s="5" cm="1">
        <f t="array" ref="T1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5">
        <f>Table1[[#This Row],[Term to Maturity (Years)]]*Table1[[#This Row],[Coupon Frequency2]]</f>
        <v>5</v>
      </c>
      <c r="V185">
        <f>Table1[[#This Row],[Face value]]*Table1[[#This Row],[Current coupon %]]</f>
        <v>8100</v>
      </c>
      <c r="W185" s="36">
        <f>RATE(Table1[[#This Row],[Total No. of Coupons]],Table1[[#This Row],[Coupon Amount]],-Table1[[#This Row],[Ask Price]],Table1[[#This Row],[Face value]])</f>
        <v>7.2515083694198401E-2</v>
      </c>
      <c r="X185" s="27">
        <f>Table1[[#This Row],[IRR]]*Table1[[#This Row],[Coupon Frequency2]]</f>
        <v>7.2515083694198401E-2</v>
      </c>
      <c r="Y185" s="19" cm="1">
        <f t="array" ref="Y1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5" s="33">
        <f>DURATION(Table1[[#This Row],[Issue date]],Table1[[#This Row],[Maturity date]],Table1[[#This Row],[Current coupon %]],Table1[[#This Row],[Yield (Annualised)]],Table1[[#This Row],[Coupon Frequency2]])</f>
        <v>4.317703962551807</v>
      </c>
      <c r="AA185" s="33">
        <f>Table1[[#This Row],[Macaulay Duration in Years]]/(1+Table1[[#This Row],[IRR]])</f>
        <v>4.0257745818173456</v>
      </c>
      <c r="AB185" s="58">
        <f>VLOOKUP(Table1[[#This Row],[Yield Cluster]],'Cluster Details'!$B$3:$C$16,2,0)</f>
        <v>7.8548801574189142E-2</v>
      </c>
      <c r="AC185" s="78">
        <f>PRICE(Table1[[#This Row],[Issue date]],Table1[[#This Row],[Maturity date]],Table1[[#This Row],[Current coupon %]],Table1[[#This Row],[Average Cluster Yield]],100,Table1[[#This Row],[Coupon Frequency2]])*Table1[[#This Row],[Face value]]/100</f>
        <v>100982.44722622371</v>
      </c>
      <c r="AD185" s="58" t="str">
        <f>IF(Table1[[#This Row],[Ask Price]]&gt;Table1[[#This Row],[Calculated Bond Price]],"Rich","Cheap")</f>
        <v>Rich</v>
      </c>
      <c r="AE18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99399.059853239247</v>
      </c>
      <c r="AF18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107733.53116040368</v>
      </c>
      <c r="AG185" s="78">
        <f>(Table1[[#This Row],[P (+ shock)]]+Table1[[#This Row],[P (-shock)]]-2*Table1[[#This Row],[Ask Price]])/(2*Table1[[#This Row],[Ask Price]]*($AF$2^2))</f>
        <v>10.692067059195985</v>
      </c>
      <c r="AH185">
        <v>2.8217081023533002</v>
      </c>
      <c r="AI185" s="6">
        <f t="shared" si="9"/>
        <v>7.8294396209082004E-2</v>
      </c>
      <c r="AK185" s="47">
        <f>RATE(Table1[[#This Row],[Total No. of Coupons]],Table1[[#This Row],[Coupon Amount]],-Table1[[#This Row],[Ask Price]],Table1[[#This Row],[Face value]])</f>
        <v>7.2515083694198401E-2</v>
      </c>
      <c r="AL185" s="27">
        <f>Table1[[#This Row],[IRR]]*Table1[[#This Row],[Coupon Frequency2]]</f>
        <v>7.2515083694198401E-2</v>
      </c>
      <c r="AM185" s="5">
        <f t="shared" si="10"/>
        <v>-416489.2468886291</v>
      </c>
      <c r="AN185" t="s">
        <v>64</v>
      </c>
      <c r="AO185" t="s">
        <v>62</v>
      </c>
      <c r="AP185">
        <f t="shared" si="11"/>
        <v>1</v>
      </c>
    </row>
    <row r="186" spans="1:42" x14ac:dyDescent="0.35">
      <c r="A186" s="48" t="s">
        <v>1161</v>
      </c>
      <c r="B186" s="49" t="s">
        <v>2465</v>
      </c>
      <c r="C186" s="49" t="s">
        <v>2273</v>
      </c>
      <c r="D186" s="50">
        <v>45560</v>
      </c>
      <c r="E186" s="50">
        <v>46655</v>
      </c>
      <c r="F186" s="49">
        <v>1000</v>
      </c>
      <c r="G186" s="49" t="s">
        <v>76</v>
      </c>
      <c r="H186" s="49">
        <v>1090</v>
      </c>
      <c r="I186" s="49" t="s">
        <v>76</v>
      </c>
      <c r="J186" s="49">
        <v>109</v>
      </c>
      <c r="K186" s="49">
        <v>15</v>
      </c>
      <c r="L186" s="51">
        <v>0.107</v>
      </c>
      <c r="M186" s="49" t="s">
        <v>93</v>
      </c>
      <c r="N186" s="49">
        <v>738</v>
      </c>
      <c r="O186" s="49">
        <v>9.8165137614678795</v>
      </c>
      <c r="P186" s="49"/>
      <c r="Q186" s="49"/>
      <c r="R186" s="49" t="s">
        <v>2275</v>
      </c>
      <c r="S186">
        <f t="shared" si="8"/>
        <v>3</v>
      </c>
      <c r="T186" s="5" cm="1">
        <f t="array" ref="T1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6">
        <f>Table1[[#This Row],[Term to Maturity (Years)]]*Table1[[#This Row],[Coupon Frequency2]]</f>
        <v>3</v>
      </c>
      <c r="V186">
        <f>Table1[[#This Row],[Face value]]*Table1[[#This Row],[Current coupon %]]</f>
        <v>107</v>
      </c>
      <c r="W186" s="36">
        <f>RATE(Table1[[#This Row],[Total No. of Coupons]],Table1[[#This Row],[Coupon Amount]],-Table1[[#This Row],[Ask Price]],Table1[[#This Row],[Face value]])</f>
        <v>7.254572469552005E-2</v>
      </c>
      <c r="X186" s="27">
        <f>Table1[[#This Row],[IRR]]*Table1[[#This Row],[Coupon Frequency2]]</f>
        <v>7.254572469552005E-2</v>
      </c>
      <c r="Y186" s="19" cm="1">
        <f t="array" ref="Y1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6" s="33">
        <f>DURATION(Table1[[#This Row],[Issue date]],Table1[[#This Row],[Maturity date]],Table1[[#This Row],[Current coupon %]],Table1[[#This Row],[Yield (Annualised)]],Table1[[#This Row],[Coupon Frequency2]])</f>
        <v>2.7316145760749388</v>
      </c>
      <c r="AA186" s="33">
        <f>Table1[[#This Row],[Macaulay Duration in Years]]/(1+Table1[[#This Row],[IRR]])</f>
        <v>2.5468513958697696</v>
      </c>
      <c r="AB186" s="58">
        <f>VLOOKUP(Table1[[#This Row],[Yield Cluster]],'Cluster Details'!$B$3:$C$16,2,0)</f>
        <v>7.8548801574189142E-2</v>
      </c>
      <c r="AC186" s="78">
        <f>PRICE(Table1[[#This Row],[Issue date]],Table1[[#This Row],[Maturity date]],Table1[[#This Row],[Current coupon %]],Table1[[#This Row],[Average Cluster Yield]],100,Table1[[#This Row],[Coupon Frequency2]])*Table1[[#This Row],[Face value]]/100</f>
        <v>1073.5139175472136</v>
      </c>
      <c r="AD186" s="58" t="str">
        <f>IF(Table1[[#This Row],[Ask Price]]&gt;Table1[[#This Row],[Calculated Bond Price]],"Rich","Cheap")</f>
        <v>Rich</v>
      </c>
      <c r="AE18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1062.7326715231525</v>
      </c>
      <c r="AF18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1118.2693434853552</v>
      </c>
      <c r="AG186" s="78">
        <f>(Table1[[#This Row],[P (+ shock)]]+Table1[[#This Row],[P (-shock)]]-2*Table1[[#This Row],[Ask Price]])/(2*Table1[[#This Row],[Ask Price]]*($AF$2^2))</f>
        <v>4.5963991215937705</v>
      </c>
      <c r="AI186" s="6">
        <f t="shared" si="9"/>
        <v>9.8165137614678905E-2</v>
      </c>
      <c r="AK186" s="47">
        <f>RATE(Table1[[#This Row],[Total No. of Coupons]],Table1[[#This Row],[Coupon Amount]],-Table1[[#This Row],[Ask Price]],Table1[[#This Row],[Face value]])</f>
        <v>7.254572469552005E-2</v>
      </c>
      <c r="AL186" s="27">
        <f>Table1[[#This Row],[IRR]]*Table1[[#This Row],[Coupon Frequency2]]</f>
        <v>7.254572469552005E-2</v>
      </c>
      <c r="AM186" s="5">
        <f t="shared" si="10"/>
        <v>-2776.0680214980489</v>
      </c>
      <c r="AN186" t="s">
        <v>79</v>
      </c>
      <c r="AO186" t="s">
        <v>62</v>
      </c>
      <c r="AP186">
        <f t="shared" si="11"/>
        <v>1</v>
      </c>
    </row>
    <row r="187" spans="1:42" x14ac:dyDescent="0.35">
      <c r="A187" s="48" t="s">
        <v>977</v>
      </c>
      <c r="B187" s="49" t="s">
        <v>2466</v>
      </c>
      <c r="C187" s="49" t="s">
        <v>2273</v>
      </c>
      <c r="D187" s="50">
        <v>45768</v>
      </c>
      <c r="E187" s="50">
        <v>46864</v>
      </c>
      <c r="F187" s="49">
        <v>1000</v>
      </c>
      <c r="G187" s="49" t="s">
        <v>76</v>
      </c>
      <c r="H187" s="49">
        <v>1065</v>
      </c>
      <c r="I187" s="49" t="s">
        <v>76</v>
      </c>
      <c r="J187" s="49">
        <v>106.5</v>
      </c>
      <c r="K187" s="49">
        <v>190</v>
      </c>
      <c r="L187" s="51">
        <v>9.7500000000000003E-2</v>
      </c>
      <c r="M187" s="49" t="s">
        <v>93</v>
      </c>
      <c r="N187" s="49">
        <v>947</v>
      </c>
      <c r="O187" s="49">
        <v>9.1549295774647792</v>
      </c>
      <c r="P187" s="49" t="s">
        <v>2279</v>
      </c>
      <c r="Q187" s="49"/>
      <c r="R187" s="49" t="s">
        <v>2275</v>
      </c>
      <c r="S187">
        <f t="shared" si="8"/>
        <v>3</v>
      </c>
      <c r="T187" s="5" cm="1">
        <f t="array" ref="T1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7">
        <f>Table1[[#This Row],[Term to Maturity (Years)]]*Table1[[#This Row],[Coupon Frequency2]]</f>
        <v>3</v>
      </c>
      <c r="V187">
        <f>Table1[[#This Row],[Face value]]*Table1[[#This Row],[Current coupon %]]</f>
        <v>97.5</v>
      </c>
      <c r="W187" s="36">
        <f>RATE(Table1[[#This Row],[Total No. of Coupons]],Table1[[#This Row],[Coupon Amount]],-Table1[[#This Row],[Ask Price]],Table1[[#This Row],[Face value]])</f>
        <v>7.2613294487831492E-2</v>
      </c>
      <c r="X187" s="27">
        <f>Table1[[#This Row],[IRR]]*Table1[[#This Row],[Coupon Frequency2]]</f>
        <v>7.2613294487831492E-2</v>
      </c>
      <c r="Y187" s="19" cm="1">
        <f t="array" ref="Y1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7" s="33">
        <f>DURATION(Table1[[#This Row],[Issue date]],Table1[[#This Row],[Maturity date]],Table1[[#This Row],[Current coupon %]],Table1[[#This Row],[Yield (Annualised)]],Table1[[#This Row],[Coupon Frequency2]])</f>
        <v>2.7497231989621356</v>
      </c>
      <c r="AA187" s="33">
        <f>Table1[[#This Row],[Macaulay Duration in Years]]/(1+Table1[[#This Row],[IRR]])</f>
        <v>2.563573669180669</v>
      </c>
      <c r="AB187" s="58">
        <f>VLOOKUP(Table1[[#This Row],[Yield Cluster]],'Cluster Details'!$B$3:$C$16,2,0)</f>
        <v>7.8548801574189142E-2</v>
      </c>
      <c r="AC187" s="78">
        <f>PRICE(Table1[[#This Row],[Issue date]],Table1[[#This Row],[Maturity date]],Table1[[#This Row],[Current coupon %]],Table1[[#This Row],[Average Cluster Yield]],100,Table1[[#This Row],[Coupon Frequency2]])*Table1[[#This Row],[Face value]]/100</f>
        <v>1048.9672462173705</v>
      </c>
      <c r="AD187" s="58" t="str">
        <f>IF(Table1[[#This Row],[Ask Price]]&gt;Table1[[#This Row],[Calculated Bond Price]],"Rich","Cheap")</f>
        <v>Rich</v>
      </c>
      <c r="AE18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1038.1842972130726</v>
      </c>
      <c r="AF18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1092.8035294896069</v>
      </c>
      <c r="AG187" s="78">
        <f>(Table1[[#This Row],[P (+ shock)]]+Table1[[#This Row],[P (-shock)]]-2*Table1[[#This Row],[Ask Price]])/(2*Table1[[#This Row],[Ask Price]]*($AF$2^2))</f>
        <v>4.637684050139625</v>
      </c>
      <c r="AH187">
        <v>10.1364340118665</v>
      </c>
      <c r="AI187" s="6">
        <f t="shared" si="9"/>
        <v>9.154929577464789E-2</v>
      </c>
      <c r="AK187" s="47">
        <f>RATE(Table1[[#This Row],[Total No. of Coupons]],Table1[[#This Row],[Coupon Amount]],-Table1[[#This Row],[Ask Price]],Table1[[#This Row],[Face value]])</f>
        <v>7.2613294487831492E-2</v>
      </c>
      <c r="AL187" s="27">
        <f>Table1[[#This Row],[IRR]]*Table1[[#This Row],[Coupon Frequency2]]</f>
        <v>7.2613294487831492E-2</v>
      </c>
      <c r="AM187" s="5">
        <f t="shared" si="10"/>
        <v>-2730.2059576774122</v>
      </c>
      <c r="AN187" t="s">
        <v>64</v>
      </c>
      <c r="AO187" t="s">
        <v>62</v>
      </c>
      <c r="AP187">
        <f t="shared" si="11"/>
        <v>1</v>
      </c>
    </row>
    <row r="188" spans="1:42" x14ac:dyDescent="0.35">
      <c r="A188" s="48" t="s">
        <v>851</v>
      </c>
      <c r="B188" s="49" t="s">
        <v>2467</v>
      </c>
      <c r="C188" s="49" t="s">
        <v>2273</v>
      </c>
      <c r="D188" s="50">
        <v>45203</v>
      </c>
      <c r="E188" s="50">
        <v>47030</v>
      </c>
      <c r="F188" s="49">
        <v>1000</v>
      </c>
      <c r="G188" s="49" t="s">
        <v>76</v>
      </c>
      <c r="H188" s="49">
        <v>1030</v>
      </c>
      <c r="I188" s="49" t="s">
        <v>76</v>
      </c>
      <c r="J188" s="49">
        <v>103</v>
      </c>
      <c r="K188" s="49">
        <v>10</v>
      </c>
      <c r="L188" s="51">
        <v>0.08</v>
      </c>
      <c r="M188" s="49" t="s">
        <v>93</v>
      </c>
      <c r="N188" s="49">
        <v>1113</v>
      </c>
      <c r="O188" s="49">
        <v>7.7669902912621298</v>
      </c>
      <c r="P188" s="49" t="s">
        <v>2285</v>
      </c>
      <c r="Q188" s="49"/>
      <c r="R188" s="49" t="s">
        <v>2275</v>
      </c>
      <c r="S188">
        <f t="shared" si="8"/>
        <v>5</v>
      </c>
      <c r="T188" s="5" cm="1">
        <f t="array" ref="T1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8">
        <f>Table1[[#This Row],[Term to Maturity (Years)]]*Table1[[#This Row],[Coupon Frequency2]]</f>
        <v>5</v>
      </c>
      <c r="V188">
        <f>Table1[[#This Row],[Face value]]*Table1[[#This Row],[Current coupon %]]</f>
        <v>80</v>
      </c>
      <c r="W188" s="36">
        <f>RATE(Table1[[#This Row],[Total No. of Coupons]],Table1[[#This Row],[Coupon Amount]],-Table1[[#This Row],[Ask Price]],Table1[[#This Row],[Face value]])</f>
        <v>7.2631649203454524E-2</v>
      </c>
      <c r="X188" s="27">
        <f>Table1[[#This Row],[IRR]]*Table1[[#This Row],[Coupon Frequency2]]</f>
        <v>7.2631649203454524E-2</v>
      </c>
      <c r="Y188" s="19" cm="1">
        <f t="array" ref="Y1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8" s="33">
        <f>DURATION(Table1[[#This Row],[Issue date]],Table1[[#This Row],[Maturity date]],Table1[[#This Row],[Current coupon %]],Table1[[#This Row],[Yield (Annualised)]],Table1[[#This Row],[Coupon Frequency2]])</f>
        <v>4.3232881672393502</v>
      </c>
      <c r="AA188" s="33">
        <f>Table1[[#This Row],[Macaulay Duration in Years]]/(1+Table1[[#This Row],[IRR]])</f>
        <v>4.0305431696424971</v>
      </c>
      <c r="AB188" s="58">
        <f>VLOOKUP(Table1[[#This Row],[Yield Cluster]],'Cluster Details'!$B$3:$C$16,2,0)</f>
        <v>7.8548801574189142E-2</v>
      </c>
      <c r="AC188" s="78">
        <f>PRICE(Table1[[#This Row],[Issue date]],Table1[[#This Row],[Maturity date]],Table1[[#This Row],[Current coupon %]],Table1[[#This Row],[Average Cluster Yield]],100,Table1[[#This Row],[Coupon Frequency2]])*Table1[[#This Row],[Face value]]/100</f>
        <v>1005.816444124333</v>
      </c>
      <c r="AD188" s="58" t="str">
        <f>IF(Table1[[#This Row],[Ask Price]]&gt;Table1[[#This Row],[Calculated Bond Price]],"Rich","Cheap")</f>
        <v>Rich</v>
      </c>
      <c r="AE18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989.56506603365256</v>
      </c>
      <c r="AF18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1072.6409942091732</v>
      </c>
      <c r="AG188" s="78">
        <f>(Table1[[#This Row],[P (+ shock)]]+Table1[[#This Row],[P (-shock)]]-2*Table1[[#This Row],[Ask Price]])/(2*Table1[[#This Row],[Ask Price]]*($AF$2^2))</f>
        <v>10.709030304978228</v>
      </c>
      <c r="AI188" s="6">
        <f t="shared" si="9"/>
        <v>7.7669902912621352E-2</v>
      </c>
      <c r="AK188" s="47">
        <f>RATE(Table1[[#This Row],[Total No. of Coupons]],Table1[[#This Row],[Coupon Amount]],-Table1[[#This Row],[Ask Price]],Table1[[#This Row],[Face value]])</f>
        <v>7.2631649203454524E-2</v>
      </c>
      <c r="AL188" s="27">
        <f>Table1[[#This Row],[IRR]]*Table1[[#This Row],[Coupon Frequency2]]</f>
        <v>7.2631649203454524E-2</v>
      </c>
      <c r="AM188" s="5">
        <f t="shared" si="10"/>
        <v>-4151.4594647317717</v>
      </c>
      <c r="AN188" t="s">
        <v>64</v>
      </c>
      <c r="AO188" t="s">
        <v>62</v>
      </c>
      <c r="AP188">
        <f t="shared" si="11"/>
        <v>1</v>
      </c>
    </row>
    <row r="189" spans="1:42" x14ac:dyDescent="0.35">
      <c r="A189" s="48" t="s">
        <v>149</v>
      </c>
      <c r="B189" s="49" t="s">
        <v>2468</v>
      </c>
      <c r="C189" s="49" t="s">
        <v>2273</v>
      </c>
      <c r="D189" s="50">
        <v>43706</v>
      </c>
      <c r="E189" s="50">
        <v>49185</v>
      </c>
      <c r="F189" s="49">
        <v>1000000</v>
      </c>
      <c r="G189" s="49" t="s">
        <v>76</v>
      </c>
      <c r="H189" s="49">
        <v>1019000</v>
      </c>
      <c r="I189" s="49" t="s">
        <v>76</v>
      </c>
      <c r="J189" s="49">
        <v>101.899999999999</v>
      </c>
      <c r="K189" s="49">
        <v>10</v>
      </c>
      <c r="L189" s="51">
        <v>7.4800000000000005E-2</v>
      </c>
      <c r="M189" s="49" t="s">
        <v>93</v>
      </c>
      <c r="N189" s="49">
        <v>3268</v>
      </c>
      <c r="O189" s="49">
        <v>7.3405299313052002</v>
      </c>
      <c r="P189" s="49" t="s">
        <v>2274</v>
      </c>
      <c r="Q189" s="49"/>
      <c r="R189" s="49" t="s">
        <v>2275</v>
      </c>
      <c r="S189">
        <f t="shared" si="8"/>
        <v>15</v>
      </c>
      <c r="T189" s="5" cm="1">
        <f t="array" ref="T1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89">
        <f>Table1[[#This Row],[Term to Maturity (Years)]]*Table1[[#This Row],[Coupon Frequency2]]</f>
        <v>15</v>
      </c>
      <c r="V189">
        <f>Table1[[#This Row],[Face value]]*Table1[[#This Row],[Current coupon %]]</f>
        <v>74800</v>
      </c>
      <c r="W189" s="36">
        <f>RATE(Table1[[#This Row],[Total No. of Coupons]],Table1[[#This Row],[Coupon Amount]],-Table1[[#This Row],[Ask Price]],Table1[[#This Row],[Face value]])</f>
        <v>7.2678472324190446E-2</v>
      </c>
      <c r="X189" s="27">
        <f>Table1[[#This Row],[IRR]]*Table1[[#This Row],[Coupon Frequency2]]</f>
        <v>7.2678472324190446E-2</v>
      </c>
      <c r="Y189" s="19" cm="1">
        <f t="array" ref="Y1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89" s="33">
        <f>DURATION(Table1[[#This Row],[Issue date]],Table1[[#This Row],[Maturity date]],Table1[[#This Row],[Current coupon %]],Table1[[#This Row],[Yield (Annualised)]],Table1[[#This Row],[Coupon Frequency2]])</f>
        <v>9.5527691246220332</v>
      </c>
      <c r="AA189" s="33">
        <f>Table1[[#This Row],[Macaulay Duration in Years]]/(1+Table1[[#This Row],[IRR]])</f>
        <v>8.9055288896810687</v>
      </c>
      <c r="AB189" s="58">
        <f>VLOOKUP(Table1[[#This Row],[Yield Cluster]],'Cluster Details'!$B$3:$C$16,2,0)</f>
        <v>7.8548801574189142E-2</v>
      </c>
      <c r="AC189" s="78">
        <f>PRICE(Table1[[#This Row],[Issue date]],Table1[[#This Row],[Maturity date]],Table1[[#This Row],[Current coupon %]],Table1[[#This Row],[Average Cluster Yield]],100,Table1[[#This Row],[Coupon Frequency2]])*Table1[[#This Row],[Face value]]/100</f>
        <v>967625.91491774679</v>
      </c>
      <c r="AD189" s="58" t="str">
        <f>IF(Table1[[#This Row],[Ask Price]]&gt;Table1[[#This Row],[Calculated Bond Price]],"Rich","Cheap")</f>
        <v>Rich</v>
      </c>
      <c r="AE18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933653.40771738719</v>
      </c>
      <c r="AF18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1115694.044073554</v>
      </c>
      <c r="AG189" s="78">
        <f>(Table1[[#This Row],[P (+ shock)]]+Table1[[#This Row],[P (-shock)]]-2*Table1[[#This Row],[Ask Price]])/(2*Table1[[#This Row],[Ask Price]]*($AF$2^2))</f>
        <v>55.679351280378704</v>
      </c>
      <c r="AH189">
        <v>10.5</v>
      </c>
      <c r="AI189" s="6">
        <f t="shared" si="9"/>
        <v>7.3405299313052008E-2</v>
      </c>
      <c r="AK189" s="47">
        <f>RATE(Table1[[#This Row],[Total No. of Coupons]],Table1[[#This Row],[Coupon Amount]],-Table1[[#This Row],[Ask Price]],Table1[[#This Row],[Face value]])</f>
        <v>7.2678472324190446E-2</v>
      </c>
      <c r="AL189" s="27">
        <f>Table1[[#This Row],[IRR]]*Table1[[#This Row],[Coupon Frequency2]]</f>
        <v>7.2678472324190446E-2</v>
      </c>
      <c r="AM189" s="5">
        <f t="shared" si="10"/>
        <v>-9074733.9385850094</v>
      </c>
      <c r="AN189" t="s">
        <v>64</v>
      </c>
      <c r="AO189" t="s">
        <v>62</v>
      </c>
      <c r="AP189">
        <f t="shared" si="11"/>
        <v>1</v>
      </c>
    </row>
    <row r="190" spans="1:42" x14ac:dyDescent="0.35">
      <c r="A190" s="48" t="s">
        <v>762</v>
      </c>
      <c r="B190" s="49" t="s">
        <v>2469</v>
      </c>
      <c r="C190" s="49" t="s">
        <v>2273</v>
      </c>
      <c r="D190" s="50">
        <v>45316</v>
      </c>
      <c r="E190" s="50">
        <v>47143</v>
      </c>
      <c r="F190" s="49">
        <v>1000</v>
      </c>
      <c r="G190" s="49" t="s">
        <v>76</v>
      </c>
      <c r="H190" s="49">
        <v>1049.99</v>
      </c>
      <c r="I190" s="49" t="s">
        <v>76</v>
      </c>
      <c r="J190" s="49">
        <v>104.999</v>
      </c>
      <c r="K190" s="49">
        <v>25</v>
      </c>
      <c r="L190" s="51">
        <v>8.5000000000000006E-2</v>
      </c>
      <c r="M190" s="49" t="s">
        <v>93</v>
      </c>
      <c r="N190" s="49">
        <v>1226</v>
      </c>
      <c r="O190" s="49">
        <v>8.0953151934780294</v>
      </c>
      <c r="P190" s="49" t="s">
        <v>2285</v>
      </c>
      <c r="Q190" s="49"/>
      <c r="R190" s="49" t="s">
        <v>2275</v>
      </c>
      <c r="S190">
        <f t="shared" si="8"/>
        <v>5</v>
      </c>
      <c r="T190" s="5" cm="1">
        <f t="array" ref="T1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0">
        <f>Table1[[#This Row],[Term to Maturity (Years)]]*Table1[[#This Row],[Coupon Frequency2]]</f>
        <v>5</v>
      </c>
      <c r="V190">
        <f>Table1[[#This Row],[Face value]]*Table1[[#This Row],[Current coupon %]]</f>
        <v>85</v>
      </c>
      <c r="W190" s="36">
        <f>RATE(Table1[[#This Row],[Total No. of Coupons]],Table1[[#This Row],[Coupon Amount]],-Table1[[#This Row],[Ask Price]],Table1[[#This Row],[Face value]])</f>
        <v>7.2719011224739644E-2</v>
      </c>
      <c r="X190" s="27">
        <f>Table1[[#This Row],[IRR]]*Table1[[#This Row],[Coupon Frequency2]]</f>
        <v>7.2719011224739644E-2</v>
      </c>
      <c r="Y190" s="19" cm="1">
        <f t="array" ref="Y1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0" s="33">
        <f>DURATION(Table1[[#This Row],[Issue date]],Table1[[#This Row],[Maturity date]],Table1[[#This Row],[Current coupon %]],Table1[[#This Row],[Yield (Annualised)]],Table1[[#This Row],[Coupon Frequency2]])</f>
        <v>4.2947932540231433</v>
      </c>
      <c r="AA190" s="33">
        <f>Table1[[#This Row],[Macaulay Duration in Years]]/(1+Table1[[#This Row],[IRR]])</f>
        <v>4.0036516637471662</v>
      </c>
      <c r="AB190" s="58">
        <f>VLOOKUP(Table1[[#This Row],[Yield Cluster]],'Cluster Details'!$B$3:$C$16,2,0)</f>
        <v>7.8548801574189142E-2</v>
      </c>
      <c r="AC190" s="78">
        <f>PRICE(Table1[[#This Row],[Issue date]],Table1[[#This Row],[Maturity date]],Table1[[#This Row],[Current coupon %]],Table1[[#This Row],[Average Cluster Yield]],100,Table1[[#This Row],[Coupon Frequency2]])*Table1[[#This Row],[Face value]]/100</f>
        <v>1025.8565848138549</v>
      </c>
      <c r="AD190" s="58" t="str">
        <f>IF(Table1[[#This Row],[Ask Price]]&gt;Table1[[#This Row],[Calculated Bond Price]],"Rich","Cheap")</f>
        <v>Rich</v>
      </c>
      <c r="AE19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1009.0424325296558</v>
      </c>
      <c r="AF19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1093.1654490673689</v>
      </c>
      <c r="AG190" s="78">
        <f>(Table1[[#This Row],[P (+ shock)]]+Table1[[#This Row],[P (-shock)]]-2*Table1[[#This Row],[Ask Price]])/(2*Table1[[#This Row],[Ask Price]]*($AF$2^2))</f>
        <v>10.609061024506932</v>
      </c>
      <c r="AH190">
        <v>10.9317815839554</v>
      </c>
      <c r="AI190" s="6">
        <f t="shared" si="9"/>
        <v>8.0953151934780337E-2</v>
      </c>
      <c r="AK190" s="47">
        <f>RATE(Table1[[#This Row],[Total No. of Coupons]],Table1[[#This Row],[Coupon Amount]],-Table1[[#This Row],[Ask Price]],Table1[[#This Row],[Face value]])</f>
        <v>7.2719011224739644E-2</v>
      </c>
      <c r="AL190" s="27">
        <f>Table1[[#This Row],[IRR]]*Table1[[#This Row],[Coupon Frequency2]]</f>
        <v>7.2719011224739644E-2</v>
      </c>
      <c r="AM190" s="5">
        <f t="shared" si="10"/>
        <v>-4203.7942104178874</v>
      </c>
      <c r="AN190" t="s">
        <v>64</v>
      </c>
      <c r="AO190" t="s">
        <v>62</v>
      </c>
      <c r="AP190">
        <f t="shared" si="11"/>
        <v>1</v>
      </c>
    </row>
    <row r="191" spans="1:42" x14ac:dyDescent="0.35">
      <c r="A191" s="48" t="s">
        <v>2029</v>
      </c>
      <c r="B191" s="49" t="s">
        <v>2470</v>
      </c>
      <c r="C191" s="49" t="s">
        <v>2273</v>
      </c>
      <c r="D191" s="50">
        <v>45287</v>
      </c>
      <c r="E191" s="50">
        <v>46018</v>
      </c>
      <c r="F191" s="49">
        <v>1000</v>
      </c>
      <c r="G191" s="49" t="s">
        <v>76</v>
      </c>
      <c r="H191" s="49">
        <v>1042.5</v>
      </c>
      <c r="I191" s="49" t="s">
        <v>76</v>
      </c>
      <c r="J191" s="49">
        <v>104.25</v>
      </c>
      <c r="K191" s="49">
        <v>44</v>
      </c>
      <c r="L191" s="51">
        <v>9.6500000000000002E-2</v>
      </c>
      <c r="M191" s="49" t="s">
        <v>93</v>
      </c>
      <c r="N191" s="49">
        <v>101</v>
      </c>
      <c r="O191" s="49">
        <v>9.2565947242206192</v>
      </c>
      <c r="P191" s="49" t="s">
        <v>2279</v>
      </c>
      <c r="Q191" s="49"/>
      <c r="R191" s="49" t="s">
        <v>2275</v>
      </c>
      <c r="S191">
        <f t="shared" si="8"/>
        <v>2</v>
      </c>
      <c r="T191" s="5" cm="1">
        <f t="array" ref="T1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1">
        <f>Table1[[#This Row],[Term to Maturity (Years)]]*Table1[[#This Row],[Coupon Frequency2]]</f>
        <v>2</v>
      </c>
      <c r="V191">
        <f>Table1[[#This Row],[Face value]]*Table1[[#This Row],[Current coupon %]]</f>
        <v>96.5</v>
      </c>
      <c r="W191" s="36">
        <f>RATE(Table1[[#This Row],[Total No. of Coupons]],Table1[[#This Row],[Coupon Amount]],-Table1[[#This Row],[Ask Price]],Table1[[#This Row],[Face value]])</f>
        <v>7.2899101878542358E-2</v>
      </c>
      <c r="X191" s="27">
        <f>Table1[[#This Row],[IRR]]*Table1[[#This Row],[Coupon Frequency2]]</f>
        <v>7.2899101878542358E-2</v>
      </c>
      <c r="Y191" s="19" cm="1">
        <f t="array" ref="Y1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1" s="33">
        <f>DURATION(Table1[[#This Row],[Issue date]],Table1[[#This Row],[Maturity date]],Table1[[#This Row],[Current coupon %]],Table1[[#This Row],[Yield (Annualised)]],Table1[[#This Row],[Coupon Frequency2]])</f>
        <v>1.9137235299385258</v>
      </c>
      <c r="AA191" s="33">
        <f>Table1[[#This Row],[Macaulay Duration in Years]]/(1+Table1[[#This Row],[IRR]])</f>
        <v>1.7836938502304471</v>
      </c>
      <c r="AB191" s="58">
        <f>VLOOKUP(Table1[[#This Row],[Yield Cluster]],'Cluster Details'!$B$3:$C$16,2,0)</f>
        <v>7.8548801574189142E-2</v>
      </c>
      <c r="AC191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1032.0755470409078</v>
      </c>
      <c r="AD191" s="58" t="str">
        <f>IF(Table1[[#This Row],[Ask Price]]&gt;Table1[[#This Row],[Calculated Bond Price]],"Rich","Cheap")</f>
        <v>Rich</v>
      </c>
      <c r="AE19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1024.1579363777744</v>
      </c>
      <c r="AF19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1061.3542698963063</v>
      </c>
      <c r="AG191" s="78">
        <f>(Table1[[#This Row],[P (+ shock)]]+Table1[[#This Row],[P (-shock)]]-2*Table1[[#This Row],[Ask Price]])/(2*Table1[[#This Row],[Ask Price]]*($AF$2^2))</f>
        <v>2.456624815734552</v>
      </c>
      <c r="AH191">
        <v>10.75</v>
      </c>
      <c r="AI191" s="6">
        <f t="shared" si="9"/>
        <v>9.2565947242206237E-2</v>
      </c>
      <c r="AK191" s="47">
        <f>RATE(Table1[[#This Row],[Total No. of Coupons]],Table1[[#This Row],[Coupon Amount]],-Table1[[#This Row],[Ask Price]],Table1[[#This Row],[Face value]])</f>
        <v>7.2899101878542358E-2</v>
      </c>
      <c r="AL191" s="27">
        <f>Table1[[#This Row],[IRR]]*Table1[[#This Row],[Coupon Frequency2]]</f>
        <v>7.2899101878542358E-2</v>
      </c>
      <c r="AM191" s="5">
        <f t="shared" si="10"/>
        <v>-1859.5008388652411</v>
      </c>
      <c r="AN191" t="s">
        <v>64</v>
      </c>
      <c r="AO191" t="s">
        <v>62</v>
      </c>
      <c r="AP191">
        <f t="shared" si="11"/>
        <v>1</v>
      </c>
    </row>
    <row r="192" spans="1:42" x14ac:dyDescent="0.35">
      <c r="A192" s="48" t="s">
        <v>835</v>
      </c>
      <c r="B192" s="49" t="s">
        <v>2471</v>
      </c>
      <c r="C192" s="49" t="s">
        <v>2273</v>
      </c>
      <c r="D192" s="50">
        <v>41580</v>
      </c>
      <c r="E192" s="50">
        <v>47059</v>
      </c>
      <c r="F192" s="49">
        <v>1000</v>
      </c>
      <c r="G192" s="49" t="s">
        <v>76</v>
      </c>
      <c r="H192" s="49">
        <v>1111.1099999999999</v>
      </c>
      <c r="I192" s="49" t="s">
        <v>76</v>
      </c>
      <c r="J192" s="49">
        <v>111.110999999999</v>
      </c>
      <c r="K192" s="49">
        <v>1302</v>
      </c>
      <c r="L192" s="51">
        <v>8.539999999999999E-2</v>
      </c>
      <c r="M192" s="49" t="s">
        <v>93</v>
      </c>
      <c r="N192" s="49">
        <v>1142</v>
      </c>
      <c r="O192" s="49">
        <v>7.68600768600768</v>
      </c>
      <c r="P192" s="49" t="s">
        <v>2282</v>
      </c>
      <c r="Q192" s="49"/>
      <c r="R192" s="49" t="s">
        <v>2275</v>
      </c>
      <c r="S192">
        <f t="shared" si="8"/>
        <v>15</v>
      </c>
      <c r="T192" s="5" cm="1">
        <f t="array" ref="T1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2">
        <f>Table1[[#This Row],[Term to Maturity (Years)]]*Table1[[#This Row],[Coupon Frequency2]]</f>
        <v>15</v>
      </c>
      <c r="V192">
        <f>Table1[[#This Row],[Face value]]*Table1[[#This Row],[Current coupon %]]</f>
        <v>85.399999999999991</v>
      </c>
      <c r="W192" s="36">
        <f>RATE(Table1[[#This Row],[Total No. of Coupons]],Table1[[#This Row],[Coupon Amount]],-Table1[[#This Row],[Ask Price]],Table1[[#This Row],[Face value]])</f>
        <v>7.2970818217672095E-2</v>
      </c>
      <c r="X192" s="27">
        <f>Table1[[#This Row],[IRR]]*Table1[[#This Row],[Coupon Frequency2]]</f>
        <v>7.2970818217672095E-2</v>
      </c>
      <c r="Y192" s="19" cm="1">
        <f t="array" ref="Y1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2" s="33">
        <f>DURATION(Table1[[#This Row],[Issue date]],Table1[[#This Row],[Maturity date]],Table1[[#This Row],[Current coupon %]],Table1[[#This Row],[Yield (Annualised)]],Table1[[#This Row],[Coupon Frequency2]])</f>
        <v>9.3035121760539123</v>
      </c>
      <c r="AA192" s="33">
        <f>Table1[[#This Row],[Macaulay Duration in Years]]/(1+Table1[[#This Row],[IRR]])</f>
        <v>8.6707970227075855</v>
      </c>
      <c r="AB192" s="58">
        <f>VLOOKUP(Table1[[#This Row],[Yield Cluster]],'Cluster Details'!$B$3:$C$16,2,0)</f>
        <v>7.8548801574189142E-2</v>
      </c>
      <c r="AC192" s="78">
        <f>PRICE(Table1[[#This Row],[Issue date]],Table1[[#This Row],[Maturity date]],Table1[[#This Row],[Current coupon %]],Table1[[#This Row],[Average Cluster Yield]],100,Table1[[#This Row],[Coupon Frequency2]])*Table1[[#This Row],[Face value]]/100</f>
        <v>1059.1659164570706</v>
      </c>
      <c r="AD192" s="58" t="str">
        <f>IF(Table1[[#This Row],[Ask Price]]&gt;Table1[[#This Row],[Calculated Bond Price]],"Rich","Cheap")</f>
        <v>Rich</v>
      </c>
      <c r="AE19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1020.4206116427879</v>
      </c>
      <c r="AF19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1213.6709136797188</v>
      </c>
      <c r="AG192" s="78">
        <f>(Table1[[#This Row],[P (+ shock)]]+Table1[[#This Row],[P (-shock)]]-2*Table1[[#This Row],[Ask Price]])/(2*Table1[[#This Row],[Ask Price]]*($AF$2^2))</f>
        <v>53.421917373198156</v>
      </c>
      <c r="AI192" s="6">
        <f t="shared" si="9"/>
        <v>7.6860076860076856E-2</v>
      </c>
      <c r="AK192" s="47">
        <f>RATE(Table1[[#This Row],[Total No. of Coupons]],Table1[[#This Row],[Coupon Amount]],-Table1[[#This Row],[Ask Price]],Table1[[#This Row],[Face value]])</f>
        <v>7.2970818217672095E-2</v>
      </c>
      <c r="AL192" s="27">
        <f>Table1[[#This Row],[IRR]]*Table1[[#This Row],[Coupon Frequency2]]</f>
        <v>7.2970818217672095E-2</v>
      </c>
      <c r="AM192" s="5">
        <f t="shared" si="10"/>
        <v>-9634.2092799006241</v>
      </c>
      <c r="AN192" t="s">
        <v>69</v>
      </c>
      <c r="AO192" t="s">
        <v>62</v>
      </c>
      <c r="AP192">
        <f t="shared" si="11"/>
        <v>1</v>
      </c>
    </row>
    <row r="193" spans="1:42" x14ac:dyDescent="0.35">
      <c r="A193" s="48" t="s">
        <v>704</v>
      </c>
      <c r="B193" s="49" t="s">
        <v>2472</v>
      </c>
      <c r="C193" s="49" t="s">
        <v>2273</v>
      </c>
      <c r="D193" s="50">
        <v>41724</v>
      </c>
      <c r="E193" s="50">
        <v>47203</v>
      </c>
      <c r="F193" s="49">
        <v>1000</v>
      </c>
      <c r="G193" s="49" t="s">
        <v>76</v>
      </c>
      <c r="H193" s="49">
        <v>1140.1199999999999</v>
      </c>
      <c r="I193" s="49" t="s">
        <v>76</v>
      </c>
      <c r="J193" s="49">
        <v>114.01199999999901</v>
      </c>
      <c r="K193" s="49">
        <v>562</v>
      </c>
      <c r="L193" s="51">
        <v>8.8800000000000004E-2</v>
      </c>
      <c r="M193" s="49" t="s">
        <v>93</v>
      </c>
      <c r="N193" s="49">
        <v>1286</v>
      </c>
      <c r="O193" s="49">
        <v>7.7886538259130598</v>
      </c>
      <c r="P193" s="49" t="s">
        <v>2274</v>
      </c>
      <c r="Q193" s="49"/>
      <c r="R193" s="49" t="s">
        <v>2275</v>
      </c>
      <c r="S193">
        <f t="shared" si="8"/>
        <v>15</v>
      </c>
      <c r="T193" s="5" cm="1">
        <f t="array" ref="T1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3">
        <f>Table1[[#This Row],[Term to Maturity (Years)]]*Table1[[#This Row],[Coupon Frequency2]]</f>
        <v>15</v>
      </c>
      <c r="V193">
        <f>Table1[[#This Row],[Face value]]*Table1[[#This Row],[Current coupon %]]</f>
        <v>88.8</v>
      </c>
      <c r="W193" s="36">
        <f>RATE(Table1[[#This Row],[Total No. of Coupons]],Table1[[#This Row],[Coupon Amount]],-Table1[[#This Row],[Ask Price]],Table1[[#This Row],[Face value]])</f>
        <v>7.3111827492880505E-2</v>
      </c>
      <c r="X193" s="27">
        <f>Table1[[#This Row],[IRR]]*Table1[[#This Row],[Coupon Frequency2]]</f>
        <v>7.3111827492880505E-2</v>
      </c>
      <c r="Y193" s="19" cm="1">
        <f t="array" ref="Y1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3" s="33">
        <f>DURATION(Table1[[#This Row],[Issue date]],Table1[[#This Row],[Maturity date]],Table1[[#This Row],[Current coupon %]],Table1[[#This Row],[Yield (Annualised)]],Table1[[#This Row],[Coupon Frequency2]])</f>
        <v>9.2309075930223301</v>
      </c>
      <c r="AA193" s="33">
        <f>Table1[[#This Row],[Macaulay Duration in Years]]/(1+Table1[[#This Row],[IRR]])</f>
        <v>8.6019996765747795</v>
      </c>
      <c r="AB193" s="58">
        <f>VLOOKUP(Table1[[#This Row],[Yield Cluster]],'Cluster Details'!$B$3:$C$16,2,0)</f>
        <v>7.8548801574189142E-2</v>
      </c>
      <c r="AC193" s="78">
        <f>PRICE(Table1[[#This Row],[Issue date]],Table1[[#This Row],[Maturity date]],Table1[[#This Row],[Current coupon %]],Table1[[#This Row],[Average Cluster Yield]],100,Table1[[#This Row],[Coupon Frequency2]])*Table1[[#This Row],[Face value]]/100</f>
        <v>1088.5278037432688</v>
      </c>
      <c r="AD193" s="58" t="str">
        <f>IF(Table1[[#This Row],[Ask Price]]&gt;Table1[[#This Row],[Calculated Bond Price]],"Rich","Cheap")</f>
        <v>Rich</v>
      </c>
      <c r="AE19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1047.7761758805689</v>
      </c>
      <c r="AF19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1244.4945345391723</v>
      </c>
      <c r="AG193" s="78">
        <f>(Table1[[#This Row],[P (+ shock)]]+Table1[[#This Row],[P (-shock)]]-2*Table1[[#This Row],[Ask Price]])/(2*Table1[[#This Row],[Ask Price]]*($AF$2^2))</f>
        <v>52.76072001079428</v>
      </c>
      <c r="AI193" s="6">
        <f t="shared" si="9"/>
        <v>7.7886538259130625E-2</v>
      </c>
      <c r="AK193" s="47">
        <f>RATE(Table1[[#This Row],[Total No. of Coupons]],Table1[[#This Row],[Coupon Amount]],-Table1[[#This Row],[Ask Price]],Table1[[#This Row],[Face value]])</f>
        <v>7.3111827492880505E-2</v>
      </c>
      <c r="AL193" s="27">
        <f>Table1[[#This Row],[IRR]]*Table1[[#This Row],[Coupon Frequency2]]</f>
        <v>7.3111827492880505E-2</v>
      </c>
      <c r="AM193" s="5">
        <f t="shared" si="10"/>
        <v>-9807.3118712564374</v>
      </c>
      <c r="AN193" t="s">
        <v>64</v>
      </c>
      <c r="AO193" t="s">
        <v>62</v>
      </c>
      <c r="AP193">
        <f t="shared" si="11"/>
        <v>1</v>
      </c>
    </row>
    <row r="194" spans="1:42" x14ac:dyDescent="0.35">
      <c r="A194" s="48" t="s">
        <v>765</v>
      </c>
      <c r="B194" s="49" t="s">
        <v>2473</v>
      </c>
      <c r="C194" s="49" t="s">
        <v>2273</v>
      </c>
      <c r="D194" s="50">
        <v>41661</v>
      </c>
      <c r="E194" s="50">
        <v>47140</v>
      </c>
      <c r="F194" s="49">
        <v>1000</v>
      </c>
      <c r="G194" s="49" t="s">
        <v>76</v>
      </c>
      <c r="H194" s="49">
        <v>1104</v>
      </c>
      <c r="I194" s="49" t="s">
        <v>76</v>
      </c>
      <c r="J194" s="49">
        <v>110.4</v>
      </c>
      <c r="K194" s="49">
        <v>100</v>
      </c>
      <c r="L194" s="51">
        <v>8.48E-2</v>
      </c>
      <c r="M194" s="49" t="s">
        <v>93</v>
      </c>
      <c r="N194" s="49">
        <v>1223</v>
      </c>
      <c r="O194" s="49">
        <v>7.6811594202898501</v>
      </c>
      <c r="P194" s="49" t="s">
        <v>2282</v>
      </c>
      <c r="Q194" s="49"/>
      <c r="R194" s="49" t="s">
        <v>2275</v>
      </c>
      <c r="S194">
        <f t="shared" si="8"/>
        <v>15</v>
      </c>
      <c r="T194" s="5" cm="1">
        <f t="array" ref="T1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4">
        <f>Table1[[#This Row],[Term to Maturity (Years)]]*Table1[[#This Row],[Coupon Frequency2]]</f>
        <v>15</v>
      </c>
      <c r="V194">
        <f>Table1[[#This Row],[Face value]]*Table1[[#This Row],[Current coupon %]]</f>
        <v>84.8</v>
      </c>
      <c r="W194" s="36">
        <f>RATE(Table1[[#This Row],[Total No. of Coupons]],Table1[[#This Row],[Coupon Amount]],-Table1[[#This Row],[Ask Price]],Table1[[#This Row],[Face value]])</f>
        <v>7.3152919032966834E-2</v>
      </c>
      <c r="X194" s="27">
        <f>Table1[[#This Row],[IRR]]*Table1[[#This Row],[Coupon Frequency2]]</f>
        <v>7.3152919032966834E-2</v>
      </c>
      <c r="Y194" s="19" cm="1">
        <f t="array" ref="Y1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4" s="33">
        <f>DURATION(Table1[[#This Row],[Issue date]],Table1[[#This Row],[Maturity date]],Table1[[#This Row],[Current coupon %]],Table1[[#This Row],[Yield (Annualised)]],Table1[[#This Row],[Coupon Frequency2]])</f>
        <v>9.3115262600301207</v>
      </c>
      <c r="AA194" s="33">
        <f>Table1[[#This Row],[Macaulay Duration in Years]]/(1+Table1[[#This Row],[IRR]])</f>
        <v>8.676793488500099</v>
      </c>
      <c r="AB194" s="58">
        <f>VLOOKUP(Table1[[#This Row],[Yield Cluster]],'Cluster Details'!$B$3:$C$16,2,0)</f>
        <v>7.8548801574189142E-2</v>
      </c>
      <c r="AC19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1053.9844069359767</v>
      </c>
      <c r="AD194" s="58" t="str">
        <f>IF(Table1[[#This Row],[Ask Price]]&gt;Table1[[#This Row],[Calculated Bond Price]],"Rich","Cheap")</f>
        <v>Rich</v>
      </c>
      <c r="AE19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1013.8307507732206</v>
      </c>
      <c r="AF19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1205.9775633296601</v>
      </c>
      <c r="AG194" s="78">
        <f>(Table1[[#This Row],[P (+ shock)]]+Table1[[#This Row],[P (-shock)]]-2*Table1[[#This Row],[Ask Price]])/(2*Table1[[#This Row],[Ask Price]]*($AF$2^2))</f>
        <v>53.479683436961103</v>
      </c>
      <c r="AH194">
        <v>10.25</v>
      </c>
      <c r="AI194" s="6">
        <f t="shared" si="9"/>
        <v>7.6811594202898542E-2</v>
      </c>
      <c r="AK194" s="47">
        <f>RATE(Table1[[#This Row],[Total No. of Coupons]],Table1[[#This Row],[Coupon Amount]],-Table1[[#This Row],[Ask Price]],Table1[[#This Row],[Face value]])</f>
        <v>7.3152919032966834E-2</v>
      </c>
      <c r="AL194" s="27">
        <f>Table1[[#This Row],[IRR]]*Table1[[#This Row],[Coupon Frequency2]]</f>
        <v>7.3152919032966834E-2</v>
      </c>
      <c r="AM194" s="5">
        <f t="shared" si="10"/>
        <v>-9579.1800113041099</v>
      </c>
      <c r="AN194" t="s">
        <v>64</v>
      </c>
      <c r="AO194" t="s">
        <v>62</v>
      </c>
      <c r="AP194">
        <f t="shared" si="11"/>
        <v>1</v>
      </c>
    </row>
    <row r="195" spans="1:42" x14ac:dyDescent="0.35">
      <c r="A195" s="48" t="s">
        <v>1133</v>
      </c>
      <c r="B195" s="49" t="s">
        <v>2474</v>
      </c>
      <c r="C195" s="49" t="s">
        <v>2273</v>
      </c>
      <c r="D195" s="50">
        <v>45589</v>
      </c>
      <c r="E195" s="50">
        <v>46684</v>
      </c>
      <c r="F195" s="49">
        <v>1000</v>
      </c>
      <c r="G195" s="49" t="s">
        <v>76</v>
      </c>
      <c r="H195" s="49">
        <v>1070</v>
      </c>
      <c r="I195" s="49" t="s">
        <v>76</v>
      </c>
      <c r="J195" s="49">
        <v>107</v>
      </c>
      <c r="K195" s="49">
        <v>18</v>
      </c>
      <c r="L195" s="51">
        <v>0.1</v>
      </c>
      <c r="M195" s="49" t="s">
        <v>93</v>
      </c>
      <c r="N195" s="49">
        <v>767</v>
      </c>
      <c r="O195" s="49">
        <v>9.3457943925233593</v>
      </c>
      <c r="P195" s="49"/>
      <c r="Q195" s="49"/>
      <c r="R195" s="49" t="s">
        <v>2275</v>
      </c>
      <c r="S195">
        <f t="shared" si="8"/>
        <v>3</v>
      </c>
      <c r="T195" s="5" cm="1">
        <f t="array" ref="T1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5">
        <f>Table1[[#This Row],[Term to Maturity (Years)]]*Table1[[#This Row],[Coupon Frequency2]]</f>
        <v>3</v>
      </c>
      <c r="V195">
        <f>Table1[[#This Row],[Face value]]*Table1[[#This Row],[Current coupon %]]</f>
        <v>100</v>
      </c>
      <c r="W195" s="36">
        <f>RATE(Table1[[#This Row],[Total No. of Coupons]],Table1[[#This Row],[Coupon Amount]],-Table1[[#This Row],[Ask Price]],Table1[[#This Row],[Face value]])</f>
        <v>7.3171675458810273E-2</v>
      </c>
      <c r="X195" s="27">
        <f>Table1[[#This Row],[IRR]]*Table1[[#This Row],[Coupon Frequency2]]</f>
        <v>7.3171675458810273E-2</v>
      </c>
      <c r="Y195" s="19" cm="1">
        <f t="array" ref="Y1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5" s="33">
        <f>DURATION(Table1[[#This Row],[Issue date]],Table1[[#This Row],[Maturity date]],Table1[[#This Row],[Current coupon %]],Table1[[#This Row],[Yield (Annualised)]],Table1[[#This Row],[Coupon Frequency2]])</f>
        <v>2.7446805306944317</v>
      </c>
      <c r="AA195" s="33">
        <f>Table1[[#This Row],[Macaulay Duration in Years]]/(1+Table1[[#This Row],[IRR]])</f>
        <v>2.557540972669639</v>
      </c>
      <c r="AB195" s="58">
        <f>VLOOKUP(Table1[[#This Row],[Yield Cluster]],'Cluster Details'!$B$3:$C$16,2,0)</f>
        <v>7.8548801574189142E-2</v>
      </c>
      <c r="AC195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1055.4268965673293</v>
      </c>
      <c r="AD195" s="58" t="str">
        <f>IF(Table1[[#This Row],[Ask Price]]&gt;Table1[[#This Row],[Calculated Bond Price]],"Rich","Cheap")</f>
        <v>Rich</v>
      </c>
      <c r="AE19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1043.121224222627</v>
      </c>
      <c r="AF19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1097.8677180350135</v>
      </c>
      <c r="AG195" s="78">
        <f>(Table1[[#This Row],[P (+ shock)]]+Table1[[#This Row],[P (-shock)]]-2*Table1[[#This Row],[Ask Price]])/(2*Table1[[#This Row],[Ask Price]]*($AF$2^2))</f>
        <v>4.6212255029939318</v>
      </c>
      <c r="AH195">
        <v>10.246366430085899</v>
      </c>
      <c r="AI195" s="6">
        <f t="shared" si="9"/>
        <v>9.3457943925233641E-2</v>
      </c>
      <c r="AK195" s="47">
        <f>RATE(Table1[[#This Row],[Total No. of Coupons]],Table1[[#This Row],[Coupon Amount]],-Table1[[#This Row],[Ask Price]],Table1[[#This Row],[Face value]])</f>
        <v>7.3171675458810273E-2</v>
      </c>
      <c r="AL195" s="27">
        <f>Table1[[#This Row],[IRR]]*Table1[[#This Row],[Coupon Frequency2]]</f>
        <v>7.3171675458810273E-2</v>
      </c>
      <c r="AM195" s="5">
        <f t="shared" si="10"/>
        <v>-2736.5688407565135</v>
      </c>
      <c r="AN195" t="s">
        <v>64</v>
      </c>
      <c r="AO195" t="s">
        <v>62</v>
      </c>
      <c r="AP195">
        <f t="shared" si="11"/>
        <v>1</v>
      </c>
    </row>
    <row r="196" spans="1:42" x14ac:dyDescent="0.35">
      <c r="A196" s="48" t="s">
        <v>1455</v>
      </c>
      <c r="B196" s="49" t="s">
        <v>2475</v>
      </c>
      <c r="C196" s="49" t="s">
        <v>2273</v>
      </c>
      <c r="D196" s="50">
        <v>44564</v>
      </c>
      <c r="E196" s="50">
        <v>46390</v>
      </c>
      <c r="F196" s="49">
        <v>1000</v>
      </c>
      <c r="G196" s="49" t="s">
        <v>76</v>
      </c>
      <c r="H196" s="49">
        <v>1048</v>
      </c>
      <c r="I196" s="49" t="s">
        <v>76</v>
      </c>
      <c r="J196" s="49">
        <v>104.8</v>
      </c>
      <c r="K196" s="49">
        <v>12</v>
      </c>
      <c r="L196" s="51">
        <v>8.5000000000000006E-2</v>
      </c>
      <c r="M196" s="49" t="s">
        <v>93</v>
      </c>
      <c r="N196" s="49">
        <v>473</v>
      </c>
      <c r="O196" s="49">
        <v>8.1106870229007608</v>
      </c>
      <c r="P196" s="49"/>
      <c r="Q196" s="49"/>
      <c r="R196" s="49" t="s">
        <v>2275</v>
      </c>
      <c r="S196">
        <f t="shared" ref="S196:S259" si="12">ROUND(YEARFRAC(D196,E196),0)</f>
        <v>5</v>
      </c>
      <c r="T196" s="5" cm="1">
        <f t="array" ref="T1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6">
        <f>Table1[[#This Row],[Term to Maturity (Years)]]*Table1[[#This Row],[Coupon Frequency2]]</f>
        <v>5</v>
      </c>
      <c r="V196">
        <f>Table1[[#This Row],[Face value]]*Table1[[#This Row],[Current coupon %]]</f>
        <v>85</v>
      </c>
      <c r="W196" s="36">
        <f>RATE(Table1[[#This Row],[Total No. of Coupons]],Table1[[#This Row],[Coupon Amount]],-Table1[[#This Row],[Ask Price]],Table1[[#This Row],[Face value]])</f>
        <v>7.3192987573514598E-2</v>
      </c>
      <c r="X196" s="27">
        <f>Table1[[#This Row],[IRR]]*Table1[[#This Row],[Coupon Frequency2]]</f>
        <v>7.3192987573514598E-2</v>
      </c>
      <c r="Y196" s="19" cm="1">
        <f t="array" ref="Y1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6" s="33">
        <f>DURATION(Table1[[#This Row],[Issue date]],Table1[[#This Row],[Maturity date]],Table1[[#This Row],[Current coupon %]],Table1[[#This Row],[Yield (Annualised)]],Table1[[#This Row],[Coupon Frequency2]])</f>
        <v>4.2940566418597186</v>
      </c>
      <c r="AA196" s="33">
        <f>Table1[[#This Row],[Macaulay Duration in Years]]/(1+Table1[[#This Row],[IRR]])</f>
        <v>4.0011970741334837</v>
      </c>
      <c r="AB196" s="58">
        <f>VLOOKUP(Table1[[#This Row],[Yield Cluster]],'Cluster Details'!$B$3:$C$16,2,0)</f>
        <v>7.8548801574189142E-2</v>
      </c>
      <c r="AC196" s="78">
        <f>PRICE(Table1[[#This Row],[Issue date]],Table1[[#This Row],[Maturity date]],Table1[[#This Row],[Current coupon %]],Table1[[#This Row],[Average Cluster Yield]],100,Table1[[#This Row],[Coupon Frequency2]])*Table1[[#This Row],[Face value]]/100</f>
        <v>1025.8565848138549</v>
      </c>
      <c r="AD196" s="58" t="str">
        <f>IF(Table1[[#This Row],[Ask Price]]&gt;Table1[[#This Row],[Calculated Bond Price]],"Rich","Cheap")</f>
        <v>Rich</v>
      </c>
      <c r="AE19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1007.1545652570378</v>
      </c>
      <c r="AF19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1091.0666247344388</v>
      </c>
      <c r="AG196" s="78">
        <f>(Table1[[#This Row],[P (+ shock)]]+Table1[[#This Row],[P (-shock)]]-2*Table1[[#This Row],[Ask Price]])/(2*Table1[[#This Row],[Ask Price]]*($AF$2^2))</f>
        <v>10.597280493685219</v>
      </c>
      <c r="AH196">
        <v>10.4629810634185</v>
      </c>
      <c r="AI196" s="6">
        <f t="shared" ref="AI196:AI259" si="13">(L196*F196)/H196</f>
        <v>8.110687022900763E-2</v>
      </c>
      <c r="AK196" s="47">
        <f>RATE(Table1[[#This Row],[Total No. of Coupons]],Table1[[#This Row],[Coupon Amount]],-Table1[[#This Row],[Ask Price]],Table1[[#This Row],[Face value]])</f>
        <v>7.3192987573514598E-2</v>
      </c>
      <c r="AL196" s="27">
        <f>Table1[[#This Row],[IRR]]*Table1[[#This Row],[Coupon Frequency2]]</f>
        <v>7.3192987573514598E-2</v>
      </c>
      <c r="AM196" s="5">
        <f t="shared" ref="AM196:AM259" si="14">-AA196*H196</f>
        <v>-4193.2545336918911</v>
      </c>
      <c r="AN196" t="s">
        <v>64</v>
      </c>
      <c r="AO196" t="s">
        <v>62</v>
      </c>
      <c r="AP196">
        <f t="shared" ref="AP196:AP259" si="15">_xlfn.SWITCH(PROPER(TRIM(M196)),
   "Annual",1,
   "Semi-Annual",2,
   "Quarterly",4,
   "Monthly",12,
   "")</f>
        <v>1</v>
      </c>
    </row>
    <row r="197" spans="1:42" x14ac:dyDescent="0.35">
      <c r="A197" s="48" t="s">
        <v>1991</v>
      </c>
      <c r="B197" s="49" t="s">
        <v>2476</v>
      </c>
      <c r="C197" s="49" t="s">
        <v>2273</v>
      </c>
      <c r="D197" s="50">
        <v>44946</v>
      </c>
      <c r="E197" s="50">
        <v>46042</v>
      </c>
      <c r="F197" s="49">
        <v>1000</v>
      </c>
      <c r="G197" s="49" t="s">
        <v>76</v>
      </c>
      <c r="H197" s="49">
        <v>1059.5</v>
      </c>
      <c r="I197" s="49" t="s">
        <v>76</v>
      </c>
      <c r="J197" s="49">
        <v>105.95</v>
      </c>
      <c r="K197" s="49">
        <v>820</v>
      </c>
      <c r="L197" s="51">
        <v>9.6000000000000002E-2</v>
      </c>
      <c r="M197" s="49" t="s">
        <v>93</v>
      </c>
      <c r="N197" s="49">
        <v>125</v>
      </c>
      <c r="O197" s="49">
        <v>9.0608777725342105</v>
      </c>
      <c r="P197" s="49"/>
      <c r="Q197" s="49"/>
      <c r="R197" s="49" t="s">
        <v>2275</v>
      </c>
      <c r="S197">
        <f t="shared" si="12"/>
        <v>3</v>
      </c>
      <c r="T197" s="5" cm="1">
        <f t="array" ref="T1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7">
        <f>Table1[[#This Row],[Term to Maturity (Years)]]*Table1[[#This Row],[Coupon Frequency2]]</f>
        <v>3</v>
      </c>
      <c r="V197">
        <f>Table1[[#This Row],[Face value]]*Table1[[#This Row],[Current coupon %]]</f>
        <v>96</v>
      </c>
      <c r="W197" s="36">
        <f>RATE(Table1[[#This Row],[Total No. of Coupons]],Table1[[#This Row],[Coupon Amount]],-Table1[[#This Row],[Ask Price]],Table1[[#This Row],[Face value]])</f>
        <v>7.3194957936253163E-2</v>
      </c>
      <c r="X197" s="27">
        <f>Table1[[#This Row],[IRR]]*Table1[[#This Row],[Coupon Frequency2]]</f>
        <v>7.3194957936253163E-2</v>
      </c>
      <c r="Y197" s="19" cm="1">
        <f t="array" ref="Y1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7" s="33">
        <f>DURATION(Table1[[#This Row],[Issue date]],Table1[[#This Row],[Maturity date]],Table1[[#This Row],[Current coupon %]],Table1[[#This Row],[Yield (Annualised)]],Table1[[#This Row],[Coupon Frequency2]])</f>
        <v>2.7524712969756862</v>
      </c>
      <c r="AA197" s="33">
        <f>Table1[[#This Row],[Macaulay Duration in Years]]/(1+Table1[[#This Row],[IRR]])</f>
        <v>2.5647449017731785</v>
      </c>
      <c r="AB197" s="58">
        <f>VLOOKUP(Table1[[#This Row],[Yield Cluster]],'Cluster Details'!$B$3:$C$16,2,0)</f>
        <v>7.8548801574189142E-2</v>
      </c>
      <c r="AC197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1045.0914560073952</v>
      </c>
      <c r="AD197" s="58" t="str">
        <f>IF(Table1[[#This Row],[Ask Price]]&gt;Table1[[#This Row],[Calculated Bond Price]],"Rich","Cheap")</f>
        <v>Rich</v>
      </c>
      <c r="AE19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1032.8105144106594</v>
      </c>
      <c r="AF19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1087.1724930434661</v>
      </c>
      <c r="AG197" s="78">
        <f>(Table1[[#This Row],[P (+ shock)]]+Table1[[#This Row],[P (-shock)]]-2*Table1[[#This Row],[Ask Price]])/(2*Table1[[#This Row],[Ask Price]]*($AF$2^2))</f>
        <v>4.639015828813247</v>
      </c>
      <c r="AH197">
        <v>4.0699356904318904</v>
      </c>
      <c r="AI197" s="6">
        <f t="shared" si="13"/>
        <v>9.0608777725342149E-2</v>
      </c>
      <c r="AK197" s="47">
        <f>RATE(Table1[[#This Row],[Total No. of Coupons]],Table1[[#This Row],[Coupon Amount]],-Table1[[#This Row],[Ask Price]],Table1[[#This Row],[Face value]])</f>
        <v>7.3194957936253163E-2</v>
      </c>
      <c r="AL197" s="27">
        <f>Table1[[#This Row],[IRR]]*Table1[[#This Row],[Coupon Frequency2]]</f>
        <v>7.3194957936253163E-2</v>
      </c>
      <c r="AM197" s="5">
        <f t="shared" si="14"/>
        <v>-2717.3472234286828</v>
      </c>
      <c r="AN197" t="s">
        <v>64</v>
      </c>
      <c r="AO197" t="s">
        <v>62</v>
      </c>
      <c r="AP197">
        <f t="shared" si="15"/>
        <v>1</v>
      </c>
    </row>
    <row r="198" spans="1:42" x14ac:dyDescent="0.35">
      <c r="A198" s="48" t="s">
        <v>703</v>
      </c>
      <c r="B198" s="49" t="s">
        <v>2477</v>
      </c>
      <c r="C198" s="49" t="s">
        <v>2273</v>
      </c>
      <c r="D198" s="50">
        <v>41725</v>
      </c>
      <c r="E198" s="50">
        <v>47204</v>
      </c>
      <c r="F198" s="49">
        <v>1000</v>
      </c>
      <c r="G198" s="49" t="s">
        <v>76</v>
      </c>
      <c r="H198" s="49">
        <v>1132</v>
      </c>
      <c r="I198" s="49" t="s">
        <v>76</v>
      </c>
      <c r="J198" s="49">
        <v>113.19999999999899</v>
      </c>
      <c r="K198" s="49">
        <v>780</v>
      </c>
      <c r="L198" s="51">
        <v>8.8000000000000009E-2</v>
      </c>
      <c r="M198" s="49" t="s">
        <v>93</v>
      </c>
      <c r="N198" s="49">
        <v>1287</v>
      </c>
      <c r="O198" s="49">
        <v>7.7738515901060001</v>
      </c>
      <c r="P198" s="49" t="s">
        <v>2282</v>
      </c>
      <c r="Q198" s="49"/>
      <c r="R198" s="49" t="s">
        <v>2275</v>
      </c>
      <c r="S198">
        <f t="shared" si="12"/>
        <v>15</v>
      </c>
      <c r="T198" s="5" cm="1">
        <f t="array" ref="T1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8">
        <f>Table1[[#This Row],[Term to Maturity (Years)]]*Table1[[#This Row],[Coupon Frequency2]]</f>
        <v>15</v>
      </c>
      <c r="V198">
        <f>Table1[[#This Row],[Face value]]*Table1[[#This Row],[Current coupon %]]</f>
        <v>88.000000000000014</v>
      </c>
      <c r="W198" s="36">
        <f>RATE(Table1[[#This Row],[Total No. of Coupons]],Table1[[#This Row],[Coupon Amount]],-Table1[[#This Row],[Ask Price]],Table1[[#This Row],[Face value]])</f>
        <v>7.3211732842333482E-2</v>
      </c>
      <c r="X198" s="27">
        <f>Table1[[#This Row],[IRR]]*Table1[[#This Row],[Coupon Frequency2]]</f>
        <v>7.3211732842333482E-2</v>
      </c>
      <c r="Y198" s="19" cm="1">
        <f t="array" ref="Y1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8" s="33">
        <f>DURATION(Table1[[#This Row],[Issue date]],Table1[[#This Row],[Maturity date]],Table1[[#This Row],[Current coupon %]],Table1[[#This Row],[Yield (Annualised)]],Table1[[#This Row],[Coupon Frequency2]])</f>
        <v>9.244324543998216</v>
      </c>
      <c r="AA198" s="33">
        <f>Table1[[#This Row],[Macaulay Duration in Years]]/(1+Table1[[#This Row],[IRR]])</f>
        <v>8.613700597099518</v>
      </c>
      <c r="AB198" s="58">
        <f>VLOOKUP(Table1[[#This Row],[Yield Cluster]],'Cluster Details'!$B$3:$C$16,2,0)</f>
        <v>7.8548801574189142E-2</v>
      </c>
      <c r="AC198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1081.6191243818105</v>
      </c>
      <c r="AD198" s="58" t="str">
        <f>IF(Table1[[#This Row],[Ask Price]]&gt;Table1[[#This Row],[Calculated Bond Price]],"Rich","Cheap")</f>
        <v>Rich</v>
      </c>
      <c r="AE19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1040.193413057689</v>
      </c>
      <c r="AF19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1235.777110432703</v>
      </c>
      <c r="AG198" s="78">
        <f>(Table1[[#This Row],[P (+ shock)]]+Table1[[#This Row],[P (-shock)]]-2*Table1[[#This Row],[Ask Price]])/(2*Table1[[#This Row],[Ask Price]]*($AF$2^2))</f>
        <v>52.8733369716971</v>
      </c>
      <c r="AI198" s="6">
        <f t="shared" si="13"/>
        <v>7.7738515901060082E-2</v>
      </c>
      <c r="AK198" s="47">
        <f>RATE(Table1[[#This Row],[Total No. of Coupons]],Table1[[#This Row],[Coupon Amount]],-Table1[[#This Row],[Ask Price]],Table1[[#This Row],[Face value]])</f>
        <v>7.3211732842333482E-2</v>
      </c>
      <c r="AL198" s="27">
        <f>Table1[[#This Row],[IRR]]*Table1[[#This Row],[Coupon Frequency2]]</f>
        <v>7.3211732842333482E-2</v>
      </c>
      <c r="AM198" s="5">
        <f t="shared" si="14"/>
        <v>-9750.7090759166549</v>
      </c>
      <c r="AN198" t="s">
        <v>64</v>
      </c>
      <c r="AO198" t="s">
        <v>62</v>
      </c>
      <c r="AP198">
        <f t="shared" si="15"/>
        <v>1</v>
      </c>
    </row>
    <row r="199" spans="1:42" x14ac:dyDescent="0.35">
      <c r="A199" s="48" t="s">
        <v>1541</v>
      </c>
      <c r="B199" s="49" t="s">
        <v>2478</v>
      </c>
      <c r="C199" s="49" t="s">
        <v>2273</v>
      </c>
      <c r="D199" s="50">
        <v>45231</v>
      </c>
      <c r="E199" s="50">
        <v>46327</v>
      </c>
      <c r="F199" s="49">
        <v>1000</v>
      </c>
      <c r="G199" s="49" t="s">
        <v>76</v>
      </c>
      <c r="H199" s="49">
        <v>1050.8</v>
      </c>
      <c r="I199" s="49" t="s">
        <v>76</v>
      </c>
      <c r="J199" s="49">
        <v>105.08</v>
      </c>
      <c r="K199" s="49">
        <v>20</v>
      </c>
      <c r="L199" s="51">
        <v>9.2699999999999991E-2</v>
      </c>
      <c r="M199" s="49" t="s">
        <v>93</v>
      </c>
      <c r="N199" s="49">
        <v>410</v>
      </c>
      <c r="O199" s="49">
        <v>8.8218500190331106</v>
      </c>
      <c r="P199" s="49"/>
      <c r="Q199" s="49"/>
      <c r="R199" s="49" t="s">
        <v>2275</v>
      </c>
      <c r="S199">
        <f t="shared" si="12"/>
        <v>3</v>
      </c>
      <c r="T199" s="5" cm="1">
        <f t="array" ref="T1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199">
        <f>Table1[[#This Row],[Term to Maturity (Years)]]*Table1[[#This Row],[Coupon Frequency2]]</f>
        <v>3</v>
      </c>
      <c r="V199">
        <f>Table1[[#This Row],[Face value]]*Table1[[#This Row],[Current coupon %]]</f>
        <v>92.699999999999989</v>
      </c>
      <c r="W199" s="36">
        <f>RATE(Table1[[#This Row],[Total No. of Coupons]],Table1[[#This Row],[Coupon Amount]],-Table1[[#This Row],[Ask Price]],Table1[[#This Row],[Face value]])</f>
        <v>7.3228295482332645E-2</v>
      </c>
      <c r="X199" s="27">
        <f>Table1[[#This Row],[IRR]]*Table1[[#This Row],[Coupon Frequency2]]</f>
        <v>7.3228295482332645E-2</v>
      </c>
      <c r="Y199" s="19" cm="1">
        <f t="array" ref="Y1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199" s="33">
        <f>DURATION(Table1[[#This Row],[Issue date]],Table1[[#This Row],[Maturity date]],Table1[[#This Row],[Current coupon %]],Table1[[#This Row],[Yield (Annualised)]],Table1[[#This Row],[Coupon Frequency2]])</f>
        <v>2.7590110185881516</v>
      </c>
      <c r="AA199" s="33">
        <f>Table1[[#This Row],[Macaulay Duration in Years]]/(1+Table1[[#This Row],[IRR]])</f>
        <v>2.5707587381007233</v>
      </c>
      <c r="AB199" s="58">
        <f>VLOOKUP(Table1[[#This Row],[Yield Cluster]],'Cluster Details'!$B$3:$C$16,2,0)</f>
        <v>7.8548801574189142E-2</v>
      </c>
      <c r="AC199" s="78">
        <f>PRICE(Table1[[#This Row],[Issue date]],Table1[[#This Row],[Maturity date]],Table1[[#This Row],[Current coupon %]],Table1[[#This Row],[Average Cluster Yield]],100,Table1[[#This Row],[Coupon Frequency2]])*Table1[[#This Row],[Face value]]/100</f>
        <v>1036.5647175454499</v>
      </c>
      <c r="AD199" s="58" t="str">
        <f>IF(Table1[[#This Row],[Ask Price]]&gt;Table1[[#This Row],[Calculated Bond Price]],"Rich","Cheap")</f>
        <v>Rich</v>
      </c>
      <c r="AE19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1024.2680091744396</v>
      </c>
      <c r="AF19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1078.3100394846153</v>
      </c>
      <c r="AG199" s="78">
        <f>(Table1[[#This Row],[P (+ shock)]]+Table1[[#This Row],[P (-shock)]]-2*Table1[[#This Row],[Ask Price]])/(2*Table1[[#This Row],[Ask Price]]*($AF$2^2))</f>
        <v>4.6538287926095387</v>
      </c>
      <c r="AH199">
        <v>9.8451704225477492</v>
      </c>
      <c r="AI199" s="6">
        <f t="shared" si="13"/>
        <v>8.8218500190331173E-2</v>
      </c>
      <c r="AK199" s="47">
        <f>RATE(Table1[[#This Row],[Total No. of Coupons]],Table1[[#This Row],[Coupon Amount]],-Table1[[#This Row],[Ask Price]],Table1[[#This Row],[Face value]])</f>
        <v>7.3228295482332645E-2</v>
      </c>
      <c r="AL199" s="27">
        <f>Table1[[#This Row],[IRR]]*Table1[[#This Row],[Coupon Frequency2]]</f>
        <v>7.3228295482332645E-2</v>
      </c>
      <c r="AM199" s="5">
        <f t="shared" si="14"/>
        <v>-2701.3532819962397</v>
      </c>
      <c r="AN199" t="s">
        <v>64</v>
      </c>
      <c r="AO199" t="s">
        <v>62</v>
      </c>
      <c r="AP199">
        <f t="shared" si="15"/>
        <v>1</v>
      </c>
    </row>
    <row r="200" spans="1:42" x14ac:dyDescent="0.35">
      <c r="A200" s="48" t="s">
        <v>248</v>
      </c>
      <c r="B200" s="49" t="s">
        <v>2479</v>
      </c>
      <c r="C200" s="49" t="s">
        <v>2273</v>
      </c>
      <c r="D200" s="50">
        <v>44901</v>
      </c>
      <c r="E200" s="50">
        <v>48554</v>
      </c>
      <c r="F200" s="49">
        <v>1000000</v>
      </c>
      <c r="G200" s="49" t="s">
        <v>76</v>
      </c>
      <c r="H200" s="49">
        <v>1012704.6</v>
      </c>
      <c r="I200" s="49" t="s">
        <v>76</v>
      </c>
      <c r="J200" s="49">
        <v>101.27046</v>
      </c>
      <c r="K200" s="49">
        <v>6</v>
      </c>
      <c r="L200" s="51">
        <v>7.51E-2</v>
      </c>
      <c r="M200" s="49" t="s">
        <v>93</v>
      </c>
      <c r="N200" s="49">
        <v>2637</v>
      </c>
      <c r="O200" s="49">
        <v>7.4157854126464899</v>
      </c>
      <c r="P200" s="49" t="s">
        <v>2274</v>
      </c>
      <c r="Q200" s="49"/>
      <c r="R200" s="49" t="s">
        <v>2275</v>
      </c>
      <c r="S200">
        <f t="shared" si="12"/>
        <v>10</v>
      </c>
      <c r="T200" s="5" cm="1">
        <f t="array" ref="T2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0">
        <f>Table1[[#This Row],[Term to Maturity (Years)]]*Table1[[#This Row],[Coupon Frequency2]]</f>
        <v>10</v>
      </c>
      <c r="V200">
        <f>Table1[[#This Row],[Face value]]*Table1[[#This Row],[Current coupon %]]</f>
        <v>75100</v>
      </c>
      <c r="W200" s="36">
        <f>RATE(Table1[[#This Row],[Total No. of Coupons]],Table1[[#This Row],[Coupon Amount]],-Table1[[#This Row],[Ask Price]],Table1[[#This Row],[Face value]])</f>
        <v>7.3263765026507902E-2</v>
      </c>
      <c r="X200" s="27">
        <f>Table1[[#This Row],[IRR]]*Table1[[#This Row],[Coupon Frequency2]]</f>
        <v>7.3263765026507902E-2</v>
      </c>
      <c r="Y200" s="19" cm="1">
        <f t="array" ref="Y2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0" s="33">
        <f>DURATION(Table1[[#This Row],[Issue date]],Table1[[#This Row],[Maturity date]],Table1[[#This Row],[Current coupon %]],Table1[[#This Row],[Yield (Annualised)]],Table1[[#This Row],[Coupon Frequency2]])</f>
        <v>7.3943153148144418</v>
      </c>
      <c r="AA200" s="33">
        <f>Table1[[#This Row],[Macaulay Duration in Years]]/(1+Table1[[#This Row],[IRR]])</f>
        <v>6.8895601955142993</v>
      </c>
      <c r="AB200" s="58">
        <f>VLOOKUP(Table1[[#This Row],[Yield Cluster]],'Cluster Details'!$B$3:$C$16,2,0)</f>
        <v>7.8548801574189142E-2</v>
      </c>
      <c r="AC200" s="78">
        <f>PRICE(Table1[[#This Row],[Issue date]],Table1[[#This Row],[Maturity date]],Table1[[#This Row],[Current coupon %]],Table1[[#This Row],[Average Cluster Yield]],100,Table1[[#This Row],[Coupon Frequency2]])*Table1[[#This Row],[Face value]]/100</f>
        <v>976706.01617629081</v>
      </c>
      <c r="AD200" s="58" t="str">
        <f>IF(Table1[[#This Row],[Ask Price]]&gt;Table1[[#This Row],[Calculated Bond Price]],"Rich","Cheap")</f>
        <v>Rich</v>
      </c>
      <c r="AE20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946017.81726959685</v>
      </c>
      <c r="AF20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1085784.3448933172</v>
      </c>
      <c r="AG200" s="78">
        <f>(Table1[[#This Row],[P (+ shock)]]+Table1[[#This Row],[P (-shock)]]-2*Table1[[#This Row],[Ask Price]])/(2*Table1[[#This Row],[Ask Price]]*($AF$2^2))</f>
        <v>31.563805293833894</v>
      </c>
      <c r="AI200" s="6">
        <f t="shared" si="13"/>
        <v>7.4157854126464917E-2</v>
      </c>
      <c r="AK200" s="47">
        <f>RATE(Table1[[#This Row],[Total No. of Coupons]],Table1[[#This Row],[Coupon Amount]],-Table1[[#This Row],[Ask Price]],Table1[[#This Row],[Face value]])</f>
        <v>7.3263765026507902E-2</v>
      </c>
      <c r="AL200" s="27">
        <f>Table1[[#This Row],[IRR]]*Table1[[#This Row],[Coupon Frequency2]]</f>
        <v>7.3263765026507902E-2</v>
      </c>
      <c r="AM200" s="5">
        <f t="shared" si="14"/>
        <v>-6977089.3019742304</v>
      </c>
      <c r="AN200" t="s">
        <v>64</v>
      </c>
      <c r="AO200" t="s">
        <v>62</v>
      </c>
      <c r="AP200">
        <f t="shared" si="15"/>
        <v>1</v>
      </c>
    </row>
    <row r="201" spans="1:42" x14ac:dyDescent="0.35">
      <c r="A201" s="48" t="s">
        <v>227</v>
      </c>
      <c r="B201" s="49" t="s">
        <v>2480</v>
      </c>
      <c r="C201" s="49" t="s">
        <v>2273</v>
      </c>
      <c r="D201" s="50">
        <v>45139</v>
      </c>
      <c r="E201" s="50">
        <v>48792</v>
      </c>
      <c r="F201" s="49">
        <v>1000</v>
      </c>
      <c r="G201" s="49" t="s">
        <v>76</v>
      </c>
      <c r="H201" s="49">
        <v>1014</v>
      </c>
      <c r="I201" s="49" t="s">
        <v>76</v>
      </c>
      <c r="J201" s="49">
        <v>101.4</v>
      </c>
      <c r="K201" s="49">
        <v>30</v>
      </c>
      <c r="L201" s="51">
        <v>7.5300000000000006E-2</v>
      </c>
      <c r="M201" s="49" t="s">
        <v>93</v>
      </c>
      <c r="N201" s="49">
        <v>2875</v>
      </c>
      <c r="O201" s="49">
        <v>7.4260355029585696</v>
      </c>
      <c r="P201" s="49" t="s">
        <v>2282</v>
      </c>
      <c r="Q201" s="49"/>
      <c r="R201" s="49" t="s">
        <v>2275</v>
      </c>
      <c r="S201">
        <f t="shared" si="12"/>
        <v>10</v>
      </c>
      <c r="T201" s="5" cm="1">
        <f t="array" ref="T2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1">
        <f>Table1[[#This Row],[Term to Maturity (Years)]]*Table1[[#This Row],[Coupon Frequency2]]</f>
        <v>10</v>
      </c>
      <c r="V201">
        <f>Table1[[#This Row],[Face value]]*Table1[[#This Row],[Current coupon %]]</f>
        <v>75.300000000000011</v>
      </c>
      <c r="W201" s="36">
        <f>RATE(Table1[[#This Row],[Total No. of Coupons]],Table1[[#This Row],[Coupon Amount]],-Table1[[#This Row],[Ask Price]],Table1[[#This Row],[Face value]])</f>
        <v>7.3276419455437891E-2</v>
      </c>
      <c r="X201" s="27">
        <f>Table1[[#This Row],[IRR]]*Table1[[#This Row],[Coupon Frequency2]]</f>
        <v>7.3276419455437891E-2</v>
      </c>
      <c r="Y201" s="19" cm="1">
        <f t="array" ref="Y2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1" s="33">
        <f>DURATION(Table1[[#This Row],[Issue date]],Table1[[#This Row],[Maturity date]],Table1[[#This Row],[Current coupon %]],Table1[[#This Row],[Yield (Annualised)]],Table1[[#This Row],[Coupon Frequency2]])</f>
        <v>7.3908164074470637</v>
      </c>
      <c r="AA201" s="33">
        <f>Table1[[#This Row],[Macaulay Duration in Years]]/(1+Table1[[#This Row],[IRR]])</f>
        <v>6.8862189399419007</v>
      </c>
      <c r="AB201" s="58">
        <f>VLOOKUP(Table1[[#This Row],[Yield Cluster]],'Cluster Details'!$B$3:$C$16,2,0)</f>
        <v>7.8548801574189142E-2</v>
      </c>
      <c r="AC201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978.05686129292735</v>
      </c>
      <c r="AD201" s="58" t="str">
        <f>IF(Table1[[#This Row],[Ask Price]]&gt;Table1[[#This Row],[Calculated Bond Price]],"Rich","Cheap")</f>
        <v>Rich</v>
      </c>
      <c r="AE20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947.25960987087001</v>
      </c>
      <c r="AF20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1087.136969055952</v>
      </c>
      <c r="AG201" s="78">
        <f>(Table1[[#This Row],[P (+ shock)]]+Table1[[#This Row],[P (-shock)]]-2*Table1[[#This Row],[Ask Price]])/(2*Table1[[#This Row],[Ask Price]]*($AF$2^2))</f>
        <v>31.541316207209224</v>
      </c>
      <c r="AH201">
        <v>-1.26491934096929</v>
      </c>
      <c r="AI201" s="6">
        <f t="shared" si="13"/>
        <v>7.4260355029585806E-2</v>
      </c>
      <c r="AK201" s="47">
        <f>RATE(Table1[[#This Row],[Total No. of Coupons]],Table1[[#This Row],[Coupon Amount]],-Table1[[#This Row],[Ask Price]],Table1[[#This Row],[Face value]])</f>
        <v>7.3276419455437891E-2</v>
      </c>
      <c r="AL201" s="27">
        <f>Table1[[#This Row],[IRR]]*Table1[[#This Row],[Coupon Frequency2]]</f>
        <v>7.3276419455437891E-2</v>
      </c>
      <c r="AM201" s="5">
        <f t="shared" si="14"/>
        <v>-6982.6260051010877</v>
      </c>
      <c r="AN201" t="s">
        <v>64</v>
      </c>
      <c r="AO201" t="s">
        <v>62</v>
      </c>
      <c r="AP201">
        <f t="shared" si="15"/>
        <v>1</v>
      </c>
    </row>
    <row r="202" spans="1:42" x14ac:dyDescent="0.35">
      <c r="A202" s="48" t="s">
        <v>711</v>
      </c>
      <c r="B202" s="49" t="s">
        <v>2481</v>
      </c>
      <c r="C202" s="49" t="s">
        <v>2273</v>
      </c>
      <c r="D202" s="50">
        <v>41723</v>
      </c>
      <c r="E202" s="50">
        <v>47202</v>
      </c>
      <c r="F202" s="49">
        <v>1000</v>
      </c>
      <c r="G202" s="49" t="s">
        <v>76</v>
      </c>
      <c r="H202" s="49">
        <v>1148</v>
      </c>
      <c r="I202" s="49" t="s">
        <v>76</v>
      </c>
      <c r="J202" s="49">
        <v>114.8</v>
      </c>
      <c r="K202" s="49">
        <v>100</v>
      </c>
      <c r="L202" s="51">
        <v>0.09</v>
      </c>
      <c r="M202" s="49" t="s">
        <v>93</v>
      </c>
      <c r="N202" s="49">
        <v>1285</v>
      </c>
      <c r="O202" s="49">
        <v>7.8397212543553998</v>
      </c>
      <c r="P202" s="49"/>
      <c r="Q202" s="49"/>
      <c r="R202" s="49" t="s">
        <v>2275</v>
      </c>
      <c r="S202">
        <f t="shared" si="12"/>
        <v>15</v>
      </c>
      <c r="T202" s="5" cm="1">
        <f t="array" ref="T2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2">
        <f>Table1[[#This Row],[Term to Maturity (Years)]]*Table1[[#This Row],[Coupon Frequency2]]</f>
        <v>15</v>
      </c>
      <c r="V202">
        <f>Table1[[#This Row],[Face value]]*Table1[[#This Row],[Current coupon %]]</f>
        <v>90</v>
      </c>
      <c r="W202" s="36">
        <f>RATE(Table1[[#This Row],[Total No. of Coupons]],Table1[[#This Row],[Coupon Amount]],-Table1[[#This Row],[Ask Price]],Table1[[#This Row],[Face value]])</f>
        <v>7.3399734530335645E-2</v>
      </c>
      <c r="X202" s="27">
        <f>Table1[[#This Row],[IRR]]*Table1[[#This Row],[Coupon Frequency2]]</f>
        <v>7.3399734530335645E-2</v>
      </c>
      <c r="Y202" s="19" cm="1">
        <f t="array" ref="Y2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2" s="33">
        <f>DURATION(Table1[[#This Row],[Issue date]],Table1[[#This Row],[Maturity date]],Table1[[#This Row],[Current coupon %]],Table1[[#This Row],[Yield (Annualised)]],Table1[[#This Row],[Coupon Frequency2]])</f>
        <v>9.2002054461525198</v>
      </c>
      <c r="AA202" s="33">
        <f>Table1[[#This Row],[Macaulay Duration in Years]]/(1+Table1[[#This Row],[IRR]])</f>
        <v>8.5710897349700339</v>
      </c>
      <c r="AB202" s="58">
        <f>VLOOKUP(Table1[[#This Row],[Yield Cluster]],'Cluster Details'!$B$3:$C$16,2,0)</f>
        <v>7.8548801574189142E-2</v>
      </c>
      <c r="AC202" s="78">
        <f>PRICE(Table1[[#This Row],[Issue date]],Table1[[#This Row],[Maturity date]],Table1[[#This Row],[Current coupon %]],Table1[[#This Row],[Average Cluster Yield]],100,Table1[[#This Row],[Coupon Frequency2]])*Table1[[#This Row],[Face value]]/100</f>
        <v>1098.8908227854565</v>
      </c>
      <c r="AD202" s="58" t="str">
        <f>IF(Table1[[#This Row],[Ask Price]]&gt;Table1[[#This Row],[Calculated Bond Price]],"Rich","Cheap")</f>
        <v>Rich</v>
      </c>
      <c r="AE20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1055.3407336146608</v>
      </c>
      <c r="AF20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1252.7050417667258</v>
      </c>
      <c r="AG202" s="78">
        <f>(Table1[[#This Row],[P (+ shock)]]+Table1[[#This Row],[P (-shock)]]-2*Table1[[#This Row],[Ask Price]])/(2*Table1[[#This Row],[Ask Price]]*($AF$2^2))</f>
        <v>52.464178490359963</v>
      </c>
      <c r="AH202">
        <v>4.4877416688822498</v>
      </c>
      <c r="AI202" s="6">
        <f t="shared" si="13"/>
        <v>7.8397212543554001E-2</v>
      </c>
      <c r="AK202" s="47">
        <f>RATE(Table1[[#This Row],[Total No. of Coupons]],Table1[[#This Row],[Coupon Amount]],-Table1[[#This Row],[Ask Price]],Table1[[#This Row],[Face value]])</f>
        <v>7.3399734530335645E-2</v>
      </c>
      <c r="AL202" s="27">
        <f>Table1[[#This Row],[IRR]]*Table1[[#This Row],[Coupon Frequency2]]</f>
        <v>7.3399734530335645E-2</v>
      </c>
      <c r="AM202" s="5">
        <f t="shared" si="14"/>
        <v>-9839.6110157455987</v>
      </c>
      <c r="AN202" t="s">
        <v>64</v>
      </c>
      <c r="AO202" t="s">
        <v>62</v>
      </c>
      <c r="AP202">
        <f t="shared" si="15"/>
        <v>1</v>
      </c>
    </row>
    <row r="203" spans="1:42" x14ac:dyDescent="0.35">
      <c r="A203" s="48" t="s">
        <v>1468</v>
      </c>
      <c r="B203" s="49" t="s">
        <v>2482</v>
      </c>
      <c r="C203" s="49" t="s">
        <v>2273</v>
      </c>
      <c r="D203" s="50">
        <v>45287</v>
      </c>
      <c r="E203" s="50">
        <v>46383</v>
      </c>
      <c r="F203" s="49">
        <v>1000</v>
      </c>
      <c r="G203" s="49" t="s">
        <v>76</v>
      </c>
      <c r="H203" s="49">
        <v>1060</v>
      </c>
      <c r="I203" s="49" t="s">
        <v>76</v>
      </c>
      <c r="J203" s="49">
        <v>106</v>
      </c>
      <c r="K203" s="49">
        <v>200</v>
      </c>
      <c r="L203" s="51">
        <v>9.6500000000000002E-2</v>
      </c>
      <c r="M203" s="49" t="s">
        <v>93</v>
      </c>
      <c r="N203" s="49">
        <v>466</v>
      </c>
      <c r="O203" s="49">
        <v>9.1037735849056602</v>
      </c>
      <c r="P203" s="49"/>
      <c r="Q203" s="49"/>
      <c r="R203" s="49" t="s">
        <v>2275</v>
      </c>
      <c r="S203">
        <f t="shared" si="12"/>
        <v>3</v>
      </c>
      <c r="T203" s="5" cm="1">
        <f t="array" ref="T2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3">
        <f>Table1[[#This Row],[Term to Maturity (Years)]]*Table1[[#This Row],[Coupon Frequency2]]</f>
        <v>3</v>
      </c>
      <c r="V203">
        <f>Table1[[#This Row],[Face value]]*Table1[[#This Row],[Current coupon %]]</f>
        <v>96.5</v>
      </c>
      <c r="W203" s="36">
        <f>RATE(Table1[[#This Row],[Total No. of Coupons]],Table1[[#This Row],[Coupon Amount]],-Table1[[#This Row],[Ask Price]],Table1[[#This Row],[Face value]])</f>
        <v>7.3490931905754842E-2</v>
      </c>
      <c r="X203" s="27">
        <f>Table1[[#This Row],[IRR]]*Table1[[#This Row],[Coupon Frequency2]]</f>
        <v>7.3490931905754842E-2</v>
      </c>
      <c r="Y203" s="19" cm="1">
        <f t="array" ref="Y2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3" s="33">
        <f>DURATION(Table1[[#This Row],[Issue date]],Table1[[#This Row],[Maturity date]],Table1[[#This Row],[Current coupon %]],Table1[[#This Row],[Yield (Annualised)]],Table1[[#This Row],[Coupon Frequency2]])</f>
        <v>2.7513898086711506</v>
      </c>
      <c r="AA203" s="33">
        <f>Table1[[#This Row],[Macaulay Duration in Years]]/(1+Table1[[#This Row],[IRR]])</f>
        <v>2.5630303218180361</v>
      </c>
      <c r="AB203" s="58">
        <f>VLOOKUP(Table1[[#This Row],[Yield Cluster]],'Cluster Details'!$B$3:$C$16,2,0)</f>
        <v>7.8548801574189142E-2</v>
      </c>
      <c r="AC203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1046.3833860773871</v>
      </c>
      <c r="AD203" s="58" t="str">
        <f>IF(Table1[[#This Row],[Ask Price]]&gt;Table1[[#This Row],[Calculated Bond Price]],"Rich","Cheap")</f>
        <v>Rich</v>
      </c>
      <c r="AE20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1033.3155693854135</v>
      </c>
      <c r="AF20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1087.6668318405245</v>
      </c>
      <c r="AG203" s="78">
        <f>(Table1[[#This Row],[P (+ shock)]]+Table1[[#This Row],[P (-shock)]]-2*Table1[[#This Row],[Ask Price]])/(2*Table1[[#This Row],[Ask Price]]*($AF$2^2))</f>
        <v>4.6339680468763786</v>
      </c>
      <c r="AI203" s="6">
        <f t="shared" si="13"/>
        <v>9.1037735849056597E-2</v>
      </c>
      <c r="AK203" s="47">
        <f>RATE(Table1[[#This Row],[Total No. of Coupons]],Table1[[#This Row],[Coupon Amount]],-Table1[[#This Row],[Ask Price]],Table1[[#This Row],[Face value]])</f>
        <v>7.3490931905754842E-2</v>
      </c>
      <c r="AL203" s="27">
        <f>Table1[[#This Row],[IRR]]*Table1[[#This Row],[Coupon Frequency2]]</f>
        <v>7.3490931905754842E-2</v>
      </c>
      <c r="AM203" s="5">
        <f t="shared" si="14"/>
        <v>-2716.8121411271181</v>
      </c>
      <c r="AN203" t="s">
        <v>64</v>
      </c>
      <c r="AO203" t="s">
        <v>62</v>
      </c>
      <c r="AP203">
        <f t="shared" si="15"/>
        <v>1</v>
      </c>
    </row>
    <row r="204" spans="1:42" x14ac:dyDescent="0.35">
      <c r="A204" s="48" t="s">
        <v>834</v>
      </c>
      <c r="B204" s="49" t="s">
        <v>2483</v>
      </c>
      <c r="C204" s="49" t="s">
        <v>2273</v>
      </c>
      <c r="D204" s="50">
        <v>41580</v>
      </c>
      <c r="E204" s="50">
        <v>47059</v>
      </c>
      <c r="F204" s="49">
        <v>1000</v>
      </c>
      <c r="G204" s="49" t="s">
        <v>76</v>
      </c>
      <c r="H204" s="49">
        <v>1128.25</v>
      </c>
      <c r="I204" s="49" t="s">
        <v>76</v>
      </c>
      <c r="J204" s="49">
        <v>112.825</v>
      </c>
      <c r="K204" s="49">
        <v>175</v>
      </c>
      <c r="L204" s="51">
        <v>8.7899999999999992E-2</v>
      </c>
      <c r="M204" s="49" t="s">
        <v>93</v>
      </c>
      <c r="N204" s="49">
        <v>1142</v>
      </c>
      <c r="O204" s="49">
        <v>7.7908265012187004</v>
      </c>
      <c r="P204" s="49" t="s">
        <v>2282</v>
      </c>
      <c r="Q204" s="49"/>
      <c r="R204" s="49" t="s">
        <v>2275</v>
      </c>
      <c r="S204">
        <f t="shared" si="12"/>
        <v>15</v>
      </c>
      <c r="T204" s="5" cm="1">
        <f t="array" ref="T2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4">
        <f>Table1[[#This Row],[Term to Maturity (Years)]]*Table1[[#This Row],[Coupon Frequency2]]</f>
        <v>15</v>
      </c>
      <c r="V204">
        <f>Table1[[#This Row],[Face value]]*Table1[[#This Row],[Current coupon %]]</f>
        <v>87.899999999999991</v>
      </c>
      <c r="W204" s="36">
        <f>RATE(Table1[[#This Row],[Total No. of Coupons]],Table1[[#This Row],[Coupon Amount]],-Table1[[#This Row],[Ask Price]],Table1[[#This Row],[Face value]])</f>
        <v>7.350547391690683E-2</v>
      </c>
      <c r="X204" s="27">
        <f>Table1[[#This Row],[IRR]]*Table1[[#This Row],[Coupon Frequency2]]</f>
        <v>7.350547391690683E-2</v>
      </c>
      <c r="Y204" s="19" cm="1">
        <f t="array" ref="Y2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4" s="33">
        <f>DURATION(Table1[[#This Row],[Issue date]],Table1[[#This Row],[Maturity date]],Table1[[#This Row],[Current coupon %]],Table1[[#This Row],[Yield (Annualised)]],Table1[[#This Row],[Coupon Frequency2]])</f>
        <v>9.2389739208070427</v>
      </c>
      <c r="AA204" s="33">
        <f>Table1[[#This Row],[Macaulay Duration in Years]]/(1+Table1[[#This Row],[IRR]])</f>
        <v>8.6063593947935217</v>
      </c>
      <c r="AB204" s="58">
        <f>VLOOKUP(Table1[[#This Row],[Yield Cluster]],'Cluster Details'!$B$3:$C$16,2,0)</f>
        <v>7.8548801574189142E-2</v>
      </c>
      <c r="AC204" s="78">
        <f>PRICE(Table1[[#This Row],[Issue date]],Table1[[#This Row],[Maturity date]],Table1[[#This Row],[Current coupon %]],Table1[[#This Row],[Average Cluster Yield]],100,Table1[[#This Row],[Coupon Frequency2]])*Table1[[#This Row],[Face value]]/100</f>
        <v>1080.7555394616281</v>
      </c>
      <c r="AD204" s="58" t="str">
        <f>IF(Table1[[#This Row],[Ask Price]]&gt;Table1[[#This Row],[Calculated Bond Price]],"Rich","Cheap")</f>
        <v>Rich</v>
      </c>
      <c r="AE20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1036.8229355389947</v>
      </c>
      <c r="AF20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1231.592111230766</v>
      </c>
      <c r="AG204" s="78">
        <f>(Table1[[#This Row],[P (+ shock)]]+Table1[[#This Row],[P (-shock)]]-2*Table1[[#This Row],[Ask Price]])/(2*Table1[[#This Row],[Ask Price]]*($AF$2^2))</f>
        <v>52.803220783341104</v>
      </c>
      <c r="AH204">
        <v>5.1594065322633904</v>
      </c>
      <c r="AI204" s="6">
        <f t="shared" si="13"/>
        <v>7.7908265012187006E-2</v>
      </c>
      <c r="AK204" s="47">
        <f>RATE(Table1[[#This Row],[Total No. of Coupons]],Table1[[#This Row],[Coupon Amount]],-Table1[[#This Row],[Ask Price]],Table1[[#This Row],[Face value]])</f>
        <v>7.350547391690683E-2</v>
      </c>
      <c r="AL204" s="27">
        <f>Table1[[#This Row],[IRR]]*Table1[[#This Row],[Coupon Frequency2]]</f>
        <v>7.350547391690683E-2</v>
      </c>
      <c r="AM204" s="5">
        <f t="shared" si="14"/>
        <v>-9710.12498717579</v>
      </c>
      <c r="AN204" t="s">
        <v>64</v>
      </c>
      <c r="AO204" t="s">
        <v>62</v>
      </c>
      <c r="AP204">
        <f t="shared" si="15"/>
        <v>1</v>
      </c>
    </row>
    <row r="205" spans="1:42" x14ac:dyDescent="0.35">
      <c r="A205" s="48" t="s">
        <v>199</v>
      </c>
      <c r="B205" s="49" t="s">
        <v>2484</v>
      </c>
      <c r="C205" s="49" t="s">
        <v>2273</v>
      </c>
      <c r="D205" s="50">
        <v>45282</v>
      </c>
      <c r="E205" s="50">
        <v>48935</v>
      </c>
      <c r="F205" s="49">
        <v>100000</v>
      </c>
      <c r="G205" s="49" t="s">
        <v>76</v>
      </c>
      <c r="H205" s="49">
        <v>107239.54</v>
      </c>
      <c r="I205" s="49" t="s">
        <v>76</v>
      </c>
      <c r="J205" s="49">
        <v>107.23954000000001</v>
      </c>
      <c r="K205" s="49">
        <v>10</v>
      </c>
      <c r="L205" s="51">
        <v>8.4000000000000005E-2</v>
      </c>
      <c r="M205" s="49" t="s">
        <v>93</v>
      </c>
      <c r="N205" s="49">
        <v>3018</v>
      </c>
      <c r="O205" s="49">
        <v>7.8329317712478002</v>
      </c>
      <c r="P205" s="49"/>
      <c r="Q205" s="49"/>
      <c r="R205" s="49" t="s">
        <v>2275</v>
      </c>
      <c r="S205">
        <f t="shared" si="12"/>
        <v>10</v>
      </c>
      <c r="T205" s="5" cm="1">
        <f t="array" ref="T2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5">
        <f>Table1[[#This Row],[Term to Maturity (Years)]]*Table1[[#This Row],[Coupon Frequency2]]</f>
        <v>10</v>
      </c>
      <c r="V205">
        <f>Table1[[#This Row],[Face value]]*Table1[[#This Row],[Current coupon %]]</f>
        <v>8400</v>
      </c>
      <c r="W205" s="36">
        <f>RATE(Table1[[#This Row],[Total No. of Coupons]],Table1[[#This Row],[Coupon Amount]],-Table1[[#This Row],[Ask Price]],Table1[[#This Row],[Face value]])</f>
        <v>7.352398085161746E-2</v>
      </c>
      <c r="X205" s="27">
        <f>Table1[[#This Row],[IRR]]*Table1[[#This Row],[Coupon Frequency2]]</f>
        <v>7.352398085161746E-2</v>
      </c>
      <c r="Y205" s="19" cm="1">
        <f t="array" ref="Y2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5" s="33">
        <f>DURATION(Table1[[#This Row],[Issue date]],Table1[[#This Row],[Maturity date]],Table1[[#This Row],[Current coupon %]],Table1[[#This Row],[Yield (Annualised)]],Table1[[#This Row],[Coupon Frequency2]])</f>
        <v>7.2499679801473835</v>
      </c>
      <c r="AA205" s="33">
        <f>Table1[[#This Row],[Macaulay Duration in Years]]/(1+Table1[[#This Row],[IRR]])</f>
        <v>6.7534289959652742</v>
      </c>
      <c r="AB205" s="58">
        <f>VLOOKUP(Table1[[#This Row],[Yield Cluster]],'Cluster Details'!$B$3:$C$16,2,0)</f>
        <v>7.8548801574189142E-2</v>
      </c>
      <c r="AC205" s="78">
        <f>PRICE(Table1[[#This Row],[Issue date]],Table1[[#This Row],[Maturity date]],Table1[[#This Row],[Current coupon %]],Table1[[#This Row],[Average Cluster Yield]],100,Table1[[#This Row],[Coupon Frequency2]])*Table1[[#This Row],[Face value]]/100</f>
        <v>103681.86238666192</v>
      </c>
      <c r="AD205" s="58" t="str">
        <f>IF(Table1[[#This Row],[Ask Price]]&gt;Table1[[#This Row],[Calculated Bond Price]],"Rich","Cheap")</f>
        <v>Rich</v>
      </c>
      <c r="AE20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100314.3973323496</v>
      </c>
      <c r="AF20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114822.07599467132</v>
      </c>
      <c r="AG205" s="78">
        <f>(Table1[[#This Row],[P (+ shock)]]+Table1[[#This Row],[P (-shock)]]-2*Table1[[#This Row],[Ask Price]])/(2*Table1[[#This Row],[Ask Price]]*($AF$2^2))</f>
        <v>30.650696889456668</v>
      </c>
      <c r="AH205">
        <v>3.4547519112994398</v>
      </c>
      <c r="AI205" s="6">
        <f t="shared" si="13"/>
        <v>7.8329317712478072E-2</v>
      </c>
      <c r="AK205" s="47">
        <f>RATE(Table1[[#This Row],[Total No. of Coupons]],Table1[[#This Row],[Coupon Amount]],-Table1[[#This Row],[Ask Price]],Table1[[#This Row],[Face value]])</f>
        <v>7.352398085161746E-2</v>
      </c>
      <c r="AL205" s="27">
        <f>Table1[[#This Row],[IRR]]*Table1[[#This Row],[Coupon Frequency2]]</f>
        <v>7.352398085161746E-2</v>
      </c>
      <c r="AM205" s="5">
        <f t="shared" si="14"/>
        <v>-724234.6189499778</v>
      </c>
      <c r="AN205" t="s">
        <v>64</v>
      </c>
      <c r="AO205" t="s">
        <v>62</v>
      </c>
      <c r="AP205">
        <f t="shared" si="15"/>
        <v>1</v>
      </c>
    </row>
    <row r="206" spans="1:42" x14ac:dyDescent="0.35">
      <c r="A206" s="48" t="s">
        <v>1788</v>
      </c>
      <c r="B206" s="49" t="s">
        <v>2485</v>
      </c>
      <c r="C206" s="49" t="s">
        <v>2273</v>
      </c>
      <c r="D206" s="50">
        <v>45085</v>
      </c>
      <c r="E206" s="50">
        <v>46181</v>
      </c>
      <c r="F206" s="49">
        <v>100000</v>
      </c>
      <c r="G206" s="49" t="s">
        <v>76</v>
      </c>
      <c r="H206" s="49">
        <v>104254</v>
      </c>
      <c r="I206" s="49" t="s">
        <v>76</v>
      </c>
      <c r="J206" s="49">
        <v>104.254</v>
      </c>
      <c r="K206" s="49">
        <v>20</v>
      </c>
      <c r="L206" s="51">
        <v>0.09</v>
      </c>
      <c r="M206" s="49" t="s">
        <v>93</v>
      </c>
      <c r="N206" s="49">
        <v>264</v>
      </c>
      <c r="O206" s="49">
        <v>8.6327622920943003</v>
      </c>
      <c r="P206" s="49"/>
      <c r="Q206" s="49"/>
      <c r="R206" s="49" t="s">
        <v>2275</v>
      </c>
      <c r="S206">
        <f t="shared" si="12"/>
        <v>3</v>
      </c>
      <c r="T206" s="5" cm="1">
        <f t="array" ref="T2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6">
        <f>Table1[[#This Row],[Term to Maturity (Years)]]*Table1[[#This Row],[Coupon Frequency2]]</f>
        <v>3</v>
      </c>
      <c r="V206">
        <f>Table1[[#This Row],[Face value]]*Table1[[#This Row],[Current coupon %]]</f>
        <v>9000</v>
      </c>
      <c r="W206" s="36">
        <f>RATE(Table1[[#This Row],[Total No. of Coupons]],Table1[[#This Row],[Coupon Amount]],-Table1[[#This Row],[Ask Price]],Table1[[#This Row],[Face value]])</f>
        <v>7.3680932088383846E-2</v>
      </c>
      <c r="X206" s="27">
        <f>Table1[[#This Row],[IRR]]*Table1[[#This Row],[Coupon Frequency2]]</f>
        <v>7.3680932088383846E-2</v>
      </c>
      <c r="Y206" s="19" cm="1">
        <f t="array" ref="Y2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6" s="33">
        <f>DURATION(Table1[[#This Row],[Issue date]],Table1[[#This Row],[Maturity date]],Table1[[#This Row],[Current coupon %]],Table1[[#This Row],[Yield (Annualised)]],Table1[[#This Row],[Coupon Frequency2]])</f>
        <v>2.7643073822051658</v>
      </c>
      <c r="AA206" s="33">
        <f>Table1[[#This Row],[Macaulay Duration in Years]]/(1+Table1[[#This Row],[IRR]])</f>
        <v>2.5746078742670755</v>
      </c>
      <c r="AB206" s="58">
        <f>VLOOKUP(Table1[[#This Row],[Yield Cluster]],'Cluster Details'!$B$3:$C$16,2,0)</f>
        <v>7.8548801574189142E-2</v>
      </c>
      <c r="AC206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102958.82951674944</v>
      </c>
      <c r="AD206" s="58" t="str">
        <f>IF(Table1[[#This Row],[Ask Price]]&gt;Table1[[#This Row],[Calculated Bond Price]],"Rich","Cheap")</f>
        <v>Rich</v>
      </c>
      <c r="AE20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101617.72927655999</v>
      </c>
      <c r="AF20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106987.47993635145</v>
      </c>
      <c r="AG206" s="78">
        <f>(Table1[[#This Row],[P (+ shock)]]+Table1[[#This Row],[P (-shock)]]-2*Table1[[#This Row],[Ask Price]])/(2*Table1[[#This Row],[Ask Price]]*($AF$2^2))</f>
        <v>4.6621334870331923</v>
      </c>
      <c r="AH206">
        <v>15.2685836700953</v>
      </c>
      <c r="AI206" s="6">
        <f t="shared" si="13"/>
        <v>8.6327622920943078E-2</v>
      </c>
      <c r="AK206" s="47">
        <f>RATE(Table1[[#This Row],[Total No. of Coupons]],Table1[[#This Row],[Coupon Amount]],-Table1[[#This Row],[Ask Price]],Table1[[#This Row],[Face value]])</f>
        <v>7.3680932088383846E-2</v>
      </c>
      <c r="AL206" s="27">
        <f>Table1[[#This Row],[IRR]]*Table1[[#This Row],[Coupon Frequency2]]</f>
        <v>7.3680932088383846E-2</v>
      </c>
      <c r="AM206" s="5">
        <f t="shared" si="14"/>
        <v>-268413.16932383971</v>
      </c>
      <c r="AN206" t="s">
        <v>64</v>
      </c>
      <c r="AO206" t="s">
        <v>62</v>
      </c>
      <c r="AP206">
        <f t="shared" si="15"/>
        <v>1</v>
      </c>
    </row>
    <row r="207" spans="1:42" x14ac:dyDescent="0.35">
      <c r="A207" s="48" t="s">
        <v>177</v>
      </c>
      <c r="B207" s="49" t="s">
        <v>2486</v>
      </c>
      <c r="C207" s="49" t="s">
        <v>2273</v>
      </c>
      <c r="D207" s="50">
        <v>41723</v>
      </c>
      <c r="E207" s="50">
        <v>49028</v>
      </c>
      <c r="F207" s="49">
        <v>1000</v>
      </c>
      <c r="G207" s="49" t="s">
        <v>76</v>
      </c>
      <c r="H207" s="49">
        <v>1168.04</v>
      </c>
      <c r="I207" s="49" t="s">
        <v>76</v>
      </c>
      <c r="J207" s="49">
        <v>116.804</v>
      </c>
      <c r="K207" s="49">
        <v>6</v>
      </c>
      <c r="L207" s="51">
        <v>0.09</v>
      </c>
      <c r="M207" s="49" t="s">
        <v>93</v>
      </c>
      <c r="N207" s="49">
        <v>3111</v>
      </c>
      <c r="O207" s="49">
        <v>7.7052155748090803</v>
      </c>
      <c r="P207" s="49"/>
      <c r="Q207" s="49"/>
      <c r="R207" s="49" t="s">
        <v>2275</v>
      </c>
      <c r="S207">
        <f t="shared" si="12"/>
        <v>20</v>
      </c>
      <c r="T207" s="5" cm="1">
        <f t="array" ref="T2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7">
        <f>Table1[[#This Row],[Term to Maturity (Years)]]*Table1[[#This Row],[Coupon Frequency2]]</f>
        <v>20</v>
      </c>
      <c r="V207">
        <f>Table1[[#This Row],[Face value]]*Table1[[#This Row],[Current coupon %]]</f>
        <v>90</v>
      </c>
      <c r="W207" s="36">
        <f>RATE(Table1[[#This Row],[Total No. of Coupons]],Table1[[#This Row],[Coupon Amount]],-Table1[[#This Row],[Ask Price]],Table1[[#This Row],[Face value]])</f>
        <v>7.3681513607503829E-2</v>
      </c>
      <c r="X207" s="27">
        <f>Table1[[#This Row],[IRR]]*Table1[[#This Row],[Coupon Frequency2]]</f>
        <v>7.3681513607503829E-2</v>
      </c>
      <c r="Y207" s="19" cm="1">
        <f t="array" ref="Y2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7" s="33">
        <f>DURATION(Table1[[#This Row],[Issue date]],Table1[[#This Row],[Maturity date]],Table1[[#This Row],[Current coupon %]],Table1[[#This Row],[Yield (Annualised)]],Table1[[#This Row],[Coupon Frequency2]])</f>
        <v>10.64711958999591</v>
      </c>
      <c r="AA207" s="33">
        <f>Table1[[#This Row],[Macaulay Duration in Years]]/(1+Table1[[#This Row],[IRR]])</f>
        <v>9.9164598207733352</v>
      </c>
      <c r="AB207" s="58">
        <f>VLOOKUP(Table1[[#This Row],[Yield Cluster]],'Cluster Details'!$B$3:$C$16,2,0)</f>
        <v>7.8548801574189142E-2</v>
      </c>
      <c r="AC207" s="78">
        <f>PRICE(Table1[[#This Row],[Issue date]],Table1[[#This Row],[Maturity date]],Table1[[#This Row],[Current coupon %]],Table1[[#This Row],[Average Cluster Yield]],100,Table1[[#This Row],[Coupon Frequency2]])*Table1[[#This Row],[Face value]]/100</f>
        <v>1113.6541652096043</v>
      </c>
      <c r="AD207" s="58" t="str">
        <f>IF(Table1[[#This Row],[Ask Price]]&gt;Table1[[#This Row],[Calculated Bond Price]],"Rich","Cheap")</f>
        <v>Rich</v>
      </c>
      <c r="AE20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1060.3724807494132</v>
      </c>
      <c r="AF20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1293.0523107669278</v>
      </c>
      <c r="AG207" s="78">
        <f>(Table1[[#This Row],[P (+ shock)]]+Table1[[#This Row],[P (-shock)]]-2*Table1[[#This Row],[Ask Price]])/(2*Table1[[#This Row],[Ask Price]]*($AF$2^2))</f>
        <v>74.247420963070809</v>
      </c>
      <c r="AH207">
        <v>9.2312348668280801</v>
      </c>
      <c r="AI207" s="6">
        <f t="shared" si="13"/>
        <v>7.7052155748090823E-2</v>
      </c>
      <c r="AK207" s="47">
        <f>RATE(Table1[[#This Row],[Total No. of Coupons]],Table1[[#This Row],[Coupon Amount]],-Table1[[#This Row],[Ask Price]],Table1[[#This Row],[Face value]])</f>
        <v>7.3681513607503829E-2</v>
      </c>
      <c r="AL207" s="27">
        <f>Table1[[#This Row],[IRR]]*Table1[[#This Row],[Coupon Frequency2]]</f>
        <v>7.3681513607503829E-2</v>
      </c>
      <c r="AM207" s="5">
        <f t="shared" si="14"/>
        <v>-11582.821729056086</v>
      </c>
      <c r="AN207" t="s">
        <v>64</v>
      </c>
      <c r="AO207" t="s">
        <v>62</v>
      </c>
      <c r="AP207">
        <f t="shared" si="15"/>
        <v>1</v>
      </c>
    </row>
    <row r="208" spans="1:42" x14ac:dyDescent="0.35">
      <c r="A208" s="48" t="s">
        <v>1481</v>
      </c>
      <c r="B208" s="49" t="s">
        <v>2487</v>
      </c>
      <c r="C208" s="49" t="s">
        <v>2273</v>
      </c>
      <c r="D208" s="50">
        <v>43822</v>
      </c>
      <c r="E208" s="50">
        <v>46379</v>
      </c>
      <c r="F208" s="49">
        <v>1000</v>
      </c>
      <c r="G208" s="49" t="s">
        <v>76</v>
      </c>
      <c r="H208" s="49">
        <v>1060</v>
      </c>
      <c r="I208" s="49" t="s">
        <v>76</v>
      </c>
      <c r="J208" s="49">
        <v>106</v>
      </c>
      <c r="K208" s="49">
        <v>150</v>
      </c>
      <c r="L208" s="51">
        <v>8.5000000000000006E-2</v>
      </c>
      <c r="M208" s="49" t="s">
        <v>93</v>
      </c>
      <c r="N208" s="49">
        <v>462</v>
      </c>
      <c r="O208" s="49">
        <v>8.0188679245282994</v>
      </c>
      <c r="P208" s="49"/>
      <c r="Q208" s="49"/>
      <c r="R208" s="49" t="s">
        <v>2275</v>
      </c>
      <c r="S208">
        <f t="shared" si="12"/>
        <v>7</v>
      </c>
      <c r="T208" s="5" cm="1">
        <f t="array" ref="T2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8">
        <f>Table1[[#This Row],[Term to Maturity (Years)]]*Table1[[#This Row],[Coupon Frequency2]]</f>
        <v>7</v>
      </c>
      <c r="V208">
        <f>Table1[[#This Row],[Face value]]*Table1[[#This Row],[Current coupon %]]</f>
        <v>85</v>
      </c>
      <c r="W208" s="36">
        <f>RATE(Table1[[#This Row],[Total No. of Coupons]],Table1[[#This Row],[Coupon Amount]],-Table1[[#This Row],[Ask Price]],Table1[[#This Row],[Face value]])</f>
        <v>7.3721924732322738E-2</v>
      </c>
      <c r="X208" s="27">
        <f>Table1[[#This Row],[IRR]]*Table1[[#This Row],[Coupon Frequency2]]</f>
        <v>7.3721924732322738E-2</v>
      </c>
      <c r="Y208" s="19" cm="1">
        <f t="array" ref="Y2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8" s="33">
        <f>DURATION(Table1[[#This Row],[Issue date]],Table1[[#This Row],[Maturity date]],Table1[[#This Row],[Current coupon %]],Table1[[#This Row],[Yield (Annualised)]],Table1[[#This Row],[Coupon Frequency2]])</f>
        <v>5.5993034297725961</v>
      </c>
      <c r="AA208" s="33">
        <f>Table1[[#This Row],[Macaulay Duration in Years]]/(1+Table1[[#This Row],[IRR]])</f>
        <v>5.2148543312724982</v>
      </c>
      <c r="AB208" s="58">
        <f>VLOOKUP(Table1[[#This Row],[Yield Cluster]],'Cluster Details'!$B$3:$C$16,2,0)</f>
        <v>7.8548801574189142E-2</v>
      </c>
      <c r="AC208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1033.7546737822404</v>
      </c>
      <c r="AD208" s="58" t="str">
        <f>IF(Table1[[#This Row],[Ask Price]]&gt;Table1[[#This Row],[Calculated Bond Price]],"Rich","Cheap")</f>
        <v>Rich</v>
      </c>
      <c r="AE20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1006.5702647490568</v>
      </c>
      <c r="AF20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1117.2268899335679</v>
      </c>
      <c r="AG208" s="78">
        <f>(Table1[[#This Row],[P (+ shock)]]+Table1[[#This Row],[P (-shock)]]-2*Table1[[#This Row],[Ask Price]])/(2*Table1[[#This Row],[Ask Price]]*($AF$2^2))</f>
        <v>17.911106993512973</v>
      </c>
      <c r="AH208">
        <v>11.5938577906956</v>
      </c>
      <c r="AI208" s="6">
        <f t="shared" si="13"/>
        <v>8.0188679245283015E-2</v>
      </c>
      <c r="AK208" s="47">
        <f>RATE(Table1[[#This Row],[Total No. of Coupons]],Table1[[#This Row],[Coupon Amount]],-Table1[[#This Row],[Ask Price]],Table1[[#This Row],[Face value]])</f>
        <v>7.3721924732322738E-2</v>
      </c>
      <c r="AL208" s="27">
        <f>Table1[[#This Row],[IRR]]*Table1[[#This Row],[Coupon Frequency2]]</f>
        <v>7.3721924732322738E-2</v>
      </c>
      <c r="AM208" s="5">
        <f t="shared" si="14"/>
        <v>-5527.7455911488478</v>
      </c>
      <c r="AN208" t="s">
        <v>64</v>
      </c>
      <c r="AO208" t="s">
        <v>62</v>
      </c>
      <c r="AP208">
        <f t="shared" si="15"/>
        <v>1</v>
      </c>
    </row>
    <row r="209" spans="1:42" x14ac:dyDescent="0.35">
      <c r="A209" s="48" t="s">
        <v>528</v>
      </c>
      <c r="B209" s="49" t="s">
        <v>2488</v>
      </c>
      <c r="C209" s="49" t="s">
        <v>2273</v>
      </c>
      <c r="D209" s="50">
        <v>43858</v>
      </c>
      <c r="E209" s="50">
        <v>47511</v>
      </c>
      <c r="F209" s="49">
        <v>1000000</v>
      </c>
      <c r="G209" s="49" t="s">
        <v>76</v>
      </c>
      <c r="H209" s="49">
        <v>1080424</v>
      </c>
      <c r="I209" s="49" t="s">
        <v>76</v>
      </c>
      <c r="J209" s="49">
        <v>108.0424</v>
      </c>
      <c r="K209" s="49">
        <v>1</v>
      </c>
      <c r="L209" s="51">
        <v>8.5500000000000007E-2</v>
      </c>
      <c r="M209" s="49" t="s">
        <v>93</v>
      </c>
      <c r="N209" s="49">
        <v>1594</v>
      </c>
      <c r="O209" s="49">
        <v>7.9135598616839298</v>
      </c>
      <c r="P209" s="49" t="s">
        <v>2274</v>
      </c>
      <c r="Q209" s="49"/>
      <c r="R209" s="49" t="s">
        <v>2275</v>
      </c>
      <c r="S209">
        <f t="shared" si="12"/>
        <v>10</v>
      </c>
      <c r="T209" s="5" cm="1">
        <f t="array" ref="T2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09">
        <f>Table1[[#This Row],[Term to Maturity (Years)]]*Table1[[#This Row],[Coupon Frequency2]]</f>
        <v>10</v>
      </c>
      <c r="V209">
        <f>Table1[[#This Row],[Face value]]*Table1[[#This Row],[Current coupon %]]</f>
        <v>85500</v>
      </c>
      <c r="W209" s="36">
        <f>RATE(Table1[[#This Row],[Total No. of Coupons]],Table1[[#This Row],[Coupon Amount]],-Table1[[#This Row],[Ask Price]],Table1[[#This Row],[Face value]])</f>
        <v>7.3845067489629115E-2</v>
      </c>
      <c r="X209" s="27">
        <f>Table1[[#This Row],[IRR]]*Table1[[#This Row],[Coupon Frequency2]]</f>
        <v>7.3845067489629115E-2</v>
      </c>
      <c r="Y209" s="19" cm="1">
        <f t="array" ref="Y2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09" s="33">
        <f>DURATION(Table1[[#This Row],[Issue date]],Table1[[#This Row],[Maturity date]],Table1[[#This Row],[Current coupon %]],Table1[[#This Row],[Yield (Annualised)]],Table1[[#This Row],[Coupon Frequency2]])</f>
        <v>7.2244305740794248</v>
      </c>
      <c r="AA209" s="33">
        <f>Table1[[#This Row],[Macaulay Duration in Years]]/(1+Table1[[#This Row],[IRR]])</f>
        <v>6.7276284007787703</v>
      </c>
      <c r="AB209" s="58">
        <f>VLOOKUP(Table1[[#This Row],[Yield Cluster]],'Cluster Details'!$B$3:$C$16,2,0)</f>
        <v>7.8548801574189142E-2</v>
      </c>
      <c r="AC209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1046949.9622413937</v>
      </c>
      <c r="AD209" s="58" t="str">
        <f>IF(Table1[[#This Row],[Ask Price]]&gt;Table1[[#This Row],[Calculated Bond Price]],"Rich","Cheap")</f>
        <v>Rich</v>
      </c>
      <c r="AE20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1010914.6896686058</v>
      </c>
      <c r="AF20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1156518.4928295652</v>
      </c>
      <c r="AG209" s="78">
        <f>(Table1[[#This Row],[P (+ shock)]]+Table1[[#This Row],[P (-shock)]]-2*Table1[[#This Row],[Ask Price]])/(2*Table1[[#This Row],[Ask Price]]*($AF$2^2))</f>
        <v>30.474991754028945</v>
      </c>
      <c r="AH209">
        <v>6.0620110113010703</v>
      </c>
      <c r="AI209" s="6">
        <f t="shared" si="13"/>
        <v>7.9135598616839317E-2</v>
      </c>
      <c r="AK209" s="47">
        <f>RATE(Table1[[#This Row],[Total No. of Coupons]],Table1[[#This Row],[Coupon Amount]],-Table1[[#This Row],[Ask Price]],Table1[[#This Row],[Face value]])</f>
        <v>7.3845067489629115E-2</v>
      </c>
      <c r="AL209" s="27">
        <f>Table1[[#This Row],[IRR]]*Table1[[#This Row],[Coupon Frequency2]]</f>
        <v>7.3845067489629115E-2</v>
      </c>
      <c r="AM209" s="5">
        <f t="shared" si="14"/>
        <v>-7268691.1872830018</v>
      </c>
      <c r="AN209" t="s">
        <v>79</v>
      </c>
      <c r="AO209" t="s">
        <v>62</v>
      </c>
      <c r="AP209">
        <f t="shared" si="15"/>
        <v>1</v>
      </c>
    </row>
    <row r="210" spans="1:42" x14ac:dyDescent="0.35">
      <c r="A210" s="48" t="s">
        <v>540</v>
      </c>
      <c r="B210" s="49" t="s">
        <v>2489</v>
      </c>
      <c r="C210" s="49" t="s">
        <v>2273</v>
      </c>
      <c r="D210" s="50">
        <v>43844</v>
      </c>
      <c r="E210" s="50">
        <v>47497</v>
      </c>
      <c r="F210" s="49">
        <v>1000</v>
      </c>
      <c r="G210" s="49" t="s">
        <v>76</v>
      </c>
      <c r="H210" s="49">
        <v>1080</v>
      </c>
      <c r="I210" s="49" t="s">
        <v>76</v>
      </c>
      <c r="J210" s="49">
        <v>108</v>
      </c>
      <c r="K210" s="49">
        <v>10</v>
      </c>
      <c r="L210" s="51">
        <v>8.5500000000000007E-2</v>
      </c>
      <c r="M210" s="49" t="s">
        <v>93</v>
      </c>
      <c r="N210" s="49">
        <v>1580</v>
      </c>
      <c r="O210" s="49">
        <v>7.9166666666666599</v>
      </c>
      <c r="P210" s="49"/>
      <c r="Q210" s="49"/>
      <c r="R210" s="49" t="s">
        <v>2275</v>
      </c>
      <c r="S210">
        <f t="shared" si="12"/>
        <v>10</v>
      </c>
      <c r="T210" s="5" cm="1">
        <f t="array" ref="T2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0">
        <f>Table1[[#This Row],[Term to Maturity (Years)]]*Table1[[#This Row],[Coupon Frequency2]]</f>
        <v>10</v>
      </c>
      <c r="V210">
        <f>Table1[[#This Row],[Face value]]*Table1[[#This Row],[Current coupon %]]</f>
        <v>85.5</v>
      </c>
      <c r="W210" s="36">
        <f>RATE(Table1[[#This Row],[Total No. of Coupons]],Table1[[#This Row],[Coupon Amount]],-Table1[[#This Row],[Ask Price]],Table1[[#This Row],[Face value]])</f>
        <v>7.3903415264917893E-2</v>
      </c>
      <c r="X210" s="27">
        <f>Table1[[#This Row],[IRR]]*Table1[[#This Row],[Coupon Frequency2]]</f>
        <v>7.3903415264917893E-2</v>
      </c>
      <c r="Y210" s="19" cm="1">
        <f t="array" ref="Y2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0" s="33">
        <f>DURATION(Table1[[#This Row],[Issue date]],Table1[[#This Row],[Maturity date]],Table1[[#This Row],[Current coupon %]],Table1[[#This Row],[Yield (Annualised)]],Table1[[#This Row],[Coupon Frequency2]])</f>
        <v>7.2238439604958851</v>
      </c>
      <c r="AA210" s="33">
        <f>Table1[[#This Row],[Macaulay Duration in Years]]/(1+Table1[[#This Row],[IRR]])</f>
        <v>6.726716628155855</v>
      </c>
      <c r="AB210" s="58">
        <f>VLOOKUP(Table1[[#This Row],[Yield Cluster]],'Cluster Details'!$B$3:$C$16,2,0)</f>
        <v>7.8548801574189142E-2</v>
      </c>
      <c r="AC210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1046.9499622413939</v>
      </c>
      <c r="AD210" s="58" t="str">
        <f>IF(Table1[[#This Row],[Ask Price]]&gt;Table1[[#This Row],[Calculated Bond Price]],"Rich","Cheap")</f>
        <v>Rich</v>
      </c>
      <c r="AE2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1010.5271269289435</v>
      </c>
      <c r="AF2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1156.0540293127485</v>
      </c>
      <c r="AG210" s="78">
        <f>(Table1[[#This Row],[P (+ shock)]]+Table1[[#This Row],[P (-shock)]]-2*Table1[[#This Row],[Ask Price]])/(2*Table1[[#This Row],[Ask Price]]*($AF$2^2))</f>
        <v>30.468315933759456</v>
      </c>
      <c r="AH210">
        <v>81.975647863800404</v>
      </c>
      <c r="AI210" s="6">
        <f t="shared" si="13"/>
        <v>7.9166666666666663E-2</v>
      </c>
      <c r="AK210" s="47">
        <f>RATE(Table1[[#This Row],[Total No. of Coupons]],Table1[[#This Row],[Coupon Amount]],-Table1[[#This Row],[Ask Price]],Table1[[#This Row],[Face value]])</f>
        <v>7.3903415264917893E-2</v>
      </c>
      <c r="AL210" s="27">
        <f>Table1[[#This Row],[IRR]]*Table1[[#This Row],[Coupon Frequency2]]</f>
        <v>7.3903415264917893E-2</v>
      </c>
      <c r="AM210" s="5">
        <f t="shared" si="14"/>
        <v>-7264.8539584083237</v>
      </c>
      <c r="AN210" t="s">
        <v>64</v>
      </c>
      <c r="AO210" t="s">
        <v>62</v>
      </c>
      <c r="AP210">
        <f t="shared" si="15"/>
        <v>1</v>
      </c>
    </row>
    <row r="211" spans="1:42" x14ac:dyDescent="0.35">
      <c r="A211" s="48" t="s">
        <v>1112</v>
      </c>
      <c r="B211" s="49" t="s">
        <v>2490</v>
      </c>
      <c r="C211" s="49" t="s">
        <v>2273</v>
      </c>
      <c r="D211" s="50">
        <v>44883</v>
      </c>
      <c r="E211" s="50">
        <v>46709</v>
      </c>
      <c r="F211" s="49">
        <v>1000000</v>
      </c>
      <c r="G211" s="49" t="s">
        <v>76</v>
      </c>
      <c r="H211" s="49">
        <v>1023422</v>
      </c>
      <c r="I211" s="49" t="s">
        <v>76</v>
      </c>
      <c r="J211" s="49">
        <v>102.34220000000001</v>
      </c>
      <c r="K211" s="49">
        <v>2</v>
      </c>
      <c r="L211" s="51">
        <v>7.980000000000001E-2</v>
      </c>
      <c r="M211" s="49" t="s">
        <v>93</v>
      </c>
      <c r="N211" s="49">
        <v>792</v>
      </c>
      <c r="O211" s="49">
        <v>7.7973699998632</v>
      </c>
      <c r="P211" s="49"/>
      <c r="Q211" s="49"/>
      <c r="R211" s="49" t="s">
        <v>2275</v>
      </c>
      <c r="S211">
        <f t="shared" si="12"/>
        <v>5</v>
      </c>
      <c r="T211" s="5" cm="1">
        <f t="array" ref="T2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1">
        <f>Table1[[#This Row],[Term to Maturity (Years)]]*Table1[[#This Row],[Coupon Frequency2]]</f>
        <v>5</v>
      </c>
      <c r="V211">
        <f>Table1[[#This Row],[Face value]]*Table1[[#This Row],[Current coupon %]]</f>
        <v>79800.000000000015</v>
      </c>
      <c r="W211" s="36">
        <f>RATE(Table1[[#This Row],[Total No. of Coupons]],Table1[[#This Row],[Coupon Amount]],-Table1[[#This Row],[Ask Price]],Table1[[#This Row],[Face value]])</f>
        <v>7.4025880542224962E-2</v>
      </c>
      <c r="X211" s="27">
        <f>Table1[[#This Row],[IRR]]*Table1[[#This Row],[Coupon Frequency2]]</f>
        <v>7.4025880542224962E-2</v>
      </c>
      <c r="Y211" s="19" cm="1">
        <f t="array" ref="Y2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1" s="33">
        <f>DURATION(Table1[[#This Row],[Issue date]],Table1[[#This Row],[Maturity date]],Table1[[#This Row],[Current coupon %]],Table1[[#This Row],[Yield (Annualised)]],Table1[[#This Row],[Coupon Frequency2]])</f>
        <v>4.3223430124369573</v>
      </c>
      <c r="AA211" s="33">
        <f>Table1[[#This Row],[Macaulay Duration in Years]]/(1+Table1[[#This Row],[IRR]])</f>
        <v>4.024430966463127</v>
      </c>
      <c r="AB211" s="58">
        <f>VLOOKUP(Table1[[#This Row],[Yield Cluster]],'Cluster Details'!$B$3:$C$16,2,0)</f>
        <v>7.8548801574189142E-2</v>
      </c>
      <c r="AC211" s="78">
        <f>PRICE(Table1[[#This Row],[Issue date]],Table1[[#This Row],[Maturity date]],Table1[[#This Row],[Current coupon %]],Table1[[#This Row],[Average Cluster Yield]],100,Table1[[#This Row],[Coupon Frequency2]])*Table1[[#This Row],[Face value]]/100</f>
        <v>1005014.838496752</v>
      </c>
      <c r="AD211" s="58" t="str">
        <f>IF(Table1[[#This Row],[Ask Price]]&gt;Table1[[#This Row],[Calculated Bond Price]],"Rich","Cheap")</f>
        <v>Rich</v>
      </c>
      <c r="AE2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983304.81052668986</v>
      </c>
      <c r="AF2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1065724.8807550587</v>
      </c>
      <c r="AG211" s="78">
        <f>(Table1[[#This Row],[P (+ shock)]]+Table1[[#This Row],[P (-shock)]]-2*Table1[[#This Row],[Ask Price]])/(2*Table1[[#This Row],[Ask Price]]*($AF$2^2))</f>
        <v>10.678348138639143</v>
      </c>
      <c r="AH211">
        <v>7.5246432511298504</v>
      </c>
      <c r="AI211" s="6">
        <f t="shared" si="13"/>
        <v>7.7973699998632059E-2</v>
      </c>
      <c r="AK211" s="47">
        <f>RATE(Table1[[#This Row],[Total No. of Coupons]],Table1[[#This Row],[Coupon Amount]],-Table1[[#This Row],[Ask Price]],Table1[[#This Row],[Face value]])</f>
        <v>7.4025880542224962E-2</v>
      </c>
      <c r="AL211" s="27">
        <f>Table1[[#This Row],[IRR]]*Table1[[#This Row],[Coupon Frequency2]]</f>
        <v>7.4025880542224962E-2</v>
      </c>
      <c r="AM211" s="5">
        <f t="shared" si="14"/>
        <v>-4118691.1885596262</v>
      </c>
      <c r="AN211" t="s">
        <v>64</v>
      </c>
      <c r="AO211" t="s">
        <v>62</v>
      </c>
      <c r="AP211">
        <f t="shared" si="15"/>
        <v>1</v>
      </c>
    </row>
    <row r="212" spans="1:42" x14ac:dyDescent="0.35">
      <c r="A212" s="48" t="s">
        <v>1490</v>
      </c>
      <c r="B212" s="49" t="s">
        <v>2491</v>
      </c>
      <c r="C212" s="49" t="s">
        <v>2273</v>
      </c>
      <c r="D212" s="50">
        <v>45279</v>
      </c>
      <c r="E212" s="50">
        <v>46374</v>
      </c>
      <c r="F212" s="49">
        <v>100000</v>
      </c>
      <c r="G212" s="49" t="s">
        <v>76</v>
      </c>
      <c r="H212" s="49">
        <v>106494.21</v>
      </c>
      <c r="I212" s="49" t="s">
        <v>76</v>
      </c>
      <c r="J212" s="49">
        <v>106.49421</v>
      </c>
      <c r="K212" s="49">
        <v>1</v>
      </c>
      <c r="L212" s="51">
        <v>9.9000000000000005E-2</v>
      </c>
      <c r="M212" s="49" t="s">
        <v>93</v>
      </c>
      <c r="N212" s="49">
        <v>457</v>
      </c>
      <c r="O212" s="49">
        <v>9.2962800512816592</v>
      </c>
      <c r="P212" s="49"/>
      <c r="Q212" s="49"/>
      <c r="R212" s="49" t="s">
        <v>2275</v>
      </c>
      <c r="S212">
        <f t="shared" si="12"/>
        <v>3</v>
      </c>
      <c r="T212" s="5" cm="1">
        <f t="array" ref="T2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2">
        <f>Table1[[#This Row],[Term to Maturity (Years)]]*Table1[[#This Row],[Coupon Frequency2]]</f>
        <v>3</v>
      </c>
      <c r="V212">
        <f>Table1[[#This Row],[Face value]]*Table1[[#This Row],[Current coupon %]]</f>
        <v>9900</v>
      </c>
      <c r="W212" s="36">
        <f>RATE(Table1[[#This Row],[Total No. of Coupons]],Table1[[#This Row],[Coupon Amount]],-Table1[[#This Row],[Ask Price]],Table1[[#This Row],[Face value]])</f>
        <v>7.4069498309957113E-2</v>
      </c>
      <c r="X212" s="27">
        <f>Table1[[#This Row],[IRR]]*Table1[[#This Row],[Coupon Frequency2]]</f>
        <v>7.4069498309957113E-2</v>
      </c>
      <c r="Y212" s="19" cm="1">
        <f t="array" ref="Y2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2" s="33">
        <f>DURATION(Table1[[#This Row],[Issue date]],Table1[[#This Row],[Maturity date]],Table1[[#This Row],[Current coupon %]],Table1[[#This Row],[Yield (Annualised)]],Table1[[#This Row],[Coupon Frequency2]])</f>
        <v>2.7435351534861367</v>
      </c>
      <c r="AA212" s="33">
        <f>Table1[[#This Row],[Macaulay Duration in Years]]/(1+Table1[[#This Row],[IRR]])</f>
        <v>2.5543367145264582</v>
      </c>
      <c r="AB212" s="58">
        <f>VLOOKUP(Table1[[#This Row],[Yield Cluster]],'Cluster Details'!$B$3:$C$16,2,0)</f>
        <v>7.8548801574189142E-2</v>
      </c>
      <c r="AC212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105278.92047580291</v>
      </c>
      <c r="AD212" s="58" t="str">
        <f>IF(Table1[[#This Row],[Ask Price]]&gt;Table1[[#This Row],[Calculated Bond Price]],"Rich","Cheap")</f>
        <v>Rich</v>
      </c>
      <c r="AE2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103815.43729896596</v>
      </c>
      <c r="AF2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109258.45779723254</v>
      </c>
      <c r="AG212" s="78">
        <f>(Table1[[#This Row],[P (+ shock)]]+Table1[[#This Row],[P (-shock)]]-2*Table1[[#This Row],[Ask Price]])/(2*Table1[[#This Row],[Ask Price]]*($AF$2^2))</f>
        <v>4.013133493288894</v>
      </c>
      <c r="AH212">
        <v>-1.5696819268247799</v>
      </c>
      <c r="AI212" s="6">
        <f t="shared" si="13"/>
        <v>9.2962800512816607E-2</v>
      </c>
      <c r="AK212" s="47">
        <f>RATE(Table1[[#This Row],[Total No. of Coupons]],Table1[[#This Row],[Coupon Amount]],-Table1[[#This Row],[Ask Price]],Table1[[#This Row],[Face value]])</f>
        <v>7.4069498309957113E-2</v>
      </c>
      <c r="AL212" s="27">
        <f>Table1[[#This Row],[IRR]]*Table1[[#This Row],[Coupon Frequency2]]</f>
        <v>7.4069498309957113E-2</v>
      </c>
      <c r="AM212" s="5">
        <f t="shared" si="14"/>
        <v>-272022.07048749068</v>
      </c>
      <c r="AN212" t="s">
        <v>79</v>
      </c>
      <c r="AO212" t="s">
        <v>62</v>
      </c>
      <c r="AP212">
        <f t="shared" si="15"/>
        <v>1</v>
      </c>
    </row>
    <row r="213" spans="1:42" x14ac:dyDescent="0.35">
      <c r="A213" s="48" t="s">
        <v>1664</v>
      </c>
      <c r="B213" s="49" t="s">
        <v>2492</v>
      </c>
      <c r="C213" s="49" t="s">
        <v>2273</v>
      </c>
      <c r="D213" s="50">
        <v>42605</v>
      </c>
      <c r="E213" s="50">
        <v>46257</v>
      </c>
      <c r="F213" s="49">
        <v>1000000</v>
      </c>
      <c r="G213" s="49" t="s">
        <v>76</v>
      </c>
      <c r="H213" s="49">
        <v>1011699</v>
      </c>
      <c r="I213" s="49" t="s">
        <v>76</v>
      </c>
      <c r="J213" s="49">
        <v>101.169899999999</v>
      </c>
      <c r="K213" s="49">
        <v>250</v>
      </c>
      <c r="L213" s="51">
        <v>7.5800000000000006E-2</v>
      </c>
      <c r="M213" s="49" t="s">
        <v>93</v>
      </c>
      <c r="N213" s="49">
        <v>340</v>
      </c>
      <c r="O213" s="49">
        <v>7.4923470320717902</v>
      </c>
      <c r="P213" s="49" t="s">
        <v>2274</v>
      </c>
      <c r="Q213" s="49"/>
      <c r="R213" s="49" t="s">
        <v>2275</v>
      </c>
      <c r="S213">
        <f t="shared" si="12"/>
        <v>10</v>
      </c>
      <c r="T213" s="5" cm="1">
        <f t="array" ref="T2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3">
        <f>Table1[[#This Row],[Term to Maturity (Years)]]*Table1[[#This Row],[Coupon Frequency2]]</f>
        <v>10</v>
      </c>
      <c r="V213">
        <f>Table1[[#This Row],[Face value]]*Table1[[#This Row],[Current coupon %]]</f>
        <v>75800</v>
      </c>
      <c r="W213" s="36">
        <f>RATE(Table1[[#This Row],[Total No. of Coupons]],Table1[[#This Row],[Coupon Amount]],-Table1[[#This Row],[Ask Price]],Table1[[#This Row],[Face value]])</f>
        <v>7.410259760378754E-2</v>
      </c>
      <c r="X213" s="27">
        <f>Table1[[#This Row],[IRR]]*Table1[[#This Row],[Coupon Frequency2]]</f>
        <v>7.410259760378754E-2</v>
      </c>
      <c r="Y213" s="19" cm="1">
        <f t="array" ref="Y2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3" s="33">
        <f>DURATION(Table1[[#This Row],[Issue date]],Table1[[#This Row],[Maturity date]],Table1[[#This Row],[Current coupon %]],Table1[[#This Row],[Yield (Annualised)]],Table1[[#This Row],[Coupon Frequency2]])</f>
        <v>7.374265256382798</v>
      </c>
      <c r="AA213" s="33">
        <f>Table1[[#This Row],[Macaulay Duration in Years]]/(1+Table1[[#This Row],[IRR]])</f>
        <v>6.8655129154645245</v>
      </c>
      <c r="AB213" s="58">
        <f>VLOOKUP(Table1[[#This Row],[Yield Cluster]],'Cluster Details'!$B$3:$C$16,2,0)</f>
        <v>7.8548801574189142E-2</v>
      </c>
      <c r="AC213" s="78">
        <f>PRICE(Table1[[#This Row],[Issue date]],Table1[[#This Row],[Maturity date]],Table1[[#This Row],[Current coupon %]],Table1[[#This Row],[Average Cluster Yield]],100,Table1[[#This Row],[Coupon Frequency2]])*Table1[[#This Row],[Face value]]/100</f>
        <v>981433.97408451897</v>
      </c>
      <c r="AD213" s="58" t="str">
        <f>IF(Table1[[#This Row],[Ask Price]]&gt;Table1[[#This Row],[Calculated Bond Price]],"Rich","Cheap")</f>
        <v>Rich</v>
      </c>
      <c r="AE2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945305.26718021859</v>
      </c>
      <c r="AF2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1084444.9204493908</v>
      </c>
      <c r="AG213" s="78">
        <f>(Table1[[#This Row],[P (+ shock)]]+Table1[[#This Row],[P (-shock)]]-2*Table1[[#This Row],[Ask Price]])/(2*Table1[[#This Row],[Ask Price]]*($AF$2^2))</f>
        <v>31.393663676693212</v>
      </c>
      <c r="AI213" s="6">
        <f t="shared" si="13"/>
        <v>7.4923470320717916E-2</v>
      </c>
      <c r="AK213" s="47">
        <f>RATE(Table1[[#This Row],[Total No. of Coupons]],Table1[[#This Row],[Coupon Amount]],-Table1[[#This Row],[Ask Price]],Table1[[#This Row],[Face value]])</f>
        <v>7.410259760378754E-2</v>
      </c>
      <c r="AL213" s="27">
        <f>Table1[[#This Row],[IRR]]*Table1[[#This Row],[Coupon Frequency2]]</f>
        <v>7.410259760378754E-2</v>
      </c>
      <c r="AM213" s="5">
        <f t="shared" si="14"/>
        <v>-6945832.5510625439</v>
      </c>
      <c r="AN213" t="s">
        <v>64</v>
      </c>
      <c r="AO213" t="s">
        <v>62</v>
      </c>
      <c r="AP213">
        <f t="shared" si="15"/>
        <v>1</v>
      </c>
    </row>
    <row r="214" spans="1:42" x14ac:dyDescent="0.35">
      <c r="A214" s="48" t="s">
        <v>1177</v>
      </c>
      <c r="B214" s="49" t="s">
        <v>2493</v>
      </c>
      <c r="C214" s="49" t="s">
        <v>2273</v>
      </c>
      <c r="D214" s="50">
        <v>44803</v>
      </c>
      <c r="E214" s="50">
        <v>46629</v>
      </c>
      <c r="F214" s="49">
        <v>1000000</v>
      </c>
      <c r="G214" s="49" t="s">
        <v>76</v>
      </c>
      <c r="H214" s="49">
        <v>1019719.9</v>
      </c>
      <c r="I214" s="49" t="s">
        <v>76</v>
      </c>
      <c r="J214" s="49">
        <v>101.97199000000001</v>
      </c>
      <c r="K214" s="49">
        <v>1</v>
      </c>
      <c r="L214" s="51">
        <v>7.9000000000000001E-2</v>
      </c>
      <c r="M214" s="49" t="s">
        <v>93</v>
      </c>
      <c r="N214" s="49">
        <v>712</v>
      </c>
      <c r="O214" s="49">
        <v>7.7472254880972704</v>
      </c>
      <c r="P214" s="49"/>
      <c r="Q214" s="49"/>
      <c r="R214" s="49" t="s">
        <v>2275</v>
      </c>
      <c r="S214">
        <f t="shared" si="12"/>
        <v>5</v>
      </c>
      <c r="T214" s="5" cm="1">
        <f t="array" ref="T2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4">
        <f>Table1[[#This Row],[Term to Maturity (Years)]]*Table1[[#This Row],[Coupon Frequency2]]</f>
        <v>5</v>
      </c>
      <c r="V214">
        <f>Table1[[#This Row],[Face value]]*Table1[[#This Row],[Current coupon %]]</f>
        <v>79000</v>
      </c>
      <c r="W214" s="36">
        <f>RATE(Table1[[#This Row],[Total No. of Coupons]],Table1[[#This Row],[Coupon Amount]],-Table1[[#This Row],[Ask Price]],Table1[[#This Row],[Face value]])</f>
        <v>7.4137103810298491E-2</v>
      </c>
      <c r="X214" s="27">
        <f>Table1[[#This Row],[IRR]]*Table1[[#This Row],[Coupon Frequency2]]</f>
        <v>7.4137103810298491E-2</v>
      </c>
      <c r="Y214" s="19" cm="1">
        <f t="array" ref="Y2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4" s="33">
        <f>DURATION(Table1[[#This Row],[Issue date]],Table1[[#This Row],[Maturity date]],Table1[[#This Row],[Current coupon %]],Table1[[#This Row],[Yield (Annualised)]],Table1[[#This Row],[Coupon Frequency2]])</f>
        <v>4.3268355486964216</v>
      </c>
      <c r="AA214" s="33">
        <f>Table1[[#This Row],[Macaulay Duration in Years]]/(1+Table1[[#This Row],[IRR]])</f>
        <v>4.0281967109671477</v>
      </c>
      <c r="AB214" s="58">
        <f>VLOOKUP(Table1[[#This Row],[Yield Cluster]],'Cluster Details'!$B$3:$C$16,2,0)</f>
        <v>7.8548801574189142E-2</v>
      </c>
      <c r="AC214" s="78">
        <f>PRICE(Table1[[#This Row],[Issue date]],Table1[[#This Row],[Maturity date]],Table1[[#This Row],[Current coupon %]],Table1[[#This Row],[Average Cluster Yield]],100,Table1[[#This Row],[Coupon Frequency2]])*Table1[[#This Row],[Face value]]/100</f>
        <v>1001808.4159864284</v>
      </c>
      <c r="AD214" s="58" t="str">
        <f>IF(Table1[[#This Row],[Ask Price]]&gt;Table1[[#This Row],[Calculated Bond Price]],"Rich","Cheap")</f>
        <v>Rich</v>
      </c>
      <c r="AE2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979710.75059963763</v>
      </c>
      <c r="AF2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1061909.5391971732</v>
      </c>
      <c r="AG214" s="78">
        <f>(Table1[[#This Row],[P (+ shock)]]+Table1[[#This Row],[P (-shock)]]-2*Table1[[#This Row],[Ask Price]])/(2*Table1[[#This Row],[Ask Price]]*($AF$2^2))</f>
        <v>10.691611474929456</v>
      </c>
      <c r="AI214" s="6">
        <f t="shared" si="13"/>
        <v>7.7472254880972702E-2</v>
      </c>
      <c r="AK214" s="47">
        <f>RATE(Table1[[#This Row],[Total No. of Coupons]],Table1[[#This Row],[Coupon Amount]],-Table1[[#This Row],[Ask Price]],Table1[[#This Row],[Face value]])</f>
        <v>7.4137103810298491E-2</v>
      </c>
      <c r="AL214" s="27">
        <f>Table1[[#This Row],[IRR]]*Table1[[#This Row],[Coupon Frequency2]]</f>
        <v>7.4137103810298491E-2</v>
      </c>
      <c r="AM214" s="5">
        <f t="shared" si="14"/>
        <v>-4107632.3472877489</v>
      </c>
      <c r="AN214" t="s">
        <v>64</v>
      </c>
      <c r="AO214" t="s">
        <v>62</v>
      </c>
      <c r="AP214">
        <f t="shared" si="15"/>
        <v>1</v>
      </c>
    </row>
    <row r="215" spans="1:42" x14ac:dyDescent="0.35">
      <c r="A215" s="48" t="s">
        <v>1480</v>
      </c>
      <c r="B215" s="49" t="s">
        <v>2494</v>
      </c>
      <c r="C215" s="49" t="s">
        <v>2273</v>
      </c>
      <c r="D215" s="50">
        <v>43822</v>
      </c>
      <c r="E215" s="50">
        <v>46379</v>
      </c>
      <c r="F215" s="49">
        <v>1000</v>
      </c>
      <c r="G215" s="49" t="s">
        <v>76</v>
      </c>
      <c r="H215" s="49">
        <v>1065.25</v>
      </c>
      <c r="I215" s="49" t="s">
        <v>76</v>
      </c>
      <c r="J215" s="49">
        <v>106.52500000000001</v>
      </c>
      <c r="K215" s="49">
        <v>175</v>
      </c>
      <c r="L215" s="51">
        <v>8.6500000000000007E-2</v>
      </c>
      <c r="M215" s="49" t="s">
        <v>93</v>
      </c>
      <c r="N215" s="49">
        <v>462</v>
      </c>
      <c r="O215" s="49">
        <v>8.12015958695142</v>
      </c>
      <c r="P215" s="49" t="s">
        <v>2274</v>
      </c>
      <c r="Q215" s="49"/>
      <c r="R215" s="49" t="s">
        <v>2275</v>
      </c>
      <c r="S215">
        <f t="shared" si="12"/>
        <v>7</v>
      </c>
      <c r="T215" s="5" cm="1">
        <f t="array" ref="T2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5">
        <f>Table1[[#This Row],[Term to Maturity (Years)]]*Table1[[#This Row],[Coupon Frequency2]]</f>
        <v>7</v>
      </c>
      <c r="V215">
        <f>Table1[[#This Row],[Face value]]*Table1[[#This Row],[Current coupon %]]</f>
        <v>86.500000000000014</v>
      </c>
      <c r="W215" s="36">
        <f>RATE(Table1[[#This Row],[Total No. of Coupons]],Table1[[#This Row],[Coupon Amount]],-Table1[[#This Row],[Ask Price]],Table1[[#This Row],[Face value]])</f>
        <v>7.421418638216111E-2</v>
      </c>
      <c r="X215" s="27">
        <f>Table1[[#This Row],[IRR]]*Table1[[#This Row],[Coupon Frequency2]]</f>
        <v>7.421418638216111E-2</v>
      </c>
      <c r="Y215" s="19" cm="1">
        <f t="array" ref="Y2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5" s="33">
        <f>DURATION(Table1[[#This Row],[Issue date]],Table1[[#This Row],[Maturity date]],Table1[[#This Row],[Current coupon %]],Table1[[#This Row],[Yield (Annualised)]],Table1[[#This Row],[Coupon Frequency2]])</f>
        <v>5.5832432495746183</v>
      </c>
      <c r="AA215" s="33">
        <f>Table1[[#This Row],[Macaulay Duration in Years]]/(1+Table1[[#This Row],[IRR]])</f>
        <v>5.1975139784537632</v>
      </c>
      <c r="AB215" s="58">
        <f>VLOOKUP(Table1[[#This Row],[Yield Cluster]],'Cluster Details'!$B$3:$C$16,2,0)</f>
        <v>7.8548801574189142E-2</v>
      </c>
      <c r="AC215" s="78">
        <f>PRICE(Table1[[#This Row],[Issue date]],Table1[[#This Row],[Maturity date]],Table1[[#This Row],[Current coupon %]],Table1[[#This Row],[Average Cluster Yield]],100,Table1[[#This Row],[Coupon Frequency2]])*Table1[[#This Row],[Face value]]/100</f>
        <v>1041.6031396534472</v>
      </c>
      <c r="AD215" s="58" t="str">
        <f>IF(Table1[[#This Row],[Ask Price]]&gt;Table1[[#This Row],[Calculated Bond Price]],"Rich","Cheap")</f>
        <v>Rich</v>
      </c>
      <c r="AE2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1011.7311778073608</v>
      </c>
      <c r="AF2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1122.5658101903662</v>
      </c>
      <c r="AG215" s="78">
        <f>(Table1[[#This Row],[P (+ shock)]]+Table1[[#This Row],[P (-shock)]]-2*Table1[[#This Row],[Ask Price]])/(2*Table1[[#This Row],[Ask Price]]*($AF$2^2))</f>
        <v>17.822051151031346</v>
      </c>
      <c r="AH215">
        <v>6.2456393812325999</v>
      </c>
      <c r="AI215" s="6">
        <f t="shared" si="13"/>
        <v>8.1201595869514212E-2</v>
      </c>
      <c r="AK215" s="47">
        <f>RATE(Table1[[#This Row],[Total No. of Coupons]],Table1[[#This Row],[Coupon Amount]],-Table1[[#This Row],[Ask Price]],Table1[[#This Row],[Face value]])</f>
        <v>7.421418638216111E-2</v>
      </c>
      <c r="AL215" s="27">
        <f>Table1[[#This Row],[IRR]]*Table1[[#This Row],[Coupon Frequency2]]</f>
        <v>7.421418638216111E-2</v>
      </c>
      <c r="AM215" s="5">
        <f t="shared" si="14"/>
        <v>-5536.651765547871</v>
      </c>
      <c r="AN215" t="s">
        <v>64</v>
      </c>
      <c r="AO215" t="s">
        <v>62</v>
      </c>
      <c r="AP215">
        <f t="shared" si="15"/>
        <v>1</v>
      </c>
    </row>
    <row r="216" spans="1:42" x14ac:dyDescent="0.35">
      <c r="A216" s="48" t="s">
        <v>389</v>
      </c>
      <c r="B216" s="49" t="s">
        <v>2495</v>
      </c>
      <c r="C216" s="49" t="s">
        <v>2273</v>
      </c>
      <c r="D216" s="50">
        <v>44216</v>
      </c>
      <c r="E216" s="50">
        <v>47868</v>
      </c>
      <c r="F216" s="49">
        <v>1000000</v>
      </c>
      <c r="G216" s="49" t="s">
        <v>76</v>
      </c>
      <c r="H216" s="49">
        <v>1001615</v>
      </c>
      <c r="I216" s="49" t="s">
        <v>76</v>
      </c>
      <c r="J216" s="49">
        <v>100.16149999999899</v>
      </c>
      <c r="K216" s="49">
        <v>4</v>
      </c>
      <c r="L216" s="51">
        <v>7.4499999999999997E-2</v>
      </c>
      <c r="M216" s="49" t="s">
        <v>93</v>
      </c>
      <c r="N216" s="49">
        <v>1951</v>
      </c>
      <c r="O216" s="49">
        <v>7.4379876499453301</v>
      </c>
      <c r="P216" s="49"/>
      <c r="Q216" s="49"/>
      <c r="R216" s="49" t="s">
        <v>2275</v>
      </c>
      <c r="S216">
        <f t="shared" si="12"/>
        <v>10</v>
      </c>
      <c r="T216" s="5" cm="1">
        <f t="array" ref="T2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6">
        <f>Table1[[#This Row],[Term to Maturity (Years)]]*Table1[[#This Row],[Coupon Frequency2]]</f>
        <v>10</v>
      </c>
      <c r="V216">
        <f>Table1[[#This Row],[Face value]]*Table1[[#This Row],[Current coupon %]]</f>
        <v>74500</v>
      </c>
      <c r="W216" s="36">
        <f>RATE(Table1[[#This Row],[Total No. of Coupons]],Table1[[#This Row],[Coupon Amount]],-Table1[[#This Row],[Ask Price]],Table1[[#This Row],[Face value]])</f>
        <v>7.4265505697544754E-2</v>
      </c>
      <c r="X216" s="27">
        <f>Table1[[#This Row],[IRR]]*Table1[[#This Row],[Coupon Frequency2]]</f>
        <v>7.4265505697544754E-2</v>
      </c>
      <c r="Y216" s="19" cm="1">
        <f t="array" ref="Y2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6" s="33">
        <f>DURATION(Table1[[#This Row],[Issue date]],Table1[[#This Row],[Maturity date]],Table1[[#This Row],[Current coupon %]],Table1[[#This Row],[Yield (Annualised)]],Table1[[#This Row],[Coupon Frequency2]])</f>
        <v>7.3946332649916071</v>
      </c>
      <c r="AA216" s="33">
        <f>Table1[[#This Row],[Macaulay Duration in Years]]/(1+Table1[[#This Row],[IRR]])</f>
        <v>6.8834317268616996</v>
      </c>
      <c r="AB216" s="58">
        <f>VLOOKUP(Table1[[#This Row],[Yield Cluster]],'Cluster Details'!$B$3:$C$16,2,0)</f>
        <v>7.8548801574189142E-2</v>
      </c>
      <c r="AC216" s="78">
        <f>PRICE(Table1[[#This Row],[Issue date]],Table1[[#This Row],[Maturity date]],Table1[[#This Row],[Current coupon %]],Table1[[#This Row],[Average Cluster Yield]],100,Table1[[#This Row],[Coupon Frequency2]])*Table1[[#This Row],[Face value]]/100</f>
        <v>972653.48082638101</v>
      </c>
      <c r="AD216" s="58" t="str">
        <f>IF(Table1[[#This Row],[Ask Price]]&gt;Table1[[#This Row],[Calculated Bond Price]],"Rich","Cheap")</f>
        <v>Rich</v>
      </c>
      <c r="AE2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935714.89081028569</v>
      </c>
      <c r="AF2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1073827.5970624906</v>
      </c>
      <c r="AG216" s="78">
        <f>(Table1[[#This Row],[P (+ shock)]]+Table1[[#This Row],[P (-shock)]]-2*Table1[[#This Row],[Ask Price]])/(2*Table1[[#This Row],[Ask Price]]*($AF$2^2))</f>
        <v>31.511548213516882</v>
      </c>
      <c r="AH216">
        <v>5.4570357554786604</v>
      </c>
      <c r="AI216" s="6">
        <f t="shared" si="13"/>
        <v>7.4379876499453379E-2</v>
      </c>
      <c r="AK216" s="47">
        <f>RATE(Table1[[#This Row],[Total No. of Coupons]],Table1[[#This Row],[Coupon Amount]],-Table1[[#This Row],[Ask Price]],Table1[[#This Row],[Face value]])</f>
        <v>7.4265505697544754E-2</v>
      </c>
      <c r="AL216" s="27">
        <f>Table1[[#This Row],[IRR]]*Table1[[#This Row],[Coupon Frequency2]]</f>
        <v>7.4265505697544754E-2</v>
      </c>
      <c r="AM216" s="5">
        <f t="shared" si="14"/>
        <v>-6894548.4691005815</v>
      </c>
      <c r="AN216" t="s">
        <v>64</v>
      </c>
      <c r="AO216" t="s">
        <v>62</v>
      </c>
      <c r="AP216">
        <f t="shared" si="15"/>
        <v>1</v>
      </c>
    </row>
    <row r="217" spans="1:42" x14ac:dyDescent="0.35">
      <c r="A217" s="48" t="s">
        <v>1246</v>
      </c>
      <c r="B217" s="49" t="s">
        <v>2496</v>
      </c>
      <c r="C217" s="49" t="s">
        <v>2273</v>
      </c>
      <c r="D217" s="50">
        <v>42901</v>
      </c>
      <c r="E217" s="50">
        <v>46553</v>
      </c>
      <c r="F217" s="49">
        <v>1000000</v>
      </c>
      <c r="G217" s="49" t="s">
        <v>76</v>
      </c>
      <c r="H217" s="49">
        <v>1073000</v>
      </c>
      <c r="I217" s="49" t="s">
        <v>76</v>
      </c>
      <c r="J217" s="49">
        <v>107.3</v>
      </c>
      <c r="K217" s="49">
        <v>1</v>
      </c>
      <c r="L217" s="51">
        <v>8.5000000000000006E-2</v>
      </c>
      <c r="M217" s="49" t="s">
        <v>93</v>
      </c>
      <c r="N217" s="49">
        <v>636</v>
      </c>
      <c r="O217" s="49">
        <v>7.9217148182665396</v>
      </c>
      <c r="P217" s="49"/>
      <c r="Q217" s="49"/>
      <c r="R217" s="49" t="s">
        <v>2275</v>
      </c>
      <c r="S217">
        <f t="shared" si="12"/>
        <v>10</v>
      </c>
      <c r="T217" s="5" cm="1">
        <f t="array" ref="T2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7">
        <f>Table1[[#This Row],[Term to Maturity (Years)]]*Table1[[#This Row],[Coupon Frequency2]]</f>
        <v>10</v>
      </c>
      <c r="V217">
        <f>Table1[[#This Row],[Face value]]*Table1[[#This Row],[Current coupon %]]</f>
        <v>85000</v>
      </c>
      <c r="W217" s="36">
        <f>RATE(Table1[[#This Row],[Total No. of Coupons]],Table1[[#This Row],[Coupon Amount]],-Table1[[#This Row],[Ask Price]],Table1[[#This Row],[Face value]])</f>
        <v>7.4394320658097243E-2</v>
      </c>
      <c r="X217" s="27">
        <f>Table1[[#This Row],[IRR]]*Table1[[#This Row],[Coupon Frequency2]]</f>
        <v>7.4394320658097243E-2</v>
      </c>
      <c r="Y217" s="19" cm="1">
        <f t="array" ref="Y2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7" s="33">
        <f>DURATION(Table1[[#This Row],[Issue date]],Table1[[#This Row],[Maturity date]],Table1[[#This Row],[Current coupon %]],Table1[[#This Row],[Yield (Annualised)]],Table1[[#This Row],[Coupon Frequency2]])</f>
        <v>7.2263027075652699</v>
      </c>
      <c r="AA217" s="33">
        <f>Table1[[#This Row],[Macaulay Duration in Years]]/(1+Table1[[#This Row],[IRR]])</f>
        <v>6.7259315957096204</v>
      </c>
      <c r="AB217" s="58">
        <f>VLOOKUP(Table1[[#This Row],[Yield Cluster]],'Cluster Details'!$B$3:$C$16,2,0)</f>
        <v>7.8548801574189142E-2</v>
      </c>
      <c r="AC217" s="78">
        <f>PRICE(Table1[[#This Row],[Issue date]],Table1[[#This Row],[Maturity date]],Table1[[#This Row],[Current coupon %]],Table1[[#This Row],[Average Cluster Yield]],100,Table1[[#This Row],[Coupon Frequency2]])*Table1[[#This Row],[Face value]]/100</f>
        <v>1043572.8494498022</v>
      </c>
      <c r="AD217" s="58" t="str">
        <f>IF(Table1[[#This Row],[Ask Price]]&gt;Table1[[#This Row],[Calculated Bond Price]],"Rich","Cheap")</f>
        <v>Rich</v>
      </c>
      <c r="AE2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1003984.8202471419</v>
      </c>
      <c r="AF2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1148551.5027126248</v>
      </c>
      <c r="AG217" s="78">
        <f>(Table1[[#This Row],[P (+ shock)]]+Table1[[#This Row],[P (-shock)]]-2*Table1[[#This Row],[Ask Price]])/(2*Table1[[#This Row],[Ask Price]]*($AF$2^2))</f>
        <v>30.458168498446984</v>
      </c>
      <c r="AH217">
        <v>11.6745034907073</v>
      </c>
      <c r="AI217" s="6">
        <f t="shared" si="13"/>
        <v>7.9217148182665426E-2</v>
      </c>
      <c r="AK217" s="47">
        <f>RATE(Table1[[#This Row],[Total No. of Coupons]],Table1[[#This Row],[Coupon Amount]],-Table1[[#This Row],[Ask Price]],Table1[[#This Row],[Face value]])</f>
        <v>7.4394320658097243E-2</v>
      </c>
      <c r="AL217" s="27">
        <f>Table1[[#This Row],[IRR]]*Table1[[#This Row],[Coupon Frequency2]]</f>
        <v>7.4394320658097243E-2</v>
      </c>
      <c r="AM217" s="5">
        <f t="shared" si="14"/>
        <v>-7216924.6021964224</v>
      </c>
      <c r="AN217" t="s">
        <v>64</v>
      </c>
      <c r="AO217" t="s">
        <v>62</v>
      </c>
      <c r="AP217">
        <f t="shared" si="15"/>
        <v>1</v>
      </c>
    </row>
    <row r="218" spans="1:42" x14ac:dyDescent="0.35">
      <c r="A218" s="48" t="s">
        <v>1067</v>
      </c>
      <c r="B218" s="49" t="s">
        <v>2497</v>
      </c>
      <c r="C218" s="49" t="s">
        <v>2273</v>
      </c>
      <c r="D218" s="50">
        <v>43844</v>
      </c>
      <c r="E218" s="50">
        <v>46766</v>
      </c>
      <c r="F218" s="49">
        <v>1000</v>
      </c>
      <c r="G218" s="49" t="s">
        <v>76</v>
      </c>
      <c r="H218" s="49">
        <v>1056</v>
      </c>
      <c r="I218" s="49" t="s">
        <v>76</v>
      </c>
      <c r="J218" s="49">
        <v>105.6</v>
      </c>
      <c r="K218" s="49">
        <v>100</v>
      </c>
      <c r="L218" s="51">
        <v>8.4000000000000005E-2</v>
      </c>
      <c r="M218" s="49" t="s">
        <v>93</v>
      </c>
      <c r="N218" s="49">
        <v>849</v>
      </c>
      <c r="O218" s="49">
        <v>7.9545454545454497</v>
      </c>
      <c r="P218" s="49"/>
      <c r="Q218" s="49"/>
      <c r="R218" s="49" t="s">
        <v>2275</v>
      </c>
      <c r="S218">
        <f t="shared" si="12"/>
        <v>8</v>
      </c>
      <c r="T218" s="5" cm="1">
        <f t="array" ref="T2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8">
        <f>Table1[[#This Row],[Term to Maturity (Years)]]*Table1[[#This Row],[Coupon Frequency2]]</f>
        <v>8</v>
      </c>
      <c r="V218">
        <f>Table1[[#This Row],[Face value]]*Table1[[#This Row],[Current coupon %]]</f>
        <v>84</v>
      </c>
      <c r="W218" s="36">
        <f>RATE(Table1[[#This Row],[Total No. of Coupons]],Table1[[#This Row],[Coupon Amount]],-Table1[[#This Row],[Ask Price]],Table1[[#This Row],[Face value]])</f>
        <v>7.4459108495612394E-2</v>
      </c>
      <c r="X218" s="27">
        <f>Table1[[#This Row],[IRR]]*Table1[[#This Row],[Coupon Frequency2]]</f>
        <v>7.4459108495612394E-2</v>
      </c>
      <c r="Y218" s="19" cm="1">
        <f t="array" ref="Y2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8" s="33">
        <f>DURATION(Table1[[#This Row],[Issue date]],Table1[[#This Row],[Maturity date]],Table1[[#This Row],[Current coupon %]],Table1[[#This Row],[Yield (Annualised)]],Table1[[#This Row],[Coupon Frequency2]])</f>
        <v>6.1908247181080478</v>
      </c>
      <c r="AA218" s="33">
        <f>Table1[[#This Row],[Macaulay Duration in Years]]/(1+Table1[[#This Row],[IRR]])</f>
        <v>5.7618057952675716</v>
      </c>
      <c r="AB218" s="58">
        <f>VLOOKUP(Table1[[#This Row],[Yield Cluster]],'Cluster Details'!$B$3:$C$16,2,0)</f>
        <v>7.8548801574189142E-2</v>
      </c>
      <c r="AC218" s="78">
        <f>PRICE(Table1[[#This Row],[Issue date]],Table1[[#This Row],[Maturity date]],Table1[[#This Row],[Current coupon %]],Table1[[#This Row],[Average Cluster Yield]],100,Table1[[#This Row],[Coupon Frequency2]])*Table1[[#This Row],[Face value]]/100</f>
        <v>1031.4993272234515</v>
      </c>
      <c r="AD218" s="58" t="str">
        <f>IF(Table1[[#This Row],[Ask Price]]&gt;Table1[[#This Row],[Calculated Bond Price]],"Rich","Cheap")</f>
        <v>Rich</v>
      </c>
      <c r="AE2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997.40573574111181</v>
      </c>
      <c r="AF2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1119.2320627234888</v>
      </c>
      <c r="AG218" s="78">
        <f>(Table1[[#This Row],[P (+ shock)]]+Table1[[#This Row],[P (-shock)]]-2*Table1[[#This Row],[Ask Price]])/(2*Table1[[#This Row],[Ask Price]]*($AF$2^2))</f>
        <v>21.959273033146612</v>
      </c>
      <c r="AI218" s="6">
        <f t="shared" si="13"/>
        <v>7.9545454545454544E-2</v>
      </c>
      <c r="AK218" s="47">
        <f>RATE(Table1[[#This Row],[Total No. of Coupons]],Table1[[#This Row],[Coupon Amount]],-Table1[[#This Row],[Ask Price]],Table1[[#This Row],[Face value]])</f>
        <v>7.4459108495612394E-2</v>
      </c>
      <c r="AL218" s="27">
        <f>Table1[[#This Row],[IRR]]*Table1[[#This Row],[Coupon Frequency2]]</f>
        <v>7.4459108495612394E-2</v>
      </c>
      <c r="AM218" s="5">
        <f t="shared" si="14"/>
        <v>-6084.4669198025558</v>
      </c>
      <c r="AN218" t="s">
        <v>64</v>
      </c>
      <c r="AO218" t="s">
        <v>62</v>
      </c>
      <c r="AP218">
        <f t="shared" si="15"/>
        <v>1</v>
      </c>
    </row>
    <row r="219" spans="1:42" x14ac:dyDescent="0.35">
      <c r="A219" s="48" t="s">
        <v>156</v>
      </c>
      <c r="B219" s="49" t="s">
        <v>2498</v>
      </c>
      <c r="C219" s="49" t="s">
        <v>2273</v>
      </c>
      <c r="D219" s="50">
        <v>43647</v>
      </c>
      <c r="E219" s="50">
        <v>49126</v>
      </c>
      <c r="F219" s="49">
        <v>1000000</v>
      </c>
      <c r="G219" s="49" t="s">
        <v>76</v>
      </c>
      <c r="H219" s="49">
        <v>1035000</v>
      </c>
      <c r="I219" s="49" t="s">
        <v>76</v>
      </c>
      <c r="J219" s="49">
        <v>103.49999999999901</v>
      </c>
      <c r="K219" s="49">
        <v>2</v>
      </c>
      <c r="L219" s="51">
        <v>7.85E-2</v>
      </c>
      <c r="M219" s="49" t="s">
        <v>93</v>
      </c>
      <c r="N219" s="49">
        <v>3209</v>
      </c>
      <c r="O219" s="49">
        <v>7.5845410628019296</v>
      </c>
      <c r="P219" s="49" t="s">
        <v>2274</v>
      </c>
      <c r="Q219" s="49"/>
      <c r="R219" s="49" t="s">
        <v>2275</v>
      </c>
      <c r="S219">
        <f t="shared" si="12"/>
        <v>15</v>
      </c>
      <c r="T219" s="5" cm="1">
        <f t="array" ref="T2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19">
        <f>Table1[[#This Row],[Term to Maturity (Years)]]*Table1[[#This Row],[Coupon Frequency2]]</f>
        <v>15</v>
      </c>
      <c r="V219">
        <f>Table1[[#This Row],[Face value]]*Table1[[#This Row],[Current coupon %]]</f>
        <v>78500</v>
      </c>
      <c r="W219" s="36">
        <f>RATE(Table1[[#This Row],[Total No. of Coupons]],Table1[[#This Row],[Coupon Amount]],-Table1[[#This Row],[Ask Price]],Table1[[#This Row],[Face value]])</f>
        <v>7.4546115769978688E-2</v>
      </c>
      <c r="X219" s="27">
        <f>Table1[[#This Row],[IRR]]*Table1[[#This Row],[Coupon Frequency2]]</f>
        <v>7.4546115769978688E-2</v>
      </c>
      <c r="Y219" s="19" cm="1">
        <f t="array" ref="Y2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19" s="33">
        <f>DURATION(Table1[[#This Row],[Issue date]],Table1[[#This Row],[Maturity date]],Table1[[#This Row],[Current coupon %]],Table1[[#This Row],[Yield (Annualised)]],Table1[[#This Row],[Coupon Frequency2]])</f>
        <v>9.4162875041732814</v>
      </c>
      <c r="AA219" s="33">
        <f>Table1[[#This Row],[Macaulay Duration in Years]]/(1+Table1[[#This Row],[IRR]])</f>
        <v>8.7630371242149341</v>
      </c>
      <c r="AB219" s="58">
        <f>VLOOKUP(Table1[[#This Row],[Yield Cluster]],'Cluster Details'!$B$3:$C$16,2,0)</f>
        <v>7.8548801574189142E-2</v>
      </c>
      <c r="AC219" s="78">
        <f>PRICE(Table1[[#This Row],[Issue date]],Table1[[#This Row],[Maturity date]],Table1[[#This Row],[Current coupon %]],Table1[[#This Row],[Average Cluster Yield]],100,Table1[[#This Row],[Coupon Frequency2]])*Table1[[#This Row],[Face value]]/100</f>
        <v>999578.55696449208</v>
      </c>
      <c r="AD219" s="58" t="str">
        <f>IF(Table1[[#This Row],[Ask Price]]&gt;Table1[[#This Row],[Calculated Bond Price]],"Rich","Cheap")</f>
        <v>Rich</v>
      </c>
      <c r="AE2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949654.51503540913</v>
      </c>
      <c r="AF2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1131587.1698055239</v>
      </c>
      <c r="AG219" s="78">
        <f>(Table1[[#This Row],[P (+ shock)]]+Table1[[#This Row],[P (-shock)]]-2*Table1[[#This Row],[Ask Price]])/(2*Table1[[#This Row],[Ask Price]]*($AF$2^2))</f>
        <v>54.307656236391082</v>
      </c>
      <c r="AH219">
        <v>8.2204117815793794</v>
      </c>
      <c r="AI219" s="6">
        <f t="shared" si="13"/>
        <v>7.5845410628019319E-2</v>
      </c>
      <c r="AK219" s="47">
        <f>RATE(Table1[[#This Row],[Total No. of Coupons]],Table1[[#This Row],[Coupon Amount]],-Table1[[#This Row],[Ask Price]],Table1[[#This Row],[Face value]])</f>
        <v>7.4546115769978688E-2</v>
      </c>
      <c r="AL219" s="27">
        <f>Table1[[#This Row],[IRR]]*Table1[[#This Row],[Coupon Frequency2]]</f>
        <v>7.4546115769978688E-2</v>
      </c>
      <c r="AM219" s="5">
        <f t="shared" si="14"/>
        <v>-9069743.4235624559</v>
      </c>
      <c r="AN219" t="s">
        <v>64</v>
      </c>
      <c r="AO219" t="s">
        <v>62</v>
      </c>
      <c r="AP219">
        <f t="shared" si="15"/>
        <v>1</v>
      </c>
    </row>
    <row r="220" spans="1:42" x14ac:dyDescent="0.35">
      <c r="A220" s="48" t="s">
        <v>95</v>
      </c>
      <c r="B220" s="49" t="s">
        <v>2499</v>
      </c>
      <c r="C220" s="49" t="s">
        <v>2273</v>
      </c>
      <c r="D220" s="50">
        <v>45139</v>
      </c>
      <c r="E220" s="50">
        <v>50618</v>
      </c>
      <c r="F220" s="49">
        <v>1000</v>
      </c>
      <c r="G220" s="49" t="s">
        <v>76</v>
      </c>
      <c r="H220" s="49">
        <v>1008</v>
      </c>
      <c r="I220" s="49" t="s">
        <v>76</v>
      </c>
      <c r="J220" s="49">
        <v>100.8</v>
      </c>
      <c r="K220" s="49">
        <v>150</v>
      </c>
      <c r="L220" s="51">
        <v>7.5499999999999998E-2</v>
      </c>
      <c r="M220" s="49" t="s">
        <v>93</v>
      </c>
      <c r="N220" s="49">
        <v>4701</v>
      </c>
      <c r="O220" s="49">
        <v>7.4900793650793602</v>
      </c>
      <c r="P220" s="49" t="s">
        <v>2282</v>
      </c>
      <c r="Q220" s="49"/>
      <c r="R220" s="49" t="s">
        <v>2275</v>
      </c>
      <c r="S220">
        <f t="shared" si="12"/>
        <v>15</v>
      </c>
      <c r="T220" s="5" cm="1">
        <f t="array" ref="T2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0">
        <f>Table1[[#This Row],[Term to Maturity (Years)]]*Table1[[#This Row],[Coupon Frequency2]]</f>
        <v>15</v>
      </c>
      <c r="V220">
        <f>Table1[[#This Row],[Face value]]*Table1[[#This Row],[Current coupon %]]</f>
        <v>75.5</v>
      </c>
      <c r="W220" s="36">
        <f>RATE(Table1[[#This Row],[Total No. of Coupons]],Table1[[#This Row],[Coupon Amount]],-Table1[[#This Row],[Ask Price]],Table1[[#This Row],[Face value]])</f>
        <v>7.4595974756015523E-2</v>
      </c>
      <c r="X220" s="27">
        <f>Table1[[#This Row],[IRR]]*Table1[[#This Row],[Coupon Frequency2]]</f>
        <v>7.4595974756015523E-2</v>
      </c>
      <c r="Y220" s="19" cm="1">
        <f t="array" ref="Y2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0" s="33">
        <f>DURATION(Table1[[#This Row],[Issue date]],Table1[[#This Row],[Maturity date]],Table1[[#This Row],[Current coupon %]],Table1[[#This Row],[Yield (Annualised)]],Table1[[#This Row],[Coupon Frequency2]])</f>
        <v>9.4869974345403012</v>
      </c>
      <c r="AA220" s="33">
        <f>Table1[[#This Row],[Macaulay Duration in Years]]/(1+Table1[[#This Row],[IRR]])</f>
        <v>8.8284319478251376</v>
      </c>
      <c r="AB220" s="58">
        <f>VLOOKUP(Table1[[#This Row],[Yield Cluster]],'Cluster Details'!$B$3:$C$16,2,0)</f>
        <v>7.8548801574189142E-2</v>
      </c>
      <c r="AC220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973.67100935902306</v>
      </c>
      <c r="AD220" s="58" t="str">
        <f>IF(Table1[[#This Row],[Ask Price]]&gt;Table1[[#This Row],[Calculated Bond Price]],"Rich","Cheap")</f>
        <v>Rich</v>
      </c>
      <c r="AE2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924.28130392846344</v>
      </c>
      <c r="AF2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1102.7935754711436</v>
      </c>
      <c r="AG220" s="78">
        <f>(Table1[[#This Row],[P (+ shock)]]+Table1[[#This Row],[P (-shock)]]-2*Table1[[#This Row],[Ask Price]])/(2*Table1[[#This Row],[Ask Price]]*($AF$2^2))</f>
        <v>54.934917656781735</v>
      </c>
      <c r="AH220">
        <v>5.3991890761650199</v>
      </c>
      <c r="AI220" s="6">
        <f t="shared" si="13"/>
        <v>7.4900793650793648E-2</v>
      </c>
      <c r="AK220" s="47">
        <f>RATE(Table1[[#This Row],[Total No. of Coupons]],Table1[[#This Row],[Coupon Amount]],-Table1[[#This Row],[Ask Price]],Table1[[#This Row],[Face value]])</f>
        <v>7.4595974756015523E-2</v>
      </c>
      <c r="AL220" s="27">
        <f>Table1[[#This Row],[IRR]]*Table1[[#This Row],[Coupon Frequency2]]</f>
        <v>7.4595974756015523E-2</v>
      </c>
      <c r="AM220" s="5">
        <f t="shared" si="14"/>
        <v>-8899.0594034077385</v>
      </c>
      <c r="AN220" t="s">
        <v>64</v>
      </c>
      <c r="AO220" t="s">
        <v>62</v>
      </c>
      <c r="AP220">
        <f t="shared" si="15"/>
        <v>1</v>
      </c>
    </row>
    <row r="221" spans="1:42" x14ac:dyDescent="0.35">
      <c r="A221" s="48" t="s">
        <v>1338</v>
      </c>
      <c r="B221" s="49" t="s">
        <v>2500</v>
      </c>
      <c r="C221" s="49" t="s">
        <v>2273</v>
      </c>
      <c r="D221" s="50">
        <v>40995</v>
      </c>
      <c r="E221" s="50">
        <v>46473</v>
      </c>
      <c r="F221" s="49">
        <v>1000</v>
      </c>
      <c r="G221" s="49" t="s">
        <v>76</v>
      </c>
      <c r="H221" s="49">
        <v>1058</v>
      </c>
      <c r="I221" s="49" t="s">
        <v>76</v>
      </c>
      <c r="J221" s="49">
        <v>105.8</v>
      </c>
      <c r="K221" s="49">
        <v>2128</v>
      </c>
      <c r="L221" s="51">
        <v>8.1199999999999994E-2</v>
      </c>
      <c r="M221" s="49" t="s">
        <v>93</v>
      </c>
      <c r="N221" s="49">
        <v>556</v>
      </c>
      <c r="O221" s="49">
        <v>7.6748582230623796</v>
      </c>
      <c r="P221" s="49"/>
      <c r="Q221" s="49"/>
      <c r="R221" s="49" t="s">
        <v>2275</v>
      </c>
      <c r="S221">
        <f t="shared" si="12"/>
        <v>15</v>
      </c>
      <c r="T221" s="5" cm="1">
        <f t="array" ref="T2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1">
        <f>Table1[[#This Row],[Term to Maturity (Years)]]*Table1[[#This Row],[Coupon Frequency2]]</f>
        <v>15</v>
      </c>
      <c r="V221">
        <f>Table1[[#This Row],[Face value]]*Table1[[#This Row],[Current coupon %]]</f>
        <v>81.199999999999989</v>
      </c>
      <c r="W221" s="36">
        <f>RATE(Table1[[#This Row],[Total No. of Coupons]],Table1[[#This Row],[Coupon Amount]],-Table1[[#This Row],[Ask Price]],Table1[[#This Row],[Face value]])</f>
        <v>7.4643864940380514E-2</v>
      </c>
      <c r="X221" s="27">
        <f>Table1[[#This Row],[IRR]]*Table1[[#This Row],[Coupon Frequency2]]</f>
        <v>7.4643864940380514E-2</v>
      </c>
      <c r="Y221" s="19" cm="1">
        <f t="array" ref="Y2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1" s="33">
        <f>DURATION(Table1[[#This Row],[Issue date]],Table1[[#This Row],[Maturity date]],Table1[[#This Row],[Current coupon %]],Table1[[#This Row],[Yield (Annualised)]],Table1[[#This Row],[Coupon Frequency2]])</f>
        <v>9.3521414111269223</v>
      </c>
      <c r="AA221" s="33">
        <f>Table1[[#This Row],[Macaulay Duration in Years]]/(1+Table1[[#This Row],[IRR]])</f>
        <v>8.7025494828891663</v>
      </c>
      <c r="AB221" s="58">
        <f>VLOOKUP(Table1[[#This Row],[Yield Cluster]],'Cluster Details'!$B$3:$C$16,2,0)</f>
        <v>7.8548801574189142E-2</v>
      </c>
      <c r="AC221" s="78">
        <f>PRICE(Table1[[#This Row],[Issue date]],Table1[[#This Row],[Maturity date]],Table1[[#This Row],[Current coupon %]],Table1[[#This Row],[Average Cluster Yield]],100,Table1[[#This Row],[Coupon Frequency2]])*Table1[[#This Row],[Face value]]/100</f>
        <v>1022.895349809414</v>
      </c>
      <c r="AD221" s="58" t="str">
        <f>IF(Table1[[#This Row],[Ask Price]]&gt;Table1[[#This Row],[Calculated Bond Price]],"Rich","Cheap")</f>
        <v>Rich</v>
      </c>
      <c r="AE2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971.34008071401695</v>
      </c>
      <c r="AF2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1156.0286321449173</v>
      </c>
      <c r="AG221" s="78">
        <f>(Table1[[#This Row],[P (+ shock)]]+Table1[[#This Row],[P (-shock)]]-2*Table1[[#This Row],[Ask Price]])/(2*Table1[[#This Row],[Ask Price]]*($AF$2^2))</f>
        <v>53.727376459992847</v>
      </c>
      <c r="AH221">
        <v>76.419151512759598</v>
      </c>
      <c r="AI221" s="6">
        <f t="shared" si="13"/>
        <v>7.6748582230623807E-2</v>
      </c>
      <c r="AK221" s="47">
        <f>RATE(Table1[[#This Row],[Total No. of Coupons]],Table1[[#This Row],[Coupon Amount]],-Table1[[#This Row],[Ask Price]],Table1[[#This Row],[Face value]])</f>
        <v>7.4643864940380514E-2</v>
      </c>
      <c r="AL221" s="27">
        <f>Table1[[#This Row],[IRR]]*Table1[[#This Row],[Coupon Frequency2]]</f>
        <v>7.4643864940380514E-2</v>
      </c>
      <c r="AM221" s="5">
        <f t="shared" si="14"/>
        <v>-9207.2973528967377</v>
      </c>
      <c r="AN221" t="s">
        <v>64</v>
      </c>
      <c r="AO221" t="s">
        <v>62</v>
      </c>
      <c r="AP221">
        <f t="shared" si="15"/>
        <v>1</v>
      </c>
    </row>
    <row r="222" spans="1:42" x14ac:dyDescent="0.35">
      <c r="A222" s="48" t="s">
        <v>1573</v>
      </c>
      <c r="B222" s="49" t="s">
        <v>2501</v>
      </c>
      <c r="C222" s="49" t="s">
        <v>2273</v>
      </c>
      <c r="D222" s="50">
        <v>44483</v>
      </c>
      <c r="E222" s="50">
        <v>46309</v>
      </c>
      <c r="F222" s="49">
        <v>1000</v>
      </c>
      <c r="G222" s="49" t="s">
        <v>76</v>
      </c>
      <c r="H222" s="49">
        <v>1050</v>
      </c>
      <c r="I222" s="49" t="s">
        <v>76</v>
      </c>
      <c r="J222" s="49">
        <v>105</v>
      </c>
      <c r="K222" s="49">
        <v>1</v>
      </c>
      <c r="L222" s="51">
        <v>8.7499999999999994E-2</v>
      </c>
      <c r="M222" s="49" t="s">
        <v>93</v>
      </c>
      <c r="N222" s="49">
        <v>392</v>
      </c>
      <c r="O222" s="49">
        <v>8.3333333333333304</v>
      </c>
      <c r="P222" s="49" t="s">
        <v>2279</v>
      </c>
      <c r="Q222" s="49"/>
      <c r="R222" s="49" t="s">
        <v>2275</v>
      </c>
      <c r="S222">
        <f t="shared" si="12"/>
        <v>5</v>
      </c>
      <c r="T222" s="5" cm="1">
        <f t="array" ref="T2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2">
        <f>Table1[[#This Row],[Term to Maturity (Years)]]*Table1[[#This Row],[Coupon Frequency2]]</f>
        <v>5</v>
      </c>
      <c r="V222">
        <f>Table1[[#This Row],[Face value]]*Table1[[#This Row],[Current coupon %]]</f>
        <v>87.5</v>
      </c>
      <c r="W222" s="36">
        <f>RATE(Table1[[#This Row],[Total No. of Coupons]],Table1[[#This Row],[Coupon Amount]],-Table1[[#This Row],[Ask Price]],Table1[[#This Row],[Face value]])</f>
        <v>7.5137257735152549E-2</v>
      </c>
      <c r="X222" s="27">
        <f>Table1[[#This Row],[IRR]]*Table1[[#This Row],[Coupon Frequency2]]</f>
        <v>7.5137257735152549E-2</v>
      </c>
      <c r="Y222" s="19" cm="1">
        <f t="array" ref="Y2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2" s="33">
        <f>DURATION(Table1[[#This Row],[Issue date]],Table1[[#This Row],[Maturity date]],Table1[[#This Row],[Current coupon %]],Table1[[#This Row],[Yield (Annualised)]],Table1[[#This Row],[Coupon Frequency2]])</f>
        <v>4.2772072429910946</v>
      </c>
      <c r="AA222" s="33">
        <f>Table1[[#This Row],[Macaulay Duration in Years]]/(1+Table1[[#This Row],[IRR]])</f>
        <v>3.9782894809182907</v>
      </c>
      <c r="AB222" s="58">
        <f>VLOOKUP(Table1[[#This Row],[Yield Cluster]],'Cluster Details'!$B$3:$C$16,2,0)</f>
        <v>7.8548801574189142E-2</v>
      </c>
      <c r="AC22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1035.8766551586157</v>
      </c>
      <c r="AD222" s="58" t="str">
        <f>IF(Table1[[#This Row],[Ask Price]]&gt;Table1[[#This Row],[Calculated Bond Price]],"Rich","Cheap")</f>
        <v>Rich</v>
      </c>
      <c r="AE2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1009.3073806217385</v>
      </c>
      <c r="AF2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1092.8979727533285</v>
      </c>
      <c r="AG222" s="78">
        <f>(Table1[[#This Row],[P (+ shock)]]+Table1[[#This Row],[P (-shock)]]-2*Table1[[#This Row],[Ask Price]])/(2*Table1[[#This Row],[Ask Price]]*($AF$2^2))</f>
        <v>10.501682738413363</v>
      </c>
      <c r="AH222">
        <v>11.978840616000999</v>
      </c>
      <c r="AI222" s="6">
        <f t="shared" si="13"/>
        <v>8.3333333333333329E-2</v>
      </c>
      <c r="AK222" s="47">
        <f>RATE(Table1[[#This Row],[Total No. of Coupons]],Table1[[#This Row],[Coupon Amount]],-Table1[[#This Row],[Ask Price]],Table1[[#This Row],[Face value]])</f>
        <v>7.5137257735152549E-2</v>
      </c>
      <c r="AL222" s="27">
        <f>Table1[[#This Row],[IRR]]*Table1[[#This Row],[Coupon Frequency2]]</f>
        <v>7.5137257735152549E-2</v>
      </c>
      <c r="AM222" s="5">
        <f t="shared" si="14"/>
        <v>-4177.203954964205</v>
      </c>
      <c r="AN222" t="s">
        <v>64</v>
      </c>
      <c r="AO222" t="s">
        <v>62</v>
      </c>
      <c r="AP222">
        <f t="shared" si="15"/>
        <v>1</v>
      </c>
    </row>
    <row r="223" spans="1:42" x14ac:dyDescent="0.35">
      <c r="A223" s="48" t="s">
        <v>1802</v>
      </c>
      <c r="B223" s="49" t="s">
        <v>2502</v>
      </c>
      <c r="C223" s="49" t="s">
        <v>2273</v>
      </c>
      <c r="D223" s="50">
        <v>45049</v>
      </c>
      <c r="E223" s="50">
        <v>46176</v>
      </c>
      <c r="F223" s="49">
        <v>1000</v>
      </c>
      <c r="G223" s="49" t="s">
        <v>76</v>
      </c>
      <c r="H223" s="49">
        <v>1011.95</v>
      </c>
      <c r="I223" s="49" t="s">
        <v>76</v>
      </c>
      <c r="J223" s="49">
        <v>101.19499999999999</v>
      </c>
      <c r="K223" s="49">
        <v>25</v>
      </c>
      <c r="L223" s="51">
        <v>0.08</v>
      </c>
      <c r="M223" s="49" t="s">
        <v>93</v>
      </c>
      <c r="N223" s="49">
        <v>259</v>
      </c>
      <c r="O223" s="49">
        <v>7.9055289292949196</v>
      </c>
      <c r="P223" s="49" t="s">
        <v>2285</v>
      </c>
      <c r="Q223" s="49"/>
      <c r="R223" s="49" t="s">
        <v>2275</v>
      </c>
      <c r="S223">
        <f t="shared" si="12"/>
        <v>3</v>
      </c>
      <c r="T223" s="5" cm="1">
        <f t="array" ref="T2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3">
        <f>Table1[[#This Row],[Term to Maturity (Years)]]*Table1[[#This Row],[Coupon Frequency2]]</f>
        <v>3</v>
      </c>
      <c r="V223">
        <f>Table1[[#This Row],[Face value]]*Table1[[#This Row],[Current coupon %]]</f>
        <v>80</v>
      </c>
      <c r="W223" s="36">
        <f>RATE(Table1[[#This Row],[Total No. of Coupons]],Table1[[#This Row],[Coupon Amount]],-Table1[[#This Row],[Ask Price]],Table1[[#This Row],[Face value]])</f>
        <v>7.5401425730582505E-2</v>
      </c>
      <c r="X223" s="27">
        <f>Table1[[#This Row],[IRR]]*Table1[[#This Row],[Coupon Frequency2]]</f>
        <v>7.5401425730582505E-2</v>
      </c>
      <c r="Y223" s="19" cm="1">
        <f t="array" ref="Y2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3" s="33">
        <f>DURATION(Table1[[#This Row],[Issue date]],Table1[[#This Row],[Maturity date]],Table1[[#This Row],[Current coupon %]],Table1[[#This Row],[Yield (Annualised)]],Table1[[#This Row],[Coupon Frequency2]])</f>
        <v>2.6639399653349458</v>
      </c>
      <c r="AA223" s="33">
        <f>Table1[[#This Row],[Macaulay Duration in Years]]/(1+Table1[[#This Row],[IRR]])</f>
        <v>2.4771586698661636</v>
      </c>
      <c r="AB223" s="58">
        <f>VLOOKUP(Table1[[#This Row],[Yield Cluster]],'Cluster Details'!$B$3:$C$16,2,0)</f>
        <v>7.8548801574189142E-2</v>
      </c>
      <c r="AC223" s="78">
        <f>PRICE(Table1[[#This Row],[Issue date]],Table1[[#This Row],[Maturity date]],Table1[[#This Row],[Current coupon %]],Table1[[#This Row],[Average Cluster Yield]],100,Table1[[#This Row],[Coupon Frequency2]])*Table1[[#This Row],[Face value]]/100</f>
        <v>1003.6087242916212</v>
      </c>
      <c r="AD223" s="58" t="str">
        <f>IF(Table1[[#This Row],[Ask Price]]&gt;Table1[[#This Row],[Calculated Bond Price]],"Rich","Cheap")</f>
        <v>Rich</v>
      </c>
      <c r="AE2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985.62468765759684</v>
      </c>
      <c r="AF2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1039.4120596440973</v>
      </c>
      <c r="AG223" s="78">
        <f>(Table1[[#This Row],[P (+ shock)]]+Table1[[#This Row],[P (-shock)]]-2*Table1[[#This Row],[Ask Price]])/(2*Table1[[#This Row],[Ask Price]]*($AF$2^2))</f>
        <v>5.616617924274709</v>
      </c>
      <c r="AH223">
        <v>13.052192085004201</v>
      </c>
      <c r="AI223" s="6">
        <f t="shared" si="13"/>
        <v>7.9055289292949249E-2</v>
      </c>
      <c r="AK223" s="47">
        <f>RATE(Table1[[#This Row],[Total No. of Coupons]],Table1[[#This Row],[Coupon Amount]],-Table1[[#This Row],[Ask Price]],Table1[[#This Row],[Face value]])</f>
        <v>7.5401425730582505E-2</v>
      </c>
      <c r="AL223" s="27">
        <f>Table1[[#This Row],[IRR]]*Table1[[#This Row],[Coupon Frequency2]]</f>
        <v>7.5401425730582505E-2</v>
      </c>
      <c r="AM223" s="5">
        <f t="shared" si="14"/>
        <v>-2506.7607159710642</v>
      </c>
      <c r="AN223" t="s">
        <v>64</v>
      </c>
      <c r="AO223" t="s">
        <v>62</v>
      </c>
      <c r="AP223">
        <f t="shared" si="15"/>
        <v>1</v>
      </c>
    </row>
    <row r="224" spans="1:42" x14ac:dyDescent="0.35">
      <c r="A224" s="48" t="s">
        <v>1146</v>
      </c>
      <c r="B224" s="49" t="s">
        <v>2503</v>
      </c>
      <c r="C224" s="49" t="s">
        <v>2273</v>
      </c>
      <c r="D224" s="50">
        <v>45573</v>
      </c>
      <c r="E224" s="50">
        <v>46668</v>
      </c>
      <c r="F224" s="49">
        <v>1000</v>
      </c>
      <c r="G224" s="49" t="s">
        <v>76</v>
      </c>
      <c r="H224" s="49">
        <v>1063.8</v>
      </c>
      <c r="I224" s="49" t="s">
        <v>76</v>
      </c>
      <c r="J224" s="49">
        <v>106.379999999999</v>
      </c>
      <c r="K224" s="49">
        <v>7</v>
      </c>
      <c r="L224" s="51">
        <v>0.1</v>
      </c>
      <c r="M224" s="49" t="s">
        <v>93</v>
      </c>
      <c r="N224" s="49">
        <v>751</v>
      </c>
      <c r="O224" s="49">
        <v>9.4002632073698003</v>
      </c>
      <c r="P224" s="49"/>
      <c r="Q224" s="49"/>
      <c r="R224" s="49" t="s">
        <v>2275</v>
      </c>
      <c r="S224">
        <f t="shared" si="12"/>
        <v>3</v>
      </c>
      <c r="T224" s="5" cm="1">
        <f t="array" ref="T2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4">
        <f>Table1[[#This Row],[Term to Maturity (Years)]]*Table1[[#This Row],[Coupon Frequency2]]</f>
        <v>3</v>
      </c>
      <c r="V224">
        <f>Table1[[#This Row],[Face value]]*Table1[[#This Row],[Current coupon %]]</f>
        <v>100</v>
      </c>
      <c r="W224" s="36">
        <f>RATE(Table1[[#This Row],[Total No. of Coupons]],Table1[[#This Row],[Coupon Amount]],-Table1[[#This Row],[Ask Price]],Table1[[#This Row],[Face value]])</f>
        <v>7.5446603150045366E-2</v>
      </c>
      <c r="X224" s="27">
        <f>Table1[[#This Row],[IRR]]*Table1[[#This Row],[Coupon Frequency2]]</f>
        <v>7.5446603150045366E-2</v>
      </c>
      <c r="Y224" s="19" cm="1">
        <f t="array" ref="Y2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4" s="33">
        <f>DURATION(Table1[[#This Row],[Issue date]],Table1[[#This Row],[Maturity date]],Table1[[#This Row],[Current coupon %]],Table1[[#This Row],[Yield (Annualised)]],Table1[[#This Row],[Coupon Frequency2]])</f>
        <v>2.7439080108207468</v>
      </c>
      <c r="AA224" s="33">
        <f>Table1[[#This Row],[Macaulay Duration in Years]]/(1+Table1[[#This Row],[IRR]])</f>
        <v>2.5514125971328387</v>
      </c>
      <c r="AB224" s="58">
        <f>VLOOKUP(Table1[[#This Row],[Yield Cluster]],'Cluster Details'!$B$3:$C$16,2,0)</f>
        <v>7.8548801574189142E-2</v>
      </c>
      <c r="AC22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1055.4268965673293</v>
      </c>
      <c r="AD224" s="58" t="str">
        <f>IF(Table1[[#This Row],[Ask Price]]&gt;Table1[[#This Row],[Calculated Bond Price]],"Rich","Cheap")</f>
        <v>Rich</v>
      </c>
      <c r="AE2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1037.1399531627242</v>
      </c>
      <c r="AF2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1091.4387355205531</v>
      </c>
      <c r="AG224" s="78">
        <f>(Table1[[#This Row],[P (+ shock)]]+Table1[[#This Row],[P (-shock)]]-2*Table1[[#This Row],[Ask Price]])/(2*Table1[[#This Row],[Ask Price]]*($AF$2^2))</f>
        <v>4.599965610441795</v>
      </c>
      <c r="AH224">
        <v>38.710155447641</v>
      </c>
      <c r="AI224" s="6">
        <f t="shared" si="13"/>
        <v>9.4002632073698064E-2</v>
      </c>
      <c r="AK224" s="47">
        <f>RATE(Table1[[#This Row],[Total No. of Coupons]],Table1[[#This Row],[Coupon Amount]],-Table1[[#This Row],[Ask Price]],Table1[[#This Row],[Face value]])</f>
        <v>7.5446603150045366E-2</v>
      </c>
      <c r="AL224" s="27">
        <f>Table1[[#This Row],[IRR]]*Table1[[#This Row],[Coupon Frequency2]]</f>
        <v>7.5446603150045366E-2</v>
      </c>
      <c r="AM224" s="5">
        <f t="shared" si="14"/>
        <v>-2714.1927208299139</v>
      </c>
      <c r="AN224" t="s">
        <v>64</v>
      </c>
      <c r="AO224" t="s">
        <v>62</v>
      </c>
      <c r="AP224">
        <f t="shared" si="15"/>
        <v>1</v>
      </c>
    </row>
    <row r="225" spans="1:42" x14ac:dyDescent="0.35">
      <c r="A225" s="48" t="s">
        <v>950</v>
      </c>
      <c r="B225" s="49" t="s">
        <v>2504</v>
      </c>
      <c r="C225" s="49" t="s">
        <v>2273</v>
      </c>
      <c r="D225" s="50">
        <v>44322</v>
      </c>
      <c r="E225" s="50">
        <v>46879</v>
      </c>
      <c r="F225" s="49">
        <v>1000</v>
      </c>
      <c r="G225" s="49" t="s">
        <v>76</v>
      </c>
      <c r="H225" s="49">
        <v>1018</v>
      </c>
      <c r="I225" s="49" t="s">
        <v>76</v>
      </c>
      <c r="J225" s="49">
        <v>101.8</v>
      </c>
      <c r="K225" s="49">
        <v>50</v>
      </c>
      <c r="L225" s="51">
        <v>7.9000000000000001E-2</v>
      </c>
      <c r="M225" s="49" t="s">
        <v>93</v>
      </c>
      <c r="N225" s="49">
        <v>962</v>
      </c>
      <c r="O225" s="49">
        <v>7.7603143418467502</v>
      </c>
      <c r="P225" s="49"/>
      <c r="Q225" s="49"/>
      <c r="R225" s="49" t="s">
        <v>2275</v>
      </c>
      <c r="S225">
        <f t="shared" si="12"/>
        <v>7</v>
      </c>
      <c r="T225" s="5" cm="1">
        <f t="array" ref="T2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5">
        <f>Table1[[#This Row],[Term to Maturity (Years)]]*Table1[[#This Row],[Coupon Frequency2]]</f>
        <v>7</v>
      </c>
      <c r="V225">
        <f>Table1[[#This Row],[Face value]]*Table1[[#This Row],[Current coupon %]]</f>
        <v>79</v>
      </c>
      <c r="W225" s="36">
        <f>RATE(Table1[[#This Row],[Total No. of Coupons]],Table1[[#This Row],[Coupon Amount]],-Table1[[#This Row],[Ask Price]],Table1[[#This Row],[Face value]])</f>
        <v>7.5594613543185904E-2</v>
      </c>
      <c r="X225" s="27">
        <f>Table1[[#This Row],[IRR]]*Table1[[#This Row],[Coupon Frequency2]]</f>
        <v>7.5594613543185904E-2</v>
      </c>
      <c r="Y225" s="19" cm="1">
        <f t="array" ref="Y2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5" s="33">
        <f>DURATION(Table1[[#This Row],[Issue date]],Table1[[#This Row],[Maturity date]],Table1[[#This Row],[Current coupon %]],Table1[[#This Row],[Yield (Annualised)]],Table1[[#This Row],[Coupon Frequency2]])</f>
        <v>5.6503866642456169</v>
      </c>
      <c r="AA225" s="33">
        <f>Table1[[#This Row],[Macaulay Duration in Years]]/(1+Table1[[#This Row],[IRR]])</f>
        <v>5.2532679069787376</v>
      </c>
      <c r="AB225" s="58">
        <f>VLOOKUP(Table1[[#This Row],[Yield Cluster]],'Cluster Details'!$B$3:$C$16,2,0)</f>
        <v>7.8548801574189142E-2</v>
      </c>
      <c r="AC225" s="78">
        <f>PRICE(Table1[[#This Row],[Issue date]],Table1[[#This Row],[Maturity date]],Table1[[#This Row],[Current coupon %]],Table1[[#This Row],[Average Cluster Yield]],100,Table1[[#This Row],[Coupon Frequency2]])*Table1[[#This Row],[Face value]]/100</f>
        <v>1002.360810297413</v>
      </c>
      <c r="AD225" s="58" t="str">
        <f>IF(Table1[[#This Row],[Ask Price]]&gt;Table1[[#This Row],[Calculated Bond Price]],"Rich","Cheap")</f>
        <v>Rich</v>
      </c>
      <c r="AE2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966.31326557604439</v>
      </c>
      <c r="AF2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1073.3684661296552</v>
      </c>
      <c r="AG225" s="78">
        <f>(Table1[[#This Row],[P (+ shock)]]+Table1[[#This Row],[P (-shock)]]-2*Table1[[#This Row],[Ask Price]])/(2*Table1[[#This Row],[Ask Price]]*($AF$2^2))</f>
        <v>18.083161619349589</v>
      </c>
      <c r="AH225">
        <v>13.5503434435845</v>
      </c>
      <c r="AI225" s="6">
        <f t="shared" si="13"/>
        <v>7.7603143418467579E-2</v>
      </c>
      <c r="AK225" s="47">
        <f>RATE(Table1[[#This Row],[Total No. of Coupons]],Table1[[#This Row],[Coupon Amount]],-Table1[[#This Row],[Ask Price]],Table1[[#This Row],[Face value]])</f>
        <v>7.5594613543185904E-2</v>
      </c>
      <c r="AL225" s="27">
        <f>Table1[[#This Row],[IRR]]*Table1[[#This Row],[Coupon Frequency2]]</f>
        <v>7.5594613543185904E-2</v>
      </c>
      <c r="AM225" s="5">
        <f t="shared" si="14"/>
        <v>-5347.8267293043546</v>
      </c>
      <c r="AN225" t="s">
        <v>64</v>
      </c>
      <c r="AO225" t="s">
        <v>62</v>
      </c>
      <c r="AP225">
        <f t="shared" si="15"/>
        <v>1</v>
      </c>
    </row>
    <row r="226" spans="1:42" x14ac:dyDescent="0.35">
      <c r="A226" s="48" t="s">
        <v>1203</v>
      </c>
      <c r="B226" s="49" t="s">
        <v>2505</v>
      </c>
      <c r="C226" s="49" t="s">
        <v>2273</v>
      </c>
      <c r="D226" s="50">
        <v>42940</v>
      </c>
      <c r="E226" s="50">
        <v>46592</v>
      </c>
      <c r="F226" s="49">
        <v>1000</v>
      </c>
      <c r="G226" s="49" t="s">
        <v>76</v>
      </c>
      <c r="H226" s="49">
        <v>1030</v>
      </c>
      <c r="I226" s="49" t="s">
        <v>76</v>
      </c>
      <c r="J226" s="49">
        <v>103</v>
      </c>
      <c r="K226" s="49">
        <v>200</v>
      </c>
      <c r="L226" s="51">
        <v>0.08</v>
      </c>
      <c r="M226" s="49" t="s">
        <v>93</v>
      </c>
      <c r="N226" s="49">
        <v>675</v>
      </c>
      <c r="O226" s="49">
        <v>7.7669902912621298</v>
      </c>
      <c r="P226" s="49"/>
      <c r="Q226" s="49"/>
      <c r="R226" s="49" t="s">
        <v>2275</v>
      </c>
      <c r="S226">
        <f t="shared" si="12"/>
        <v>10</v>
      </c>
      <c r="T226" s="5" cm="1">
        <f t="array" ref="T2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6">
        <f>Table1[[#This Row],[Term to Maturity (Years)]]*Table1[[#This Row],[Coupon Frequency2]]</f>
        <v>10</v>
      </c>
      <c r="V226">
        <f>Table1[[#This Row],[Face value]]*Table1[[#This Row],[Current coupon %]]</f>
        <v>80</v>
      </c>
      <c r="W226" s="36">
        <f>RATE(Table1[[#This Row],[Total No. of Coupons]],Table1[[#This Row],[Coupon Amount]],-Table1[[#This Row],[Ask Price]],Table1[[#This Row],[Face value]])</f>
        <v>7.561709905536082E-2</v>
      </c>
      <c r="X226" s="27">
        <f>Table1[[#This Row],[IRR]]*Table1[[#This Row],[Coupon Frequency2]]</f>
        <v>7.561709905536082E-2</v>
      </c>
      <c r="Y226" s="19" cm="1">
        <f t="array" ref="Y2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6" s="33">
        <f>DURATION(Table1[[#This Row],[Issue date]],Table1[[#This Row],[Maturity date]],Table1[[#This Row],[Current coupon %]],Table1[[#This Row],[Yield (Annualised)]],Table1[[#This Row],[Coupon Frequency2]])</f>
        <v>7.290759369203208</v>
      </c>
      <c r="AA226" s="33">
        <f>Table1[[#This Row],[Macaulay Duration in Years]]/(1+Table1[[#This Row],[IRR]])</f>
        <v>6.7782107365215474</v>
      </c>
      <c r="AB226" s="58">
        <f>VLOOKUP(Table1[[#This Row],[Yield Cluster]],'Cluster Details'!$B$3:$C$16,2,0)</f>
        <v>7.8548801574189142E-2</v>
      </c>
      <c r="AC226" s="78">
        <f>PRICE(Table1[[#This Row],[Issue date]],Table1[[#This Row],[Maturity date]],Table1[[#This Row],[Current coupon %]],Table1[[#This Row],[Average Cluster Yield]],100,Table1[[#This Row],[Coupon Frequency2]])*Table1[[#This Row],[Face value]]/100</f>
        <v>1009.8017215338873</v>
      </c>
      <c r="AD226" s="58" t="str">
        <f>IF(Table1[[#This Row],[Ask Price]]&gt;Table1[[#This Row],[Calculated Bond Price]],"Rich","Cheap")</f>
        <v>Rich</v>
      </c>
      <c r="AE2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963.24538056661015</v>
      </c>
      <c r="AF2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1103.0982974128244</v>
      </c>
      <c r="AG226" s="78">
        <f>(Table1[[#This Row],[P (+ shock)]]+Table1[[#This Row],[P (-shock)]]-2*Table1[[#This Row],[Ask Price]])/(2*Table1[[#This Row],[Ask Price]]*($AF$2^2))</f>
        <v>30.794553298226635</v>
      </c>
      <c r="AI226" s="6">
        <f t="shared" si="13"/>
        <v>7.7669902912621352E-2</v>
      </c>
      <c r="AK226" s="47">
        <f>RATE(Table1[[#This Row],[Total No. of Coupons]],Table1[[#This Row],[Coupon Amount]],-Table1[[#This Row],[Ask Price]],Table1[[#This Row],[Face value]])</f>
        <v>7.561709905536082E-2</v>
      </c>
      <c r="AL226" s="27">
        <f>Table1[[#This Row],[IRR]]*Table1[[#This Row],[Coupon Frequency2]]</f>
        <v>7.561709905536082E-2</v>
      </c>
      <c r="AM226" s="5">
        <f t="shared" si="14"/>
        <v>-6981.5570586171934</v>
      </c>
      <c r="AN226" t="s">
        <v>64</v>
      </c>
      <c r="AO226" t="s">
        <v>62</v>
      </c>
      <c r="AP226">
        <f t="shared" si="15"/>
        <v>1</v>
      </c>
    </row>
    <row r="227" spans="1:42" x14ac:dyDescent="0.35">
      <c r="A227" s="48" t="s">
        <v>1264</v>
      </c>
      <c r="B227" s="49" t="s">
        <v>2506</v>
      </c>
      <c r="C227" s="49" t="s">
        <v>2273</v>
      </c>
      <c r="D227" s="50">
        <v>44704</v>
      </c>
      <c r="E227" s="50">
        <v>46528</v>
      </c>
      <c r="F227" s="49">
        <v>1000000</v>
      </c>
      <c r="G227" s="49" t="s">
        <v>76</v>
      </c>
      <c r="H227" s="49">
        <v>1005000</v>
      </c>
      <c r="I227" s="49" t="s">
        <v>76</v>
      </c>
      <c r="J227" s="49">
        <v>100.49999999999901</v>
      </c>
      <c r="K227" s="49">
        <v>1</v>
      </c>
      <c r="L227" s="51">
        <v>7.6999999999999999E-2</v>
      </c>
      <c r="M227" s="49" t="s">
        <v>93</v>
      </c>
      <c r="N227" s="49">
        <v>611</v>
      </c>
      <c r="O227" s="49">
        <v>7.6616915422885503</v>
      </c>
      <c r="P227" s="49"/>
      <c r="Q227" s="49"/>
      <c r="R227" s="49" t="s">
        <v>2275</v>
      </c>
      <c r="S227">
        <f t="shared" si="12"/>
        <v>5</v>
      </c>
      <c r="T227" s="5" cm="1">
        <f t="array" ref="T2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7">
        <f>Table1[[#This Row],[Term to Maturity (Years)]]*Table1[[#This Row],[Coupon Frequency2]]</f>
        <v>5</v>
      </c>
      <c r="V227">
        <f>Table1[[#This Row],[Face value]]*Table1[[#This Row],[Current coupon %]]</f>
        <v>77000</v>
      </c>
      <c r="W227" s="36">
        <f>RATE(Table1[[#This Row],[Total No. of Coupons]],Table1[[#This Row],[Coupon Amount]],-Table1[[#This Row],[Ask Price]],Table1[[#This Row],[Face value]])</f>
        <v>7.5761674877184132E-2</v>
      </c>
      <c r="X227" s="27">
        <f>Table1[[#This Row],[IRR]]*Table1[[#This Row],[Coupon Frequency2]]</f>
        <v>7.5761674877184132E-2</v>
      </c>
      <c r="Y227" s="19" cm="1">
        <f t="array" ref="Y2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7" s="33">
        <f>DURATION(Table1[[#This Row],[Issue date]],Table1[[#This Row],[Maturity date]],Table1[[#This Row],[Current coupon %]],Table1[[#This Row],[Yield (Annualised)]],Table1[[#This Row],[Coupon Frequency2]])</f>
        <v>4.3306504502001477</v>
      </c>
      <c r="AA227" s="33">
        <f>Table1[[#This Row],[Macaulay Duration in Years]]/(1+Table1[[#This Row],[IRR]])</f>
        <v>4.0256597268112966</v>
      </c>
      <c r="AB227" s="58">
        <f>VLOOKUP(Table1[[#This Row],[Yield Cluster]],'Cluster Details'!$B$3:$C$16,2,0)</f>
        <v>7.8548801574189142E-2</v>
      </c>
      <c r="AC227" s="78">
        <f>PRICE(Table1[[#This Row],[Issue date]],Table1[[#This Row],[Maturity date]],Table1[[#This Row],[Current coupon %]],Table1[[#This Row],[Average Cluster Yield]],100,Table1[[#This Row],[Coupon Frequency2]])*Table1[[#This Row],[Face value]]/100</f>
        <v>993782.15316729189</v>
      </c>
      <c r="AD227" s="58" t="str">
        <f>IF(Table1[[#This Row],[Ask Price]]&gt;Table1[[#This Row],[Calculated Bond Price]],"Rich","Cheap")</f>
        <v>Rich</v>
      </c>
      <c r="AE2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965555.72867451061</v>
      </c>
      <c r="AF2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1046549.6395238116</v>
      </c>
      <c r="AG227" s="78">
        <f>(Table1[[#This Row],[P (+ shock)]]+Table1[[#This Row],[P (-shock)]]-2*Table1[[#This Row],[Ask Price]])/(2*Table1[[#This Row],[Ask Price]]*($AF$2^2))</f>
        <v>10.474468648368816</v>
      </c>
      <c r="AH227">
        <v>8.0467083619536499</v>
      </c>
      <c r="AI227" s="6">
        <f t="shared" si="13"/>
        <v>7.6616915422885568E-2</v>
      </c>
      <c r="AK227" s="47">
        <f>RATE(Table1[[#This Row],[Total No. of Coupons]],Table1[[#This Row],[Coupon Amount]],-Table1[[#This Row],[Ask Price]],Table1[[#This Row],[Face value]])</f>
        <v>7.5761674877184132E-2</v>
      </c>
      <c r="AL227" s="27">
        <f>Table1[[#This Row],[IRR]]*Table1[[#This Row],[Coupon Frequency2]]</f>
        <v>7.5761674877184132E-2</v>
      </c>
      <c r="AM227" s="5">
        <f t="shared" si="14"/>
        <v>-4045788.0254453532</v>
      </c>
      <c r="AN227" t="s">
        <v>64</v>
      </c>
      <c r="AO227" t="s">
        <v>62</v>
      </c>
      <c r="AP227">
        <f t="shared" si="15"/>
        <v>1</v>
      </c>
    </row>
    <row r="228" spans="1:42" x14ac:dyDescent="0.35">
      <c r="A228" s="48" t="s">
        <v>1968</v>
      </c>
      <c r="B228" s="49" t="s">
        <v>2507</v>
      </c>
      <c r="C228" s="49" t="s">
        <v>2273</v>
      </c>
      <c r="D228" s="50">
        <v>45322</v>
      </c>
      <c r="E228" s="50">
        <v>46053</v>
      </c>
      <c r="F228" s="49">
        <v>1000</v>
      </c>
      <c r="G228" s="49" t="s">
        <v>76</v>
      </c>
      <c r="H228" s="49">
        <v>1029.8</v>
      </c>
      <c r="I228" s="49" t="s">
        <v>76</v>
      </c>
      <c r="J228" s="49">
        <v>102.98</v>
      </c>
      <c r="K228" s="49">
        <v>10</v>
      </c>
      <c r="L228" s="51">
        <v>9.2499999999999999E-2</v>
      </c>
      <c r="M228" s="49" t="s">
        <v>93</v>
      </c>
      <c r="N228" s="49">
        <v>136</v>
      </c>
      <c r="O228" s="49">
        <v>8.9823266653719092</v>
      </c>
      <c r="P228" s="49"/>
      <c r="Q228" s="49"/>
      <c r="R228" s="49" t="s">
        <v>2275</v>
      </c>
      <c r="S228">
        <f t="shared" si="12"/>
        <v>2</v>
      </c>
      <c r="T228" s="5" cm="1">
        <f t="array" ref="T2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8">
        <f>Table1[[#This Row],[Term to Maturity (Years)]]*Table1[[#This Row],[Coupon Frequency2]]</f>
        <v>2</v>
      </c>
      <c r="V228">
        <f>Table1[[#This Row],[Face value]]*Table1[[#This Row],[Current coupon %]]</f>
        <v>92.5</v>
      </c>
      <c r="W228" s="36">
        <f>RATE(Table1[[#This Row],[Total No. of Coupons]],Table1[[#This Row],[Coupon Amount]],-Table1[[#This Row],[Ask Price]],Table1[[#This Row],[Face value]])</f>
        <v>7.588334179619316E-2</v>
      </c>
      <c r="X228" s="27">
        <f>Table1[[#This Row],[IRR]]*Table1[[#This Row],[Coupon Frequency2]]</f>
        <v>7.588334179619316E-2</v>
      </c>
      <c r="Y228" s="19" cm="1">
        <f t="array" ref="Y2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8" s="33">
        <f>DURATION(Table1[[#This Row],[Issue date]],Table1[[#This Row],[Maturity date]],Table1[[#This Row],[Current coupon %]],Table1[[#This Row],[Yield (Annualised)]],Table1[[#This Row],[Coupon Frequency2]])</f>
        <v>1.9165120760176853</v>
      </c>
      <c r="AA228" s="33">
        <f>Table1[[#This Row],[Macaulay Duration in Years]]/(1+Table1[[#This Row],[IRR]])</f>
        <v>1.7813381819055378</v>
      </c>
      <c r="AB228" s="58">
        <f>VLOOKUP(Table1[[#This Row],[Yield Cluster]],'Cluster Details'!$B$3:$C$16,2,0)</f>
        <v>7.8548801574189142E-2</v>
      </c>
      <c r="AC228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1024.9282700112499</v>
      </c>
      <c r="AD228" s="58" t="str">
        <f>IF(Table1[[#This Row],[Ask Price]]&gt;Table1[[#This Row],[Calculated Bond Price]],"Rich","Cheap")</f>
        <v>Rich</v>
      </c>
      <c r="AE2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1011.704756279045</v>
      </c>
      <c r="AF2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1048.3993993163367</v>
      </c>
      <c r="AG228" s="78">
        <f>(Table1[[#This Row],[P (+ shock)]]+Table1[[#This Row],[P (-shock)]]-2*Table1[[#This Row],[Ask Price]])/(2*Table1[[#This Row],[Ask Price]]*($AF$2^2))</f>
        <v>2.4478325664288678</v>
      </c>
      <c r="AH228">
        <v>6.9042468815343501</v>
      </c>
      <c r="AI228" s="6">
        <f t="shared" si="13"/>
        <v>8.9823266653719175E-2</v>
      </c>
      <c r="AK228" s="47">
        <f>RATE(Table1[[#This Row],[Total No. of Coupons]],Table1[[#This Row],[Coupon Amount]],-Table1[[#This Row],[Ask Price]],Table1[[#This Row],[Face value]])</f>
        <v>7.588334179619316E-2</v>
      </c>
      <c r="AL228" s="27">
        <f>Table1[[#This Row],[IRR]]*Table1[[#This Row],[Coupon Frequency2]]</f>
        <v>7.588334179619316E-2</v>
      </c>
      <c r="AM228" s="5">
        <f t="shared" si="14"/>
        <v>-1834.4220597263227</v>
      </c>
      <c r="AN228" t="s">
        <v>64</v>
      </c>
      <c r="AO228" t="s">
        <v>62</v>
      </c>
      <c r="AP228">
        <f t="shared" si="15"/>
        <v>1</v>
      </c>
    </row>
    <row r="229" spans="1:42" x14ac:dyDescent="0.35">
      <c r="A229" s="48" t="s">
        <v>987</v>
      </c>
      <c r="B229" s="49" t="s">
        <v>2508</v>
      </c>
      <c r="C229" s="49" t="s">
        <v>2273</v>
      </c>
      <c r="D229" s="50">
        <v>44995</v>
      </c>
      <c r="E229" s="50">
        <v>46853</v>
      </c>
      <c r="F229" s="49">
        <v>1000</v>
      </c>
      <c r="G229" s="49" t="s">
        <v>76</v>
      </c>
      <c r="H229" s="49">
        <v>1020</v>
      </c>
      <c r="I229" s="49" t="s">
        <v>76</v>
      </c>
      <c r="J229" s="49">
        <v>102</v>
      </c>
      <c r="K229" s="49">
        <v>20</v>
      </c>
      <c r="L229" s="51">
        <v>8.1000000000000003E-2</v>
      </c>
      <c r="M229" s="49" t="s">
        <v>93</v>
      </c>
      <c r="N229" s="49">
        <v>936</v>
      </c>
      <c r="O229" s="49">
        <v>7.9411764705882302</v>
      </c>
      <c r="P229" s="49" t="s">
        <v>2285</v>
      </c>
      <c r="Q229" s="49"/>
      <c r="R229" s="49" t="s">
        <v>2275</v>
      </c>
      <c r="S229">
        <f t="shared" si="12"/>
        <v>5</v>
      </c>
      <c r="T229" s="5" cm="1">
        <f t="array" ref="T2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29">
        <f>Table1[[#This Row],[Term to Maturity (Years)]]*Table1[[#This Row],[Coupon Frequency2]]</f>
        <v>5</v>
      </c>
      <c r="V229">
        <f>Table1[[#This Row],[Face value]]*Table1[[#This Row],[Current coupon %]]</f>
        <v>81</v>
      </c>
      <c r="W229" s="36">
        <f>RATE(Table1[[#This Row],[Total No. of Coupons]],Table1[[#This Row],[Coupon Amount]],-Table1[[#This Row],[Ask Price]],Table1[[#This Row],[Face value]])</f>
        <v>7.6043001637547972E-2</v>
      </c>
      <c r="X229" s="27">
        <f>Table1[[#This Row],[IRR]]*Table1[[#This Row],[Coupon Frequency2]]</f>
        <v>7.6043001637547972E-2</v>
      </c>
      <c r="Y229" s="19" cm="1">
        <f t="array" ref="Y2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29" s="33">
        <f>DURATION(Table1[[#This Row],[Issue date]],Table1[[#This Row],[Maturity date]],Table1[[#This Row],[Current coupon %]],Table1[[#This Row],[Yield (Annualised)]],Table1[[#This Row],[Coupon Frequency2]])</f>
        <v>4.0784156248892067</v>
      </c>
      <c r="AA229" s="33">
        <f>Table1[[#This Row],[Macaulay Duration in Years]]/(1+Table1[[#This Row],[IRR]])</f>
        <v>3.7901976209896597</v>
      </c>
      <c r="AB229" s="58">
        <f>VLOOKUP(Table1[[#This Row],[Yield Cluster]],'Cluster Details'!$B$3:$C$16,2,0)</f>
        <v>7.8548801574189142E-2</v>
      </c>
      <c r="AC229" s="78">
        <f>PRICE(Table1[[#This Row],[Issue date]],Table1[[#This Row],[Maturity date]],Table1[[#This Row],[Current coupon %]],Table1[[#This Row],[Average Cluster Yield]],100,Table1[[#This Row],[Coupon Frequency2]])*Table1[[#This Row],[Face value]]/100</f>
        <v>1009.7223954907982</v>
      </c>
      <c r="AD229" s="58" t="str">
        <f>IF(Table1[[#This Row],[Ask Price]]&gt;Table1[[#This Row],[Calculated Bond Price]],"Rich","Cheap")</f>
        <v>Rich</v>
      </c>
      <c r="AE2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979.65723419357698</v>
      </c>
      <c r="AF2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1062.6566302366591</v>
      </c>
      <c r="AG229" s="78">
        <f>(Table1[[#This Row],[P (+ shock)]]+Table1[[#This Row],[P (-shock)]]-2*Table1[[#This Row],[Ask Price]])/(2*Table1[[#This Row],[Ask Price]]*($AF$2^2))</f>
        <v>11.342472697236314</v>
      </c>
      <c r="AI229" s="6">
        <f t="shared" si="13"/>
        <v>7.9411764705882348E-2</v>
      </c>
      <c r="AK229" s="47">
        <f>RATE(Table1[[#This Row],[Total No. of Coupons]],Table1[[#This Row],[Coupon Amount]],-Table1[[#This Row],[Ask Price]],Table1[[#This Row],[Face value]])</f>
        <v>7.6043001637547972E-2</v>
      </c>
      <c r="AL229" s="27">
        <f>Table1[[#This Row],[IRR]]*Table1[[#This Row],[Coupon Frequency2]]</f>
        <v>7.6043001637547972E-2</v>
      </c>
      <c r="AM229" s="5">
        <f t="shared" si="14"/>
        <v>-3866.0015734094527</v>
      </c>
      <c r="AN229" t="s">
        <v>64</v>
      </c>
      <c r="AO229" t="s">
        <v>62</v>
      </c>
      <c r="AP229">
        <f t="shared" si="15"/>
        <v>1</v>
      </c>
    </row>
    <row r="230" spans="1:42" x14ac:dyDescent="0.35">
      <c r="A230" s="48" t="s">
        <v>1031</v>
      </c>
      <c r="B230" s="49" t="s">
        <v>2509</v>
      </c>
      <c r="C230" s="49" t="s">
        <v>2273</v>
      </c>
      <c r="D230" s="50">
        <v>44923</v>
      </c>
      <c r="E230" s="50">
        <v>46800</v>
      </c>
      <c r="F230" s="49">
        <v>1000000</v>
      </c>
      <c r="G230" s="49" t="s">
        <v>76</v>
      </c>
      <c r="H230" s="49">
        <v>1014721.6</v>
      </c>
      <c r="I230" s="49" t="s">
        <v>76</v>
      </c>
      <c r="J230" s="49">
        <v>101.47215999999899</v>
      </c>
      <c r="K230" s="49">
        <v>16</v>
      </c>
      <c r="L230" s="51">
        <v>7.9699999999999993E-2</v>
      </c>
      <c r="M230" s="49" t="s">
        <v>93</v>
      </c>
      <c r="N230" s="49">
        <v>883</v>
      </c>
      <c r="O230" s="49">
        <v>7.8543710905533102</v>
      </c>
      <c r="P230" s="49"/>
      <c r="Q230" s="49"/>
      <c r="R230" s="49" t="s">
        <v>2275</v>
      </c>
      <c r="S230">
        <f t="shared" si="12"/>
        <v>5</v>
      </c>
      <c r="T230" s="5" cm="1">
        <f t="array" ref="T2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0">
        <f>Table1[[#This Row],[Term to Maturity (Years)]]*Table1[[#This Row],[Coupon Frequency2]]</f>
        <v>5</v>
      </c>
      <c r="V230">
        <f>Table1[[#This Row],[Face value]]*Table1[[#This Row],[Current coupon %]]</f>
        <v>79700</v>
      </c>
      <c r="W230" s="36">
        <f>RATE(Table1[[#This Row],[Total No. of Coupons]],Table1[[#This Row],[Coupon Amount]],-Table1[[#This Row],[Ask Price]],Table1[[#This Row],[Face value]])</f>
        <v>7.6051173566941022E-2</v>
      </c>
      <c r="X230" s="27">
        <f>Table1[[#This Row],[IRR]]*Table1[[#This Row],[Coupon Frequency2]]</f>
        <v>7.6051173566941022E-2</v>
      </c>
      <c r="Y230" s="19" cm="1">
        <f t="array" ref="Y2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0" s="33">
        <f>DURATION(Table1[[#This Row],[Issue date]],Table1[[#This Row],[Maturity date]],Table1[[#This Row],[Current coupon %]],Table1[[#This Row],[Yield (Annualised)]],Table1[[#This Row],[Coupon Frequency2]])</f>
        <v>4.1413874856165309</v>
      </c>
      <c r="AA230" s="33">
        <f>Table1[[#This Row],[Macaulay Duration in Years]]/(1+Table1[[#This Row],[IRR]])</f>
        <v>3.8486900877478538</v>
      </c>
      <c r="AB230" s="58">
        <f>VLOOKUP(Table1[[#This Row],[Yield Cluster]],'Cluster Details'!$B$3:$C$16,2,0)</f>
        <v>7.8548801574189142E-2</v>
      </c>
      <c r="AC230" s="78">
        <f>PRICE(Table1[[#This Row],[Issue date]],Table1[[#This Row],[Maturity date]],Table1[[#This Row],[Current coupon %]],Table1[[#This Row],[Average Cluster Yield]],100,Table1[[#This Row],[Coupon Frequency2]])*Table1[[#This Row],[Face value]]/100</f>
        <v>1004359.3084157808</v>
      </c>
      <c r="AD230" s="58" t="str">
        <f>IF(Table1[[#This Row],[Ask Price]]&gt;Table1[[#This Row],[Calculated Bond Price]],"Rich","Cheap")</f>
        <v>Rich</v>
      </c>
      <c r="AE2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974104.52608851274</v>
      </c>
      <c r="AF2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1057558.4844912356</v>
      </c>
      <c r="AG230" s="78">
        <f>(Table1[[#This Row],[P (+ shock)]]+Table1[[#This Row],[P (-shock)]]-2*Table1[[#This Row],[Ask Price]])/(2*Table1[[#This Row],[Ask Price]]*($AF$2^2))</f>
        <v>10.938027631166808</v>
      </c>
      <c r="AH230">
        <v>9.8448380162949007</v>
      </c>
      <c r="AI230" s="6">
        <f t="shared" si="13"/>
        <v>7.854371090553311E-2</v>
      </c>
      <c r="AK230" s="47">
        <f>RATE(Table1[[#This Row],[Total No. of Coupons]],Table1[[#This Row],[Coupon Amount]],-Table1[[#This Row],[Ask Price]],Table1[[#This Row],[Face value]])</f>
        <v>7.6051173566941022E-2</v>
      </c>
      <c r="AL230" s="27">
        <f>Table1[[#This Row],[IRR]]*Table1[[#This Row],[Coupon Frequency2]]</f>
        <v>7.6051173566941022E-2</v>
      </c>
      <c r="AM230" s="5">
        <f t="shared" si="14"/>
        <v>-3905348.9637436424</v>
      </c>
      <c r="AN230" t="s">
        <v>64</v>
      </c>
      <c r="AO230" t="s">
        <v>62</v>
      </c>
      <c r="AP230">
        <f t="shared" si="15"/>
        <v>1</v>
      </c>
    </row>
    <row r="231" spans="1:42" x14ac:dyDescent="0.35">
      <c r="A231" s="48" t="s">
        <v>139</v>
      </c>
      <c r="B231" s="49" t="s">
        <v>2510</v>
      </c>
      <c r="C231" s="49" t="s">
        <v>2273</v>
      </c>
      <c r="D231" s="50">
        <v>45593</v>
      </c>
      <c r="E231" s="50">
        <v>49244</v>
      </c>
      <c r="F231" s="49">
        <v>100000</v>
      </c>
      <c r="G231" s="49" t="s">
        <v>76</v>
      </c>
      <c r="H231" s="49">
        <v>104500.86</v>
      </c>
      <c r="I231" s="49" t="s">
        <v>76</v>
      </c>
      <c r="J231" s="49">
        <v>104.50086</v>
      </c>
      <c r="K231" s="49">
        <v>10</v>
      </c>
      <c r="L231" s="51">
        <v>8.2699999999999996E-2</v>
      </c>
      <c r="M231" s="49" t="s">
        <v>93</v>
      </c>
      <c r="N231" s="49">
        <v>3327</v>
      </c>
      <c r="O231" s="49">
        <v>7.91381047007651</v>
      </c>
      <c r="P231" s="49"/>
      <c r="Q231" s="49"/>
      <c r="R231" s="49" t="s">
        <v>2275</v>
      </c>
      <c r="S231">
        <f t="shared" si="12"/>
        <v>10</v>
      </c>
      <c r="T231" s="5" cm="1">
        <f t="array" ref="T2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1">
        <f>Table1[[#This Row],[Term to Maturity (Years)]]*Table1[[#This Row],[Coupon Frequency2]]</f>
        <v>10</v>
      </c>
      <c r="V231">
        <f>Table1[[#This Row],[Face value]]*Table1[[#This Row],[Current coupon %]]</f>
        <v>8270</v>
      </c>
      <c r="W231" s="36">
        <f>RATE(Table1[[#This Row],[Total No. of Coupons]],Table1[[#This Row],[Coupon Amount]],-Table1[[#This Row],[Ask Price]],Table1[[#This Row],[Face value]])</f>
        <v>7.6109619051136002E-2</v>
      </c>
      <c r="X231" s="27">
        <f>Table1[[#This Row],[IRR]]*Table1[[#This Row],[Coupon Frequency2]]</f>
        <v>7.6109619051136002E-2</v>
      </c>
      <c r="Y231" s="19" cm="1">
        <f t="array" ref="Y2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1" s="33">
        <f>DURATION(Table1[[#This Row],[Issue date]],Table1[[#This Row],[Maturity date]],Table1[[#This Row],[Current coupon %]],Table1[[#This Row],[Yield (Annualised)]],Table1[[#This Row],[Coupon Frequency2]])</f>
        <v>7.240969169178344</v>
      </c>
      <c r="AA231" s="33">
        <f>Table1[[#This Row],[Macaulay Duration in Years]]/(1+Table1[[#This Row],[IRR]])</f>
        <v>6.7288397399171087</v>
      </c>
      <c r="AB231" s="58">
        <f>VLOOKUP(Table1[[#This Row],[Yield Cluster]],'Cluster Details'!$B$3:$C$16,2,0)</f>
        <v>7.8548801574189142E-2</v>
      </c>
      <c r="AC231" s="78">
        <f>PRICE(Table1[[#This Row],[Issue date]],Table1[[#This Row],[Maturity date]],Table1[[#This Row],[Current coupon %]],Table1[[#This Row],[Average Cluster Yield]],100,Table1[[#This Row],[Coupon Frequency2]])*Table1[[#This Row],[Face value]]/100</f>
        <v>102802.43660070615</v>
      </c>
      <c r="AD231" s="58" t="str">
        <f>IF(Table1[[#This Row],[Ask Price]]&gt;Table1[[#This Row],[Calculated Bond Price]],"Rich","Cheap")</f>
        <v>Rich</v>
      </c>
      <c r="AE2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97773.313419633734</v>
      </c>
      <c r="AF2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111861.77851556876</v>
      </c>
      <c r="AG231" s="78">
        <f>(Table1[[#This Row],[P (+ shock)]]+Table1[[#This Row],[P (-shock)]]-2*Table1[[#This Row],[Ask Price]])/(2*Table1[[#This Row],[Ask Price]]*($AF$2^2))</f>
        <v>30.304627885477601</v>
      </c>
      <c r="AH231">
        <v>23.2141024493245</v>
      </c>
      <c r="AI231" s="6">
        <f t="shared" si="13"/>
        <v>7.9138104700765141E-2</v>
      </c>
      <c r="AK231" s="47">
        <f>RATE(Table1[[#This Row],[Total No. of Coupons]],Table1[[#This Row],[Coupon Amount]],-Table1[[#This Row],[Ask Price]],Table1[[#This Row],[Face value]])</f>
        <v>7.6109619051136002E-2</v>
      </c>
      <c r="AL231" s="27">
        <f>Table1[[#This Row],[IRR]]*Table1[[#This Row],[Coupon Frequency2]]</f>
        <v>7.6109619051136002E-2</v>
      </c>
      <c r="AM231" s="5">
        <f t="shared" si="14"/>
        <v>-703169.53962351417</v>
      </c>
      <c r="AN231" t="s">
        <v>79</v>
      </c>
      <c r="AO231" t="s">
        <v>62</v>
      </c>
      <c r="AP231">
        <f t="shared" si="15"/>
        <v>1</v>
      </c>
    </row>
    <row r="232" spans="1:42" x14ac:dyDescent="0.35">
      <c r="A232" s="48" t="s">
        <v>1342</v>
      </c>
      <c r="B232" s="49" t="s">
        <v>2511</v>
      </c>
      <c r="C232" s="49" t="s">
        <v>2273</v>
      </c>
      <c r="D232" s="50">
        <v>42821</v>
      </c>
      <c r="E232" s="50">
        <v>46472</v>
      </c>
      <c r="F232" s="49">
        <v>1000000</v>
      </c>
      <c r="G232" s="49" t="s">
        <v>76</v>
      </c>
      <c r="H232" s="49">
        <v>1050368</v>
      </c>
      <c r="I232" s="49" t="s">
        <v>76</v>
      </c>
      <c r="J232" s="49">
        <v>105.0368</v>
      </c>
      <c r="K232" s="49">
        <v>1</v>
      </c>
      <c r="L232" s="51">
        <v>8.3499999999999991E-2</v>
      </c>
      <c r="M232" s="49" t="s">
        <v>93</v>
      </c>
      <c r="N232" s="49">
        <v>555</v>
      </c>
      <c r="O232" s="49">
        <v>7.9495948086765704</v>
      </c>
      <c r="P232" s="49" t="s">
        <v>2282</v>
      </c>
      <c r="Q232" s="49"/>
      <c r="R232" s="49" t="s">
        <v>2275</v>
      </c>
      <c r="S232">
        <f t="shared" si="12"/>
        <v>10</v>
      </c>
      <c r="T232" s="5" cm="1">
        <f t="array" ref="T2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2">
        <f>Table1[[#This Row],[Term to Maturity (Years)]]*Table1[[#This Row],[Coupon Frequency2]]</f>
        <v>10</v>
      </c>
      <c r="V232">
        <f>Table1[[#This Row],[Face value]]*Table1[[#This Row],[Current coupon %]]</f>
        <v>83499.999999999985</v>
      </c>
      <c r="W232" s="36">
        <f>RATE(Table1[[#This Row],[Total No. of Coupons]],Table1[[#This Row],[Coupon Amount]],-Table1[[#This Row],[Ask Price]],Table1[[#This Row],[Face value]])</f>
        <v>7.6124373770249665E-2</v>
      </c>
      <c r="X232" s="27">
        <f>Table1[[#This Row],[IRR]]*Table1[[#This Row],[Coupon Frequency2]]</f>
        <v>7.6124373770249665E-2</v>
      </c>
      <c r="Y232" s="19" cm="1">
        <f t="array" ref="Y2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2" s="33">
        <f>DURATION(Table1[[#This Row],[Issue date]],Table1[[#This Row],[Maturity date]],Table1[[#This Row],[Current coupon %]],Table1[[#This Row],[Yield (Annualised)]],Table1[[#This Row],[Coupon Frequency2]])</f>
        <v>7.2286323001255548</v>
      </c>
      <c r="AA232" s="33">
        <f>Table1[[#This Row],[Macaulay Duration in Years]]/(1+Table1[[#This Row],[IRR]])</f>
        <v>6.7172833143809569</v>
      </c>
      <c r="AB232" s="58">
        <f>VLOOKUP(Table1[[#This Row],[Yield Cluster]],'Cluster Details'!$B$3:$C$16,2,0)</f>
        <v>7.8548801574189142E-2</v>
      </c>
      <c r="AC23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1033426.6593271722</v>
      </c>
      <c r="AD232" s="58" t="str">
        <f>IF(Table1[[#This Row],[Ask Price]]&gt;Table1[[#This Row],[Calculated Bond Price]],"Rich","Cheap")</f>
        <v>Rich</v>
      </c>
      <c r="AE2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982860.14074383618</v>
      </c>
      <c r="AF2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1124223.8450450671</v>
      </c>
      <c r="AG232" s="78">
        <f>(Table1[[#This Row],[P (+ shock)]]+Table1[[#This Row],[P (-shock)]]-2*Table1[[#This Row],[Ask Price]])/(2*Table1[[#This Row],[Ask Price]]*($AF$2^2))</f>
        <v>30.217913097615309</v>
      </c>
      <c r="AH232">
        <v>12.318472743323699</v>
      </c>
      <c r="AI232" s="6">
        <f t="shared" si="13"/>
        <v>7.9495948086765772E-2</v>
      </c>
      <c r="AK232" s="47">
        <f>RATE(Table1[[#This Row],[Total No. of Coupons]],Table1[[#This Row],[Coupon Amount]],-Table1[[#This Row],[Ask Price]],Table1[[#This Row],[Face value]])</f>
        <v>7.6124373770249665E-2</v>
      </c>
      <c r="AL232" s="27">
        <f>Table1[[#This Row],[IRR]]*Table1[[#This Row],[Coupon Frequency2]]</f>
        <v>7.6124373770249665E-2</v>
      </c>
      <c r="AM232" s="5">
        <f t="shared" si="14"/>
        <v>-7055619.4403596967</v>
      </c>
      <c r="AN232" t="s">
        <v>64</v>
      </c>
      <c r="AO232" t="s">
        <v>62</v>
      </c>
      <c r="AP232">
        <f t="shared" si="15"/>
        <v>1</v>
      </c>
    </row>
    <row r="233" spans="1:42" x14ac:dyDescent="0.35">
      <c r="A233" s="48" t="s">
        <v>719</v>
      </c>
      <c r="B233" s="49" t="s">
        <v>2512</v>
      </c>
      <c r="C233" s="49" t="s">
        <v>2273</v>
      </c>
      <c r="D233" s="50">
        <v>43537</v>
      </c>
      <c r="E233" s="50">
        <v>47190</v>
      </c>
      <c r="F233" s="49">
        <v>1000000</v>
      </c>
      <c r="G233" s="49" t="s">
        <v>76</v>
      </c>
      <c r="H233" s="49">
        <v>1050210</v>
      </c>
      <c r="I233" s="49" t="s">
        <v>76</v>
      </c>
      <c r="J233" s="49">
        <v>105.021</v>
      </c>
      <c r="K233" s="49">
        <v>5</v>
      </c>
      <c r="L233" s="51">
        <v>8.3499999999999991E-2</v>
      </c>
      <c r="M233" s="49" t="s">
        <v>93</v>
      </c>
      <c r="N233" s="49">
        <v>1273</v>
      </c>
      <c r="O233" s="49">
        <v>7.9507907942221001</v>
      </c>
      <c r="P233" s="49" t="s">
        <v>2274</v>
      </c>
      <c r="Q233" s="49"/>
      <c r="R233" s="49" t="s">
        <v>2275</v>
      </c>
      <c r="S233">
        <f t="shared" si="12"/>
        <v>10</v>
      </c>
      <c r="T233" s="5" cm="1">
        <f t="array" ref="T2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3">
        <f>Table1[[#This Row],[Term to Maturity (Years)]]*Table1[[#This Row],[Coupon Frequency2]]</f>
        <v>10</v>
      </c>
      <c r="V233">
        <f>Table1[[#This Row],[Face value]]*Table1[[#This Row],[Current coupon %]]</f>
        <v>83499.999999999985</v>
      </c>
      <c r="W233" s="36">
        <f>RATE(Table1[[#This Row],[Total No. of Coupons]],Table1[[#This Row],[Coupon Amount]],-Table1[[#This Row],[Ask Price]],Table1[[#This Row],[Face value]])</f>
        <v>7.6146760931197571E-2</v>
      </c>
      <c r="X233" s="27">
        <f>Table1[[#This Row],[IRR]]*Table1[[#This Row],[Coupon Frequency2]]</f>
        <v>7.6146760931197571E-2</v>
      </c>
      <c r="Y233" s="19" cm="1">
        <f t="array" ref="Y2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3" s="33">
        <f>DURATION(Table1[[#This Row],[Issue date]],Table1[[#This Row],[Maturity date]],Table1[[#This Row],[Current coupon %]],Table1[[#This Row],[Yield (Annualised)]],Table1[[#This Row],[Coupon Frequency2]])</f>
        <v>7.2311851087871339</v>
      </c>
      <c r="AA233" s="33">
        <f>Table1[[#This Row],[Macaulay Duration in Years]]/(1+Table1[[#This Row],[IRR]])</f>
        <v>6.7195157494410305</v>
      </c>
      <c r="AB233" s="58">
        <f>VLOOKUP(Table1[[#This Row],[Yield Cluster]],'Cluster Details'!$B$3:$C$16,2,0)</f>
        <v>7.8548801574189142E-2</v>
      </c>
      <c r="AC233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1033441.5110750278</v>
      </c>
      <c r="AD233" s="58" t="str">
        <f>IF(Table1[[#This Row],[Ask Price]]&gt;Table1[[#This Row],[Calculated Bond Price]],"Rich","Cheap")</f>
        <v>Rich</v>
      </c>
      <c r="AE2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982722.06494476553</v>
      </c>
      <c r="AF2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1124082.752295214</v>
      </c>
      <c r="AG233" s="78">
        <f>(Table1[[#This Row],[P (+ shock)]]+Table1[[#This Row],[P (-shock)]]-2*Table1[[#This Row],[Ask Price]])/(2*Table1[[#This Row],[Ask Price]]*($AF$2^2))</f>
        <v>30.397812056537653</v>
      </c>
      <c r="AH233">
        <v>45.034579262706302</v>
      </c>
      <c r="AI233" s="6">
        <f t="shared" si="13"/>
        <v>7.9507907942221068E-2</v>
      </c>
      <c r="AK233" s="47">
        <f>RATE(Table1[[#This Row],[Total No. of Coupons]],Table1[[#This Row],[Coupon Amount]],-Table1[[#This Row],[Ask Price]],Table1[[#This Row],[Face value]])</f>
        <v>7.6146760931197571E-2</v>
      </c>
      <c r="AL233" s="27">
        <f>Table1[[#This Row],[IRR]]*Table1[[#This Row],[Coupon Frequency2]]</f>
        <v>7.6146760931197571E-2</v>
      </c>
      <c r="AM233" s="5">
        <f t="shared" si="14"/>
        <v>-7056902.6352204643</v>
      </c>
      <c r="AN233" t="s">
        <v>64</v>
      </c>
      <c r="AO233" t="s">
        <v>62</v>
      </c>
      <c r="AP233">
        <f t="shared" si="15"/>
        <v>1</v>
      </c>
    </row>
    <row r="234" spans="1:42" x14ac:dyDescent="0.35">
      <c r="A234" s="48" t="s">
        <v>258</v>
      </c>
      <c r="B234" s="49" t="s">
        <v>2513</v>
      </c>
      <c r="C234" s="49" t="s">
        <v>2273</v>
      </c>
      <c r="D234" s="50">
        <v>44830</v>
      </c>
      <c r="E234" s="50">
        <v>48481</v>
      </c>
      <c r="F234" s="49">
        <v>1000000</v>
      </c>
      <c r="G234" s="49" t="s">
        <v>76</v>
      </c>
      <c r="H234" s="49">
        <v>1049990</v>
      </c>
      <c r="I234" s="49" t="s">
        <v>76</v>
      </c>
      <c r="J234" s="49">
        <v>104.999</v>
      </c>
      <c r="K234" s="49">
        <v>6</v>
      </c>
      <c r="L234" s="51">
        <v>8.3499999999999991E-2</v>
      </c>
      <c r="M234" s="49" t="s">
        <v>93</v>
      </c>
      <c r="N234" s="49">
        <v>2564</v>
      </c>
      <c r="O234" s="49">
        <v>7.9524566900637099</v>
      </c>
      <c r="P234" s="49"/>
      <c r="Q234" s="49"/>
      <c r="R234" s="49" t="s">
        <v>2275</v>
      </c>
      <c r="S234">
        <f t="shared" si="12"/>
        <v>10</v>
      </c>
      <c r="T234" s="5" cm="1">
        <f t="array" ref="T2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4">
        <f>Table1[[#This Row],[Term to Maturity (Years)]]*Table1[[#This Row],[Coupon Frequency2]]</f>
        <v>10</v>
      </c>
      <c r="V234">
        <f>Table1[[#This Row],[Face value]]*Table1[[#This Row],[Current coupon %]]</f>
        <v>83499.999999999985</v>
      </c>
      <c r="W234" s="36">
        <f>RATE(Table1[[#This Row],[Total No. of Coupons]],Table1[[#This Row],[Coupon Amount]],-Table1[[#This Row],[Ask Price]],Table1[[#This Row],[Face value]])</f>
        <v>7.6177940474405959E-2</v>
      </c>
      <c r="X234" s="27">
        <f>Table1[[#This Row],[IRR]]*Table1[[#This Row],[Coupon Frequency2]]</f>
        <v>7.6177940474405959E-2</v>
      </c>
      <c r="Y234" s="19" cm="1">
        <f t="array" ref="Y2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4" s="33">
        <f>DURATION(Table1[[#This Row],[Issue date]],Table1[[#This Row],[Maturity date]],Table1[[#This Row],[Current coupon %]],Table1[[#This Row],[Yield (Annualised)]],Table1[[#This Row],[Coupon Frequency2]])</f>
        <v>7.2253162193992022</v>
      </c>
      <c r="AA234" s="33">
        <f>Table1[[#This Row],[Macaulay Duration in Years]]/(1+Table1[[#This Row],[IRR]])</f>
        <v>6.7138676120922014</v>
      </c>
      <c r="AB234" s="58">
        <f>VLOOKUP(Table1[[#This Row],[Yield Cluster]],'Cluster Details'!$B$3:$C$16,2,0)</f>
        <v>7.8548801574189142E-2</v>
      </c>
      <c r="AC234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1033411.8531834839</v>
      </c>
      <c r="AD234" s="58" t="str">
        <f>IF(Table1[[#This Row],[Ask Price]]&gt;Table1[[#This Row],[Calculated Bond Price]],"Rich","Cheap")</f>
        <v>Rich</v>
      </c>
      <c r="AE2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982508.38566949801</v>
      </c>
      <c r="AF2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1123778.0577102455</v>
      </c>
      <c r="AG234" s="78">
        <f>(Table1[[#This Row],[P (+ shock)]]+Table1[[#This Row],[P (-shock)]]-2*Table1[[#This Row],[Ask Price]])/(2*Table1[[#This Row],[Ask Price]]*($AF$2^2))</f>
        <v>30.030968769909666</v>
      </c>
      <c r="AH234">
        <v>11.579453845595101</v>
      </c>
      <c r="AI234" s="6">
        <f t="shared" si="13"/>
        <v>7.9524566900637139E-2</v>
      </c>
      <c r="AK234" s="47">
        <f>RATE(Table1[[#This Row],[Total No. of Coupons]],Table1[[#This Row],[Coupon Amount]],-Table1[[#This Row],[Ask Price]],Table1[[#This Row],[Face value]])</f>
        <v>7.6177940474405959E-2</v>
      </c>
      <c r="AL234" s="27">
        <f>Table1[[#This Row],[IRR]]*Table1[[#This Row],[Coupon Frequency2]]</f>
        <v>7.6177940474405959E-2</v>
      </c>
      <c r="AM234" s="5">
        <f t="shared" si="14"/>
        <v>-7049493.8540206905</v>
      </c>
      <c r="AN234" t="s">
        <v>64</v>
      </c>
      <c r="AO234" t="s">
        <v>62</v>
      </c>
      <c r="AP234">
        <f t="shared" si="15"/>
        <v>1</v>
      </c>
    </row>
    <row r="235" spans="1:42" x14ac:dyDescent="0.35">
      <c r="A235" s="48" t="s">
        <v>231</v>
      </c>
      <c r="B235" s="49" t="s">
        <v>2514</v>
      </c>
      <c r="C235" s="49" t="s">
        <v>2273</v>
      </c>
      <c r="D235" s="50">
        <v>45069</v>
      </c>
      <c r="E235" s="50">
        <v>48722</v>
      </c>
      <c r="F235" s="49">
        <v>1000000</v>
      </c>
      <c r="G235" s="49" t="s">
        <v>76</v>
      </c>
      <c r="H235" s="49">
        <v>1006532.5</v>
      </c>
      <c r="I235" s="49" t="s">
        <v>76</v>
      </c>
      <c r="J235" s="49">
        <v>100.65325</v>
      </c>
      <c r="K235" s="49">
        <v>1</v>
      </c>
      <c r="L235" s="51">
        <v>7.7199999999999991E-2</v>
      </c>
      <c r="M235" s="49" t="s">
        <v>93</v>
      </c>
      <c r="N235" s="49">
        <v>2805</v>
      </c>
      <c r="O235" s="49">
        <v>7.6698964017555298</v>
      </c>
      <c r="P235" s="49" t="s">
        <v>2274</v>
      </c>
      <c r="Q235" s="49"/>
      <c r="R235" s="49" t="s">
        <v>2275</v>
      </c>
      <c r="S235">
        <f t="shared" si="12"/>
        <v>10</v>
      </c>
      <c r="T235" s="5" cm="1">
        <f t="array" ref="T2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5">
        <f>Table1[[#This Row],[Term to Maturity (Years)]]*Table1[[#This Row],[Coupon Frequency2]]</f>
        <v>10</v>
      </c>
      <c r="V235">
        <f>Table1[[#This Row],[Face value]]*Table1[[#This Row],[Current coupon %]]</f>
        <v>77199.999999999985</v>
      </c>
      <c r="W235" s="36">
        <f>RATE(Table1[[#This Row],[Total No. of Coupons]],Table1[[#This Row],[Coupon Amount]],-Table1[[#This Row],[Ask Price]],Table1[[#This Row],[Face value]])</f>
        <v>7.6242898562306288E-2</v>
      </c>
      <c r="X235" s="27">
        <f>Table1[[#This Row],[IRR]]*Table1[[#This Row],[Coupon Frequency2]]</f>
        <v>7.6242898562306288E-2</v>
      </c>
      <c r="Y235" s="19" cm="1">
        <f t="array" ref="Y2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5" s="33">
        <f>DURATION(Table1[[#This Row],[Issue date]],Table1[[#This Row],[Maturity date]],Table1[[#This Row],[Current coupon %]],Table1[[#This Row],[Yield (Annualised)]],Table1[[#This Row],[Coupon Frequency2]])</f>
        <v>7.3297981727310138</v>
      </c>
      <c r="AA235" s="33">
        <f>Table1[[#This Row],[Macaulay Duration in Years]]/(1+Table1[[#This Row],[IRR]])</f>
        <v>6.8105426595822269</v>
      </c>
      <c r="AB235" s="58">
        <f>VLOOKUP(Table1[[#This Row],[Yield Cluster]],'Cluster Details'!$B$3:$C$16,2,0)</f>
        <v>7.8548801574189142E-2</v>
      </c>
      <c r="AC235" s="78">
        <f>PRICE(Table1[[#This Row],[Issue date]],Table1[[#This Row],[Maturity date]],Table1[[#This Row],[Current coupon %]],Table1[[#This Row],[Average Cluster Yield]],100,Table1[[#This Row],[Coupon Frequency2]])*Table1[[#This Row],[Face value]]/100</f>
        <v>990889.88990097505</v>
      </c>
      <c r="AD235" s="58" t="str">
        <f>IF(Table1[[#This Row],[Ask Price]]&gt;Table1[[#This Row],[Calculated Bond Price]],"Rich","Cheap")</f>
        <v>Rich</v>
      </c>
      <c r="AE2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940993.57671677694</v>
      </c>
      <c r="AF2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1078312.6169224803</v>
      </c>
      <c r="AG235" s="78">
        <f>(Table1[[#This Row],[P (+ shock)]]+Table1[[#This Row],[P (-shock)]]-2*Table1[[#This Row],[Ask Price]])/(2*Table1[[#This Row],[Ask Price]]*($AF$2^2))</f>
        <v>31.003438236009391</v>
      </c>
      <c r="AH235">
        <v>8.39907063455626</v>
      </c>
      <c r="AI235" s="6">
        <f t="shared" si="13"/>
        <v>7.6698964017555299E-2</v>
      </c>
      <c r="AK235" s="47">
        <f>RATE(Table1[[#This Row],[Total No. of Coupons]],Table1[[#This Row],[Coupon Amount]],-Table1[[#This Row],[Ask Price]],Table1[[#This Row],[Face value]])</f>
        <v>7.6242898562306288E-2</v>
      </c>
      <c r="AL235" s="27">
        <f>Table1[[#This Row],[IRR]]*Table1[[#This Row],[Coupon Frequency2]]</f>
        <v>7.6242898562306288E-2</v>
      </c>
      <c r="AM235" s="5">
        <f t="shared" si="14"/>
        <v>-6855032.5295059476</v>
      </c>
      <c r="AN235" t="s">
        <v>64</v>
      </c>
      <c r="AO235" t="s">
        <v>62</v>
      </c>
      <c r="AP235">
        <f t="shared" si="15"/>
        <v>1</v>
      </c>
    </row>
    <row r="236" spans="1:42" x14ac:dyDescent="0.35">
      <c r="A236" s="48" t="s">
        <v>347</v>
      </c>
      <c r="B236" s="49" t="s">
        <v>2515</v>
      </c>
      <c r="C236" s="49" t="s">
        <v>2273</v>
      </c>
      <c r="D236" s="50">
        <v>44322</v>
      </c>
      <c r="E236" s="50">
        <v>47974</v>
      </c>
      <c r="F236" s="49">
        <v>1000</v>
      </c>
      <c r="G236" s="49" t="s">
        <v>76</v>
      </c>
      <c r="H236" s="49">
        <v>1039</v>
      </c>
      <c r="I236" s="49" t="s">
        <v>76</v>
      </c>
      <c r="J236" s="49">
        <v>103.899999999999</v>
      </c>
      <c r="K236" s="49">
        <v>613</v>
      </c>
      <c r="L236" s="51">
        <v>8.199999999999999E-2</v>
      </c>
      <c r="M236" s="49" t="s">
        <v>93</v>
      </c>
      <c r="N236" s="49">
        <v>2057</v>
      </c>
      <c r="O236" s="49">
        <v>7.8922040423484097</v>
      </c>
      <c r="P236" s="49"/>
      <c r="Q236" s="49"/>
      <c r="R236" s="49" t="s">
        <v>2275</v>
      </c>
      <c r="S236">
        <f t="shared" si="12"/>
        <v>10</v>
      </c>
      <c r="T236" s="5" cm="1">
        <f t="array" ref="T2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6">
        <f>Table1[[#This Row],[Term to Maturity (Years)]]*Table1[[#This Row],[Coupon Frequency2]]</f>
        <v>10</v>
      </c>
      <c r="V236">
        <f>Table1[[#This Row],[Face value]]*Table1[[#This Row],[Current coupon %]]</f>
        <v>81.999999999999986</v>
      </c>
      <c r="W236" s="36">
        <f>RATE(Table1[[#This Row],[Total No. of Coupons]],Table1[[#This Row],[Coupon Amount]],-Table1[[#This Row],[Ask Price]],Table1[[#This Row],[Face value]])</f>
        <v>7.6284869788455792E-2</v>
      </c>
      <c r="X236" s="27">
        <f>Table1[[#This Row],[IRR]]*Table1[[#This Row],[Coupon Frequency2]]</f>
        <v>7.6284869788455792E-2</v>
      </c>
      <c r="Y236" s="19" cm="1">
        <f t="array" ref="Y2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6" s="33">
        <f>DURATION(Table1[[#This Row],[Issue date]],Table1[[#This Row],[Maturity date]],Table1[[#This Row],[Current coupon %]],Table1[[#This Row],[Yield (Annualised)]],Table1[[#This Row],[Coupon Frequency2]])</f>
        <v>7.2527601101490999</v>
      </c>
      <c r="AA236" s="33">
        <f>Table1[[#This Row],[Macaulay Duration in Years]]/(1+Table1[[#This Row],[IRR]])</f>
        <v>6.7386993106895883</v>
      </c>
      <c r="AB236" s="58">
        <f>VLOOKUP(Table1[[#This Row],[Yield Cluster]],'Cluster Details'!$B$3:$C$16,2,0)</f>
        <v>7.8548801574189142E-2</v>
      </c>
      <c r="AC236" s="78">
        <f>PRICE(Table1[[#This Row],[Issue date]],Table1[[#This Row],[Maturity date]],Table1[[#This Row],[Current coupon %]],Table1[[#This Row],[Average Cluster Yield]],100,Table1[[#This Row],[Coupon Frequency2]])*Table1[[#This Row],[Face value]]/100</f>
        <v>1023.3101727002534</v>
      </c>
      <c r="AD236" s="58" t="str">
        <f>IF(Table1[[#This Row],[Ask Price]]&gt;Table1[[#This Row],[Calculated Bond Price]],"Rich","Cheap")</f>
        <v>Rich</v>
      </c>
      <c r="AE2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972.04572114315192</v>
      </c>
      <c r="AF2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1112.2972192340123</v>
      </c>
      <c r="AG236" s="78">
        <f>(Table1[[#This Row],[P (+ shock)]]+Table1[[#This Row],[P (-shock)]]-2*Table1[[#This Row],[Ask Price]])/(2*Table1[[#This Row],[Ask Price]]*($AF$2^2))</f>
        <v>30.524255905506582</v>
      </c>
      <c r="AH236">
        <v>11.361221025538001</v>
      </c>
      <c r="AI236" s="6">
        <f t="shared" si="13"/>
        <v>7.8922040423484108E-2</v>
      </c>
      <c r="AK236" s="47">
        <f>RATE(Table1[[#This Row],[Total No. of Coupons]],Table1[[#This Row],[Coupon Amount]],-Table1[[#This Row],[Ask Price]],Table1[[#This Row],[Face value]])</f>
        <v>7.6284869788455792E-2</v>
      </c>
      <c r="AL236" s="27">
        <f>Table1[[#This Row],[IRR]]*Table1[[#This Row],[Coupon Frequency2]]</f>
        <v>7.6284869788455792E-2</v>
      </c>
      <c r="AM236" s="5">
        <f t="shared" si="14"/>
        <v>-7001.5085838064824</v>
      </c>
      <c r="AN236" t="s">
        <v>64</v>
      </c>
      <c r="AO236" t="s">
        <v>62</v>
      </c>
      <c r="AP236">
        <f t="shared" si="15"/>
        <v>1</v>
      </c>
    </row>
    <row r="237" spans="1:42" x14ac:dyDescent="0.35">
      <c r="A237" s="48" t="s">
        <v>264</v>
      </c>
      <c r="B237" s="49" t="s">
        <v>2516</v>
      </c>
      <c r="C237" s="49" t="s">
        <v>2273</v>
      </c>
      <c r="D237" s="50">
        <v>42940</v>
      </c>
      <c r="E237" s="50">
        <v>48419</v>
      </c>
      <c r="F237" s="49">
        <v>1000</v>
      </c>
      <c r="G237" s="49" t="s">
        <v>76</v>
      </c>
      <c r="H237" s="49">
        <v>1035</v>
      </c>
      <c r="I237" s="49" t="s">
        <v>76</v>
      </c>
      <c r="J237" s="49">
        <v>103.49999999999901</v>
      </c>
      <c r="K237" s="49">
        <v>18</v>
      </c>
      <c r="L237" s="51">
        <v>8.0500000000000002E-2</v>
      </c>
      <c r="M237" s="49" t="s">
        <v>93</v>
      </c>
      <c r="N237" s="49">
        <v>2502</v>
      </c>
      <c r="O237" s="49">
        <v>7.7777777777777803</v>
      </c>
      <c r="P237" s="49"/>
      <c r="Q237" s="49"/>
      <c r="R237" s="49" t="s">
        <v>2275</v>
      </c>
      <c r="S237">
        <f t="shared" si="12"/>
        <v>15</v>
      </c>
      <c r="T237" s="5" cm="1">
        <f t="array" ref="T2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7">
        <f>Table1[[#This Row],[Term to Maturity (Years)]]*Table1[[#This Row],[Coupon Frequency2]]</f>
        <v>15</v>
      </c>
      <c r="V237">
        <f>Table1[[#This Row],[Face value]]*Table1[[#This Row],[Current coupon %]]</f>
        <v>80.5</v>
      </c>
      <c r="W237" s="36">
        <f>RATE(Table1[[#This Row],[Total No. of Coupons]],Table1[[#This Row],[Coupon Amount]],-Table1[[#This Row],[Ask Price]],Table1[[#This Row],[Face value]])</f>
        <v>7.6497983270965811E-2</v>
      </c>
      <c r="X237" s="27">
        <f>Table1[[#This Row],[IRR]]*Table1[[#This Row],[Coupon Frequency2]]</f>
        <v>7.6497983270965811E-2</v>
      </c>
      <c r="Y237" s="19" cm="1">
        <f t="array" ref="Y2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7" s="33">
        <f>DURATION(Table1[[#This Row],[Issue date]],Table1[[#This Row],[Maturity date]],Table1[[#This Row],[Current coupon %]],Table1[[#This Row],[Yield (Annualised)]],Table1[[#This Row],[Coupon Frequency2]])</f>
        <v>9.3211683337418627</v>
      </c>
      <c r="AA237" s="33">
        <f>Table1[[#This Row],[Macaulay Duration in Years]]/(1+Table1[[#This Row],[IRR]])</f>
        <v>8.6587884776330579</v>
      </c>
      <c r="AB237" s="58">
        <f>VLOOKUP(Table1[[#This Row],[Yield Cluster]],'Cluster Details'!$B$3:$C$16,2,0)</f>
        <v>7.8548801574189142E-2</v>
      </c>
      <c r="AC237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1016.8502553681382</v>
      </c>
      <c r="AD237" s="58" t="str">
        <f>IF(Table1[[#This Row],[Ask Price]]&gt;Table1[[#This Row],[Calculated Bond Price]],"Rich","Cheap")</f>
        <v>Rich</v>
      </c>
      <c r="AE2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950.63615226477168</v>
      </c>
      <c r="AF2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1130.3986294716788</v>
      </c>
      <c r="AG237" s="78">
        <f>(Table1[[#This Row],[P (+ shock)]]+Table1[[#This Row],[P (-shock)]]-2*Table1[[#This Row],[Ask Price]])/(2*Table1[[#This Row],[Ask Price]]*($AF$2^2))</f>
        <v>53.308124330678453</v>
      </c>
      <c r="AH237">
        <v>12.075442288208199</v>
      </c>
      <c r="AI237" s="6">
        <f t="shared" si="13"/>
        <v>7.7777777777777779E-2</v>
      </c>
      <c r="AK237" s="47">
        <f>RATE(Table1[[#This Row],[Total No. of Coupons]],Table1[[#This Row],[Coupon Amount]],-Table1[[#This Row],[Ask Price]],Table1[[#This Row],[Face value]])</f>
        <v>7.6497983270965811E-2</v>
      </c>
      <c r="AL237" s="27">
        <f>Table1[[#This Row],[IRR]]*Table1[[#This Row],[Coupon Frequency2]]</f>
        <v>7.6497983270965811E-2</v>
      </c>
      <c r="AM237" s="5">
        <f t="shared" si="14"/>
        <v>-8961.8460743502146</v>
      </c>
      <c r="AN237" t="s">
        <v>64</v>
      </c>
      <c r="AO237" t="s">
        <v>62</v>
      </c>
      <c r="AP237">
        <f t="shared" si="15"/>
        <v>1</v>
      </c>
    </row>
    <row r="238" spans="1:42" x14ac:dyDescent="0.35">
      <c r="A238" s="48" t="s">
        <v>717</v>
      </c>
      <c r="B238" s="49" t="s">
        <v>2517</v>
      </c>
      <c r="C238" s="49" t="s">
        <v>2273</v>
      </c>
      <c r="D238" s="50">
        <v>43537</v>
      </c>
      <c r="E238" s="50">
        <v>47190</v>
      </c>
      <c r="F238" s="49">
        <v>1000</v>
      </c>
      <c r="G238" s="49" t="s">
        <v>76</v>
      </c>
      <c r="H238" s="49">
        <v>1115</v>
      </c>
      <c r="I238" s="49" t="s">
        <v>76</v>
      </c>
      <c r="J238" s="49">
        <v>111.5</v>
      </c>
      <c r="K238" s="49">
        <v>60</v>
      </c>
      <c r="L238" s="51">
        <v>9.35E-2</v>
      </c>
      <c r="M238" s="49" t="s">
        <v>93</v>
      </c>
      <c r="N238" s="49">
        <v>1273</v>
      </c>
      <c r="O238" s="49">
        <v>8.3856502242152402</v>
      </c>
      <c r="P238" s="49"/>
      <c r="Q238" s="49"/>
      <c r="R238" s="49" t="s">
        <v>2275</v>
      </c>
      <c r="S238">
        <f t="shared" si="12"/>
        <v>10</v>
      </c>
      <c r="T238" s="5" cm="1">
        <f t="array" ref="T2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8">
        <f>Table1[[#This Row],[Term to Maturity (Years)]]*Table1[[#This Row],[Coupon Frequency2]]</f>
        <v>10</v>
      </c>
      <c r="V238">
        <f>Table1[[#This Row],[Face value]]*Table1[[#This Row],[Current coupon %]]</f>
        <v>93.5</v>
      </c>
      <c r="W238" s="36">
        <f>RATE(Table1[[#This Row],[Total No. of Coupons]],Table1[[#This Row],[Coupon Amount]],-Table1[[#This Row],[Ask Price]],Table1[[#This Row],[Face value]])</f>
        <v>7.6621836151284373E-2</v>
      </c>
      <c r="X238" s="27">
        <f>Table1[[#This Row],[IRR]]*Table1[[#This Row],[Coupon Frequency2]]</f>
        <v>7.6621836151284373E-2</v>
      </c>
      <c r="Y238" s="19" cm="1">
        <f t="array" ref="Y2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8" s="33">
        <f>DURATION(Table1[[#This Row],[Issue date]],Table1[[#This Row],[Maturity date]],Table1[[#This Row],[Current coupon %]],Table1[[#This Row],[Yield (Annualised)]],Table1[[#This Row],[Coupon Frequency2]])</f>
        <v>7.0840296276430399</v>
      </c>
      <c r="AA238" s="33">
        <f>Table1[[#This Row],[Macaulay Duration in Years]]/(1+Table1[[#This Row],[IRR]])</f>
        <v>6.5798680555905129</v>
      </c>
      <c r="AB238" s="58">
        <f>VLOOKUP(Table1[[#This Row],[Yield Cluster]],'Cluster Details'!$B$3:$C$16,2,0)</f>
        <v>7.8548801574189142E-2</v>
      </c>
      <c r="AC238" s="78">
        <f>PRICE(Table1[[#This Row],[Issue date]],Table1[[#This Row],[Maturity date]],Table1[[#This Row],[Current coupon %]],Table1[[#This Row],[Average Cluster Yield]],100,Table1[[#This Row],[Coupon Frequency2]])*Table1[[#This Row],[Face value]]/100</f>
        <v>1100.9837669068575</v>
      </c>
      <c r="AD238" s="58" t="str">
        <f>IF(Table1[[#This Row],[Ask Price]]&gt;Table1[[#This Row],[Calculated Bond Price]],"Rich","Cheap")</f>
        <v>Rich</v>
      </c>
      <c r="AE2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1044.8057178000799</v>
      </c>
      <c r="AF2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1191.7645033400961</v>
      </c>
      <c r="AG238" s="78">
        <f>(Table1[[#This Row],[P (+ shock)]]+Table1[[#This Row],[P (-shock)]]-2*Table1[[#This Row],[Ask Price]])/(2*Table1[[#This Row],[Ask Price]]*($AF$2^2))</f>
        <v>29.462875068052995</v>
      </c>
      <c r="AH238">
        <v>14.7040354399647</v>
      </c>
      <c r="AI238" s="6">
        <f t="shared" si="13"/>
        <v>8.3856502242152464E-2</v>
      </c>
      <c r="AK238" s="47">
        <f>RATE(Table1[[#This Row],[Total No. of Coupons]],Table1[[#This Row],[Coupon Amount]],-Table1[[#This Row],[Ask Price]],Table1[[#This Row],[Face value]])</f>
        <v>7.6621836151284373E-2</v>
      </c>
      <c r="AL238" s="27">
        <f>Table1[[#This Row],[IRR]]*Table1[[#This Row],[Coupon Frequency2]]</f>
        <v>7.6621836151284373E-2</v>
      </c>
      <c r="AM238" s="5">
        <f t="shared" si="14"/>
        <v>-7336.5528819834217</v>
      </c>
      <c r="AN238" t="s">
        <v>69</v>
      </c>
      <c r="AO238" t="s">
        <v>62</v>
      </c>
      <c r="AP238">
        <f t="shared" si="15"/>
        <v>1</v>
      </c>
    </row>
    <row r="239" spans="1:42" x14ac:dyDescent="0.35">
      <c r="A239" s="48" t="s">
        <v>451</v>
      </c>
      <c r="B239" s="49" t="s">
        <v>2518</v>
      </c>
      <c r="C239" s="49" t="s">
        <v>2273</v>
      </c>
      <c r="D239" s="50">
        <v>43990</v>
      </c>
      <c r="E239" s="50">
        <v>47649</v>
      </c>
      <c r="F239" s="49">
        <v>1000000</v>
      </c>
      <c r="G239" s="49" t="s">
        <v>76</v>
      </c>
      <c r="H239" s="49">
        <v>1019999</v>
      </c>
      <c r="I239" s="49" t="s">
        <v>76</v>
      </c>
      <c r="J239" s="49">
        <v>101.9999</v>
      </c>
      <c r="K239" s="49">
        <v>6</v>
      </c>
      <c r="L239" s="51">
        <v>7.9600000000000004E-2</v>
      </c>
      <c r="M239" s="49" t="s">
        <v>93</v>
      </c>
      <c r="N239" s="49">
        <v>1732</v>
      </c>
      <c r="O239" s="49">
        <v>7.8039292195384498</v>
      </c>
      <c r="P239" s="49"/>
      <c r="Q239" s="49"/>
      <c r="R239" s="49" t="s">
        <v>2275</v>
      </c>
      <c r="S239">
        <f t="shared" si="12"/>
        <v>10</v>
      </c>
      <c r="T239" s="5" cm="1">
        <f t="array" ref="T2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39">
        <f>Table1[[#This Row],[Term to Maturity (Years)]]*Table1[[#This Row],[Coupon Frequency2]]</f>
        <v>10</v>
      </c>
      <c r="V239">
        <f>Table1[[#This Row],[Face value]]*Table1[[#This Row],[Current coupon %]]</f>
        <v>79600</v>
      </c>
      <c r="W239" s="36">
        <f>RATE(Table1[[#This Row],[Total No. of Coupons]],Table1[[#This Row],[Coupon Amount]],-Table1[[#This Row],[Ask Price]],Table1[[#This Row],[Face value]])</f>
        <v>7.6664247741148217E-2</v>
      </c>
      <c r="X239" s="27">
        <f>Table1[[#This Row],[IRR]]*Table1[[#This Row],[Coupon Frequency2]]</f>
        <v>7.6664247741148217E-2</v>
      </c>
      <c r="Y239" s="19" cm="1">
        <f t="array" ref="Y2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39" s="33">
        <f>DURATION(Table1[[#This Row],[Issue date]],Table1[[#This Row],[Maturity date]],Table1[[#This Row],[Current coupon %]],Table1[[#This Row],[Yield (Annualised)]],Table1[[#This Row],[Coupon Frequency2]])</f>
        <v>6.7786309833714178</v>
      </c>
      <c r="AA239" s="33">
        <f>Table1[[#This Row],[Macaulay Duration in Years]]/(1+Table1[[#This Row],[IRR]])</f>
        <v>6.2959562348179112</v>
      </c>
      <c r="AB239" s="58">
        <f>VLOOKUP(Table1[[#This Row],[Yield Cluster]],'Cluster Details'!$B$3:$C$16,2,0)</f>
        <v>7.8548801574189142E-2</v>
      </c>
      <c r="AC239" s="78">
        <f>PRICE(Table1[[#This Row],[Issue date]],Table1[[#This Row],[Maturity date]],Table1[[#This Row],[Current coupon %]],Table1[[#This Row],[Average Cluster Yield]],100,Table1[[#This Row],[Coupon Frequency2]])*Table1[[#This Row],[Face value]]/100</f>
        <v>1007051.1868097733</v>
      </c>
      <c r="AD239" s="58" t="str">
        <f>IF(Table1[[#This Row],[Ask Price]]&gt;Table1[[#This Row],[Calculated Bond Price]],"Rich","Cheap")</f>
        <v>Rich</v>
      </c>
      <c r="AE2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953869.51693118736</v>
      </c>
      <c r="AF2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1092351.1124752499</v>
      </c>
      <c r="AG239" s="78">
        <f>(Table1[[#This Row],[P (+ shock)]]+Table1[[#This Row],[P (-shock)]]-2*Table1[[#This Row],[Ask Price]])/(2*Table1[[#This Row],[Ask Price]]*($AF$2^2))</f>
        <v>30.503115230687857</v>
      </c>
      <c r="AH239">
        <v>11.8228452117058</v>
      </c>
      <c r="AI239" s="6">
        <f t="shared" si="13"/>
        <v>7.803929219538451E-2</v>
      </c>
      <c r="AK239" s="47">
        <f>RATE(Table1[[#This Row],[Total No. of Coupons]],Table1[[#This Row],[Coupon Amount]],-Table1[[#This Row],[Ask Price]],Table1[[#This Row],[Face value]])</f>
        <v>7.6664247741148217E-2</v>
      </c>
      <c r="AL239" s="27">
        <f>Table1[[#This Row],[IRR]]*Table1[[#This Row],[Coupon Frequency2]]</f>
        <v>7.6664247741148217E-2</v>
      </c>
      <c r="AM239" s="5">
        <f t="shared" si="14"/>
        <v>-6421869.0635580346</v>
      </c>
      <c r="AN239" t="s">
        <v>64</v>
      </c>
      <c r="AO239" t="s">
        <v>62</v>
      </c>
      <c r="AP239">
        <f t="shared" si="15"/>
        <v>1</v>
      </c>
    </row>
    <row r="240" spans="1:42" x14ac:dyDescent="0.35">
      <c r="A240" s="48" t="s">
        <v>1594</v>
      </c>
      <c r="B240" s="49" t="s">
        <v>2519</v>
      </c>
      <c r="C240" s="49" t="s">
        <v>2273</v>
      </c>
      <c r="D240" s="50">
        <v>42642</v>
      </c>
      <c r="E240" s="50">
        <v>46294</v>
      </c>
      <c r="F240" s="49">
        <v>1000000</v>
      </c>
      <c r="G240" s="49" t="s">
        <v>76</v>
      </c>
      <c r="H240" s="49">
        <v>1053021.8999999999</v>
      </c>
      <c r="I240" s="49" t="s">
        <v>76</v>
      </c>
      <c r="J240" s="49">
        <v>105.302189999999</v>
      </c>
      <c r="K240" s="49">
        <v>10</v>
      </c>
      <c r="L240" s="51">
        <v>8.4499999999999992E-2</v>
      </c>
      <c r="M240" s="49" t="s">
        <v>93</v>
      </c>
      <c r="N240" s="49">
        <v>377</v>
      </c>
      <c r="O240" s="49">
        <v>8.0245244662052997</v>
      </c>
      <c r="P240" s="49" t="s">
        <v>2274</v>
      </c>
      <c r="Q240" s="49"/>
      <c r="R240" s="49" t="s">
        <v>2275</v>
      </c>
      <c r="S240">
        <f t="shared" si="12"/>
        <v>10</v>
      </c>
      <c r="T240" s="5" cm="1">
        <f t="array" ref="T2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0">
        <f>Table1[[#This Row],[Term to Maturity (Years)]]*Table1[[#This Row],[Coupon Frequency2]]</f>
        <v>10</v>
      </c>
      <c r="V240">
        <f>Table1[[#This Row],[Face value]]*Table1[[#This Row],[Current coupon %]]</f>
        <v>84499.999999999985</v>
      </c>
      <c r="W240" s="36">
        <f>RATE(Table1[[#This Row],[Total No. of Coupons]],Table1[[#This Row],[Coupon Amount]],-Table1[[#This Row],[Ask Price]],Table1[[#This Row],[Face value]])</f>
        <v>7.6714861157282793E-2</v>
      </c>
      <c r="X240" s="27">
        <f>Table1[[#This Row],[IRR]]*Table1[[#This Row],[Coupon Frequency2]]</f>
        <v>7.6714861157282793E-2</v>
      </c>
      <c r="Y240" s="19" cm="1">
        <f t="array" ref="Y2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0" s="33">
        <f>DURATION(Table1[[#This Row],[Issue date]],Table1[[#This Row],[Maturity date]],Table1[[#This Row],[Current coupon %]],Table1[[#This Row],[Yield (Annualised)]],Table1[[#This Row],[Coupon Frequency2]])</f>
        <v>7.2104062047352908</v>
      </c>
      <c r="AA240" s="33">
        <f>Table1[[#This Row],[Macaulay Duration in Years]]/(1+Table1[[#This Row],[IRR]])</f>
        <v>6.6966719461690607</v>
      </c>
      <c r="AB240" s="58">
        <f>VLOOKUP(Table1[[#This Row],[Yield Cluster]],'Cluster Details'!$B$3:$C$16,2,0)</f>
        <v>7.8548801574189142E-2</v>
      </c>
      <c r="AC240" s="78">
        <f>PRICE(Table1[[#This Row],[Issue date]],Table1[[#This Row],[Maturity date]],Table1[[#This Row],[Current coupon %]],Table1[[#This Row],[Average Cluster Yield]],100,Table1[[#This Row],[Coupon Frequency2]])*Table1[[#This Row],[Face value]]/100</f>
        <v>1040195.7366582107</v>
      </c>
      <c r="AD240" s="58" t="str">
        <f>IF(Table1[[#This Row],[Ask Price]]&gt;Table1[[#This Row],[Calculated Bond Price]],"Rich","Cheap")</f>
        <v>Rich</v>
      </c>
      <c r="AE2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985577.91166838829</v>
      </c>
      <c r="AF2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1126834.5569654296</v>
      </c>
      <c r="AG240" s="78">
        <f>(Table1[[#This Row],[P (+ shock)]]+Table1[[#This Row],[P (-shock)]]-2*Table1[[#This Row],[Ask Price]])/(2*Table1[[#This Row],[Ask Price]]*($AF$2^2))</f>
        <v>30.2399628812001</v>
      </c>
      <c r="AH240">
        <v>14.592858987781501</v>
      </c>
      <c r="AI240" s="6">
        <f t="shared" si="13"/>
        <v>8.0245244662053086E-2</v>
      </c>
      <c r="AK240" s="47">
        <f>RATE(Table1[[#This Row],[Total No. of Coupons]],Table1[[#This Row],[Coupon Amount]],-Table1[[#This Row],[Ask Price]],Table1[[#This Row],[Face value]])</f>
        <v>7.6714861157282793E-2</v>
      </c>
      <c r="AL240" s="27">
        <f>Table1[[#This Row],[IRR]]*Table1[[#This Row],[Coupon Frequency2]]</f>
        <v>7.6714861157282793E-2</v>
      </c>
      <c r="AM240" s="5">
        <f t="shared" si="14"/>
        <v>-7051742.216431641</v>
      </c>
      <c r="AN240" t="s">
        <v>64</v>
      </c>
      <c r="AO240" t="s">
        <v>62</v>
      </c>
      <c r="AP240">
        <f t="shared" si="15"/>
        <v>1</v>
      </c>
    </row>
    <row r="241" spans="1:42" x14ac:dyDescent="0.35">
      <c r="A241" s="48" t="s">
        <v>1401</v>
      </c>
      <c r="B241" s="49" t="s">
        <v>2520</v>
      </c>
      <c r="C241" s="49" t="s">
        <v>2273</v>
      </c>
      <c r="D241" s="50">
        <v>45322</v>
      </c>
      <c r="E241" s="50">
        <v>46418</v>
      </c>
      <c r="F241" s="49">
        <v>1000</v>
      </c>
      <c r="G241" s="49" t="s">
        <v>76</v>
      </c>
      <c r="H241" s="49">
        <v>1021</v>
      </c>
      <c r="I241" s="49" t="s">
        <v>76</v>
      </c>
      <c r="J241" s="49">
        <v>102.1</v>
      </c>
      <c r="K241" s="49">
        <v>5</v>
      </c>
      <c r="L241" s="51">
        <v>8.5000000000000006E-2</v>
      </c>
      <c r="M241" s="49" t="s">
        <v>93</v>
      </c>
      <c r="N241" s="49">
        <v>501</v>
      </c>
      <c r="O241" s="49">
        <v>8.32517140058766</v>
      </c>
      <c r="P241" s="49"/>
      <c r="Q241" s="49"/>
      <c r="R241" s="49" t="s">
        <v>2275</v>
      </c>
      <c r="S241">
        <f t="shared" si="12"/>
        <v>3</v>
      </c>
      <c r="T241" s="5" cm="1">
        <f t="array" ref="T2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1">
        <f>Table1[[#This Row],[Term to Maturity (Years)]]*Table1[[#This Row],[Coupon Frequency2]]</f>
        <v>3</v>
      </c>
      <c r="V241">
        <f>Table1[[#This Row],[Face value]]*Table1[[#This Row],[Current coupon %]]</f>
        <v>85</v>
      </c>
      <c r="W241" s="36">
        <f>RATE(Table1[[#This Row],[Total No. of Coupons]],Table1[[#This Row],[Coupon Amount]],-Table1[[#This Row],[Ask Price]],Table1[[#This Row],[Face value]])</f>
        <v>7.6896882854994644E-2</v>
      </c>
      <c r="X241" s="27">
        <f>Table1[[#This Row],[IRR]]*Table1[[#This Row],[Coupon Frequency2]]</f>
        <v>7.6896882854994644E-2</v>
      </c>
      <c r="Y241" s="19" cm="1">
        <f t="array" ref="Y2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1" s="33">
        <f>DURATION(Table1[[#This Row],[Issue date]],Table1[[#This Row],[Maturity date]],Table1[[#This Row],[Current coupon %]],Table1[[#This Row],[Yield (Annualised)]],Table1[[#This Row],[Coupon Frequency2]])</f>
        <v>2.7735990555428236</v>
      </c>
      <c r="AA241" s="33">
        <f>Table1[[#This Row],[Macaulay Duration in Years]]/(1+Table1[[#This Row],[IRR]])</f>
        <v>2.5755474824940054</v>
      </c>
      <c r="AB241" s="58">
        <f>VLOOKUP(Table1[[#This Row],[Yield Cluster]],'Cluster Details'!$B$3:$C$16,2,0)</f>
        <v>7.8548801574189142E-2</v>
      </c>
      <c r="AC241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1016.668994467577</v>
      </c>
      <c r="AD241" s="58" t="str">
        <f>IF(Table1[[#This Row],[Ask Price]]&gt;Table1[[#This Row],[Calculated Bond Price]],"Rich","Cheap")</f>
        <v>Rich</v>
      </c>
      <c r="AE2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995.17175109533525</v>
      </c>
      <c r="AF2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1047.7789419988324</v>
      </c>
      <c r="AG241" s="78">
        <f>(Table1[[#This Row],[P (+ shock)]]+Table1[[#This Row],[P (-shock)]]-2*Table1[[#This Row],[Ask Price]])/(2*Table1[[#This Row],[Ask Price]]*($AF$2^2))</f>
        <v>4.6556958578231677</v>
      </c>
      <c r="AH241">
        <v>9.6676814667852398</v>
      </c>
      <c r="AI241" s="6">
        <f t="shared" si="13"/>
        <v>8.3251714005876595E-2</v>
      </c>
      <c r="AK241" s="47">
        <f>RATE(Table1[[#This Row],[Total No. of Coupons]],Table1[[#This Row],[Coupon Amount]],-Table1[[#This Row],[Ask Price]],Table1[[#This Row],[Face value]])</f>
        <v>7.6896882854994644E-2</v>
      </c>
      <c r="AL241" s="27">
        <f>Table1[[#This Row],[IRR]]*Table1[[#This Row],[Coupon Frequency2]]</f>
        <v>7.6896882854994644E-2</v>
      </c>
      <c r="AM241" s="5">
        <f t="shared" si="14"/>
        <v>-2629.6339796263796</v>
      </c>
      <c r="AN241" t="s">
        <v>64</v>
      </c>
      <c r="AO241" t="s">
        <v>62</v>
      </c>
      <c r="AP241">
        <f t="shared" si="15"/>
        <v>1</v>
      </c>
    </row>
    <row r="242" spans="1:42" x14ac:dyDescent="0.35">
      <c r="A242" s="48" t="s">
        <v>936</v>
      </c>
      <c r="B242" s="49" t="s">
        <v>2521</v>
      </c>
      <c r="C242" s="49" t="s">
        <v>2273</v>
      </c>
      <c r="D242" s="50">
        <v>45049</v>
      </c>
      <c r="E242" s="50">
        <v>46907</v>
      </c>
      <c r="F242" s="49">
        <v>1000</v>
      </c>
      <c r="G242" s="49" t="s">
        <v>76</v>
      </c>
      <c r="H242" s="49">
        <v>1016</v>
      </c>
      <c r="I242" s="49" t="s">
        <v>76</v>
      </c>
      <c r="J242" s="49">
        <v>101.6</v>
      </c>
      <c r="K242" s="49">
        <v>60</v>
      </c>
      <c r="L242" s="51">
        <v>8.1000000000000003E-2</v>
      </c>
      <c r="M242" s="49" t="s">
        <v>93</v>
      </c>
      <c r="N242" s="49">
        <v>990</v>
      </c>
      <c r="O242" s="49">
        <v>7.9724409448818898</v>
      </c>
      <c r="P242" s="49" t="s">
        <v>2285</v>
      </c>
      <c r="Q242" s="49"/>
      <c r="R242" s="49" t="s">
        <v>2275</v>
      </c>
      <c r="S242">
        <f t="shared" si="12"/>
        <v>5</v>
      </c>
      <c r="T242" s="5" cm="1">
        <f t="array" ref="T2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2">
        <f>Table1[[#This Row],[Term to Maturity (Years)]]*Table1[[#This Row],[Coupon Frequency2]]</f>
        <v>5</v>
      </c>
      <c r="V242">
        <f>Table1[[#This Row],[Face value]]*Table1[[#This Row],[Current coupon %]]</f>
        <v>81</v>
      </c>
      <c r="W242" s="36">
        <f>RATE(Table1[[#This Row],[Total No. of Coupons]],Table1[[#This Row],[Coupon Amount]],-Table1[[#This Row],[Ask Price]],Table1[[#This Row],[Face value]])</f>
        <v>7.702407778023726E-2</v>
      </c>
      <c r="X242" s="27">
        <f>Table1[[#This Row],[IRR]]*Table1[[#This Row],[Coupon Frequency2]]</f>
        <v>7.702407778023726E-2</v>
      </c>
      <c r="Y242" s="19" cm="1">
        <f t="array" ref="Y2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2" s="33">
        <f>DURATION(Table1[[#This Row],[Issue date]],Table1[[#This Row],[Maturity date]],Table1[[#This Row],[Current coupon %]],Table1[[#This Row],[Yield (Annualised)]],Table1[[#This Row],[Coupon Frequency2]])</f>
        <v>4.0758738022172496</v>
      </c>
      <c r="AA242" s="33">
        <f>Table1[[#This Row],[Macaulay Duration in Years]]/(1+Table1[[#This Row],[IRR]])</f>
        <v>3.7843850349359749</v>
      </c>
      <c r="AB242" s="58">
        <f>VLOOKUP(Table1[[#This Row],[Yield Cluster]],'Cluster Details'!$B$3:$C$16,2,0)</f>
        <v>7.8548801574189142E-2</v>
      </c>
      <c r="AC242" s="78">
        <f>PRICE(Table1[[#This Row],[Issue date]],Table1[[#This Row],[Maturity date]],Table1[[#This Row],[Current coupon %]],Table1[[#This Row],[Average Cluster Yield]],100,Table1[[#This Row],[Coupon Frequency2]])*Table1[[#This Row],[Face value]]/100</f>
        <v>1009.7223954907982</v>
      </c>
      <c r="AD242" s="58" t="str">
        <f>IF(Table1[[#This Row],[Ask Price]]&gt;Table1[[#This Row],[Calculated Bond Price]],"Rich","Cheap")</f>
        <v>Rich</v>
      </c>
      <c r="AE2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975.80919932976792</v>
      </c>
      <c r="AF2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1058.3738648058406</v>
      </c>
      <c r="AG242" s="78">
        <f>(Table1[[#This Row],[P (+ shock)]]+Table1[[#This Row],[P (-shock)]]-2*Table1[[#This Row],[Ask Price]])/(2*Table1[[#This Row],[Ask Price]]*($AF$2^2))</f>
        <v>10.743425864215917</v>
      </c>
      <c r="AH242">
        <v>8.6119585653978508</v>
      </c>
      <c r="AI242" s="6">
        <f t="shared" si="13"/>
        <v>7.9724409448818895E-2</v>
      </c>
      <c r="AK242" s="47">
        <f>RATE(Table1[[#This Row],[Total No. of Coupons]],Table1[[#This Row],[Coupon Amount]],-Table1[[#This Row],[Ask Price]],Table1[[#This Row],[Face value]])</f>
        <v>7.702407778023726E-2</v>
      </c>
      <c r="AL242" s="27">
        <f>Table1[[#This Row],[IRR]]*Table1[[#This Row],[Coupon Frequency2]]</f>
        <v>7.702407778023726E-2</v>
      </c>
      <c r="AM242" s="5">
        <f t="shared" si="14"/>
        <v>-3844.9351954949507</v>
      </c>
      <c r="AN242" t="s">
        <v>64</v>
      </c>
      <c r="AO242" t="s">
        <v>62</v>
      </c>
      <c r="AP242">
        <f t="shared" si="15"/>
        <v>1</v>
      </c>
    </row>
    <row r="243" spans="1:42" x14ac:dyDescent="0.35">
      <c r="A243" s="48" t="s">
        <v>1169</v>
      </c>
      <c r="B243" s="49" t="s">
        <v>2522</v>
      </c>
      <c r="C243" s="49" t="s">
        <v>2273</v>
      </c>
      <c r="D243" s="50">
        <v>45551</v>
      </c>
      <c r="E243" s="50">
        <v>46646</v>
      </c>
      <c r="F243" s="49">
        <v>1000</v>
      </c>
      <c r="G243" s="49" t="s">
        <v>76</v>
      </c>
      <c r="H243" s="49">
        <v>1049.99</v>
      </c>
      <c r="I243" s="49" t="s">
        <v>76</v>
      </c>
      <c r="J243" s="49">
        <v>104.999</v>
      </c>
      <c r="K243" s="49">
        <v>400</v>
      </c>
      <c r="L243" s="51">
        <v>9.6500000000000002E-2</v>
      </c>
      <c r="M243" s="49" t="s">
        <v>93</v>
      </c>
      <c r="N243" s="49">
        <v>729</v>
      </c>
      <c r="O243" s="49">
        <v>9.1905637196544703</v>
      </c>
      <c r="P243" s="49"/>
      <c r="Q243" s="49"/>
      <c r="R243" s="49" t="s">
        <v>2275</v>
      </c>
      <c r="S243">
        <f t="shared" si="12"/>
        <v>3</v>
      </c>
      <c r="T243" s="5" cm="1">
        <f t="array" ref="T2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3">
        <f>Table1[[#This Row],[Term to Maturity (Years)]]*Table1[[#This Row],[Coupon Frequency2]]</f>
        <v>3</v>
      </c>
      <c r="V243">
        <f>Table1[[#This Row],[Face value]]*Table1[[#This Row],[Current coupon %]]</f>
        <v>96.5</v>
      </c>
      <c r="W243" s="36">
        <f>RATE(Table1[[#This Row],[Total No. of Coupons]],Table1[[#This Row],[Coupon Amount]],-Table1[[#This Row],[Ask Price]],Table1[[#This Row],[Face value]])</f>
        <v>7.7200126339600189E-2</v>
      </c>
      <c r="X243" s="27">
        <f>Table1[[#This Row],[IRR]]*Table1[[#This Row],[Coupon Frequency2]]</f>
        <v>7.7200126339600189E-2</v>
      </c>
      <c r="Y243" s="19" cm="1">
        <f t="array" ref="Y2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3" s="33">
        <f>DURATION(Table1[[#This Row],[Issue date]],Table1[[#This Row],[Maturity date]],Table1[[#This Row],[Current coupon %]],Table1[[#This Row],[Yield (Annualised)]],Table1[[#This Row],[Coupon Frequency2]])</f>
        <v>2.7501575914658871</v>
      </c>
      <c r="AA243" s="33">
        <f>Table1[[#This Row],[Macaulay Duration in Years]]/(1+Table1[[#This Row],[IRR]])</f>
        <v>2.5530609626004321</v>
      </c>
      <c r="AB243" s="58">
        <f>VLOOKUP(Table1[[#This Row],[Yield Cluster]],'Cluster Details'!$B$3:$C$16,2,0)</f>
        <v>7.8548801574189142E-2</v>
      </c>
      <c r="AC243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1046.3833860773871</v>
      </c>
      <c r="AD243" s="58" t="str">
        <f>IF(Table1[[#This Row],[Ask Price]]&gt;Table1[[#This Row],[Calculated Bond Price]],"Rich","Cheap")</f>
        <v>Rich</v>
      </c>
      <c r="AE2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1023.658685968707</v>
      </c>
      <c r="AF2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1077.2871703546225</v>
      </c>
      <c r="AG243" s="78">
        <f>(Table1[[#This Row],[P (+ shock)]]+Table1[[#This Row],[P (-shock)]]-2*Table1[[#This Row],[Ask Price]])/(2*Table1[[#This Row],[Ask Price]]*($AF$2^2))</f>
        <v>4.5993596288024765</v>
      </c>
      <c r="AH243">
        <v>9.4697504790314504</v>
      </c>
      <c r="AI243" s="6">
        <f t="shared" si="13"/>
        <v>9.1905637196544723E-2</v>
      </c>
      <c r="AK243" s="47">
        <f>RATE(Table1[[#This Row],[Total No. of Coupons]],Table1[[#This Row],[Coupon Amount]],-Table1[[#This Row],[Ask Price]],Table1[[#This Row],[Face value]])</f>
        <v>7.7200126339600189E-2</v>
      </c>
      <c r="AL243" s="27">
        <f>Table1[[#This Row],[IRR]]*Table1[[#This Row],[Coupon Frequency2]]</f>
        <v>7.7200126339600189E-2</v>
      </c>
      <c r="AM243" s="5">
        <f t="shared" si="14"/>
        <v>-2680.688480120828</v>
      </c>
      <c r="AN243" t="s">
        <v>64</v>
      </c>
      <c r="AO243" t="s">
        <v>62</v>
      </c>
      <c r="AP243">
        <f t="shared" si="15"/>
        <v>1</v>
      </c>
    </row>
    <row r="244" spans="1:42" x14ac:dyDescent="0.35">
      <c r="A244" s="48" t="s">
        <v>352</v>
      </c>
      <c r="B244" s="49" t="s">
        <v>2523</v>
      </c>
      <c r="C244" s="49" t="s">
        <v>2273</v>
      </c>
      <c r="D244" s="50">
        <v>44306</v>
      </c>
      <c r="E244" s="50">
        <v>47958</v>
      </c>
      <c r="F244" s="49">
        <v>1000</v>
      </c>
      <c r="G244" s="49" t="s">
        <v>76</v>
      </c>
      <c r="H244" s="49">
        <v>1018.9</v>
      </c>
      <c r="I244" s="49" t="s">
        <v>76</v>
      </c>
      <c r="J244" s="49">
        <v>101.88999999999901</v>
      </c>
      <c r="K244" s="49">
        <v>10</v>
      </c>
      <c r="L244" s="51">
        <v>0.08</v>
      </c>
      <c r="M244" s="49" t="s">
        <v>93</v>
      </c>
      <c r="N244" s="49">
        <v>2041</v>
      </c>
      <c r="O244" s="49">
        <v>7.8516046717047798</v>
      </c>
      <c r="P244" s="49" t="s">
        <v>2285</v>
      </c>
      <c r="Q244" s="49"/>
      <c r="R244" s="49" t="s">
        <v>2275</v>
      </c>
      <c r="S244">
        <f t="shared" si="12"/>
        <v>10</v>
      </c>
      <c r="T244" s="5" cm="1">
        <f t="array" ref="T2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4">
        <f>Table1[[#This Row],[Term to Maturity (Years)]]*Table1[[#This Row],[Coupon Frequency2]]</f>
        <v>10</v>
      </c>
      <c r="V244">
        <f>Table1[[#This Row],[Face value]]*Table1[[#This Row],[Current coupon %]]</f>
        <v>80</v>
      </c>
      <c r="W244" s="36">
        <f>RATE(Table1[[#This Row],[Total No. of Coupons]],Table1[[#This Row],[Coupon Amount]],-Table1[[#This Row],[Ask Price]],Table1[[#This Row],[Face value]])</f>
        <v>7.7218577541223299E-2</v>
      </c>
      <c r="X244" s="27">
        <f>Table1[[#This Row],[IRR]]*Table1[[#This Row],[Coupon Frequency2]]</f>
        <v>7.7218577541223299E-2</v>
      </c>
      <c r="Y244" s="19" cm="1">
        <f t="array" ref="Y2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4" s="33">
        <f>DURATION(Table1[[#This Row],[Issue date]],Table1[[#This Row],[Maturity date]],Table1[[#This Row],[Current coupon %]],Table1[[#This Row],[Yield (Annualised)]],Table1[[#This Row],[Coupon Frequency2]])</f>
        <v>7.2747566610348144</v>
      </c>
      <c r="AA244" s="33">
        <f>Table1[[#This Row],[Macaulay Duration in Years]]/(1+Table1[[#This Row],[IRR]])</f>
        <v>6.7532781300890834</v>
      </c>
      <c r="AB244" s="58">
        <f>VLOOKUP(Table1[[#This Row],[Yield Cluster]],'Cluster Details'!$B$3:$C$16,2,0)</f>
        <v>7.8548801574189142E-2</v>
      </c>
      <c r="AC244" s="78">
        <f>PRICE(Table1[[#This Row],[Issue date]],Table1[[#This Row],[Maturity date]],Table1[[#This Row],[Current coupon %]],Table1[[#This Row],[Average Cluster Yield]],100,Table1[[#This Row],[Coupon Frequency2]])*Table1[[#This Row],[Face value]]/100</f>
        <v>1009.8017215338873</v>
      </c>
      <c r="AD244" s="58" t="str">
        <f>IF(Table1[[#This Row],[Ask Price]]&gt;Table1[[#This Row],[Calculated Bond Price]],"Rich","Cheap")</f>
        <v>Rich</v>
      </c>
      <c r="AE2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953.10103967609757</v>
      </c>
      <c r="AF2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1090.9370225850109</v>
      </c>
      <c r="AG244" s="78">
        <f>(Table1[[#This Row],[P (+ shock)]]+Table1[[#This Row],[P (-shock)]]-2*Table1[[#This Row],[Ask Price]])/(2*Table1[[#This Row],[Ask Price]]*($AF$2^2))</f>
        <v>30.611749244815744</v>
      </c>
      <c r="AI244" s="6">
        <f t="shared" si="13"/>
        <v>7.8516046717047802E-2</v>
      </c>
      <c r="AK244" s="47">
        <f>RATE(Table1[[#This Row],[Total No. of Coupons]],Table1[[#This Row],[Coupon Amount]],-Table1[[#This Row],[Ask Price]],Table1[[#This Row],[Face value]])</f>
        <v>7.7218577541223299E-2</v>
      </c>
      <c r="AL244" s="27">
        <f>Table1[[#This Row],[IRR]]*Table1[[#This Row],[Coupon Frequency2]]</f>
        <v>7.7218577541223299E-2</v>
      </c>
      <c r="AM244" s="5">
        <f t="shared" si="14"/>
        <v>-6880.9150867477665</v>
      </c>
      <c r="AN244" t="s">
        <v>64</v>
      </c>
      <c r="AO244" t="s">
        <v>62</v>
      </c>
      <c r="AP244">
        <f t="shared" si="15"/>
        <v>1</v>
      </c>
    </row>
    <row r="245" spans="1:42" x14ac:dyDescent="0.35">
      <c r="A245" s="48" t="s">
        <v>1895</v>
      </c>
      <c r="B245" s="49" t="s">
        <v>2524</v>
      </c>
      <c r="C245" s="49" t="s">
        <v>2273</v>
      </c>
      <c r="D245" s="50">
        <v>45377</v>
      </c>
      <c r="E245" s="50">
        <v>46107</v>
      </c>
      <c r="F245" s="49">
        <v>1000</v>
      </c>
      <c r="G245" s="49" t="s">
        <v>76</v>
      </c>
      <c r="H245" s="49">
        <v>1034</v>
      </c>
      <c r="I245" s="49" t="s">
        <v>76</v>
      </c>
      <c r="J245" s="49">
        <v>103.4</v>
      </c>
      <c r="K245" s="49">
        <v>46</v>
      </c>
      <c r="L245" s="51">
        <v>9.6500000000000002E-2</v>
      </c>
      <c r="M245" s="49" t="s">
        <v>93</v>
      </c>
      <c r="N245" s="49">
        <v>190</v>
      </c>
      <c r="O245" s="49">
        <v>9.3326885880077306</v>
      </c>
      <c r="P245" s="49" t="s">
        <v>2279</v>
      </c>
      <c r="Q245" s="49"/>
      <c r="R245" s="49" t="s">
        <v>2275</v>
      </c>
      <c r="S245">
        <f t="shared" si="12"/>
        <v>2</v>
      </c>
      <c r="T245" s="5" cm="1">
        <f t="array" ref="T2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5">
        <f>Table1[[#This Row],[Term to Maturity (Years)]]*Table1[[#This Row],[Coupon Frequency2]]</f>
        <v>2</v>
      </c>
      <c r="V245">
        <f>Table1[[#This Row],[Face value]]*Table1[[#This Row],[Current coupon %]]</f>
        <v>96.5</v>
      </c>
      <c r="W245" s="36">
        <f>RATE(Table1[[#This Row],[Total No. of Coupons]],Table1[[#This Row],[Coupon Amount]],-Table1[[#This Row],[Ask Price]],Table1[[#This Row],[Face value]])</f>
        <v>7.7499196676627302E-2</v>
      </c>
      <c r="X245" s="27">
        <f>Table1[[#This Row],[IRR]]*Table1[[#This Row],[Coupon Frequency2]]</f>
        <v>7.7499196676627302E-2</v>
      </c>
      <c r="Y245" s="19" cm="1">
        <f t="array" ref="Y2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5" s="33">
        <f>DURATION(Table1[[#This Row],[Issue date]],Table1[[#This Row],[Maturity date]],Table1[[#This Row],[Current coupon %]],Table1[[#This Row],[Yield (Annualised)]],Table1[[#This Row],[Coupon Frequency2]])</f>
        <v>1.9133856561861675</v>
      </c>
      <c r="AA245" s="33">
        <f>Table1[[#This Row],[Macaulay Duration in Years]]/(1+Table1[[#This Row],[IRR]])</f>
        <v>1.7757652739674397</v>
      </c>
      <c r="AB245" s="58">
        <f>VLOOKUP(Table1[[#This Row],[Yield Cluster]],'Cluster Details'!$B$3:$C$16,2,0)</f>
        <v>7.8548801574189142E-2</v>
      </c>
      <c r="AC245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1032.0755470409078</v>
      </c>
      <c r="AD245" s="58" t="str">
        <f>IF(Table1[[#This Row],[Ask Price]]&gt;Table1[[#This Row],[Calculated Bond Price]],"Rich","Cheap")</f>
        <v>Rich</v>
      </c>
      <c r="AE2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1015.8872854776611</v>
      </c>
      <c r="AF2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1052.6162949972686</v>
      </c>
      <c r="AG245" s="78">
        <f>(Table1[[#This Row],[P (+ shock)]]+Table1[[#This Row],[P (-shock)]]-2*Table1[[#This Row],[Ask Price]])/(2*Table1[[#This Row],[Ask Price]]*($AF$2^2))</f>
        <v>2.4351086795432755</v>
      </c>
      <c r="AH245">
        <v>6.2564251258665697</v>
      </c>
      <c r="AI245" s="6">
        <f t="shared" si="13"/>
        <v>9.332688588007737E-2</v>
      </c>
      <c r="AK245" s="47">
        <f>RATE(Table1[[#This Row],[Total No. of Coupons]],Table1[[#This Row],[Coupon Amount]],-Table1[[#This Row],[Ask Price]],Table1[[#This Row],[Face value]])</f>
        <v>7.7499196676627302E-2</v>
      </c>
      <c r="AL245" s="27">
        <f>Table1[[#This Row],[IRR]]*Table1[[#This Row],[Coupon Frequency2]]</f>
        <v>7.7499196676627302E-2</v>
      </c>
      <c r="AM245" s="5">
        <f t="shared" si="14"/>
        <v>-1836.1412932823325</v>
      </c>
      <c r="AN245" t="s">
        <v>64</v>
      </c>
      <c r="AO245" t="s">
        <v>62</v>
      </c>
      <c r="AP245">
        <f t="shared" si="15"/>
        <v>1</v>
      </c>
    </row>
    <row r="246" spans="1:42" x14ac:dyDescent="0.35">
      <c r="A246" s="48" t="s">
        <v>1799</v>
      </c>
      <c r="B246" s="49" t="s">
        <v>2525</v>
      </c>
      <c r="C246" s="49" t="s">
        <v>2273</v>
      </c>
      <c r="D246" s="50">
        <v>45050</v>
      </c>
      <c r="E246" s="50">
        <v>46177</v>
      </c>
      <c r="F246" s="49">
        <v>1000</v>
      </c>
      <c r="G246" s="49" t="s">
        <v>76</v>
      </c>
      <c r="H246" s="49">
        <v>1014</v>
      </c>
      <c r="I246" s="49" t="s">
        <v>76</v>
      </c>
      <c r="J246" s="49">
        <v>101.4</v>
      </c>
      <c r="K246" s="49">
        <v>100</v>
      </c>
      <c r="L246" s="51">
        <v>8.3000000000000004E-2</v>
      </c>
      <c r="M246" s="49" t="s">
        <v>93</v>
      </c>
      <c r="N246" s="49">
        <v>260</v>
      </c>
      <c r="O246" s="49">
        <v>8.1854043392504892</v>
      </c>
      <c r="P246" s="49"/>
      <c r="Q246" s="49"/>
      <c r="R246" s="49" t="s">
        <v>2275</v>
      </c>
      <c r="S246">
        <f t="shared" si="12"/>
        <v>3</v>
      </c>
      <c r="T246" s="5" cm="1">
        <f t="array" ref="T2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6">
        <f>Table1[[#This Row],[Term to Maturity (Years)]]*Table1[[#This Row],[Coupon Frequency2]]</f>
        <v>3</v>
      </c>
      <c r="V246">
        <f>Table1[[#This Row],[Face value]]*Table1[[#This Row],[Current coupon %]]</f>
        <v>83</v>
      </c>
      <c r="W246" s="36">
        <f>RATE(Table1[[#This Row],[Total No. of Coupons]],Table1[[#This Row],[Coupon Amount]],-Table1[[#This Row],[Ask Price]],Table1[[#This Row],[Face value]])</f>
        <v>7.7591127283456809E-2</v>
      </c>
      <c r="X246" s="27">
        <f>Table1[[#This Row],[IRR]]*Table1[[#This Row],[Coupon Frequency2]]</f>
        <v>7.7591127283456809E-2</v>
      </c>
      <c r="Y246" s="19" cm="1">
        <f t="array" ref="Y2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6" s="33">
        <f>DURATION(Table1[[#This Row],[Issue date]],Table1[[#This Row],[Maturity date]],Table1[[#This Row],[Current coupon %]],Table1[[#This Row],[Yield (Annualised)]],Table1[[#This Row],[Coupon Frequency2]])</f>
        <v>2.650767320708316</v>
      </c>
      <c r="AA246" s="33">
        <f>Table1[[#This Row],[Macaulay Duration in Years]]/(1+Table1[[#This Row],[IRR]])</f>
        <v>2.459900841417229</v>
      </c>
      <c r="AB246" s="58">
        <f>VLOOKUP(Table1[[#This Row],[Yield Cluster]],'Cluster Details'!$B$3:$C$16,2,0)</f>
        <v>7.8548801574189142E-2</v>
      </c>
      <c r="AC246" s="78">
        <f>PRICE(Table1[[#This Row],[Issue date]],Table1[[#This Row],[Maturity date]],Table1[[#This Row],[Current coupon %]],Table1[[#This Row],[Average Cluster Yield]],100,Table1[[#This Row],[Coupon Frequency2]])*Table1[[#This Row],[Face value]]/100</f>
        <v>1011.5427680397007</v>
      </c>
      <c r="AD246" s="58" t="str">
        <f>IF(Table1[[#This Row],[Ask Price]]&gt;Table1[[#This Row],[Calculated Bond Price]],"Rich","Cheap")</f>
        <v>Rich</v>
      </c>
      <c r="AE2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987.77506215866686</v>
      </c>
      <c r="AF2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1041.4255493541755</v>
      </c>
      <c r="AG246" s="78">
        <f>(Table1[[#This Row],[P (+ shock)]]+Table1[[#This Row],[P (-shock)]]-2*Table1[[#This Row],[Ask Price]])/(2*Table1[[#This Row],[Ask Price]]*($AF$2^2))</f>
        <v>5.9201751126353184</v>
      </c>
      <c r="AH246">
        <v>6.4642564642564597</v>
      </c>
      <c r="AI246" s="6">
        <f t="shared" si="13"/>
        <v>8.1854043392504933E-2</v>
      </c>
      <c r="AK246" s="47">
        <f>RATE(Table1[[#This Row],[Total No. of Coupons]],Table1[[#This Row],[Coupon Amount]],-Table1[[#This Row],[Ask Price]],Table1[[#This Row],[Face value]])</f>
        <v>7.7591127283456809E-2</v>
      </c>
      <c r="AL246" s="27">
        <f>Table1[[#This Row],[IRR]]*Table1[[#This Row],[Coupon Frequency2]]</f>
        <v>7.7591127283456809E-2</v>
      </c>
      <c r="AM246" s="5">
        <f t="shared" si="14"/>
        <v>-2494.3394531970703</v>
      </c>
      <c r="AN246" t="s">
        <v>64</v>
      </c>
      <c r="AO246" t="s">
        <v>62</v>
      </c>
      <c r="AP246">
        <f t="shared" si="15"/>
        <v>1</v>
      </c>
    </row>
    <row r="247" spans="1:42" x14ac:dyDescent="0.35">
      <c r="A247" s="48" t="s">
        <v>854</v>
      </c>
      <c r="B247" s="49" t="s">
        <v>2526</v>
      </c>
      <c r="C247" s="49" t="s">
        <v>2273</v>
      </c>
      <c r="D247" s="50">
        <v>43372</v>
      </c>
      <c r="E247" s="50">
        <v>47025</v>
      </c>
      <c r="F247" s="49">
        <v>1000</v>
      </c>
      <c r="G247" s="49" t="s">
        <v>76</v>
      </c>
      <c r="H247" s="49">
        <v>1135</v>
      </c>
      <c r="I247" s="49" t="s">
        <v>76</v>
      </c>
      <c r="J247" s="49">
        <v>113.5</v>
      </c>
      <c r="K247" s="49">
        <v>100</v>
      </c>
      <c r="L247" s="51">
        <v>9.7500000000000003E-2</v>
      </c>
      <c r="M247" s="49" t="s">
        <v>93</v>
      </c>
      <c r="N247" s="49">
        <v>1108</v>
      </c>
      <c r="O247" s="49">
        <v>8.5903083700440508</v>
      </c>
      <c r="P247" s="49"/>
      <c r="Q247" s="49"/>
      <c r="R247" s="49" t="s">
        <v>2275</v>
      </c>
      <c r="S247">
        <f t="shared" si="12"/>
        <v>10</v>
      </c>
      <c r="T247" s="5" cm="1">
        <f t="array" ref="T2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7">
        <f>Table1[[#This Row],[Term to Maturity (Years)]]*Table1[[#This Row],[Coupon Frequency2]]</f>
        <v>10</v>
      </c>
      <c r="V247">
        <f>Table1[[#This Row],[Face value]]*Table1[[#This Row],[Current coupon %]]</f>
        <v>97.5</v>
      </c>
      <c r="W247" s="36">
        <f>RATE(Table1[[#This Row],[Total No. of Coupons]],Table1[[#This Row],[Coupon Amount]],-Table1[[#This Row],[Ask Price]],Table1[[#This Row],[Face value]])</f>
        <v>7.7598412985527332E-2</v>
      </c>
      <c r="X247" s="27">
        <f>Table1[[#This Row],[IRR]]*Table1[[#This Row],[Coupon Frequency2]]</f>
        <v>7.7598412985527332E-2</v>
      </c>
      <c r="Y247" s="19" cm="1">
        <f t="array" ref="Y2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7" s="33">
        <f>DURATION(Table1[[#This Row],[Issue date]],Table1[[#This Row],[Maturity date]],Table1[[#This Row],[Current coupon %]],Table1[[#This Row],[Yield (Annualised)]],Table1[[#This Row],[Coupon Frequency2]])</f>
        <v>7.0218452788806864</v>
      </c>
      <c r="AA247" s="33">
        <f>Table1[[#This Row],[Macaulay Duration in Years]]/(1+Table1[[#This Row],[IRR]])</f>
        <v>6.5161986081868823</v>
      </c>
      <c r="AB247" s="58">
        <f>VLOOKUP(Table1[[#This Row],[Yield Cluster]],'Cluster Details'!$B$3:$C$16,2,0)</f>
        <v>7.8548801574189142E-2</v>
      </c>
      <c r="AC247" s="78">
        <f>PRICE(Table1[[#This Row],[Issue date]],Table1[[#This Row],[Maturity date]],Table1[[#This Row],[Current coupon %]],Table1[[#This Row],[Average Cluster Yield]],100,Table1[[#This Row],[Coupon Frequency2]])*Table1[[#This Row],[Face value]]/100</f>
        <v>1128.0006692395891</v>
      </c>
      <c r="AD247" s="58" t="str">
        <f>IF(Table1[[#This Row],[Ask Price]]&gt;Table1[[#This Row],[Calculated Bond Price]],"Rich","Cheap")</f>
        <v>Rich</v>
      </c>
      <c r="AE2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1064.2222771198569</v>
      </c>
      <c r="AF2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1212.3676570213595</v>
      </c>
      <c r="AG247" s="78">
        <f>(Table1[[#This Row],[P (+ shock)]]+Table1[[#This Row],[P (-shock)]]-2*Table1[[#This Row],[Ask Price]])/(2*Table1[[#This Row],[Ask Price]]*($AF$2^2))</f>
        <v>29.030546877605364</v>
      </c>
      <c r="AH247">
        <v>10.737177574332399</v>
      </c>
      <c r="AI247" s="6">
        <f t="shared" si="13"/>
        <v>8.590308370044053E-2</v>
      </c>
      <c r="AK247" s="47">
        <f>RATE(Table1[[#This Row],[Total No. of Coupons]],Table1[[#This Row],[Coupon Amount]],-Table1[[#This Row],[Ask Price]],Table1[[#This Row],[Face value]])</f>
        <v>7.7598412985527332E-2</v>
      </c>
      <c r="AL247" s="27">
        <f>Table1[[#This Row],[IRR]]*Table1[[#This Row],[Coupon Frequency2]]</f>
        <v>7.7598412985527332E-2</v>
      </c>
      <c r="AM247" s="5">
        <f t="shared" si="14"/>
        <v>-7395.8854202921111</v>
      </c>
      <c r="AN247" t="s">
        <v>64</v>
      </c>
      <c r="AO247" t="s">
        <v>62</v>
      </c>
      <c r="AP247">
        <f t="shared" si="15"/>
        <v>1</v>
      </c>
    </row>
    <row r="248" spans="1:42" x14ac:dyDescent="0.35">
      <c r="A248" s="48" t="s">
        <v>277</v>
      </c>
      <c r="B248" s="49" t="s">
        <v>2527</v>
      </c>
      <c r="C248" s="49" t="s">
        <v>2273</v>
      </c>
      <c r="D248" s="50">
        <v>44732</v>
      </c>
      <c r="E248" s="50">
        <v>48317</v>
      </c>
      <c r="F248" s="49">
        <v>1000000</v>
      </c>
      <c r="G248" s="49" t="s">
        <v>76</v>
      </c>
      <c r="H248" s="49">
        <v>1002139.8</v>
      </c>
      <c r="I248" s="49" t="s">
        <v>76</v>
      </c>
      <c r="J248" s="49">
        <v>100.21398000000001</v>
      </c>
      <c r="K248" s="49">
        <v>1</v>
      </c>
      <c r="L248" s="51">
        <v>7.8100000000000003E-2</v>
      </c>
      <c r="M248" s="49" t="s">
        <v>93</v>
      </c>
      <c r="N248" s="49">
        <v>2400</v>
      </c>
      <c r="O248" s="49">
        <v>7.7933238456350997</v>
      </c>
      <c r="P248" s="49"/>
      <c r="Q248" s="49"/>
      <c r="R248" s="49" t="s">
        <v>2275</v>
      </c>
      <c r="S248">
        <f t="shared" si="12"/>
        <v>10</v>
      </c>
      <c r="T248" s="5" cm="1">
        <f t="array" ref="T2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8">
        <f>Table1[[#This Row],[Term to Maturity (Years)]]*Table1[[#This Row],[Coupon Frequency2]]</f>
        <v>10</v>
      </c>
      <c r="V248">
        <f>Table1[[#This Row],[Face value]]*Table1[[#This Row],[Current coupon %]]</f>
        <v>78100</v>
      </c>
      <c r="W248" s="36">
        <f>RATE(Table1[[#This Row],[Total No. of Coupons]],Table1[[#This Row],[Coupon Amount]],-Table1[[#This Row],[Ask Price]],Table1[[#This Row],[Face value]])</f>
        <v>7.7784286398845923E-2</v>
      </c>
      <c r="X248" s="27">
        <f>Table1[[#This Row],[IRR]]*Table1[[#This Row],[Coupon Frequency2]]</f>
        <v>7.7784286398845923E-2</v>
      </c>
      <c r="Y248" s="19" cm="1">
        <f t="array" ref="Y2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8" s="33">
        <f>DURATION(Table1[[#This Row],[Issue date]],Table1[[#This Row],[Maturity date]],Table1[[#This Row],[Current coupon %]],Table1[[#This Row],[Yield (Annualised)]],Table1[[#This Row],[Coupon Frequency2]])</f>
        <v>7.1135851965795931</v>
      </c>
      <c r="AA248" s="33">
        <f>Table1[[#This Row],[Macaulay Duration in Years]]/(1+Table1[[#This Row],[IRR]])</f>
        <v>6.6001938294609106</v>
      </c>
      <c r="AB248" s="58">
        <f>VLOOKUP(Table1[[#This Row],[Yield Cluster]],'Cluster Details'!$B$3:$C$16,2,0)</f>
        <v>7.8548801574189142E-2</v>
      </c>
      <c r="AC248" s="78">
        <f>PRICE(Table1[[#This Row],[Issue date]],Table1[[#This Row],[Maturity date]],Table1[[#This Row],[Current coupon %]],Table1[[#This Row],[Average Cluster Yield]],100,Table1[[#This Row],[Coupon Frequency2]])*Table1[[#This Row],[Face value]]/100</f>
        <v>996563.00425129011</v>
      </c>
      <c r="AD248" s="58" t="str">
        <f>IF(Table1[[#This Row],[Ask Price]]&gt;Table1[[#This Row],[Calculated Bond Price]],"Rich","Cheap")</f>
        <v>Rich</v>
      </c>
      <c r="AE2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937496.13812745467</v>
      </c>
      <c r="AF2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1071845.934179411</v>
      </c>
      <c r="AG248" s="78">
        <f>(Table1[[#This Row],[P (+ shock)]]+Table1[[#This Row],[P (-shock)]]-2*Table1[[#This Row],[Ask Price]])/(2*Table1[[#This Row],[Ask Price]]*($AF$2^2))</f>
        <v>25.258313794471253</v>
      </c>
      <c r="AH248">
        <v>12.943819453971701</v>
      </c>
      <c r="AI248" s="6">
        <f t="shared" si="13"/>
        <v>7.7933238456351098E-2</v>
      </c>
      <c r="AK248" s="47">
        <f>RATE(Table1[[#This Row],[Total No. of Coupons]],Table1[[#This Row],[Coupon Amount]],-Table1[[#This Row],[Ask Price]],Table1[[#This Row],[Face value]])</f>
        <v>7.7784286398845923E-2</v>
      </c>
      <c r="AL248" s="27">
        <f>Table1[[#This Row],[IRR]]*Table1[[#This Row],[Coupon Frequency2]]</f>
        <v>7.7784286398845923E-2</v>
      </c>
      <c r="AM248" s="5">
        <f t="shared" si="14"/>
        <v>-6614316.9242171915</v>
      </c>
      <c r="AN248" t="s">
        <v>64</v>
      </c>
      <c r="AO248" t="s">
        <v>62</v>
      </c>
      <c r="AP248">
        <f t="shared" si="15"/>
        <v>1</v>
      </c>
    </row>
    <row r="249" spans="1:42" x14ac:dyDescent="0.35">
      <c r="A249" s="48" t="s">
        <v>233</v>
      </c>
      <c r="B249" s="49" t="s">
        <v>2528</v>
      </c>
      <c r="C249" s="49" t="s">
        <v>2273</v>
      </c>
      <c r="D249" s="50">
        <v>45049</v>
      </c>
      <c r="E249" s="50">
        <v>48702</v>
      </c>
      <c r="F249" s="49">
        <v>100000</v>
      </c>
      <c r="G249" s="49" t="s">
        <v>76</v>
      </c>
      <c r="H249" s="49">
        <v>100000</v>
      </c>
      <c r="I249" s="49" t="s">
        <v>76</v>
      </c>
      <c r="J249" s="49">
        <v>100</v>
      </c>
      <c r="K249" s="49">
        <v>20</v>
      </c>
      <c r="L249" s="51">
        <v>7.8E-2</v>
      </c>
      <c r="M249" s="49" t="s">
        <v>93</v>
      </c>
      <c r="N249" s="49">
        <v>2785</v>
      </c>
      <c r="O249" s="49">
        <v>7.8</v>
      </c>
      <c r="P249" s="49" t="s">
        <v>2274</v>
      </c>
      <c r="Q249" s="49"/>
      <c r="R249" s="49" t="s">
        <v>2275</v>
      </c>
      <c r="S249">
        <f t="shared" si="12"/>
        <v>10</v>
      </c>
      <c r="T249" s="5" cm="1">
        <f t="array" ref="T2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49">
        <f>Table1[[#This Row],[Term to Maturity (Years)]]*Table1[[#This Row],[Coupon Frequency2]]</f>
        <v>10</v>
      </c>
      <c r="V249">
        <f>Table1[[#This Row],[Face value]]*Table1[[#This Row],[Current coupon %]]</f>
        <v>7800</v>
      </c>
      <c r="W249" s="36">
        <f>RATE(Table1[[#This Row],[Total No. of Coupons]],Table1[[#This Row],[Coupon Amount]],-Table1[[#This Row],[Ask Price]],Table1[[#This Row],[Face value]])</f>
        <v>7.8000000000028005E-2</v>
      </c>
      <c r="X249" s="27">
        <f>Table1[[#This Row],[IRR]]*Table1[[#This Row],[Coupon Frequency2]]</f>
        <v>7.8000000000028005E-2</v>
      </c>
      <c r="Y249" s="19" cm="1">
        <f t="array" ref="Y2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49" s="33">
        <f>DURATION(Table1[[#This Row],[Issue date]],Table1[[#This Row],[Maturity date]],Table1[[#This Row],[Current coupon %]],Table1[[#This Row],[Yield (Annualised)]],Table1[[#This Row],[Coupon Frequency2]])</f>
        <v>7.2991772314346468</v>
      </c>
      <c r="AA249" s="33">
        <f>Table1[[#This Row],[Macaulay Duration in Years]]/(1+Table1[[#This Row],[IRR]])</f>
        <v>6.7710363927963426</v>
      </c>
      <c r="AB249" s="58">
        <f>VLOOKUP(Table1[[#This Row],[Yield Cluster]],'Cluster Details'!$B$3:$C$16,2,0)</f>
        <v>7.8548801574189142E-2</v>
      </c>
      <c r="AC249" s="78">
        <f>PRICE(Table1[[#This Row],[Issue date]],Table1[[#This Row],[Maturity date]],Table1[[#This Row],[Current coupon %]],Table1[[#This Row],[Average Cluster Yield]],100,Table1[[#This Row],[Coupon Frequency2]])*Table1[[#This Row],[Face value]]/100</f>
        <v>99629.327036752118</v>
      </c>
      <c r="AD249" s="58" t="str">
        <f>IF(Table1[[#This Row],[Ask Price]]&gt;Table1[[#This Row],[Calculated Bond Price]],"Rich","Cheap")</f>
        <v>Rich</v>
      </c>
      <c r="AE2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93525.457489277425</v>
      </c>
      <c r="AF2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107088.9769780544</v>
      </c>
      <c r="AG249" s="78">
        <f>(Table1[[#This Row],[P (+ shock)]]+Table1[[#This Row],[P (-shock)]]-2*Table1[[#This Row],[Ask Price]])/(2*Table1[[#This Row],[Ask Price]]*($AF$2^2))</f>
        <v>30.721723366591323</v>
      </c>
      <c r="AH249">
        <v>7.7289914499216801</v>
      </c>
      <c r="AI249" s="6">
        <f t="shared" si="13"/>
        <v>7.8E-2</v>
      </c>
      <c r="AK249" s="47">
        <f>RATE(Table1[[#This Row],[Total No. of Coupons]],Table1[[#This Row],[Coupon Amount]],-Table1[[#This Row],[Ask Price]],Table1[[#This Row],[Face value]])</f>
        <v>7.8000000000028005E-2</v>
      </c>
      <c r="AL249" s="27">
        <f>Table1[[#This Row],[IRR]]*Table1[[#This Row],[Coupon Frequency2]]</f>
        <v>7.8000000000028005E-2</v>
      </c>
      <c r="AM249" s="5">
        <f t="shared" si="14"/>
        <v>-677103.63927963423</v>
      </c>
      <c r="AN249" t="s">
        <v>64</v>
      </c>
      <c r="AO249" t="s">
        <v>62</v>
      </c>
      <c r="AP249">
        <f t="shared" si="15"/>
        <v>1</v>
      </c>
    </row>
    <row r="250" spans="1:42" x14ac:dyDescent="0.35">
      <c r="A250" s="48" t="s">
        <v>1929</v>
      </c>
      <c r="B250" s="49" t="s">
        <v>2529</v>
      </c>
      <c r="C250" s="49" t="s">
        <v>2273</v>
      </c>
      <c r="D250" s="50">
        <v>45352</v>
      </c>
      <c r="E250" s="50">
        <v>46082</v>
      </c>
      <c r="F250" s="49">
        <v>1000</v>
      </c>
      <c r="G250" s="49" t="s">
        <v>76</v>
      </c>
      <c r="H250" s="49">
        <v>1030.2</v>
      </c>
      <c r="I250" s="49" t="s">
        <v>76</v>
      </c>
      <c r="J250" s="49">
        <v>103.02</v>
      </c>
      <c r="K250" s="49">
        <v>1</v>
      </c>
      <c r="L250" s="51">
        <v>9.5000000000000001E-2</v>
      </c>
      <c r="M250" s="49" t="s">
        <v>93</v>
      </c>
      <c r="N250" s="49">
        <v>165</v>
      </c>
      <c r="O250" s="49">
        <v>9.2215103863327492</v>
      </c>
      <c r="P250" s="49"/>
      <c r="Q250" s="49"/>
      <c r="R250" s="49" t="s">
        <v>2275</v>
      </c>
      <c r="S250">
        <f t="shared" si="12"/>
        <v>2</v>
      </c>
      <c r="T250" s="5" cm="1">
        <f t="array" ref="T2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0">
        <f>Table1[[#This Row],[Term to Maturity (Years)]]*Table1[[#This Row],[Coupon Frequency2]]</f>
        <v>2</v>
      </c>
      <c r="V250">
        <f>Table1[[#This Row],[Face value]]*Table1[[#This Row],[Current coupon %]]</f>
        <v>95</v>
      </c>
      <c r="W250" s="36">
        <f>RATE(Table1[[#This Row],[Total No. of Coupons]],Table1[[#This Row],[Coupon Amount]],-Table1[[#This Row],[Ask Price]],Table1[[#This Row],[Face value]])</f>
        <v>7.8108673071054485E-2</v>
      </c>
      <c r="X250" s="27">
        <f>Table1[[#This Row],[IRR]]*Table1[[#This Row],[Coupon Frequency2]]</f>
        <v>7.8108673071054485E-2</v>
      </c>
      <c r="Y250" s="19" cm="1">
        <f t="array" ref="Y2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0" s="33">
        <f>DURATION(Table1[[#This Row],[Issue date]],Table1[[#This Row],[Maturity date]],Table1[[#This Row],[Current coupon %]],Table1[[#This Row],[Yield (Annualised)]],Table1[[#This Row],[Coupon Frequency2]])</f>
        <v>1.9144658547262701</v>
      </c>
      <c r="AA250" s="33">
        <f>Table1[[#This Row],[Macaulay Duration in Years]]/(1+Table1[[#This Row],[IRR]])</f>
        <v>1.775763336800551</v>
      </c>
      <c r="AB250" s="58">
        <f>VLOOKUP(Table1[[#This Row],[Yield Cluster]],'Cluster Details'!$B$3:$C$16,2,0)</f>
        <v>7.8548801574189142E-2</v>
      </c>
      <c r="AC250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1029.3953181547861</v>
      </c>
      <c r="AD250" s="58" t="str">
        <f>IF(Table1[[#This Row],[Ask Price]]&gt;Table1[[#This Row],[Calculated Bond Price]],"Rich","Cheap")</f>
        <v>Rich</v>
      </c>
      <c r="AE2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1012.1537810113821</v>
      </c>
      <c r="AF2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1048.7477646169457</v>
      </c>
      <c r="AG250" s="78">
        <f>(Table1[[#This Row],[P (+ shock)]]+Table1[[#This Row],[P (-shock)]]-2*Table1[[#This Row],[Ask Price]])/(2*Table1[[#This Row],[Ask Price]]*($AF$2^2))</f>
        <v>2.4342148530755008</v>
      </c>
      <c r="AH250">
        <v>12.0470689035681</v>
      </c>
      <c r="AI250" s="6">
        <f t="shared" si="13"/>
        <v>9.2215103863327499E-2</v>
      </c>
      <c r="AK250" s="47">
        <f>RATE(Table1[[#This Row],[Total No. of Coupons]],Table1[[#This Row],[Coupon Amount]],-Table1[[#This Row],[Ask Price]],Table1[[#This Row],[Face value]])</f>
        <v>7.8108673071054485E-2</v>
      </c>
      <c r="AL250" s="27">
        <f>Table1[[#This Row],[IRR]]*Table1[[#This Row],[Coupon Frequency2]]</f>
        <v>7.8108673071054485E-2</v>
      </c>
      <c r="AM250" s="5">
        <f t="shared" si="14"/>
        <v>-1829.3913895719277</v>
      </c>
      <c r="AN250" t="s">
        <v>64</v>
      </c>
      <c r="AO250" t="s">
        <v>62</v>
      </c>
      <c r="AP250">
        <f t="shared" si="15"/>
        <v>1</v>
      </c>
    </row>
    <row r="251" spans="1:42" x14ac:dyDescent="0.35">
      <c r="A251" s="48" t="s">
        <v>1506</v>
      </c>
      <c r="B251" s="49" t="s">
        <v>2530</v>
      </c>
      <c r="C251" s="49" t="s">
        <v>2273</v>
      </c>
      <c r="D251" s="50">
        <v>45267</v>
      </c>
      <c r="E251" s="50">
        <v>46363</v>
      </c>
      <c r="F251" s="49">
        <v>1000</v>
      </c>
      <c r="G251" s="49" t="s">
        <v>76</v>
      </c>
      <c r="H251" s="49">
        <v>1017.5</v>
      </c>
      <c r="I251" s="49" t="s">
        <v>76</v>
      </c>
      <c r="J251" s="49">
        <v>101.75</v>
      </c>
      <c r="K251" s="49">
        <v>12</v>
      </c>
      <c r="L251" s="51">
        <v>8.5000000000000006E-2</v>
      </c>
      <c r="M251" s="49" t="s">
        <v>93</v>
      </c>
      <c r="N251" s="49">
        <v>446</v>
      </c>
      <c r="O251" s="49">
        <v>8.3538083538083505</v>
      </c>
      <c r="P251" s="49"/>
      <c r="Q251" s="49"/>
      <c r="R251" s="49" t="s">
        <v>2275</v>
      </c>
      <c r="S251">
        <f t="shared" si="12"/>
        <v>3</v>
      </c>
      <c r="T251" s="5" cm="1">
        <f t="array" ref="T2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1">
        <f>Table1[[#This Row],[Term to Maturity (Years)]]*Table1[[#This Row],[Coupon Frequency2]]</f>
        <v>3</v>
      </c>
      <c r="V251">
        <f>Table1[[#This Row],[Face value]]*Table1[[#This Row],[Current coupon %]]</f>
        <v>85</v>
      </c>
      <c r="W251" s="36">
        <f>RATE(Table1[[#This Row],[Total No. of Coupons]],Table1[[#This Row],[Coupon Amount]],-Table1[[#This Row],[Ask Price]],Table1[[#This Row],[Face value]])</f>
        <v>7.8231077106988511E-2</v>
      </c>
      <c r="X251" s="27">
        <f>Table1[[#This Row],[IRR]]*Table1[[#This Row],[Coupon Frequency2]]</f>
        <v>7.8231077106988511E-2</v>
      </c>
      <c r="Y251" s="19" cm="1">
        <f t="array" ref="Y2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1" s="33">
        <f>DURATION(Table1[[#This Row],[Issue date]],Table1[[#This Row],[Maturity date]],Table1[[#This Row],[Current coupon %]],Table1[[#This Row],[Yield (Annualised)]],Table1[[#This Row],[Coupon Frequency2]])</f>
        <v>2.7731904148334343</v>
      </c>
      <c r="AA251" s="33">
        <f>Table1[[#This Row],[Macaulay Duration in Years]]/(1+Table1[[#This Row],[IRR]])</f>
        <v>2.5719815294827213</v>
      </c>
      <c r="AB251" s="58">
        <f>VLOOKUP(Table1[[#This Row],[Yield Cluster]],'Cluster Details'!$B$3:$C$16,2,0)</f>
        <v>7.8548801574189142E-2</v>
      </c>
      <c r="AC251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1016.668994467577</v>
      </c>
      <c r="AD251" s="58" t="str">
        <f>IF(Table1[[#This Row],[Ask Price]]&gt;Table1[[#This Row],[Calculated Bond Price]],"Rich","Cheap")</f>
        <v>Rich</v>
      </c>
      <c r="AE2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991.79533828441765</v>
      </c>
      <c r="AF2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1044.1495671982284</v>
      </c>
      <c r="AG251" s="78">
        <f>(Table1[[#This Row],[P (+ shock)]]+Table1[[#This Row],[P (-shock)]]-2*Table1[[#This Row],[Ask Price]])/(2*Table1[[#This Row],[Ask Price]]*($AF$2^2))</f>
        <v>4.6432701849923141</v>
      </c>
      <c r="AH251">
        <v>16.881543455401602</v>
      </c>
      <c r="AI251" s="6">
        <f t="shared" si="13"/>
        <v>8.3538083538083535E-2</v>
      </c>
      <c r="AK251" s="47">
        <f>RATE(Table1[[#This Row],[Total No. of Coupons]],Table1[[#This Row],[Coupon Amount]],-Table1[[#This Row],[Ask Price]],Table1[[#This Row],[Face value]])</f>
        <v>7.8231077106988511E-2</v>
      </c>
      <c r="AL251" s="27">
        <f>Table1[[#This Row],[IRR]]*Table1[[#This Row],[Coupon Frequency2]]</f>
        <v>7.8231077106988511E-2</v>
      </c>
      <c r="AM251" s="5">
        <f t="shared" si="14"/>
        <v>-2616.9912062486687</v>
      </c>
      <c r="AN251" t="s">
        <v>64</v>
      </c>
      <c r="AO251" t="s">
        <v>62</v>
      </c>
      <c r="AP251">
        <f t="shared" si="15"/>
        <v>1</v>
      </c>
    </row>
    <row r="252" spans="1:42" x14ac:dyDescent="0.35">
      <c r="A252" s="48" t="s">
        <v>273</v>
      </c>
      <c r="B252" s="49" t="s">
        <v>2531</v>
      </c>
      <c r="C252" s="49" t="s">
        <v>2273</v>
      </c>
      <c r="D252" s="50">
        <v>44686</v>
      </c>
      <c r="E252" s="50">
        <v>48339</v>
      </c>
      <c r="F252" s="49">
        <v>1000</v>
      </c>
      <c r="G252" s="49" t="s">
        <v>76</v>
      </c>
      <c r="H252" s="49">
        <v>975</v>
      </c>
      <c r="I252" s="49" t="s">
        <v>76</v>
      </c>
      <c r="J252" s="49">
        <v>97.5</v>
      </c>
      <c r="K252" s="49">
        <v>40</v>
      </c>
      <c r="L252" s="51">
        <v>7.4999999999999997E-2</v>
      </c>
      <c r="M252" s="49" t="s">
        <v>93</v>
      </c>
      <c r="N252" s="49">
        <v>2422</v>
      </c>
      <c r="O252" s="49">
        <v>7.6923076923076898</v>
      </c>
      <c r="P252" s="49" t="s">
        <v>2285</v>
      </c>
      <c r="Q252" s="49"/>
      <c r="R252" s="49" t="s">
        <v>2275</v>
      </c>
      <c r="S252">
        <f t="shared" si="12"/>
        <v>10</v>
      </c>
      <c r="T252" s="5" cm="1">
        <f t="array" ref="T2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2">
        <f>Table1[[#This Row],[Term to Maturity (Years)]]*Table1[[#This Row],[Coupon Frequency2]]</f>
        <v>10</v>
      </c>
      <c r="V252">
        <f>Table1[[#This Row],[Face value]]*Table1[[#This Row],[Current coupon %]]</f>
        <v>75</v>
      </c>
      <c r="W252" s="36">
        <f>RATE(Table1[[#This Row],[Total No. of Coupons]],Table1[[#This Row],[Coupon Amount]],-Table1[[#This Row],[Ask Price]],Table1[[#This Row],[Face value]])</f>
        <v>7.8703987057019698E-2</v>
      </c>
      <c r="X252" s="27">
        <f>Table1[[#This Row],[IRR]]*Table1[[#This Row],[Coupon Frequency2]]</f>
        <v>7.8703987057019698E-2</v>
      </c>
      <c r="Y252" s="19" cm="1">
        <f t="array" ref="Y2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2" s="33">
        <f>DURATION(Table1[[#This Row],[Issue date]],Table1[[#This Row],[Maturity date]],Table1[[#This Row],[Current coupon %]],Table1[[#This Row],[Yield (Annualised)]],Table1[[#This Row],[Coupon Frequency2]])</f>
        <v>7.3422272086989491</v>
      </c>
      <c r="AA252" s="33">
        <f>Table1[[#This Row],[Macaulay Duration in Years]]/(1+Table1[[#This Row],[IRR]])</f>
        <v>6.8065264398720009</v>
      </c>
      <c r="AB252" s="58">
        <f>VLOOKUP(Table1[[#This Row],[Yield Cluster]],'Cluster Details'!$B$3:$C$16,2,0)</f>
        <v>7.8548801574189142E-2</v>
      </c>
      <c r="AC252" s="78">
        <f>PRICE(Table1[[#This Row],[Issue date]],Table1[[#This Row],[Maturity date]],Table1[[#This Row],[Current coupon %]],Table1[[#This Row],[Average Cluster Yield]],100,Table1[[#This Row],[Coupon Frequency2]])*Table1[[#This Row],[Face value]]/100</f>
        <v>976.0305936179725</v>
      </c>
      <c r="AD252" s="58" t="str">
        <f>IF(Table1[[#This Row],[Ask Price]]&gt;Table1[[#This Row],[Calculated Bond Price]],"Rich","Cheap")</f>
        <v>Cheap</v>
      </c>
      <c r="AE2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911.54856853880801</v>
      </c>
      <c r="AF2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1044.4866976353444</v>
      </c>
      <c r="AG252" s="78">
        <f>(Table1[[#This Row],[P (+ shock)]]+Table1[[#This Row],[P (-shock)]]-2*Table1[[#This Row],[Ask Price]])/(2*Table1[[#This Row],[Ask Price]]*($AF$2^2))</f>
        <v>30.950082944371342</v>
      </c>
      <c r="AH252">
        <v>14.1530212295532</v>
      </c>
      <c r="AI252" s="6">
        <f t="shared" si="13"/>
        <v>7.6923076923076927E-2</v>
      </c>
      <c r="AK252" s="47">
        <f>RATE(Table1[[#This Row],[Total No. of Coupons]],Table1[[#This Row],[Coupon Amount]],-Table1[[#This Row],[Ask Price]],Table1[[#This Row],[Face value]])</f>
        <v>7.8703987057019698E-2</v>
      </c>
      <c r="AL252" s="27">
        <f>Table1[[#This Row],[IRR]]*Table1[[#This Row],[Coupon Frequency2]]</f>
        <v>7.8703987057019698E-2</v>
      </c>
      <c r="AM252" s="5">
        <f t="shared" si="14"/>
        <v>-6636.3632788752011</v>
      </c>
      <c r="AN252" t="s">
        <v>64</v>
      </c>
      <c r="AO252" t="s">
        <v>62</v>
      </c>
      <c r="AP252">
        <f t="shared" si="15"/>
        <v>1</v>
      </c>
    </row>
    <row r="253" spans="1:42" x14ac:dyDescent="0.35">
      <c r="A253" s="48" t="s">
        <v>1590</v>
      </c>
      <c r="B253" s="49" t="s">
        <v>2532</v>
      </c>
      <c r="C253" s="49" t="s">
        <v>2273</v>
      </c>
      <c r="D253" s="50">
        <v>42643</v>
      </c>
      <c r="E253" s="50">
        <v>46295</v>
      </c>
      <c r="F253" s="49">
        <v>1000000</v>
      </c>
      <c r="G253" s="49" t="s">
        <v>76</v>
      </c>
      <c r="H253" s="49">
        <v>1008000</v>
      </c>
      <c r="I253" s="49" t="s">
        <v>76</v>
      </c>
      <c r="J253" s="49">
        <v>100.8</v>
      </c>
      <c r="K253" s="49">
        <v>1</v>
      </c>
      <c r="L253" s="51">
        <v>0.08</v>
      </c>
      <c r="M253" s="49" t="s">
        <v>93</v>
      </c>
      <c r="N253" s="49">
        <v>378</v>
      </c>
      <c r="O253" s="49">
        <v>7.9365079365079296</v>
      </c>
      <c r="P253" s="49"/>
      <c r="Q253" s="49"/>
      <c r="R253" s="49" t="s">
        <v>2275</v>
      </c>
      <c r="S253">
        <f t="shared" si="12"/>
        <v>10</v>
      </c>
      <c r="T253" s="5" cm="1">
        <f t="array" ref="T2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3">
        <f>Table1[[#This Row],[Term to Maturity (Years)]]*Table1[[#This Row],[Coupon Frequency2]]</f>
        <v>10</v>
      </c>
      <c r="V253">
        <f>Table1[[#This Row],[Face value]]*Table1[[#This Row],[Current coupon %]]</f>
        <v>80000</v>
      </c>
      <c r="W253" s="36">
        <f>RATE(Table1[[#This Row],[Total No. of Coupons]],Table1[[#This Row],[Coupon Amount]],-Table1[[#This Row],[Ask Price]],Table1[[#This Row],[Face value]])</f>
        <v>7.8814133342893999E-2</v>
      </c>
      <c r="X253" s="27">
        <f>Table1[[#This Row],[IRR]]*Table1[[#This Row],[Coupon Frequency2]]</f>
        <v>7.8814133342893999E-2</v>
      </c>
      <c r="Y253" s="19" cm="1">
        <f t="array" ref="Y2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3" s="33">
        <f>DURATION(Table1[[#This Row],[Issue date]],Table1[[#This Row],[Maturity date]],Table1[[#This Row],[Current coupon %]],Table1[[#This Row],[Yield (Annualised)]],Table1[[#This Row],[Coupon Frequency2]])</f>
        <v>7.25878139770112</v>
      </c>
      <c r="AA253" s="33">
        <f>Table1[[#This Row],[Macaulay Duration in Years]]/(1+Table1[[#This Row],[IRR]])</f>
        <v>6.7284819259908266</v>
      </c>
      <c r="AB253" s="58">
        <f>VLOOKUP(Table1[[#This Row],[Yield Cluster]],'Cluster Details'!$B$3:$C$16,2,0)</f>
        <v>7.8548801574189142E-2</v>
      </c>
      <c r="AC253" s="78">
        <f>PRICE(Table1[[#This Row],[Issue date]],Table1[[#This Row],[Maturity date]],Table1[[#This Row],[Current coupon %]],Table1[[#This Row],[Average Cluster Yield]],100,Table1[[#This Row],[Coupon Frequency2]])*Table1[[#This Row],[Face value]]/100</f>
        <v>1009801.7215338874</v>
      </c>
      <c r="AD253" s="58" t="str">
        <f>IF(Table1[[#This Row],[Ask Price]]&gt;Table1[[#This Row],[Calculated Bond Price]],"Rich","Cheap")</f>
        <v>Cheap</v>
      </c>
      <c r="AE2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943137.44778484583</v>
      </c>
      <c r="AF2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1078997.327066432</v>
      </c>
      <c r="AG253" s="78">
        <f>(Table1[[#This Row],[P (+ shock)]]+Table1[[#This Row],[P (-shock)]]-2*Table1[[#This Row],[Ask Price]])/(2*Table1[[#This Row],[Ask Price]]*($AF$2^2))</f>
        <v>30.430430809910394</v>
      </c>
      <c r="AH253">
        <v>7.3871222986004597</v>
      </c>
      <c r="AI253" s="6">
        <f t="shared" si="13"/>
        <v>7.9365079365079361E-2</v>
      </c>
      <c r="AK253" s="47">
        <f>RATE(Table1[[#This Row],[Total No. of Coupons]],Table1[[#This Row],[Coupon Amount]],-Table1[[#This Row],[Ask Price]],Table1[[#This Row],[Face value]])</f>
        <v>7.8814133342893999E-2</v>
      </c>
      <c r="AL253" s="27">
        <f>Table1[[#This Row],[IRR]]*Table1[[#This Row],[Coupon Frequency2]]</f>
        <v>7.8814133342893999E-2</v>
      </c>
      <c r="AM253" s="5">
        <f t="shared" si="14"/>
        <v>-6782309.7813987536</v>
      </c>
      <c r="AN253" t="s">
        <v>64</v>
      </c>
      <c r="AO253" t="s">
        <v>62</v>
      </c>
      <c r="AP253">
        <f t="shared" si="15"/>
        <v>1</v>
      </c>
    </row>
    <row r="254" spans="1:42" x14ac:dyDescent="0.35">
      <c r="A254" s="48" t="s">
        <v>1701</v>
      </c>
      <c r="B254" s="49" t="s">
        <v>2533</v>
      </c>
      <c r="C254" s="49" t="s">
        <v>2273</v>
      </c>
      <c r="D254" s="50">
        <v>45139</v>
      </c>
      <c r="E254" s="50">
        <v>46235</v>
      </c>
      <c r="F254" s="49">
        <v>1000</v>
      </c>
      <c r="G254" s="49" t="s">
        <v>76</v>
      </c>
      <c r="H254" s="49">
        <v>990.01</v>
      </c>
      <c r="I254" s="49" t="s">
        <v>76</v>
      </c>
      <c r="J254" s="49">
        <v>99.000999999999905</v>
      </c>
      <c r="K254" s="49">
        <v>2</v>
      </c>
      <c r="L254" s="51">
        <v>7.4999999999999997E-2</v>
      </c>
      <c r="M254" s="49" t="s">
        <v>93</v>
      </c>
      <c r="N254" s="49">
        <v>318</v>
      </c>
      <c r="O254" s="49">
        <v>7.5756810537267301</v>
      </c>
      <c r="P254" s="49" t="s">
        <v>2282</v>
      </c>
      <c r="Q254" s="49"/>
      <c r="R254" s="49" t="s">
        <v>2275</v>
      </c>
      <c r="S254">
        <f t="shared" si="12"/>
        <v>3</v>
      </c>
      <c r="T254" s="5" cm="1">
        <f t="array" ref="T2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4">
        <f>Table1[[#This Row],[Term to Maturity (Years)]]*Table1[[#This Row],[Coupon Frequency2]]</f>
        <v>3</v>
      </c>
      <c r="V254">
        <f>Table1[[#This Row],[Face value]]*Table1[[#This Row],[Current coupon %]]</f>
        <v>75</v>
      </c>
      <c r="W254" s="36">
        <f>RATE(Table1[[#This Row],[Total No. of Coupons]],Table1[[#This Row],[Coupon Amount]],-Table1[[#This Row],[Ask Price]],Table1[[#This Row],[Face value]])</f>
        <v>7.8868543188803236E-2</v>
      </c>
      <c r="X254" s="27">
        <f>Table1[[#This Row],[IRR]]*Table1[[#This Row],[Coupon Frequency2]]</f>
        <v>7.8868543188803236E-2</v>
      </c>
      <c r="Y254" s="19" cm="1">
        <f t="array" ref="Y2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4" s="33">
        <f>DURATION(Table1[[#This Row],[Issue date]],Table1[[#This Row],[Maturity date]],Table1[[#This Row],[Current coupon %]],Table1[[#This Row],[Yield (Annualised)]],Table1[[#This Row],[Coupon Frequency2]])</f>
        <v>2.7944769251433517</v>
      </c>
      <c r="AA254" s="33">
        <f>Table1[[#This Row],[Macaulay Duration in Years]]/(1+Table1[[#This Row],[IRR]])</f>
        <v>2.5901922368444801</v>
      </c>
      <c r="AB254" s="58">
        <f>VLOOKUP(Table1[[#This Row],[Yield Cluster]],'Cluster Details'!$B$3:$C$16,2,0)</f>
        <v>7.8548801574189142E-2</v>
      </c>
      <c r="AC254" s="78">
        <f>PRICE(Table1[[#This Row],[Issue date]],Table1[[#This Row],[Maturity date]],Table1[[#This Row],[Current coupon %]],Table1[[#This Row],[Average Cluster Yield]],100,Table1[[#This Row],[Coupon Frequency2]])*Table1[[#This Row],[Face value]]/100</f>
        <v>990.83039306774231</v>
      </c>
      <c r="AD254" s="58" t="str">
        <f>IF(Table1[[#This Row],[Ask Price]]&gt;Table1[[#This Row],[Calculated Bond Price]],"Rich","Cheap")</f>
        <v>Cheap</v>
      </c>
      <c r="AE2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964.82371960733985</v>
      </c>
      <c r="AF2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1016.1242017965295</v>
      </c>
      <c r="AG254" s="78">
        <f>(Table1[[#This Row],[P (+ shock)]]+Table1[[#This Row],[P (-shock)]]-2*Table1[[#This Row],[Ask Price]])/(2*Table1[[#This Row],[Ask Price]]*($AF$2^2))</f>
        <v>4.6864243990933279</v>
      </c>
      <c r="AH254">
        <v>12.1058911260253</v>
      </c>
      <c r="AI254" s="6">
        <f t="shared" si="13"/>
        <v>7.5756810537267308E-2</v>
      </c>
      <c r="AK254" s="47">
        <f>RATE(Table1[[#This Row],[Total No. of Coupons]],Table1[[#This Row],[Coupon Amount]],-Table1[[#This Row],[Ask Price]],Table1[[#This Row],[Face value]])</f>
        <v>7.8868543188803236E-2</v>
      </c>
      <c r="AL254" s="27">
        <f>Table1[[#This Row],[IRR]]*Table1[[#This Row],[Coupon Frequency2]]</f>
        <v>7.8868543188803236E-2</v>
      </c>
      <c r="AM254" s="5">
        <f t="shared" si="14"/>
        <v>-2564.3162163984039</v>
      </c>
      <c r="AN254" t="s">
        <v>64</v>
      </c>
      <c r="AO254" t="s">
        <v>62</v>
      </c>
      <c r="AP254">
        <f t="shared" si="15"/>
        <v>1</v>
      </c>
    </row>
    <row r="255" spans="1:42" x14ac:dyDescent="0.35">
      <c r="A255" s="48" t="s">
        <v>2115</v>
      </c>
      <c r="B255" s="49" t="s">
        <v>2534</v>
      </c>
      <c r="C255" s="49" t="s">
        <v>2273</v>
      </c>
      <c r="D255" s="50">
        <v>44132</v>
      </c>
      <c r="E255" s="50">
        <v>45958</v>
      </c>
      <c r="F255" s="49">
        <v>1000</v>
      </c>
      <c r="G255" s="49" t="s">
        <v>76</v>
      </c>
      <c r="H255" s="49">
        <v>1068.51</v>
      </c>
      <c r="I255" s="49" t="s">
        <v>76</v>
      </c>
      <c r="J255" s="49">
        <v>106.851</v>
      </c>
      <c r="K255" s="49">
        <v>10</v>
      </c>
      <c r="L255" s="51">
        <v>9.6000000000000002E-2</v>
      </c>
      <c r="M255" s="49" t="s">
        <v>93</v>
      </c>
      <c r="N255" s="49">
        <v>41</v>
      </c>
      <c r="O255" s="49">
        <v>8.9844737063761606</v>
      </c>
      <c r="P255" s="49"/>
      <c r="Q255" s="49"/>
      <c r="R255" s="49" t="s">
        <v>2275</v>
      </c>
      <c r="S255">
        <f t="shared" si="12"/>
        <v>5</v>
      </c>
      <c r="T255" s="5" cm="1">
        <f t="array" ref="T2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5">
        <f>Table1[[#This Row],[Term to Maturity (Years)]]*Table1[[#This Row],[Coupon Frequency2]]</f>
        <v>5</v>
      </c>
      <c r="V255">
        <f>Table1[[#This Row],[Face value]]*Table1[[#This Row],[Current coupon %]]</f>
        <v>96</v>
      </c>
      <c r="W255" s="36">
        <f>RATE(Table1[[#This Row],[Total No. of Coupons]],Table1[[#This Row],[Coupon Amount]],-Table1[[#This Row],[Ask Price]],Table1[[#This Row],[Face value]])</f>
        <v>7.8891336925787633E-2</v>
      </c>
      <c r="X255" s="27">
        <f>Table1[[#This Row],[IRR]]*Table1[[#This Row],[Coupon Frequency2]]</f>
        <v>7.8891336925787633E-2</v>
      </c>
      <c r="Y255" s="19" cm="1">
        <f t="array" ref="Y2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5" s="33">
        <f>DURATION(Table1[[#This Row],[Issue date]],Table1[[#This Row],[Maturity date]],Table1[[#This Row],[Current coupon %]],Table1[[#This Row],[Yield (Annualised)]],Table1[[#This Row],[Coupon Frequency2]])</f>
        <v>4.2259485550887694</v>
      </c>
      <c r="AA255" s="33">
        <f>Table1[[#This Row],[Macaulay Duration in Years]]/(1+Table1[[#This Row],[IRR]])</f>
        <v>3.9169362200370093</v>
      </c>
      <c r="AB255" s="58">
        <f>VLOOKUP(Table1[[#This Row],[Yield Cluster]],'Cluster Details'!$B$3:$C$16,2,0)</f>
        <v>7.8548801574189142E-2</v>
      </c>
      <c r="AC255" s="78">
        <f>PRICE(Table1[[#This Row],[Issue date]],Table1[[#This Row],[Maturity date]],Table1[[#This Row],[Current coupon %]],Table1[[#This Row],[Average Cluster Yield]],100,Table1[[#This Row],[Coupon Frequency2]])*Table1[[#This Row],[Face value]]/100</f>
        <v>1069.944894330803</v>
      </c>
      <c r="AD255" s="58" t="str">
        <f>IF(Table1[[#This Row],[Ask Price]]&gt;Table1[[#This Row],[Calculated Bond Price]],"Rich","Cheap")</f>
        <v>Cheap</v>
      </c>
      <c r="AE2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1027.7299430749406</v>
      </c>
      <c r="AF2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1111.4815999159932</v>
      </c>
      <c r="AG255" s="78">
        <f>(Table1[[#This Row],[P (+ shock)]]+Table1[[#This Row],[P (-shock)]]-2*Table1[[#This Row],[Ask Price]])/(2*Table1[[#This Row],[Ask Price]]*($AF$2^2))</f>
        <v>10.255135613768765</v>
      </c>
      <c r="AH255">
        <v>137.65560485755699</v>
      </c>
      <c r="AI255" s="6">
        <f t="shared" si="13"/>
        <v>8.9844737063761684E-2</v>
      </c>
      <c r="AK255" s="47">
        <f>RATE(Table1[[#This Row],[Total No. of Coupons]],Table1[[#This Row],[Coupon Amount]],-Table1[[#This Row],[Ask Price]],Table1[[#This Row],[Face value]])</f>
        <v>7.8891336925787633E-2</v>
      </c>
      <c r="AL255" s="27">
        <f>Table1[[#This Row],[IRR]]*Table1[[#This Row],[Coupon Frequency2]]</f>
        <v>7.8891336925787633E-2</v>
      </c>
      <c r="AM255" s="5">
        <f t="shared" si="14"/>
        <v>-4185.2855204717443</v>
      </c>
      <c r="AN255" t="s">
        <v>64</v>
      </c>
      <c r="AO255" t="s">
        <v>62</v>
      </c>
      <c r="AP255">
        <f t="shared" si="15"/>
        <v>1</v>
      </c>
    </row>
    <row r="256" spans="1:42" x14ac:dyDescent="0.35">
      <c r="A256" s="48" t="s">
        <v>755</v>
      </c>
      <c r="B256" s="49" t="s">
        <v>2535</v>
      </c>
      <c r="C256" s="49" t="s">
        <v>2273</v>
      </c>
      <c r="D256" s="50">
        <v>43494</v>
      </c>
      <c r="E256" s="50">
        <v>47147</v>
      </c>
      <c r="F256" s="49">
        <v>1000000</v>
      </c>
      <c r="G256" s="49" t="s">
        <v>76</v>
      </c>
      <c r="H256" s="49">
        <v>1111759</v>
      </c>
      <c r="I256" s="49" t="s">
        <v>76</v>
      </c>
      <c r="J256" s="49">
        <v>111.1759</v>
      </c>
      <c r="K256" s="49">
        <v>150</v>
      </c>
      <c r="L256" s="51">
        <v>9.5500000000000002E-2</v>
      </c>
      <c r="M256" s="49" t="s">
        <v>93</v>
      </c>
      <c r="N256" s="49">
        <v>1230</v>
      </c>
      <c r="O256" s="49">
        <v>8.5899911761451904</v>
      </c>
      <c r="P256" s="49"/>
      <c r="Q256" s="49"/>
      <c r="R256" s="49" t="s">
        <v>2275</v>
      </c>
      <c r="S256">
        <f t="shared" si="12"/>
        <v>10</v>
      </c>
      <c r="T256" s="5" cm="1">
        <f t="array" ref="T2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6">
        <f>Table1[[#This Row],[Term to Maturity (Years)]]*Table1[[#This Row],[Coupon Frequency2]]</f>
        <v>10</v>
      </c>
      <c r="V256">
        <f>Table1[[#This Row],[Face value]]*Table1[[#This Row],[Current coupon %]]</f>
        <v>95500</v>
      </c>
      <c r="W256" s="36">
        <f>RATE(Table1[[#This Row],[Total No. of Coupons]],Table1[[#This Row],[Coupon Amount]],-Table1[[#This Row],[Ask Price]],Table1[[#This Row],[Face value]])</f>
        <v>7.8925262117204242E-2</v>
      </c>
      <c r="X256" s="27">
        <f>Table1[[#This Row],[IRR]]*Table1[[#This Row],[Coupon Frequency2]]</f>
        <v>7.8925262117204242E-2</v>
      </c>
      <c r="Y256" s="19" cm="1">
        <f t="array" ref="Y2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6" s="33">
        <f>DURATION(Table1[[#This Row],[Issue date]],Table1[[#This Row],[Maturity date]],Table1[[#This Row],[Current coupon %]],Table1[[#This Row],[Yield (Annualised)]],Table1[[#This Row],[Coupon Frequency2]])</f>
        <v>7.0340852115370742</v>
      </c>
      <c r="AA256" s="33">
        <f>Table1[[#This Row],[Macaulay Duration in Years]]/(1+Table1[[#This Row],[IRR]])</f>
        <v>6.5195296268565421</v>
      </c>
      <c r="AB256" s="58">
        <f>VLOOKUP(Table1[[#This Row],[Yield Cluster]],'Cluster Details'!$B$3:$C$16,2,0)</f>
        <v>7.8548801574189142E-2</v>
      </c>
      <c r="AC256" s="78">
        <f>PRICE(Table1[[#This Row],[Issue date]],Table1[[#This Row],[Maturity date]],Table1[[#This Row],[Current coupon %]],Table1[[#This Row],[Average Cluster Yield]],100,Table1[[#This Row],[Coupon Frequency2]])*Table1[[#This Row],[Face value]]/100</f>
        <v>1114492.2180732235</v>
      </c>
      <c r="AD256" s="58" t="str">
        <f>IF(Table1[[#This Row],[Ask Price]]&gt;Table1[[#This Row],[Calculated Bond Price]],"Rich","Cheap")</f>
        <v>Cheap</v>
      </c>
      <c r="AE2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1042394.7575176999</v>
      </c>
      <c r="AF2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1187580.6489194755</v>
      </c>
      <c r="AG256" s="78">
        <f>(Table1[[#This Row],[P (+ shock)]]+Table1[[#This Row],[P (-shock)]]-2*Table1[[#This Row],[Ask Price]])/(2*Table1[[#This Row],[Ask Price]]*($AF$2^2))</f>
        <v>29.04139492990544</v>
      </c>
      <c r="AH256">
        <v>32.375034297980797</v>
      </c>
      <c r="AI256" s="6">
        <f t="shared" si="13"/>
        <v>8.5899911761451897E-2</v>
      </c>
      <c r="AK256" s="47">
        <f>RATE(Table1[[#This Row],[Total No. of Coupons]],Table1[[#This Row],[Coupon Amount]],-Table1[[#This Row],[Ask Price]],Table1[[#This Row],[Face value]])</f>
        <v>7.8925262117204242E-2</v>
      </c>
      <c r="AL256" s="27">
        <f>Table1[[#This Row],[IRR]]*Table1[[#This Row],[Coupon Frequency2]]</f>
        <v>7.8925262117204242E-2</v>
      </c>
      <c r="AM256" s="5">
        <f t="shared" si="14"/>
        <v>-7248145.7384244027</v>
      </c>
      <c r="AN256" t="s">
        <v>64</v>
      </c>
      <c r="AO256" t="s">
        <v>62</v>
      </c>
      <c r="AP256">
        <f t="shared" si="15"/>
        <v>1</v>
      </c>
    </row>
    <row r="257" spans="1:42" x14ac:dyDescent="0.35">
      <c r="A257" s="48" t="s">
        <v>1822</v>
      </c>
      <c r="B257" s="49" t="s">
        <v>2536</v>
      </c>
      <c r="C257" s="49" t="s">
        <v>2273</v>
      </c>
      <c r="D257" s="50">
        <v>45037</v>
      </c>
      <c r="E257" s="50">
        <v>46163</v>
      </c>
      <c r="F257" s="49">
        <v>100000</v>
      </c>
      <c r="G257" s="49" t="s">
        <v>76</v>
      </c>
      <c r="H257" s="49">
        <v>100520.1</v>
      </c>
      <c r="I257" s="49" t="s">
        <v>76</v>
      </c>
      <c r="J257" s="49">
        <v>100.5201</v>
      </c>
      <c r="K257" s="49">
        <v>5</v>
      </c>
      <c r="L257" s="51">
        <v>8.1000000000000003E-2</v>
      </c>
      <c r="M257" s="49" t="s">
        <v>93</v>
      </c>
      <c r="N257" s="49">
        <v>246</v>
      </c>
      <c r="O257" s="49">
        <v>8.0580898745624001</v>
      </c>
      <c r="P257" s="49"/>
      <c r="Q257" s="49"/>
      <c r="R257" s="49" t="s">
        <v>2275</v>
      </c>
      <c r="S257">
        <f t="shared" si="12"/>
        <v>3</v>
      </c>
      <c r="T257" s="5" cm="1">
        <f t="array" ref="T2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7">
        <f>Table1[[#This Row],[Term to Maturity (Years)]]*Table1[[#This Row],[Coupon Frequency2]]</f>
        <v>3</v>
      </c>
      <c r="V257">
        <f>Table1[[#This Row],[Face value]]*Table1[[#This Row],[Current coupon %]]</f>
        <v>8100</v>
      </c>
      <c r="W257" s="36">
        <f>RATE(Table1[[#This Row],[Total No. of Coupons]],Table1[[#This Row],[Coupon Amount]],-Table1[[#This Row],[Ask Price]],Table1[[#This Row],[Face value]])</f>
        <v>7.8985530884390032E-2</v>
      </c>
      <c r="X257" s="27">
        <f>Table1[[#This Row],[IRR]]*Table1[[#This Row],[Coupon Frequency2]]</f>
        <v>7.8985530884390032E-2</v>
      </c>
      <c r="Y257" s="19" cm="1">
        <f t="array" ref="Y2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7" s="33">
        <f>DURATION(Table1[[#This Row],[Issue date]],Table1[[#This Row],[Maturity date]],Table1[[#This Row],[Current coupon %]],Table1[[#This Row],[Yield (Annualised)]],Table1[[#This Row],[Coupon Frequency2]])</f>
        <v>2.6573384014390453</v>
      </c>
      <c r="AA257" s="33">
        <f>Table1[[#This Row],[Macaulay Duration in Years]]/(1+Table1[[#This Row],[IRR]])</f>
        <v>2.4628118963383678</v>
      </c>
      <c r="AB257" s="58">
        <f>VLOOKUP(Table1[[#This Row],[Yield Cluster]],'Cluster Details'!$B$3:$C$16,2,0)</f>
        <v>7.8548801574189142E-2</v>
      </c>
      <c r="AC257" s="78">
        <f>PRICE(Table1[[#This Row],[Issue date]],Table1[[#This Row],[Maturity date]],Table1[[#This Row],[Current coupon %]],Table1[[#This Row],[Average Cluster Yield]],100,Table1[[#This Row],[Coupon Frequency2]])*Table1[[#This Row],[Face value]]/100</f>
        <v>100625.34055409812</v>
      </c>
      <c r="AD257" s="58" t="str">
        <f>IF(Table1[[#This Row],[Ask Price]]&gt;Table1[[#This Row],[Calculated Bond Price]],"Rich","Cheap")</f>
        <v>Cheap</v>
      </c>
      <c r="AE2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97899.092983264796</v>
      </c>
      <c r="AF2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103217.03824080386</v>
      </c>
      <c r="AG257" s="78">
        <f>(Table1[[#This Row],[P (+ shock)]]+Table1[[#This Row],[P (-shock)]]-2*Table1[[#This Row],[Ask Price]])/(2*Table1[[#This Row],[Ask Price]]*($AF$2^2))</f>
        <v>3.7769174557440133</v>
      </c>
      <c r="AH257">
        <v>7.8887138486007702</v>
      </c>
      <c r="AI257" s="6">
        <f t="shared" si="13"/>
        <v>8.0580898745624005E-2</v>
      </c>
      <c r="AK257" s="47">
        <f>RATE(Table1[[#This Row],[Total No. of Coupons]],Table1[[#This Row],[Coupon Amount]],-Table1[[#This Row],[Ask Price]],Table1[[#This Row],[Face value]])</f>
        <v>7.8985530884390032E-2</v>
      </c>
      <c r="AL257" s="27">
        <f>Table1[[#This Row],[IRR]]*Table1[[#This Row],[Coupon Frequency2]]</f>
        <v>7.8985530884390032E-2</v>
      </c>
      <c r="AM257" s="5">
        <f t="shared" si="14"/>
        <v>-247562.09810112239</v>
      </c>
      <c r="AN257" t="s">
        <v>64</v>
      </c>
      <c r="AO257" t="s">
        <v>62</v>
      </c>
      <c r="AP257">
        <f t="shared" si="15"/>
        <v>1</v>
      </c>
    </row>
    <row r="258" spans="1:42" x14ac:dyDescent="0.35">
      <c r="A258" s="48" t="s">
        <v>194</v>
      </c>
      <c r="B258" s="49" t="s">
        <v>2537</v>
      </c>
      <c r="C258" s="49" t="s">
        <v>2273</v>
      </c>
      <c r="D258" s="50">
        <v>45302</v>
      </c>
      <c r="E258" s="50">
        <v>48955</v>
      </c>
      <c r="F258" s="49">
        <v>100000</v>
      </c>
      <c r="G258" s="49" t="s">
        <v>76</v>
      </c>
      <c r="H258" s="49">
        <v>103167</v>
      </c>
      <c r="I258" s="49" t="s">
        <v>76</v>
      </c>
      <c r="J258" s="49">
        <v>103.167</v>
      </c>
      <c r="K258" s="49">
        <v>10</v>
      </c>
      <c r="L258" s="51">
        <v>8.3800000000000013E-2</v>
      </c>
      <c r="M258" s="49" t="s">
        <v>93</v>
      </c>
      <c r="N258" s="49">
        <v>3038</v>
      </c>
      <c r="O258" s="49">
        <v>8.1227524305252601</v>
      </c>
      <c r="P258" s="49"/>
      <c r="Q258" s="49"/>
      <c r="R258" s="49" t="s">
        <v>2275</v>
      </c>
      <c r="S258">
        <f t="shared" si="12"/>
        <v>10</v>
      </c>
      <c r="T258" s="5" cm="1">
        <f t="array" ref="T2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8">
        <f>Table1[[#This Row],[Term to Maturity (Years)]]*Table1[[#This Row],[Coupon Frequency2]]</f>
        <v>10</v>
      </c>
      <c r="V258">
        <f>Table1[[#This Row],[Face value]]*Table1[[#This Row],[Current coupon %]]</f>
        <v>8380.0000000000018</v>
      </c>
      <c r="W258" s="36">
        <f>RATE(Table1[[#This Row],[Total No. of Coupons]],Table1[[#This Row],[Coupon Amount]],-Table1[[#This Row],[Ask Price]],Table1[[#This Row],[Face value]])</f>
        <v>7.9099390785953919E-2</v>
      </c>
      <c r="X258" s="27">
        <f>Table1[[#This Row],[IRR]]*Table1[[#This Row],[Coupon Frequency2]]</f>
        <v>7.9099390785953919E-2</v>
      </c>
      <c r="Y258" s="19" cm="1">
        <f t="array" ref="Y2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8" s="33">
        <f>DURATION(Table1[[#This Row],[Issue date]],Table1[[#This Row],[Maturity date]],Table1[[#This Row],[Current coupon %]],Table1[[#This Row],[Yield (Annualised)]],Table1[[#This Row],[Coupon Frequency2]])</f>
        <v>7.1969107610099536</v>
      </c>
      <c r="AA258" s="33">
        <f>Table1[[#This Row],[Macaulay Duration in Years]]/(1+Table1[[#This Row],[IRR]])</f>
        <v>6.6693678288226428</v>
      </c>
      <c r="AB258" s="58">
        <f>VLOOKUP(Table1[[#This Row],[Yield Cluster]],'Cluster Details'!$B$3:$C$16,2,0)</f>
        <v>7.8548801574189142E-2</v>
      </c>
      <c r="AC258" s="78">
        <f>PRICE(Table1[[#This Row],[Issue date]],Table1[[#This Row],[Maturity date]],Table1[[#This Row],[Current coupon %]],Table1[[#This Row],[Average Cluster Yield]],100,Table1[[#This Row],[Coupon Frequency2]])*Table1[[#This Row],[Face value]]/100</f>
        <v>103546.77787499827</v>
      </c>
      <c r="AD258" s="58" t="str">
        <f>IF(Table1[[#This Row],[Ask Price]]&gt;Table1[[#This Row],[Calculated Bond Price]],"Rich","Cheap")</f>
        <v>Cheap</v>
      </c>
      <c r="AE2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96585.508848016165</v>
      </c>
      <c r="AF2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110368.21417480323</v>
      </c>
      <c r="AG258" s="78">
        <f>(Table1[[#This Row],[P (+ shock)]]+Table1[[#This Row],[P (-shock)]]-2*Table1[[#This Row],[Ask Price]])/(2*Table1[[#This Row],[Ask Price]]*($AF$2^2))</f>
        <v>30.034944450230221</v>
      </c>
      <c r="AH258">
        <v>26.781532285045099</v>
      </c>
      <c r="AI258" s="6">
        <f t="shared" si="13"/>
        <v>8.1227524305252666E-2</v>
      </c>
      <c r="AK258" s="47">
        <f>RATE(Table1[[#This Row],[Total No. of Coupons]],Table1[[#This Row],[Coupon Amount]],-Table1[[#This Row],[Ask Price]],Table1[[#This Row],[Face value]])</f>
        <v>7.9099390785953919E-2</v>
      </c>
      <c r="AL258" s="27">
        <f>Table1[[#This Row],[IRR]]*Table1[[#This Row],[Coupon Frequency2]]</f>
        <v>7.9099390785953919E-2</v>
      </c>
      <c r="AM258" s="5">
        <f t="shared" si="14"/>
        <v>-688058.67079614557</v>
      </c>
      <c r="AN258" t="s">
        <v>64</v>
      </c>
      <c r="AO258" t="s">
        <v>62</v>
      </c>
      <c r="AP258">
        <f t="shared" si="15"/>
        <v>1</v>
      </c>
    </row>
    <row r="259" spans="1:42" x14ac:dyDescent="0.35">
      <c r="A259" s="48" t="s">
        <v>1124</v>
      </c>
      <c r="B259" s="49" t="s">
        <v>2538</v>
      </c>
      <c r="C259" s="49" t="s">
        <v>2273</v>
      </c>
      <c r="D259" s="50">
        <v>45595</v>
      </c>
      <c r="E259" s="50">
        <v>46690</v>
      </c>
      <c r="F259" s="49">
        <v>1000</v>
      </c>
      <c r="G259" s="49" t="s">
        <v>76</v>
      </c>
      <c r="H259" s="49">
        <v>1044.75</v>
      </c>
      <c r="I259" s="49" t="s">
        <v>76</v>
      </c>
      <c r="J259" s="49">
        <v>104.47499999999999</v>
      </c>
      <c r="K259" s="49">
        <v>8</v>
      </c>
      <c r="L259" s="51">
        <v>9.6500000000000002E-2</v>
      </c>
      <c r="M259" s="49" t="s">
        <v>93</v>
      </c>
      <c r="N259" s="49">
        <v>773</v>
      </c>
      <c r="O259" s="49">
        <v>9.2366594879157606</v>
      </c>
      <c r="P259" s="49"/>
      <c r="Q259" s="49"/>
      <c r="R259" s="49" t="s">
        <v>2275</v>
      </c>
      <c r="S259">
        <f t="shared" si="12"/>
        <v>3</v>
      </c>
      <c r="T259" s="5" cm="1">
        <f t="array" ref="T2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59">
        <f>Table1[[#This Row],[Term to Maturity (Years)]]*Table1[[#This Row],[Coupon Frequency2]]</f>
        <v>3</v>
      </c>
      <c r="V259">
        <f>Table1[[#This Row],[Face value]]*Table1[[#This Row],[Current coupon %]]</f>
        <v>96.5</v>
      </c>
      <c r="W259" s="36">
        <f>RATE(Table1[[#This Row],[Total No. of Coupons]],Table1[[#This Row],[Coupon Amount]],-Table1[[#This Row],[Ask Price]],Table1[[#This Row],[Face value]])</f>
        <v>7.9161758147734837E-2</v>
      </c>
      <c r="X259" s="27">
        <f>Table1[[#This Row],[IRR]]*Table1[[#This Row],[Coupon Frequency2]]</f>
        <v>7.9161758147734837E-2</v>
      </c>
      <c r="Y259" s="19" cm="1">
        <f t="array" ref="Y2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59" s="33">
        <f>DURATION(Table1[[#This Row],[Issue date]],Table1[[#This Row],[Maturity date]],Table1[[#This Row],[Current coupon %]],Table1[[#This Row],[Yield (Annualised)]],Table1[[#This Row],[Coupon Frequency2]])</f>
        <v>2.7495053507111589</v>
      </c>
      <c r="AA259" s="33">
        <f>Table1[[#This Row],[Macaulay Duration in Years]]/(1+Table1[[#This Row],[IRR]])</f>
        <v>2.5478157745604229</v>
      </c>
      <c r="AB259" s="58">
        <f>VLOOKUP(Table1[[#This Row],[Yield Cluster]],'Cluster Details'!$B$3:$C$16,2,0)</f>
        <v>7.8548801574189142E-2</v>
      </c>
      <c r="AC259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1046.3833860773871</v>
      </c>
      <c r="AD259" s="58" t="str">
        <f>IF(Table1[[#This Row],[Ask Price]]&gt;Table1[[#This Row],[Calculated Bond Price]],"Rich","Cheap")</f>
        <v>Cheap</v>
      </c>
      <c r="AE2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1018.6030376897245</v>
      </c>
      <c r="AF2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1071.8542047909873</v>
      </c>
      <c r="AG259" s="78">
        <f>(Table1[[#This Row],[P (+ shock)]]+Table1[[#This Row],[P (-shock)]]-2*Table1[[#This Row],[Ask Price]])/(2*Table1[[#This Row],[Ask Price]]*($AF$2^2))</f>
        <v>4.5812035449246782</v>
      </c>
      <c r="AH259">
        <v>10.5</v>
      </c>
      <c r="AI259" s="6">
        <f t="shared" si="13"/>
        <v>9.2366594879157687E-2</v>
      </c>
      <c r="AK259" s="47">
        <f>RATE(Table1[[#This Row],[Total No. of Coupons]],Table1[[#This Row],[Coupon Amount]],-Table1[[#This Row],[Ask Price]],Table1[[#This Row],[Face value]])</f>
        <v>7.9161758147734837E-2</v>
      </c>
      <c r="AL259" s="27">
        <f>Table1[[#This Row],[IRR]]*Table1[[#This Row],[Coupon Frequency2]]</f>
        <v>7.9161758147734837E-2</v>
      </c>
      <c r="AM259" s="5">
        <f t="shared" si="14"/>
        <v>-2661.8305304720016</v>
      </c>
      <c r="AN259" t="s">
        <v>64</v>
      </c>
      <c r="AO259" t="s">
        <v>62</v>
      </c>
      <c r="AP259">
        <f t="shared" si="15"/>
        <v>1</v>
      </c>
    </row>
    <row r="260" spans="1:42" x14ac:dyDescent="0.35">
      <c r="A260" s="48" t="s">
        <v>1884</v>
      </c>
      <c r="B260" s="49" t="s">
        <v>2539</v>
      </c>
      <c r="C260" s="49" t="s">
        <v>2273</v>
      </c>
      <c r="D260" s="50">
        <v>42460</v>
      </c>
      <c r="E260" s="50">
        <v>46112</v>
      </c>
      <c r="F260" s="49">
        <v>1000000</v>
      </c>
      <c r="G260" s="49" t="s">
        <v>76</v>
      </c>
      <c r="H260" s="49">
        <v>1110000</v>
      </c>
      <c r="I260" s="49" t="s">
        <v>76</v>
      </c>
      <c r="J260" s="49">
        <v>111</v>
      </c>
      <c r="K260" s="49">
        <v>1</v>
      </c>
      <c r="L260" s="51">
        <v>9.5500000000000002E-2</v>
      </c>
      <c r="M260" s="49" t="s">
        <v>93</v>
      </c>
      <c r="N260" s="49">
        <v>195</v>
      </c>
      <c r="O260" s="49">
        <v>8.6036036036036005</v>
      </c>
      <c r="P260" s="49"/>
      <c r="Q260" s="49"/>
      <c r="R260" s="49" t="s">
        <v>2275</v>
      </c>
      <c r="S260">
        <f t="shared" ref="S260:S323" si="16">ROUND(YEARFRAC(D260,E260),0)</f>
        <v>10</v>
      </c>
      <c r="T260" s="5" cm="1">
        <f t="array" ref="T2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0">
        <f>Table1[[#This Row],[Term to Maturity (Years)]]*Table1[[#This Row],[Coupon Frequency2]]</f>
        <v>10</v>
      </c>
      <c r="V260">
        <f>Table1[[#This Row],[Face value]]*Table1[[#This Row],[Current coupon %]]</f>
        <v>95500</v>
      </c>
      <c r="W260" s="36">
        <f>RATE(Table1[[#This Row],[Total No. of Coupons]],Table1[[#This Row],[Coupon Amount]],-Table1[[#This Row],[Ask Price]],Table1[[#This Row],[Face value]])</f>
        <v>7.9168207309812305E-2</v>
      </c>
      <c r="X260" s="27">
        <f>Table1[[#This Row],[IRR]]*Table1[[#This Row],[Coupon Frequency2]]</f>
        <v>7.9168207309812305E-2</v>
      </c>
      <c r="Y260" s="19" cm="1">
        <f t="array" ref="Y2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0" s="33">
        <f>DURATION(Table1[[#This Row],[Issue date]],Table1[[#This Row],[Maturity date]],Table1[[#This Row],[Current coupon %]],Table1[[#This Row],[Yield (Annualised)]],Table1[[#This Row],[Coupon Frequency2]])</f>
        <v>7.0316005666119086</v>
      </c>
      <c r="AA260" s="33">
        <f>Table1[[#This Row],[Macaulay Duration in Years]]/(1+Table1[[#This Row],[IRR]])</f>
        <v>6.515759562765961</v>
      </c>
      <c r="AB260" s="58">
        <f>VLOOKUP(Table1[[#This Row],[Yield Cluster]],'Cluster Details'!$B$3:$C$16,2,0)</f>
        <v>7.8548801574189142E-2</v>
      </c>
      <c r="AC260" s="78">
        <f>PRICE(Table1[[#This Row],[Issue date]],Table1[[#This Row],[Maturity date]],Table1[[#This Row],[Current coupon %]],Table1[[#This Row],[Average Cluster Yield]],100,Table1[[#This Row],[Coupon Frequency2]])*Table1[[#This Row],[Face value]]/100</f>
        <v>1114492.2180732235</v>
      </c>
      <c r="AD260" s="58" t="str">
        <f>IF(Table1[[#This Row],[Ask Price]]&gt;Table1[[#This Row],[Calculated Bond Price]],"Rich","Cheap")</f>
        <v>Cheap</v>
      </c>
      <c r="AE2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1040784.4776796986</v>
      </c>
      <c r="AF2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1185656.6923193375</v>
      </c>
      <c r="AG260" s="78">
        <f>(Table1[[#This Row],[P (+ shock)]]+Table1[[#This Row],[P (-shock)]]-2*Table1[[#This Row],[Ask Price]])/(2*Table1[[#This Row],[Ask Price]]*($AF$2^2))</f>
        <v>29.014279274936968</v>
      </c>
      <c r="AI260" s="6">
        <f t="shared" ref="AI260:AI323" si="17">(L260*F260)/H260</f>
        <v>8.6036036036036032E-2</v>
      </c>
      <c r="AK260" s="47">
        <f>RATE(Table1[[#This Row],[Total No. of Coupons]],Table1[[#This Row],[Coupon Amount]],-Table1[[#This Row],[Ask Price]],Table1[[#This Row],[Face value]])</f>
        <v>7.9168207309812305E-2</v>
      </c>
      <c r="AL260" s="27">
        <f>Table1[[#This Row],[IRR]]*Table1[[#This Row],[Coupon Frequency2]]</f>
        <v>7.9168207309812305E-2</v>
      </c>
      <c r="AM260" s="5">
        <f t="shared" ref="AM260:AM323" si="18">-AA260*H260</f>
        <v>-7232493.114670217</v>
      </c>
      <c r="AN260" t="s">
        <v>64</v>
      </c>
      <c r="AO260" t="s">
        <v>62</v>
      </c>
      <c r="AP260">
        <f t="shared" ref="AP260:AP323" si="19">_xlfn.SWITCH(PROPER(TRIM(M260)),
   "Annual",1,
   "Semi-Annual",2,
   "Quarterly",4,
   "Monthly",12,
   "")</f>
        <v>1</v>
      </c>
    </row>
    <row r="261" spans="1:42" x14ac:dyDescent="0.35">
      <c r="A261" s="48" t="s">
        <v>1814</v>
      </c>
      <c r="B261" s="49" t="s">
        <v>2540</v>
      </c>
      <c r="C261" s="49" t="s">
        <v>2273</v>
      </c>
      <c r="D261" s="50">
        <v>45349</v>
      </c>
      <c r="E261" s="50">
        <v>46169</v>
      </c>
      <c r="F261" s="49">
        <v>1000</v>
      </c>
      <c r="G261" s="49" t="s">
        <v>76</v>
      </c>
      <c r="H261" s="49">
        <v>1055</v>
      </c>
      <c r="I261" s="49" t="s">
        <v>76</v>
      </c>
      <c r="J261" s="49">
        <v>105.5</v>
      </c>
      <c r="K261" s="49">
        <v>21</v>
      </c>
      <c r="L261" s="51">
        <v>0.11</v>
      </c>
      <c r="M261" s="49" t="s">
        <v>93</v>
      </c>
      <c r="N261" s="49">
        <v>252</v>
      </c>
      <c r="O261" s="49">
        <v>10.426540284360099</v>
      </c>
      <c r="P261" s="49"/>
      <c r="Q261" s="49"/>
      <c r="R261" s="49" t="s">
        <v>2275</v>
      </c>
      <c r="S261">
        <f t="shared" si="16"/>
        <v>2</v>
      </c>
      <c r="T261" s="5" cm="1">
        <f t="array" ref="T2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1">
        <f>Table1[[#This Row],[Term to Maturity (Years)]]*Table1[[#This Row],[Coupon Frequency2]]</f>
        <v>2</v>
      </c>
      <c r="V261">
        <f>Table1[[#This Row],[Face value]]*Table1[[#This Row],[Current coupon %]]</f>
        <v>110</v>
      </c>
      <c r="W261" s="36">
        <f>RATE(Table1[[#This Row],[Total No. of Coupons]],Table1[[#This Row],[Coupon Amount]],-Table1[[#This Row],[Ask Price]],Table1[[#This Row],[Face value]])</f>
        <v>7.9191862317285144E-2</v>
      </c>
      <c r="X261" s="27">
        <f>Table1[[#This Row],[IRR]]*Table1[[#This Row],[Coupon Frequency2]]</f>
        <v>7.9191862317285144E-2</v>
      </c>
      <c r="Y261" s="19" cm="1">
        <f t="array" ref="Y2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1" s="33">
        <f>DURATION(Table1[[#This Row],[Issue date]],Table1[[#This Row],[Maturity date]],Table1[[#This Row],[Current coupon %]],Table1[[#This Row],[Yield (Annualised)]],Table1[[#This Row],[Coupon Frequency2]])</f>
        <v>1.9736668479125228</v>
      </c>
      <c r="AA261" s="33">
        <f>Table1[[#This Row],[Macaulay Duration in Years]]/(1+Table1[[#This Row],[IRR]])</f>
        <v>1.8288377783674019</v>
      </c>
      <c r="AB261" s="58">
        <f>VLOOKUP(Table1[[#This Row],[Yield Cluster]],'Cluster Details'!$B$3:$C$16,2,0)</f>
        <v>7.8548801574189142E-2</v>
      </c>
      <c r="AC261" s="78">
        <f>PRICE(Table1[[#This Row],[Issue date]],Table1[[#This Row],[Maturity date]],Table1[[#This Row],[Current coupon %]],Table1[[#This Row],[Average Cluster Yield]],100,Table1[[#This Row],[Coupon Frequency2]])*Table1[[#This Row],[Face value]]/100</f>
        <v>1061.8587529417894</v>
      </c>
      <c r="AD261" s="58" t="str">
        <f>IF(Table1[[#This Row],[Ask Price]]&gt;Table1[[#This Row],[Calculated Bond Price]],"Rich","Cheap")</f>
        <v>Cheap</v>
      </c>
      <c r="AE2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1039.9125197664443</v>
      </c>
      <c r="AF2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1081.728206263374</v>
      </c>
      <c r="AG261" s="78">
        <f>(Table1[[#This Row],[P (+ shock)]]+Table1[[#This Row],[P (-shock)]]-2*Table1[[#This Row],[Ask Price]])/(2*Table1[[#This Row],[Ask Price]]*($AF$2^2))</f>
        <v>55.16931767686409</v>
      </c>
      <c r="AI261" s="6">
        <f t="shared" si="17"/>
        <v>0.10426540284360189</v>
      </c>
      <c r="AK261" s="47">
        <f>RATE(Table1[[#This Row],[Total No. of Coupons]],Table1[[#This Row],[Coupon Amount]],-Table1[[#This Row],[Ask Price]],Table1[[#This Row],[Face value]])</f>
        <v>7.9191862317285144E-2</v>
      </c>
      <c r="AL261" s="27">
        <f>Table1[[#This Row],[IRR]]*Table1[[#This Row],[Coupon Frequency2]]</f>
        <v>7.9191862317285144E-2</v>
      </c>
      <c r="AM261" s="5">
        <f t="shared" si="18"/>
        <v>-1929.423856177609</v>
      </c>
      <c r="AN261" t="s">
        <v>79</v>
      </c>
      <c r="AO261" t="s">
        <v>62</v>
      </c>
      <c r="AP261">
        <f t="shared" si="19"/>
        <v>1</v>
      </c>
    </row>
    <row r="262" spans="1:42" x14ac:dyDescent="0.35">
      <c r="A262" s="48" t="s">
        <v>1728</v>
      </c>
      <c r="B262" s="49" t="s">
        <v>2541</v>
      </c>
      <c r="C262" s="49" t="s">
        <v>2273</v>
      </c>
      <c r="D262" s="50">
        <v>45768</v>
      </c>
      <c r="E262" s="50">
        <v>46224</v>
      </c>
      <c r="F262" s="49">
        <v>1000</v>
      </c>
      <c r="G262" s="49" t="s">
        <v>76</v>
      </c>
      <c r="H262" s="49">
        <v>1010</v>
      </c>
      <c r="I262" s="49" t="s">
        <v>76</v>
      </c>
      <c r="J262" s="49">
        <v>101</v>
      </c>
      <c r="K262" s="49">
        <v>275</v>
      </c>
      <c r="L262" s="51">
        <v>0.09</v>
      </c>
      <c r="M262" s="49" t="s">
        <v>93</v>
      </c>
      <c r="N262" s="49">
        <v>307</v>
      </c>
      <c r="O262" s="49">
        <v>8.9108910891089099</v>
      </c>
      <c r="P262" s="49" t="s">
        <v>2279</v>
      </c>
      <c r="Q262" s="49"/>
      <c r="R262" s="49" t="s">
        <v>2275</v>
      </c>
      <c r="S262">
        <f t="shared" si="16"/>
        <v>1</v>
      </c>
      <c r="T262" s="5" cm="1">
        <f t="array" ref="T2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2">
        <f>Table1[[#This Row],[Term to Maturity (Years)]]*Table1[[#This Row],[Coupon Frequency2]]</f>
        <v>1</v>
      </c>
      <c r="V262">
        <f>Table1[[#This Row],[Face value]]*Table1[[#This Row],[Current coupon %]]</f>
        <v>90</v>
      </c>
      <c r="W262" s="36">
        <f>RATE(Table1[[#This Row],[Total No. of Coupons]],Table1[[#This Row],[Coupon Amount]],-Table1[[#This Row],[Ask Price]],Table1[[#This Row],[Face value]])</f>
        <v>7.9207920792079223E-2</v>
      </c>
      <c r="X262" s="27">
        <f>Table1[[#This Row],[IRR]]*Table1[[#This Row],[Coupon Frequency2]]</f>
        <v>7.9207920792079223E-2</v>
      </c>
      <c r="Y262" s="19" cm="1">
        <f t="array" ref="Y2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2" s="33">
        <f>DURATION(Table1[[#This Row],[Issue date]],Table1[[#This Row],[Maturity date]],Table1[[#This Row],[Current coupon %]],Table1[[#This Row],[Yield (Annualised)]],Table1[[#This Row],[Coupon Frequency2]])</f>
        <v>1.1681818181818182</v>
      </c>
      <c r="AA262" s="33">
        <f>Table1[[#This Row],[Macaulay Duration in Years]]/(1+Table1[[#This Row],[IRR]])</f>
        <v>1.0824437030859049</v>
      </c>
      <c r="AB262" s="58">
        <f>VLOOKUP(Table1[[#This Row],[Yield Cluster]],'Cluster Details'!$B$3:$C$16,2,0)</f>
        <v>7.8548801574189142E-2</v>
      </c>
      <c r="AC262" s="78">
        <f>PRICE(Table1[[#This Row],[Issue date]],Table1[[#This Row],[Maturity date]],Table1[[#This Row],[Current coupon %]],Table1[[#This Row],[Average Cluster Yield]],100,Table1[[#This Row],[Coupon Frequency2]])*Table1[[#This Row],[Face value]]/100</f>
        <v>1012.5064678633206</v>
      </c>
      <c r="AD262" s="58" t="str">
        <f>IF(Table1[[#This Row],[Ask Price]]&gt;Table1[[#This Row],[Calculated Bond Price]],"Rich","Cheap")</f>
        <v>Cheap</v>
      </c>
      <c r="AE2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1000.1734627981546</v>
      </c>
      <c r="AF2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1023.540124753923</v>
      </c>
      <c r="AG262" s="78">
        <f>(Table1[[#This Row],[P (+ shock)]]+Table1[[#This Row],[P (-shock)]]-2*Table1[[#This Row],[Ask Price]])/(2*Table1[[#This Row],[Ask Price]]*($AF$2^2))</f>
        <v>18.384096792463215</v>
      </c>
      <c r="AH262">
        <v>18.2271813708503</v>
      </c>
      <c r="AI262" s="6">
        <f t="shared" si="17"/>
        <v>8.9108910891089105E-2</v>
      </c>
      <c r="AK262" s="47">
        <f>RATE(Table1[[#This Row],[Total No. of Coupons]],Table1[[#This Row],[Coupon Amount]],-Table1[[#This Row],[Ask Price]],Table1[[#This Row],[Face value]])</f>
        <v>7.9207920792079223E-2</v>
      </c>
      <c r="AL262" s="27">
        <f>Table1[[#This Row],[IRR]]*Table1[[#This Row],[Coupon Frequency2]]</f>
        <v>7.9207920792079223E-2</v>
      </c>
      <c r="AM262" s="5">
        <f t="shared" si="18"/>
        <v>-1093.268140116764</v>
      </c>
      <c r="AN262" t="s">
        <v>64</v>
      </c>
      <c r="AO262" t="s">
        <v>62</v>
      </c>
      <c r="AP262">
        <f t="shared" si="19"/>
        <v>1</v>
      </c>
    </row>
    <row r="263" spans="1:42" x14ac:dyDescent="0.35">
      <c r="A263" s="48" t="s">
        <v>953</v>
      </c>
      <c r="B263" s="49" t="s">
        <v>2542</v>
      </c>
      <c r="C263" s="49" t="s">
        <v>2273</v>
      </c>
      <c r="D263" s="50">
        <v>45050</v>
      </c>
      <c r="E263" s="50">
        <v>46877</v>
      </c>
      <c r="F263" s="49">
        <v>1000</v>
      </c>
      <c r="G263" s="49" t="s">
        <v>76</v>
      </c>
      <c r="H263" s="49">
        <v>1019.03</v>
      </c>
      <c r="I263" s="49" t="s">
        <v>76</v>
      </c>
      <c r="J263" s="49">
        <v>101.902999999999</v>
      </c>
      <c r="K263" s="49">
        <v>10</v>
      </c>
      <c r="L263" s="51">
        <v>8.4000000000000005E-2</v>
      </c>
      <c r="M263" s="49" t="s">
        <v>93</v>
      </c>
      <c r="N263" s="49">
        <v>960</v>
      </c>
      <c r="O263" s="49">
        <v>8.2431331756670492</v>
      </c>
      <c r="P263" s="49"/>
      <c r="Q263" s="49"/>
      <c r="R263" s="49" t="s">
        <v>2275</v>
      </c>
      <c r="S263">
        <f t="shared" si="16"/>
        <v>5</v>
      </c>
      <c r="T263" s="5" cm="1">
        <f t="array" ref="T2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3">
        <f>Table1[[#This Row],[Term to Maturity (Years)]]*Table1[[#This Row],[Coupon Frequency2]]</f>
        <v>5</v>
      </c>
      <c r="V263">
        <f>Table1[[#This Row],[Face value]]*Table1[[#This Row],[Current coupon %]]</f>
        <v>84</v>
      </c>
      <c r="W263" s="36">
        <f>RATE(Table1[[#This Row],[Total No. of Coupons]],Table1[[#This Row],[Coupon Amount]],-Table1[[#This Row],[Ask Price]],Table1[[#This Row],[Face value]])</f>
        <v>7.9243315217782342E-2</v>
      </c>
      <c r="X263" s="27">
        <f>Table1[[#This Row],[IRR]]*Table1[[#This Row],[Coupon Frequency2]]</f>
        <v>7.9243315217782342E-2</v>
      </c>
      <c r="Y263" s="19" cm="1">
        <f t="array" ref="Y2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3" s="33">
        <f>DURATION(Table1[[#This Row],[Issue date]],Table1[[#This Row],[Maturity date]],Table1[[#This Row],[Current coupon %]],Table1[[#This Row],[Yield (Annualised)]],Table1[[#This Row],[Coupon Frequency2]])</f>
        <v>4.2902642145045879</v>
      </c>
      <c r="AA263" s="33">
        <f>Table1[[#This Row],[Macaulay Duration in Years]]/(1+Table1[[#This Row],[IRR]])</f>
        <v>3.975252062264429</v>
      </c>
      <c r="AB263" s="58">
        <f>VLOOKUP(Table1[[#This Row],[Yield Cluster]],'Cluster Details'!$B$3:$C$16,2,0)</f>
        <v>7.8548801574189142E-2</v>
      </c>
      <c r="AC263" s="78">
        <f>PRICE(Table1[[#This Row],[Issue date]],Table1[[#This Row],[Maturity date]],Table1[[#This Row],[Current coupon %]],Table1[[#This Row],[Average Cluster Yield]],100,Table1[[#This Row],[Coupon Frequency2]])*Table1[[#This Row],[Face value]]/100</f>
        <v>1021.8485566759502</v>
      </c>
      <c r="AD263" s="58" t="str">
        <f>IF(Table1[[#This Row],[Ask Price]]&gt;Table1[[#This Row],[Calculated Bond Price]],"Rich","Cheap")</f>
        <v>Cheap</v>
      </c>
      <c r="AE2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979.5652274034818</v>
      </c>
      <c r="AF2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1060.6281052801708</v>
      </c>
      <c r="AG263" s="78">
        <f>(Table1[[#This Row],[P (+ shock)]]+Table1[[#This Row],[P (-shock)]]-2*Table1[[#This Row],[Ask Price]])/(2*Table1[[#This Row],[Ask Price]]*($AF$2^2))</f>
        <v>10.467467511518294</v>
      </c>
      <c r="AH263">
        <v>10.426439232409299</v>
      </c>
      <c r="AI263" s="6">
        <f t="shared" si="17"/>
        <v>8.2431331756670556E-2</v>
      </c>
      <c r="AK263" s="47">
        <f>RATE(Table1[[#This Row],[Total No. of Coupons]],Table1[[#This Row],[Coupon Amount]],-Table1[[#This Row],[Ask Price]],Table1[[#This Row],[Face value]])</f>
        <v>7.9243315217782342E-2</v>
      </c>
      <c r="AL263" s="27">
        <f>Table1[[#This Row],[IRR]]*Table1[[#This Row],[Coupon Frequency2]]</f>
        <v>7.9243315217782342E-2</v>
      </c>
      <c r="AM263" s="5">
        <f t="shared" si="18"/>
        <v>-4050.9011090093209</v>
      </c>
      <c r="AN263" t="s">
        <v>64</v>
      </c>
      <c r="AO263" t="s">
        <v>62</v>
      </c>
      <c r="AP263">
        <f t="shared" si="19"/>
        <v>1</v>
      </c>
    </row>
    <row r="264" spans="1:42" x14ac:dyDescent="0.35">
      <c r="A264" s="48" t="s">
        <v>1273</v>
      </c>
      <c r="B264" s="49" t="s">
        <v>2543</v>
      </c>
      <c r="C264" s="49" t="s">
        <v>2273</v>
      </c>
      <c r="D264" s="50">
        <v>45421</v>
      </c>
      <c r="E264" s="50">
        <v>46516</v>
      </c>
      <c r="F264" s="49">
        <v>1000</v>
      </c>
      <c r="G264" s="49" t="s">
        <v>76</v>
      </c>
      <c r="H264" s="49">
        <v>1030</v>
      </c>
      <c r="I264" s="49" t="s">
        <v>76</v>
      </c>
      <c r="J264" s="49">
        <v>103</v>
      </c>
      <c r="K264" s="49">
        <v>25</v>
      </c>
      <c r="L264" s="51">
        <v>9.0999999999999998E-2</v>
      </c>
      <c r="M264" s="49" t="s">
        <v>93</v>
      </c>
      <c r="N264" s="49">
        <v>599</v>
      </c>
      <c r="O264" s="49">
        <v>8.8349514563106801</v>
      </c>
      <c r="P264" s="49"/>
      <c r="Q264" s="49"/>
      <c r="R264" s="49" t="s">
        <v>2275</v>
      </c>
      <c r="S264">
        <f t="shared" si="16"/>
        <v>3</v>
      </c>
      <c r="T264" s="5" cm="1">
        <f t="array" ref="T2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4">
        <f>Table1[[#This Row],[Term to Maturity (Years)]]*Table1[[#This Row],[Coupon Frequency2]]</f>
        <v>3</v>
      </c>
      <c r="V264">
        <f>Table1[[#This Row],[Face value]]*Table1[[#This Row],[Current coupon %]]</f>
        <v>91</v>
      </c>
      <c r="W264" s="36">
        <f>RATE(Table1[[#This Row],[Total No. of Coupons]],Table1[[#This Row],[Coupon Amount]],-Table1[[#This Row],[Ask Price]],Table1[[#This Row],[Face value]])</f>
        <v>7.9372179576326876E-2</v>
      </c>
      <c r="X264" s="27">
        <f>Table1[[#This Row],[IRR]]*Table1[[#This Row],[Coupon Frequency2]]</f>
        <v>7.9372179576326876E-2</v>
      </c>
      <c r="Y264" s="19" cm="1">
        <f t="array" ref="Y2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4" s="33">
        <f>DURATION(Table1[[#This Row],[Issue date]],Table1[[#This Row],[Maturity date]],Table1[[#This Row],[Current coupon %]],Table1[[#This Row],[Yield (Annualised)]],Table1[[#This Row],[Coupon Frequency2]])</f>
        <v>2.7604610139969359</v>
      </c>
      <c r="AA264" s="33">
        <f>Table1[[#This Row],[Macaulay Duration in Years]]/(1+Table1[[#This Row],[IRR]])</f>
        <v>2.5574691160563976</v>
      </c>
      <c r="AB264" s="58">
        <f>VLOOKUP(Table1[[#This Row],[Yield Cluster]],'Cluster Details'!$B$3:$C$16,2,0)</f>
        <v>7.8548801574189142E-2</v>
      </c>
      <c r="AC264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1032.1721553074779</v>
      </c>
      <c r="AD264" s="58" t="str">
        <f>IF(Table1[[#This Row],[Ask Price]]&gt;Table1[[#This Row],[Calculated Bond Price]],"Rich","Cheap")</f>
        <v>Cheap</v>
      </c>
      <c r="AE2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1004.125107997015</v>
      </c>
      <c r="AF2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1056.8234037034767</v>
      </c>
      <c r="AG264" s="78">
        <f>(Table1[[#This Row],[P (+ shock)]]+Table1[[#This Row],[P (-shock)]]-2*Table1[[#This Row],[Ask Price]])/(2*Table1[[#This Row],[Ask Price]]*($AF$2^2))</f>
        <v>4.6044257305413021</v>
      </c>
      <c r="AH264">
        <v>11.519873398318</v>
      </c>
      <c r="AI264" s="6">
        <f t="shared" si="17"/>
        <v>8.8349514563106801E-2</v>
      </c>
      <c r="AK264" s="47">
        <f>RATE(Table1[[#This Row],[Total No. of Coupons]],Table1[[#This Row],[Coupon Amount]],-Table1[[#This Row],[Ask Price]],Table1[[#This Row],[Face value]])</f>
        <v>7.9372179576326876E-2</v>
      </c>
      <c r="AL264" s="27">
        <f>Table1[[#This Row],[IRR]]*Table1[[#This Row],[Coupon Frequency2]]</f>
        <v>7.9372179576326876E-2</v>
      </c>
      <c r="AM264" s="5">
        <f t="shared" si="18"/>
        <v>-2634.1931895380894</v>
      </c>
      <c r="AN264" t="s">
        <v>64</v>
      </c>
      <c r="AO264" t="s">
        <v>62</v>
      </c>
      <c r="AP264">
        <f t="shared" si="19"/>
        <v>1</v>
      </c>
    </row>
    <row r="265" spans="1:42" x14ac:dyDescent="0.35">
      <c r="A265" s="48" t="s">
        <v>1810</v>
      </c>
      <c r="B265" s="49" t="s">
        <v>2544</v>
      </c>
      <c r="C265" s="49" t="s">
        <v>2273</v>
      </c>
      <c r="D265" s="50">
        <v>42520</v>
      </c>
      <c r="E265" s="50">
        <v>46171</v>
      </c>
      <c r="F265" s="49">
        <v>1000000</v>
      </c>
      <c r="G265" s="49" t="s">
        <v>76</v>
      </c>
      <c r="H265" s="49">
        <v>1077996.5</v>
      </c>
      <c r="I265" s="49" t="s">
        <v>76</v>
      </c>
      <c r="J265" s="49">
        <v>107.79965</v>
      </c>
      <c r="K265" s="49">
        <v>1</v>
      </c>
      <c r="L265" s="51">
        <v>9.0999999999999998E-2</v>
      </c>
      <c r="M265" s="49" t="s">
        <v>93</v>
      </c>
      <c r="N265" s="49">
        <v>254</v>
      </c>
      <c r="O265" s="49">
        <v>8.4415858493046994</v>
      </c>
      <c r="P265" s="49"/>
      <c r="Q265" s="49"/>
      <c r="R265" s="49" t="s">
        <v>2275</v>
      </c>
      <c r="S265">
        <f t="shared" si="16"/>
        <v>10</v>
      </c>
      <c r="T265" s="5" cm="1">
        <f t="array" ref="T2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5">
        <f>Table1[[#This Row],[Term to Maturity (Years)]]*Table1[[#This Row],[Coupon Frequency2]]</f>
        <v>10</v>
      </c>
      <c r="V265">
        <f>Table1[[#This Row],[Face value]]*Table1[[#This Row],[Current coupon %]]</f>
        <v>91000</v>
      </c>
      <c r="W265" s="36">
        <f>RATE(Table1[[#This Row],[Total No. of Coupons]],Table1[[#This Row],[Coupon Amount]],-Table1[[#This Row],[Ask Price]],Table1[[#This Row],[Face value]])</f>
        <v>7.9407278160267186E-2</v>
      </c>
      <c r="X265" s="27">
        <f>Table1[[#This Row],[IRR]]*Table1[[#This Row],[Coupon Frequency2]]</f>
        <v>7.9407278160267186E-2</v>
      </c>
      <c r="Y265" s="19" cm="1">
        <f t="array" ref="Y2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5" s="33">
        <f>DURATION(Table1[[#This Row],[Issue date]],Table1[[#This Row],[Maturity date]],Table1[[#This Row],[Current coupon %]],Table1[[#This Row],[Yield (Annualised)]],Table1[[#This Row],[Coupon Frequency2]])</f>
        <v>7.0868581761956957</v>
      </c>
      <c r="AA265" s="33">
        <f>Table1[[#This Row],[Macaulay Duration in Years]]/(1+Table1[[#This Row],[IRR]])</f>
        <v>6.5655089784779639</v>
      </c>
      <c r="AB265" s="58">
        <f>VLOOKUP(Table1[[#This Row],[Yield Cluster]],'Cluster Details'!$B$3:$C$16,2,0)</f>
        <v>7.8548801574189142E-2</v>
      </c>
      <c r="AC265" s="78">
        <f>PRICE(Table1[[#This Row],[Issue date]],Table1[[#This Row],[Maturity date]],Table1[[#This Row],[Current coupon %]],Table1[[#This Row],[Average Cluster Yield]],100,Table1[[#This Row],[Coupon Frequency2]])*Table1[[#This Row],[Face value]]/100</f>
        <v>1084073.1592032113</v>
      </c>
      <c r="AD265" s="58" t="str">
        <f>IF(Table1[[#This Row],[Ask Price]]&gt;Table1[[#This Row],[Calculated Bond Price]],"Rich","Cheap")</f>
        <v>Cheap</v>
      </c>
      <c r="AE2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1010235.8252417494</v>
      </c>
      <c r="AF2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1152036.6282117695</v>
      </c>
      <c r="AG265" s="78">
        <f>(Table1[[#This Row],[P (+ shock)]]+Table1[[#This Row],[P (-shock)]]-2*Table1[[#This Row],[Ask Price]])/(2*Table1[[#This Row],[Ask Price]]*($AF$2^2))</f>
        <v>29.125574403622441</v>
      </c>
      <c r="AH265">
        <v>29.4320862824401</v>
      </c>
      <c r="AI265" s="6">
        <f t="shared" si="17"/>
        <v>8.4415858493047058E-2</v>
      </c>
      <c r="AK265" s="47">
        <f>RATE(Table1[[#This Row],[Total No. of Coupons]],Table1[[#This Row],[Coupon Amount]],-Table1[[#This Row],[Ask Price]],Table1[[#This Row],[Face value]])</f>
        <v>7.9407278160267186E-2</v>
      </c>
      <c r="AL265" s="27">
        <f>Table1[[#This Row],[IRR]]*Table1[[#This Row],[Coupon Frequency2]]</f>
        <v>7.9407278160267186E-2</v>
      </c>
      <c r="AM265" s="5">
        <f t="shared" si="18"/>
        <v>-7077595.69951782</v>
      </c>
      <c r="AN265" t="s">
        <v>64</v>
      </c>
      <c r="AO265" t="s">
        <v>62</v>
      </c>
      <c r="AP265">
        <f t="shared" si="19"/>
        <v>1</v>
      </c>
    </row>
    <row r="266" spans="1:42" x14ac:dyDescent="0.35">
      <c r="A266" s="48" t="s">
        <v>146</v>
      </c>
      <c r="B266" s="49" t="s">
        <v>2545</v>
      </c>
      <c r="C266" s="49" t="s">
        <v>2273</v>
      </c>
      <c r="D266" s="50">
        <v>45573</v>
      </c>
      <c r="E266" s="50">
        <v>49223</v>
      </c>
      <c r="F266" s="49">
        <v>100000</v>
      </c>
      <c r="G266" s="49" t="s">
        <v>76</v>
      </c>
      <c r="H266" s="49">
        <v>101877.24</v>
      </c>
      <c r="I266" s="49" t="s">
        <v>76</v>
      </c>
      <c r="J266" s="49">
        <v>101.87724</v>
      </c>
      <c r="K266" s="49">
        <v>1000</v>
      </c>
      <c r="L266" s="51">
        <v>8.2400000000000001E-2</v>
      </c>
      <c r="M266" s="49" t="s">
        <v>93</v>
      </c>
      <c r="N266" s="49">
        <v>3306</v>
      </c>
      <c r="O266" s="49">
        <v>8.0881657178777093</v>
      </c>
      <c r="P266" s="49"/>
      <c r="Q266" s="49"/>
      <c r="R266" s="49" t="s">
        <v>2275</v>
      </c>
      <c r="S266">
        <f t="shared" si="16"/>
        <v>10</v>
      </c>
      <c r="T266" s="5" cm="1">
        <f t="array" ref="T2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6">
        <f>Table1[[#This Row],[Term to Maturity (Years)]]*Table1[[#This Row],[Coupon Frequency2]]</f>
        <v>10</v>
      </c>
      <c r="V266">
        <f>Table1[[#This Row],[Face value]]*Table1[[#This Row],[Current coupon %]]</f>
        <v>8240</v>
      </c>
      <c r="W266" s="36">
        <f>RATE(Table1[[#This Row],[Total No. of Coupons]],Table1[[#This Row],[Coupon Amount]],-Table1[[#This Row],[Ask Price]],Table1[[#This Row],[Face value]])</f>
        <v>7.9607312028194169E-2</v>
      </c>
      <c r="X266" s="27">
        <f>Table1[[#This Row],[IRR]]*Table1[[#This Row],[Coupon Frequency2]]</f>
        <v>7.9607312028194169E-2</v>
      </c>
      <c r="Y266" s="19" cm="1">
        <f t="array" ref="Y2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6" s="33">
        <f>DURATION(Table1[[#This Row],[Issue date]],Table1[[#This Row],[Maturity date]],Table1[[#This Row],[Current coupon %]],Table1[[#This Row],[Yield (Annualised)]],Table1[[#This Row],[Coupon Frequency2]])</f>
        <v>7.2076380105288083</v>
      </c>
      <c r="AA266" s="33">
        <f>Table1[[#This Row],[Macaulay Duration in Years]]/(1+Table1[[#This Row],[IRR]])</f>
        <v>6.676166352549286</v>
      </c>
      <c r="AB266" s="58">
        <f>VLOOKUP(Table1[[#This Row],[Yield Cluster]],'Cluster Details'!$B$3:$C$16,2,0)</f>
        <v>7.8548801574189142E-2</v>
      </c>
      <c r="AC266" s="78">
        <f>PRICE(Table1[[#This Row],[Issue date]],Table1[[#This Row],[Maturity date]],Table1[[#This Row],[Current coupon %]],Table1[[#This Row],[Average Cluster Yield]],100,Table1[[#This Row],[Coupon Frequency2]])*Table1[[#This Row],[Face value]]/100</f>
        <v>102598.51943668215</v>
      </c>
      <c r="AD266" s="58" t="str">
        <f>IF(Table1[[#This Row],[Ask Price]]&gt;Table1[[#This Row],[Calculated Bond Price]],"Rich","Cheap")</f>
        <v>Cheap</v>
      </c>
      <c r="AE2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95366.288587827032</v>
      </c>
      <c r="AF2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108996.36020703753</v>
      </c>
      <c r="AG266" s="78">
        <f>(Table1[[#This Row],[P (+ shock)]]+Table1[[#This Row],[P (-shock)]]-2*Table1[[#This Row],[Ask Price]])/(2*Table1[[#This Row],[Ask Price]]*($AF$2^2))</f>
        <v>29.848118915694798</v>
      </c>
      <c r="AH266">
        <v>9.6163400571157993</v>
      </c>
      <c r="AI266" s="6">
        <f t="shared" si="17"/>
        <v>8.0881657178777114E-2</v>
      </c>
      <c r="AK266" s="47">
        <f>RATE(Table1[[#This Row],[Total No. of Coupons]],Table1[[#This Row],[Coupon Amount]],-Table1[[#This Row],[Ask Price]],Table1[[#This Row],[Face value]])</f>
        <v>7.9607312028194169E-2</v>
      </c>
      <c r="AL266" s="27">
        <f>Table1[[#This Row],[IRR]]*Table1[[#This Row],[Coupon Frequency2]]</f>
        <v>7.9607312028194169E-2</v>
      </c>
      <c r="AM266" s="5">
        <f t="shared" si="18"/>
        <v>-680149.4017785883</v>
      </c>
      <c r="AN266" t="s">
        <v>64</v>
      </c>
      <c r="AO266" t="s">
        <v>62</v>
      </c>
      <c r="AP266">
        <f t="shared" si="19"/>
        <v>1</v>
      </c>
    </row>
    <row r="267" spans="1:42" x14ac:dyDescent="0.35">
      <c r="A267" s="48" t="s">
        <v>1378</v>
      </c>
      <c r="B267" s="49" t="s">
        <v>2546</v>
      </c>
      <c r="C267" s="49" t="s">
        <v>2273</v>
      </c>
      <c r="D267" s="50">
        <v>45712</v>
      </c>
      <c r="E267" s="50">
        <v>46442</v>
      </c>
      <c r="F267" s="49">
        <v>1000</v>
      </c>
      <c r="G267" s="49" t="s">
        <v>76</v>
      </c>
      <c r="H267" s="49">
        <v>1025</v>
      </c>
      <c r="I267" s="49" t="s">
        <v>76</v>
      </c>
      <c r="J267" s="49">
        <v>102.49999999999901</v>
      </c>
      <c r="K267" s="49">
        <v>20</v>
      </c>
      <c r="L267" s="51">
        <v>9.4E-2</v>
      </c>
      <c r="M267" s="49" t="s">
        <v>93</v>
      </c>
      <c r="N267" s="49">
        <v>525</v>
      </c>
      <c r="O267" s="49">
        <v>9.1707317073170707</v>
      </c>
      <c r="P267" s="49"/>
      <c r="Q267" s="49"/>
      <c r="R267" s="49" t="s">
        <v>2275</v>
      </c>
      <c r="S267">
        <f t="shared" si="16"/>
        <v>2</v>
      </c>
      <c r="T267" s="5" cm="1">
        <f t="array" ref="T2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7">
        <f>Table1[[#This Row],[Term to Maturity (Years)]]*Table1[[#This Row],[Coupon Frequency2]]</f>
        <v>2</v>
      </c>
      <c r="V267">
        <f>Table1[[#This Row],[Face value]]*Table1[[#This Row],[Current coupon %]]</f>
        <v>94</v>
      </c>
      <c r="W267" s="36">
        <f>RATE(Table1[[#This Row],[Total No. of Coupons]],Table1[[#This Row],[Coupon Amount]],-Table1[[#This Row],[Ask Price]],Table1[[#This Row],[Face value]])</f>
        <v>7.9981131903346783E-2</v>
      </c>
      <c r="X267" s="27">
        <f>Table1[[#This Row],[IRR]]*Table1[[#This Row],[Coupon Frequency2]]</f>
        <v>7.9981131903346783E-2</v>
      </c>
      <c r="Y267" s="19" cm="1">
        <f t="array" ref="Y2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7" s="33">
        <f>DURATION(Table1[[#This Row],[Issue date]],Table1[[#This Row],[Maturity date]],Table1[[#This Row],[Current coupon %]],Table1[[#This Row],[Yield (Annualised)]],Table1[[#This Row],[Coupon Frequency2]])</f>
        <v>1.9150843340091073</v>
      </c>
      <c r="AA267" s="33">
        <f>Table1[[#This Row],[Macaulay Duration in Years]]/(1+Table1[[#This Row],[IRR]])</f>
        <v>1.773257214812618</v>
      </c>
      <c r="AB267" s="58">
        <f>VLOOKUP(Table1[[#This Row],[Yield Cluster]],'Cluster Details'!$B$3:$C$16,2,0)</f>
        <v>7.8548801574189142E-2</v>
      </c>
      <c r="AC267" s="78">
        <f>PRICE(Table1[[#This Row],[Issue date]],Table1[[#This Row],[Maturity date]],Table1[[#This Row],[Current coupon %]],Table1[[#This Row],[Average Cluster Yield]],100,Table1[[#This Row],[Coupon Frequency2]])*Table1[[#This Row],[Face value]]/100</f>
        <v>1027.6084988973716</v>
      </c>
      <c r="AD267" s="58" t="str">
        <f>IF(Table1[[#This Row],[Ask Price]]&gt;Table1[[#This Row],[Calculated Bond Price]],"Rich","Cheap")</f>
        <v>Cheap</v>
      </c>
      <c r="AE2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1007.0698167578369</v>
      </c>
      <c r="AF2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1043.4276856192803</v>
      </c>
      <c r="AG267" s="78">
        <f>(Table1[[#This Row],[P (+ shock)]]+Table1[[#This Row],[P (-shock)]]-2*Table1[[#This Row],[Ask Price]])/(2*Table1[[#This Row],[Ask Price]]*($AF$2^2))</f>
        <v>2.4268408639860661</v>
      </c>
      <c r="AH267">
        <v>2.2856606205902699</v>
      </c>
      <c r="AI267" s="6">
        <f t="shared" si="17"/>
        <v>9.170731707317073E-2</v>
      </c>
      <c r="AK267" s="47">
        <f>RATE(Table1[[#This Row],[Total No. of Coupons]],Table1[[#This Row],[Coupon Amount]],-Table1[[#This Row],[Ask Price]],Table1[[#This Row],[Face value]])</f>
        <v>7.9981131903346783E-2</v>
      </c>
      <c r="AL267" s="27">
        <f>Table1[[#This Row],[IRR]]*Table1[[#This Row],[Coupon Frequency2]]</f>
        <v>7.9981131903346783E-2</v>
      </c>
      <c r="AM267" s="5">
        <f t="shared" si="18"/>
        <v>-1817.5886451829335</v>
      </c>
      <c r="AN267" t="s">
        <v>64</v>
      </c>
      <c r="AO267" t="s">
        <v>62</v>
      </c>
      <c r="AP267">
        <f t="shared" si="19"/>
        <v>1</v>
      </c>
    </row>
    <row r="268" spans="1:42" x14ac:dyDescent="0.35">
      <c r="A268" s="48" t="s">
        <v>447</v>
      </c>
      <c r="B268" s="49" t="s">
        <v>2547</v>
      </c>
      <c r="C268" s="49" t="s">
        <v>2273</v>
      </c>
      <c r="D268" s="50">
        <v>44012</v>
      </c>
      <c r="E268" s="50">
        <v>47662</v>
      </c>
      <c r="F268" s="49">
        <v>1000000</v>
      </c>
      <c r="G268" s="49" t="s">
        <v>76</v>
      </c>
      <c r="H268" s="49">
        <v>1006796</v>
      </c>
      <c r="I268" s="49" t="s">
        <v>76</v>
      </c>
      <c r="J268" s="49">
        <v>100.67959999999999</v>
      </c>
      <c r="K268" s="49">
        <v>1</v>
      </c>
      <c r="L268" s="51">
        <v>8.1000000000000003E-2</v>
      </c>
      <c r="M268" s="49" t="s">
        <v>93</v>
      </c>
      <c r="N268" s="49">
        <v>1745</v>
      </c>
      <c r="O268" s="49">
        <v>8.0453239782438501</v>
      </c>
      <c r="P268" s="49"/>
      <c r="Q268" s="49"/>
      <c r="R268" s="49" t="s">
        <v>2275</v>
      </c>
      <c r="S268">
        <f t="shared" si="16"/>
        <v>10</v>
      </c>
      <c r="T268" s="5" cm="1">
        <f t="array" ref="T2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8">
        <f>Table1[[#This Row],[Term to Maturity (Years)]]*Table1[[#This Row],[Coupon Frequency2]]</f>
        <v>10</v>
      </c>
      <c r="V268">
        <f>Table1[[#This Row],[Face value]]*Table1[[#This Row],[Current coupon %]]</f>
        <v>81000</v>
      </c>
      <c r="W268" s="36">
        <f>RATE(Table1[[#This Row],[Total No. of Coupons]],Table1[[#This Row],[Coupon Amount]],-Table1[[#This Row],[Ask Price]],Table1[[#This Row],[Face value]])</f>
        <v>7.9987253821521845E-2</v>
      </c>
      <c r="X268" s="27">
        <f>Table1[[#This Row],[IRR]]*Table1[[#This Row],[Coupon Frequency2]]</f>
        <v>7.9987253821521845E-2</v>
      </c>
      <c r="Y268" s="19" cm="1">
        <f t="array" ref="Y2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8" s="33">
        <f>DURATION(Table1[[#This Row],[Issue date]],Table1[[#This Row],[Maturity date]],Table1[[#This Row],[Current coupon %]],Table1[[#This Row],[Yield (Annualised)]],Table1[[#This Row],[Coupon Frequency2]])</f>
        <v>7.2256264529875249</v>
      </c>
      <c r="AA268" s="33">
        <f>Table1[[#This Row],[Macaulay Duration in Years]]/(1+Table1[[#This Row],[IRR]])</f>
        <v>6.69047382496389</v>
      </c>
      <c r="AB268" s="58">
        <f>VLOOKUP(Table1[[#This Row],[Yield Cluster]],'Cluster Details'!$B$3:$C$16,2,0)</f>
        <v>7.8548801574189142E-2</v>
      </c>
      <c r="AC268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1016533.0831456151</v>
      </c>
      <c r="AD268" s="58" t="str">
        <f>IF(Table1[[#This Row],[Ask Price]]&gt;Table1[[#This Row],[Calculated Bond Price]],"Rich","Cheap")</f>
        <v>Cheap</v>
      </c>
      <c r="AE2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942320.84166230785</v>
      </c>
      <c r="AF2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1077308.4402175448</v>
      </c>
      <c r="AG268" s="78">
        <f>(Table1[[#This Row],[P (+ shock)]]+Table1[[#This Row],[P (-shock)]]-2*Table1[[#This Row],[Ask Price]])/(2*Table1[[#This Row],[Ask Price]]*($AF$2^2))</f>
        <v>29.982647328021393</v>
      </c>
      <c r="AI268" s="6">
        <f t="shared" si="17"/>
        <v>8.0453239782438554E-2</v>
      </c>
      <c r="AK268" s="47">
        <f>RATE(Table1[[#This Row],[Total No. of Coupons]],Table1[[#This Row],[Coupon Amount]],-Table1[[#This Row],[Ask Price]],Table1[[#This Row],[Face value]])</f>
        <v>7.9987253821521845E-2</v>
      </c>
      <c r="AL268" s="27">
        <f>Table1[[#This Row],[IRR]]*Table1[[#This Row],[Coupon Frequency2]]</f>
        <v>7.9987253821521845E-2</v>
      </c>
      <c r="AM268" s="5">
        <f t="shared" si="18"/>
        <v>-6735942.2850783449</v>
      </c>
      <c r="AN268" t="s">
        <v>64</v>
      </c>
      <c r="AO268" t="s">
        <v>62</v>
      </c>
      <c r="AP268">
        <f t="shared" si="19"/>
        <v>1</v>
      </c>
    </row>
    <row r="269" spans="1:42" x14ac:dyDescent="0.35">
      <c r="A269" s="48" t="s">
        <v>1432</v>
      </c>
      <c r="B269" s="49" t="s">
        <v>2548</v>
      </c>
      <c r="C269" s="49" t="s">
        <v>2273</v>
      </c>
      <c r="D269" s="50">
        <v>45309</v>
      </c>
      <c r="E269" s="50">
        <v>46405</v>
      </c>
      <c r="F269" s="49">
        <v>1000</v>
      </c>
      <c r="G269" s="49" t="s">
        <v>76</v>
      </c>
      <c r="H269" s="49">
        <v>1041</v>
      </c>
      <c r="I269" s="49" t="s">
        <v>76</v>
      </c>
      <c r="J269" s="49">
        <v>104.1</v>
      </c>
      <c r="K269" s="49">
        <v>11</v>
      </c>
      <c r="L269" s="51">
        <v>9.6099999999999991E-2</v>
      </c>
      <c r="M269" s="49" t="s">
        <v>93</v>
      </c>
      <c r="N269" s="49">
        <v>488</v>
      </c>
      <c r="O269" s="49">
        <v>9.2315081652257405</v>
      </c>
      <c r="P269" s="49"/>
      <c r="Q269" s="49"/>
      <c r="R269" s="49" t="s">
        <v>2275</v>
      </c>
      <c r="S269">
        <f t="shared" si="16"/>
        <v>3</v>
      </c>
      <c r="T269" s="5" cm="1">
        <f t="array" ref="T2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69">
        <f>Table1[[#This Row],[Term to Maturity (Years)]]*Table1[[#This Row],[Coupon Frequency2]]</f>
        <v>3</v>
      </c>
      <c r="V269">
        <f>Table1[[#This Row],[Face value]]*Table1[[#This Row],[Current coupon %]]</f>
        <v>96.1</v>
      </c>
      <c r="W269" s="36">
        <f>RATE(Table1[[#This Row],[Total No. of Coupons]],Table1[[#This Row],[Coupon Amount]],-Table1[[#This Row],[Ask Price]],Table1[[#This Row],[Face value]])</f>
        <v>8.0185306111496935E-2</v>
      </c>
      <c r="X269" s="27">
        <f>Table1[[#This Row],[IRR]]*Table1[[#This Row],[Coupon Frequency2]]</f>
        <v>8.0185306111496935E-2</v>
      </c>
      <c r="Y269" s="19" cm="1">
        <f t="array" ref="Y2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69" s="33">
        <f>DURATION(Table1[[#This Row],[Issue date]],Table1[[#This Row],[Maturity date]],Table1[[#This Row],[Current coupon %]],Table1[[#This Row],[Yield (Annualised)]],Table1[[#This Row],[Coupon Frequency2]])</f>
        <v>2.7499573215449362</v>
      </c>
      <c r="AA269" s="33">
        <f>Table1[[#This Row],[Macaulay Duration in Years]]/(1+Table1[[#This Row],[IRR]])</f>
        <v>2.5458199680982192</v>
      </c>
      <c r="AB269" s="58">
        <f>VLOOKUP(Table1[[#This Row],[Yield Cluster]],'Cluster Details'!$B$3:$C$16,2,0)</f>
        <v>7.8548801574189142E-2</v>
      </c>
      <c r="AC269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1045.3498420213937</v>
      </c>
      <c r="AD269" s="58" t="str">
        <f>IF(Table1[[#This Row],[Ask Price]]&gt;Table1[[#This Row],[Calculated Bond Price]],"Rich","Cheap")</f>
        <v>Cheap</v>
      </c>
      <c r="AE2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1014.9668899310122</v>
      </c>
      <c r="AF2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1067.9853285550964</v>
      </c>
      <c r="AG269" s="78">
        <f>(Table1[[#This Row],[P (+ shock)]]+Table1[[#This Row],[P (-shock)]]-2*Table1[[#This Row],[Ask Price]])/(2*Table1[[#This Row],[Ask Price]]*($AF$2^2))</f>
        <v>4.573575821848725</v>
      </c>
      <c r="AH269">
        <v>10.668253375244699</v>
      </c>
      <c r="AI269" s="6">
        <f t="shared" si="17"/>
        <v>9.2315081652257436E-2</v>
      </c>
      <c r="AK269" s="47">
        <f>RATE(Table1[[#This Row],[Total No. of Coupons]],Table1[[#This Row],[Coupon Amount]],-Table1[[#This Row],[Ask Price]],Table1[[#This Row],[Face value]])</f>
        <v>8.0185306111496935E-2</v>
      </c>
      <c r="AL269" s="27">
        <f>Table1[[#This Row],[IRR]]*Table1[[#This Row],[Coupon Frequency2]]</f>
        <v>8.0185306111496935E-2</v>
      </c>
      <c r="AM269" s="5">
        <f t="shared" si="18"/>
        <v>-2650.1985867902463</v>
      </c>
      <c r="AN269" t="s">
        <v>64</v>
      </c>
      <c r="AO269" t="s">
        <v>62</v>
      </c>
      <c r="AP269">
        <f t="shared" si="19"/>
        <v>1</v>
      </c>
    </row>
    <row r="270" spans="1:42" x14ac:dyDescent="0.35">
      <c r="A270" s="48" t="s">
        <v>454</v>
      </c>
      <c r="B270" s="49" t="s">
        <v>2549</v>
      </c>
      <c r="C270" s="49" t="s">
        <v>2273</v>
      </c>
      <c r="D270" s="50">
        <v>43992</v>
      </c>
      <c r="E270" s="50">
        <v>47644</v>
      </c>
      <c r="F270" s="49">
        <v>500000</v>
      </c>
      <c r="G270" s="49" t="s">
        <v>76</v>
      </c>
      <c r="H270" s="49">
        <v>500000</v>
      </c>
      <c r="I270" s="49" t="s">
        <v>76</v>
      </c>
      <c r="J270" s="49">
        <v>100</v>
      </c>
      <c r="K270" s="49">
        <v>2</v>
      </c>
      <c r="L270" s="51">
        <v>8.0199999999999994E-2</v>
      </c>
      <c r="M270" s="49" t="s">
        <v>93</v>
      </c>
      <c r="N270" s="49">
        <v>1727</v>
      </c>
      <c r="O270" s="49">
        <v>8.02</v>
      </c>
      <c r="P270" s="49"/>
      <c r="Q270" s="49"/>
      <c r="R270" s="49" t="s">
        <v>2275</v>
      </c>
      <c r="S270">
        <f t="shared" si="16"/>
        <v>10</v>
      </c>
      <c r="T270" s="5" cm="1">
        <f t="array" ref="T2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0">
        <f>Table1[[#This Row],[Term to Maturity (Years)]]*Table1[[#This Row],[Coupon Frequency2]]</f>
        <v>10</v>
      </c>
      <c r="V270">
        <f>Table1[[#This Row],[Face value]]*Table1[[#This Row],[Current coupon %]]</f>
        <v>40100</v>
      </c>
      <c r="W270" s="36">
        <f>RATE(Table1[[#This Row],[Total No. of Coupons]],Table1[[#This Row],[Coupon Amount]],-Table1[[#This Row],[Ask Price]],Table1[[#This Row],[Face value]])</f>
        <v>8.0200000000007959E-2</v>
      </c>
      <c r="X270" s="27">
        <f>Table1[[#This Row],[IRR]]*Table1[[#This Row],[Coupon Frequency2]]</f>
        <v>8.0200000000007959E-2</v>
      </c>
      <c r="Y270" s="19" cm="1">
        <f t="array" ref="Y2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0" s="33">
        <f>DURATION(Table1[[#This Row],[Issue date]],Table1[[#This Row],[Maturity date]],Table1[[#This Row],[Current coupon %]],Table1[[#This Row],[Yield (Annualised)]],Table1[[#This Row],[Coupon Frequency2]])</f>
        <v>7.2416958813196883</v>
      </c>
      <c r="AA270" s="33">
        <f>Table1[[#This Row],[Macaulay Duration in Years]]/(1+Table1[[#This Row],[IRR]])</f>
        <v>6.7040324766891635</v>
      </c>
      <c r="AB270" s="58">
        <f>VLOOKUP(Table1[[#This Row],[Yield Cluster]],'Cluster Details'!$B$3:$C$16,2,0)</f>
        <v>7.8548801574189142E-2</v>
      </c>
      <c r="AC270" s="78">
        <f>PRICE(Table1[[#This Row],[Issue date]],Table1[[#This Row],[Maturity date]],Table1[[#This Row],[Current coupon %]],Table1[[#This Row],[Average Cluster Yield]],100,Table1[[#This Row],[Coupon Frequency2]])*Table1[[#This Row],[Face value]]/100</f>
        <v>505576.2833252619</v>
      </c>
      <c r="AD270" s="58" t="str">
        <f>IF(Table1[[#This Row],[Ask Price]]&gt;Table1[[#This Row],[Calculated Bond Price]],"Rich","Cheap")</f>
        <v>Cheap</v>
      </c>
      <c r="AE2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467939.94028809213</v>
      </c>
      <c r="AF2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535085.46419951762</v>
      </c>
      <c r="AG270" s="78">
        <f>(Table1[[#This Row],[P (+ shock)]]+Table1[[#This Row],[P (-shock)]]-2*Table1[[#This Row],[Ask Price]])/(2*Table1[[#This Row],[Ask Price]]*($AF$2^2))</f>
        <v>30.254044876097467</v>
      </c>
      <c r="AH270">
        <v>11.1610462672572</v>
      </c>
      <c r="AI270" s="6">
        <f t="shared" si="17"/>
        <v>8.0199999999999994E-2</v>
      </c>
      <c r="AK270" s="47">
        <f>RATE(Table1[[#This Row],[Total No. of Coupons]],Table1[[#This Row],[Coupon Amount]],-Table1[[#This Row],[Ask Price]],Table1[[#This Row],[Face value]])</f>
        <v>8.0200000000007959E-2</v>
      </c>
      <c r="AL270" s="27">
        <f>Table1[[#This Row],[IRR]]*Table1[[#This Row],[Coupon Frequency2]]</f>
        <v>8.0200000000007959E-2</v>
      </c>
      <c r="AM270" s="5">
        <f t="shared" si="18"/>
        <v>-3352016.2383445818</v>
      </c>
      <c r="AN270" t="s">
        <v>64</v>
      </c>
      <c r="AO270" t="s">
        <v>62</v>
      </c>
      <c r="AP270">
        <f t="shared" si="19"/>
        <v>1</v>
      </c>
    </row>
    <row r="271" spans="1:42" x14ac:dyDescent="0.35">
      <c r="A271" s="48" t="s">
        <v>660</v>
      </c>
      <c r="B271" s="49" t="s">
        <v>2550</v>
      </c>
      <c r="C271" s="49" t="s">
        <v>2273</v>
      </c>
      <c r="D271" s="50">
        <v>43623</v>
      </c>
      <c r="E271" s="50">
        <v>47276</v>
      </c>
      <c r="F271" s="49">
        <v>1000000</v>
      </c>
      <c r="G271" s="49" t="s">
        <v>76</v>
      </c>
      <c r="H271" s="49">
        <v>1055000</v>
      </c>
      <c r="I271" s="49" t="s">
        <v>76</v>
      </c>
      <c r="J271" s="49">
        <v>105.5</v>
      </c>
      <c r="K271" s="49">
        <v>2</v>
      </c>
      <c r="L271" s="51">
        <v>8.8499999999999995E-2</v>
      </c>
      <c r="M271" s="49" t="s">
        <v>93</v>
      </c>
      <c r="N271" s="49">
        <v>1359</v>
      </c>
      <c r="O271" s="49">
        <v>8.3886255924170605</v>
      </c>
      <c r="P271" s="49"/>
      <c r="Q271" s="49"/>
      <c r="R271" s="49" t="s">
        <v>2275</v>
      </c>
      <c r="S271">
        <f t="shared" si="16"/>
        <v>10</v>
      </c>
      <c r="T271" s="5" cm="1">
        <f t="array" ref="T2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1">
        <f>Table1[[#This Row],[Term to Maturity (Years)]]*Table1[[#This Row],[Coupon Frequency2]]</f>
        <v>10</v>
      </c>
      <c r="V271">
        <f>Table1[[#This Row],[Face value]]*Table1[[#This Row],[Current coupon %]]</f>
        <v>88500</v>
      </c>
      <c r="W271" s="36">
        <f>RATE(Table1[[#This Row],[Total No. of Coupons]],Table1[[#This Row],[Coupon Amount]],-Table1[[#This Row],[Ask Price]],Table1[[#This Row],[Face value]])</f>
        <v>8.0292558767551092E-2</v>
      </c>
      <c r="X271" s="27">
        <f>Table1[[#This Row],[IRR]]*Table1[[#This Row],[Coupon Frequency2]]</f>
        <v>8.0292558767551092E-2</v>
      </c>
      <c r="Y271" s="19" cm="1">
        <f t="array" ref="Y2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1" s="33">
        <f>DURATION(Table1[[#This Row],[Issue date]],Table1[[#This Row],[Maturity date]],Table1[[#This Row],[Current coupon %]],Table1[[#This Row],[Yield (Annualised)]],Table1[[#This Row],[Coupon Frequency2]])</f>
        <v>7.1157329568234635</v>
      </c>
      <c r="AA271" s="33">
        <f>Table1[[#This Row],[Macaulay Duration in Years]]/(1+Table1[[#This Row],[IRR]])</f>
        <v>6.5868573277422442</v>
      </c>
      <c r="AB271" s="58">
        <f>VLOOKUP(Table1[[#This Row],[Yield Cluster]],'Cluster Details'!$B$3:$C$16,2,0)</f>
        <v>7.8548801574189142E-2</v>
      </c>
      <c r="AC271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1067212.6389909426</v>
      </c>
      <c r="AD271" s="58" t="str">
        <f>IF(Table1[[#This Row],[Ask Price]]&gt;Table1[[#This Row],[Calculated Bond Price]],"Rich","Cheap")</f>
        <v>Cheap</v>
      </c>
      <c r="AE2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988510.77073045215</v>
      </c>
      <c r="AF2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1127708.6864062124</v>
      </c>
      <c r="AG271" s="78">
        <f>(Table1[[#This Row],[P (+ shock)]]+Table1[[#This Row],[P (-shock)]]-2*Table1[[#This Row],[Ask Price]])/(2*Table1[[#This Row],[Ask Price]]*($AF$2^2))</f>
        <v>29.476100173765591</v>
      </c>
      <c r="AH271">
        <v>11.7605301379664</v>
      </c>
      <c r="AI271" s="6">
        <f t="shared" si="17"/>
        <v>8.3886255924170622E-2</v>
      </c>
      <c r="AK271" s="47">
        <f>RATE(Table1[[#This Row],[Total No. of Coupons]],Table1[[#This Row],[Coupon Amount]],-Table1[[#This Row],[Ask Price]],Table1[[#This Row],[Face value]])</f>
        <v>8.0292558767551092E-2</v>
      </c>
      <c r="AL271" s="27">
        <f>Table1[[#This Row],[IRR]]*Table1[[#This Row],[Coupon Frequency2]]</f>
        <v>8.0292558767551092E-2</v>
      </c>
      <c r="AM271" s="5">
        <f t="shared" si="18"/>
        <v>-6949134.4807680678</v>
      </c>
      <c r="AN271" t="s">
        <v>69</v>
      </c>
      <c r="AO271" t="s">
        <v>62</v>
      </c>
      <c r="AP271">
        <f t="shared" si="19"/>
        <v>1</v>
      </c>
    </row>
    <row r="272" spans="1:42" x14ac:dyDescent="0.35">
      <c r="A272" s="48" t="s">
        <v>1290</v>
      </c>
      <c r="B272" s="49" t="s">
        <v>2551</v>
      </c>
      <c r="C272" s="49" t="s">
        <v>2273</v>
      </c>
      <c r="D272" s="50">
        <v>45411</v>
      </c>
      <c r="E272" s="50">
        <v>46506</v>
      </c>
      <c r="F272" s="49">
        <v>1000</v>
      </c>
      <c r="G272" s="49" t="s">
        <v>76</v>
      </c>
      <c r="H272" s="49">
        <v>1040</v>
      </c>
      <c r="I272" s="49" t="s">
        <v>76</v>
      </c>
      <c r="J272" s="49">
        <v>104</v>
      </c>
      <c r="K272" s="49">
        <v>105</v>
      </c>
      <c r="L272" s="51">
        <v>9.6000000000000002E-2</v>
      </c>
      <c r="M272" s="49" t="s">
        <v>93</v>
      </c>
      <c r="N272" s="49">
        <v>589</v>
      </c>
      <c r="O272" s="49">
        <v>9.2307692307692299</v>
      </c>
      <c r="P272" s="49"/>
      <c r="Q272" s="49"/>
      <c r="R272" s="49" t="s">
        <v>2275</v>
      </c>
      <c r="S272">
        <f t="shared" si="16"/>
        <v>3</v>
      </c>
      <c r="T272" s="5" cm="1">
        <f t="array" ref="T2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2">
        <f>Table1[[#This Row],[Term to Maturity (Years)]]*Table1[[#This Row],[Coupon Frequency2]]</f>
        <v>3</v>
      </c>
      <c r="V272">
        <f>Table1[[#This Row],[Face value]]*Table1[[#This Row],[Current coupon %]]</f>
        <v>96</v>
      </c>
      <c r="W272" s="36">
        <f>RATE(Table1[[#This Row],[Total No. of Coupons]],Table1[[#This Row],[Coupon Amount]],-Table1[[#This Row],[Ask Price]],Table1[[#This Row],[Face value]])</f>
        <v>8.0465617379687243E-2</v>
      </c>
      <c r="X272" s="27">
        <f>Table1[[#This Row],[IRR]]*Table1[[#This Row],[Coupon Frequency2]]</f>
        <v>8.0465617379687243E-2</v>
      </c>
      <c r="Y272" s="19" cm="1">
        <f t="array" ref="Y2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2" s="33">
        <f>DURATION(Table1[[#This Row],[Issue date]],Table1[[#This Row],[Maturity date]],Table1[[#This Row],[Current coupon %]],Table1[[#This Row],[Yield (Annualised)]],Table1[[#This Row],[Coupon Frequency2]])</f>
        <v>2.7500627200511851</v>
      </c>
      <c r="AA272" s="33">
        <f>Table1[[#This Row],[Macaulay Duration in Years]]/(1+Table1[[#This Row],[IRR]])</f>
        <v>2.5452570408677646</v>
      </c>
      <c r="AB272" s="58">
        <f>VLOOKUP(Table1[[#This Row],[Yield Cluster]],'Cluster Details'!$B$3:$C$16,2,0)</f>
        <v>7.8548801574189142E-2</v>
      </c>
      <c r="AC272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1045.0914560073952</v>
      </c>
      <c r="AD272" s="58" t="str">
        <f>IF(Table1[[#This Row],[Ask Price]]&gt;Table1[[#This Row],[Calculated Bond Price]],"Rich","Cheap")</f>
        <v>Cheap</v>
      </c>
      <c r="AE2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1013.9975361080783</v>
      </c>
      <c r="AF2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1066.9533252015267</v>
      </c>
      <c r="AG272" s="78">
        <f>(Table1[[#This Row],[P (+ shock)]]+Table1[[#This Row],[P (-shock)]]-2*Table1[[#This Row],[Ask Price]])/(2*Table1[[#This Row],[Ask Price]]*($AF$2^2))</f>
        <v>4.5714486038701363</v>
      </c>
      <c r="AH272">
        <v>10.25</v>
      </c>
      <c r="AI272" s="6">
        <f t="shared" si="17"/>
        <v>9.2307692307692313E-2</v>
      </c>
      <c r="AK272" s="47">
        <f>RATE(Table1[[#This Row],[Total No. of Coupons]],Table1[[#This Row],[Coupon Amount]],-Table1[[#This Row],[Ask Price]],Table1[[#This Row],[Face value]])</f>
        <v>8.0465617379687243E-2</v>
      </c>
      <c r="AL272" s="27">
        <f>Table1[[#This Row],[IRR]]*Table1[[#This Row],[Coupon Frequency2]]</f>
        <v>8.0465617379687243E-2</v>
      </c>
      <c r="AM272" s="5">
        <f t="shared" si="18"/>
        <v>-2647.0673225024752</v>
      </c>
      <c r="AN272" t="s">
        <v>64</v>
      </c>
      <c r="AO272" t="s">
        <v>62</v>
      </c>
      <c r="AP272">
        <f t="shared" si="19"/>
        <v>1</v>
      </c>
    </row>
    <row r="273" spans="1:42" x14ac:dyDescent="0.35">
      <c r="A273" s="48" t="s">
        <v>1518</v>
      </c>
      <c r="B273" s="49" t="s">
        <v>2552</v>
      </c>
      <c r="C273" s="49" t="s">
        <v>2273</v>
      </c>
      <c r="D273" s="50">
        <v>40868</v>
      </c>
      <c r="E273" s="50">
        <v>46347</v>
      </c>
      <c r="F273" s="49">
        <v>5000</v>
      </c>
      <c r="G273" s="49" t="s">
        <v>76</v>
      </c>
      <c r="H273" s="49">
        <v>5300</v>
      </c>
      <c r="I273" s="49" t="s">
        <v>76</v>
      </c>
      <c r="J273" s="49">
        <v>106</v>
      </c>
      <c r="K273" s="49">
        <v>4</v>
      </c>
      <c r="L273" s="51">
        <v>8.7499999999999994E-2</v>
      </c>
      <c r="M273" s="49" t="s">
        <v>93</v>
      </c>
      <c r="N273" s="49">
        <v>430</v>
      </c>
      <c r="O273" s="49">
        <v>8.25471698113207</v>
      </c>
      <c r="P273" s="49" t="s">
        <v>2282</v>
      </c>
      <c r="Q273" s="49"/>
      <c r="R273" s="49" t="s">
        <v>2275</v>
      </c>
      <c r="S273">
        <f t="shared" si="16"/>
        <v>15</v>
      </c>
      <c r="T273" s="5" cm="1">
        <f t="array" ref="T2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3">
        <f>Table1[[#This Row],[Term to Maturity (Years)]]*Table1[[#This Row],[Coupon Frequency2]]</f>
        <v>15</v>
      </c>
      <c r="V273">
        <f>Table1[[#This Row],[Face value]]*Table1[[#This Row],[Current coupon %]]</f>
        <v>437.5</v>
      </c>
      <c r="W273" s="36">
        <f>RATE(Table1[[#This Row],[Total No. of Coupons]],Table1[[#This Row],[Coupon Amount]],-Table1[[#This Row],[Ask Price]],Table1[[#This Row],[Face value]])</f>
        <v>8.0470093686773117E-2</v>
      </c>
      <c r="X273" s="27">
        <f>Table1[[#This Row],[IRR]]*Table1[[#This Row],[Coupon Frequency2]]</f>
        <v>8.0470093686773117E-2</v>
      </c>
      <c r="Y273" s="19" cm="1">
        <f t="array" ref="Y2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3" s="33">
        <f>DURATION(Table1[[#This Row],[Issue date]],Table1[[#This Row],[Maturity date]],Table1[[#This Row],[Current coupon %]],Table1[[#This Row],[Yield (Annualised)]],Table1[[#This Row],[Coupon Frequency2]])</f>
        <v>9.0726274788426036</v>
      </c>
      <c r="AA273" s="33">
        <f>Table1[[#This Row],[Macaulay Duration in Years]]/(1+Table1[[#This Row],[IRR]])</f>
        <v>8.3969260527008593</v>
      </c>
      <c r="AB273" s="58">
        <f>VLOOKUP(Table1[[#This Row],[Yield Cluster]],'Cluster Details'!$B$3:$C$16,2,0)</f>
        <v>7.8548801574189142E-2</v>
      </c>
      <c r="AC273" s="78">
        <f>PRICE(Table1[[#This Row],[Issue date]],Table1[[#This Row],[Maturity date]],Table1[[#This Row],[Current coupon %]],Table1[[#This Row],[Average Cluster Yield]],100,Table1[[#This Row],[Coupon Frequency2]])*Table1[[#This Row],[Face value]]/100</f>
        <v>5386.5059989044958</v>
      </c>
      <c r="AD273" s="58" t="str">
        <f>IF(Table1[[#This Row],[Ask Price]]&gt;Table1[[#This Row],[Calculated Bond Price]],"Rich","Cheap")</f>
        <v>Cheap</v>
      </c>
      <c r="AE27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4880.6264737557331</v>
      </c>
      <c r="AF27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5773.2371449548509</v>
      </c>
      <c r="AG273" s="78">
        <f>(Table1[[#This Row],[P (+ shock)]]+Table1[[#This Row],[P (-shock)]]-2*Table1[[#This Row],[Ask Price]])/(2*Table1[[#This Row],[Ask Price]]*($AF$2^2))</f>
        <v>50.81473463262639</v>
      </c>
      <c r="AH273">
        <v>7.39449171587545</v>
      </c>
      <c r="AI273" s="6">
        <f t="shared" si="17"/>
        <v>8.254716981132075E-2</v>
      </c>
      <c r="AK273" s="47">
        <f>RATE(Table1[[#This Row],[Total No. of Coupons]],Table1[[#This Row],[Coupon Amount]],-Table1[[#This Row],[Ask Price]],Table1[[#This Row],[Face value]])</f>
        <v>8.0470093686773117E-2</v>
      </c>
      <c r="AL273" s="27">
        <f>Table1[[#This Row],[IRR]]*Table1[[#This Row],[Coupon Frequency2]]</f>
        <v>8.0470093686773117E-2</v>
      </c>
      <c r="AM273" s="5">
        <f t="shared" si="18"/>
        <v>-44503.708079314558</v>
      </c>
      <c r="AN273" t="s">
        <v>64</v>
      </c>
      <c r="AO273" t="s">
        <v>62</v>
      </c>
      <c r="AP273">
        <f t="shared" si="19"/>
        <v>1</v>
      </c>
    </row>
    <row r="274" spans="1:42" x14ac:dyDescent="0.35">
      <c r="A274" s="48" t="s">
        <v>1437</v>
      </c>
      <c r="B274" s="49" t="s">
        <v>2553</v>
      </c>
      <c r="C274" s="49" t="s">
        <v>2273</v>
      </c>
      <c r="D274" s="50">
        <v>43483</v>
      </c>
      <c r="E274" s="50">
        <v>46405</v>
      </c>
      <c r="F274" s="49">
        <v>1000</v>
      </c>
      <c r="G274" s="49" t="s">
        <v>76</v>
      </c>
      <c r="H274" s="49">
        <v>1066</v>
      </c>
      <c r="I274" s="49" t="s">
        <v>76</v>
      </c>
      <c r="J274" s="49">
        <v>106.6</v>
      </c>
      <c r="K274" s="49">
        <v>10</v>
      </c>
      <c r="L274" s="51">
        <v>9.1999999999999998E-2</v>
      </c>
      <c r="M274" s="49" t="s">
        <v>93</v>
      </c>
      <c r="N274" s="49">
        <v>488</v>
      </c>
      <c r="O274" s="49">
        <v>8.6303939962476495</v>
      </c>
      <c r="P274" s="49"/>
      <c r="Q274" s="49"/>
      <c r="R274" s="49" t="s">
        <v>2275</v>
      </c>
      <c r="S274">
        <f t="shared" si="16"/>
        <v>8</v>
      </c>
      <c r="T274" s="5" cm="1">
        <f t="array" ref="T2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4">
        <f>Table1[[#This Row],[Term to Maturity (Years)]]*Table1[[#This Row],[Coupon Frequency2]]</f>
        <v>8</v>
      </c>
      <c r="V274">
        <f>Table1[[#This Row],[Face value]]*Table1[[#This Row],[Current coupon %]]</f>
        <v>92</v>
      </c>
      <c r="W274" s="36">
        <f>RATE(Table1[[#This Row],[Total No. of Coupons]],Table1[[#This Row],[Coupon Amount]],-Table1[[#This Row],[Ask Price]],Table1[[#This Row],[Face value]])</f>
        <v>8.0493507396586728E-2</v>
      </c>
      <c r="X274" s="27">
        <f>Table1[[#This Row],[IRR]]*Table1[[#This Row],[Coupon Frequency2]]</f>
        <v>8.0493507396586728E-2</v>
      </c>
      <c r="Y274" s="19" cm="1">
        <f t="array" ref="Y2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4" s="33">
        <f>DURATION(Table1[[#This Row],[Issue date]],Table1[[#This Row],[Maturity date]],Table1[[#This Row],[Current coupon %]],Table1[[#This Row],[Yield (Annualised)]],Table1[[#This Row],[Coupon Frequency2]])</f>
        <v>6.0674873107082421</v>
      </c>
      <c r="AA274" s="33">
        <f>Table1[[#This Row],[Macaulay Duration in Years]]/(1+Table1[[#This Row],[IRR]])</f>
        <v>5.6154778063661412</v>
      </c>
      <c r="AB274" s="58">
        <f>VLOOKUP(Table1[[#This Row],[Yield Cluster]],'Cluster Details'!$B$3:$C$16,2,0)</f>
        <v>7.8548801574189142E-2</v>
      </c>
      <c r="AC274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1077.7267066184925</v>
      </c>
      <c r="AD274" s="58" t="str">
        <f>IF(Table1[[#This Row],[Ask Price]]&gt;Table1[[#This Row],[Calculated Bond Price]],"Rich","Cheap")</f>
        <v>Cheap</v>
      </c>
      <c r="AE27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1008.3228920196859</v>
      </c>
      <c r="AF27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1128.1764455198693</v>
      </c>
      <c r="AG274" s="78">
        <f>(Table1[[#This Row],[P (+ shock)]]+Table1[[#This Row],[P (-shock)]]-2*Table1[[#This Row],[Ask Price]])/(2*Table1[[#This Row],[Ask Price]]*($AF$2^2))</f>
        <v>21.103834613298307</v>
      </c>
      <c r="AH274">
        <v>9.9256216764991692</v>
      </c>
      <c r="AI274" s="6">
        <f t="shared" si="17"/>
        <v>8.6303939962476553E-2</v>
      </c>
      <c r="AK274" s="47">
        <f>RATE(Table1[[#This Row],[Total No. of Coupons]],Table1[[#This Row],[Coupon Amount]],-Table1[[#This Row],[Ask Price]],Table1[[#This Row],[Face value]])</f>
        <v>8.0493507396586728E-2</v>
      </c>
      <c r="AL274" s="27">
        <f>Table1[[#This Row],[IRR]]*Table1[[#This Row],[Coupon Frequency2]]</f>
        <v>8.0493507396586728E-2</v>
      </c>
      <c r="AM274" s="5">
        <f t="shared" si="18"/>
        <v>-5986.0993415863068</v>
      </c>
      <c r="AN274" t="s">
        <v>64</v>
      </c>
      <c r="AO274" t="s">
        <v>62</v>
      </c>
      <c r="AP274">
        <f t="shared" si="19"/>
        <v>1</v>
      </c>
    </row>
    <row r="275" spans="1:42" x14ac:dyDescent="0.35">
      <c r="A275" s="48" t="s">
        <v>1413</v>
      </c>
      <c r="B275" s="49" t="s">
        <v>2554</v>
      </c>
      <c r="C275" s="49" t="s">
        <v>2273</v>
      </c>
      <c r="D275" s="50">
        <v>43858</v>
      </c>
      <c r="E275" s="50">
        <v>46415</v>
      </c>
      <c r="F275" s="49">
        <v>1000</v>
      </c>
      <c r="G275" s="49" t="s">
        <v>76</v>
      </c>
      <c r="H275" s="49">
        <v>1054.3</v>
      </c>
      <c r="I275" s="49" t="s">
        <v>76</v>
      </c>
      <c r="J275" s="49">
        <v>105.43</v>
      </c>
      <c r="K275" s="49">
        <v>300</v>
      </c>
      <c r="L275" s="51">
        <v>9.0999999999999998E-2</v>
      </c>
      <c r="M275" s="49" t="s">
        <v>93</v>
      </c>
      <c r="N275" s="49">
        <v>498</v>
      </c>
      <c r="O275" s="49">
        <v>8.6313193588162704</v>
      </c>
      <c r="P275" s="49" t="s">
        <v>2285</v>
      </c>
      <c r="Q275" s="49"/>
      <c r="R275" s="49" t="s">
        <v>2275</v>
      </c>
      <c r="S275">
        <f t="shared" si="16"/>
        <v>7</v>
      </c>
      <c r="T275" s="5" cm="1">
        <f t="array" ref="T2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5">
        <f>Table1[[#This Row],[Term to Maturity (Years)]]*Table1[[#This Row],[Coupon Frequency2]]</f>
        <v>7</v>
      </c>
      <c r="V275">
        <f>Table1[[#This Row],[Face value]]*Table1[[#This Row],[Current coupon %]]</f>
        <v>91</v>
      </c>
      <c r="W275" s="36">
        <f>RATE(Table1[[#This Row],[Total No. of Coupons]],Table1[[#This Row],[Coupon Amount]],-Table1[[#This Row],[Ask Price]],Table1[[#This Row],[Face value]])</f>
        <v>8.0550813157910087E-2</v>
      </c>
      <c r="X275" s="27">
        <f>Table1[[#This Row],[IRR]]*Table1[[#This Row],[Coupon Frequency2]]</f>
        <v>8.0550813157910087E-2</v>
      </c>
      <c r="Y275" s="19" cm="1">
        <f t="array" ref="Y2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5" s="33">
        <f>DURATION(Table1[[#This Row],[Issue date]],Table1[[#This Row],[Maturity date]],Table1[[#This Row],[Current coupon %]],Table1[[#This Row],[Yield (Annualised)]],Table1[[#This Row],[Coupon Frequency2]])</f>
        <v>5.5160978622733401</v>
      </c>
      <c r="AA275" s="33">
        <f>Table1[[#This Row],[Macaulay Duration in Years]]/(1+Table1[[#This Row],[IRR]])</f>
        <v>5.1048944622535082</v>
      </c>
      <c r="AB275" s="58">
        <f>VLOOKUP(Table1[[#This Row],[Yield Cluster]],'Cluster Details'!$B$3:$C$16,2,0)</f>
        <v>7.8548801574189142E-2</v>
      </c>
      <c r="AC275" s="78">
        <f>PRICE(Table1[[#This Row],[Issue date]],Table1[[#This Row],[Maturity date]],Table1[[#This Row],[Current coupon %]],Table1[[#This Row],[Average Cluster Yield]],100,Table1[[#This Row],[Coupon Frequency2]])*Table1[[#This Row],[Face value]]/100</f>
        <v>1065.1485372670677</v>
      </c>
      <c r="AD275" s="58" t="str">
        <f>IF(Table1[[#This Row],[Ask Price]]&gt;Table1[[#This Row],[Calculated Bond Price]],"Rich","Cheap")</f>
        <v>Cheap</v>
      </c>
      <c r="AE27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1002.2565639233259</v>
      </c>
      <c r="AF27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1109.9952683347242</v>
      </c>
      <c r="AG275" s="78">
        <f>(Table1[[#This Row],[P (+ shock)]]+Table1[[#This Row],[P (-shock)]]-2*Table1[[#This Row],[Ask Price]])/(2*Table1[[#This Row],[Ask Price]]*($AF$2^2))</f>
        <v>17.318753002229137</v>
      </c>
      <c r="AH275">
        <v>12.4410492686849</v>
      </c>
      <c r="AI275" s="6">
        <f t="shared" si="17"/>
        <v>8.6313193588162765E-2</v>
      </c>
      <c r="AK275" s="47">
        <f>RATE(Table1[[#This Row],[Total No. of Coupons]],Table1[[#This Row],[Coupon Amount]],-Table1[[#This Row],[Ask Price]],Table1[[#This Row],[Face value]])</f>
        <v>8.0550813157910087E-2</v>
      </c>
      <c r="AL275" s="27">
        <f>Table1[[#This Row],[IRR]]*Table1[[#This Row],[Coupon Frequency2]]</f>
        <v>8.0550813157910087E-2</v>
      </c>
      <c r="AM275" s="5">
        <f t="shared" si="18"/>
        <v>-5382.0902315538733</v>
      </c>
      <c r="AN275" t="s">
        <v>64</v>
      </c>
      <c r="AO275" t="s">
        <v>62</v>
      </c>
      <c r="AP275">
        <f t="shared" si="19"/>
        <v>1</v>
      </c>
    </row>
    <row r="276" spans="1:42" x14ac:dyDescent="0.35">
      <c r="A276" s="48" t="s">
        <v>517</v>
      </c>
      <c r="B276" s="49" t="s">
        <v>2555</v>
      </c>
      <c r="C276" s="49" t="s">
        <v>2273</v>
      </c>
      <c r="D276" s="50">
        <v>44476</v>
      </c>
      <c r="E276" s="50">
        <v>47521</v>
      </c>
      <c r="F276" s="49">
        <v>1000</v>
      </c>
      <c r="G276" s="49" t="s">
        <v>76</v>
      </c>
      <c r="H276" s="49">
        <v>1014</v>
      </c>
      <c r="I276" s="49" t="s">
        <v>76</v>
      </c>
      <c r="J276" s="49">
        <v>101.4</v>
      </c>
      <c r="K276" s="49">
        <v>10</v>
      </c>
      <c r="L276" s="51">
        <v>8.3000000000000004E-2</v>
      </c>
      <c r="M276" s="49" t="s">
        <v>93</v>
      </c>
      <c r="N276" s="49">
        <v>1604</v>
      </c>
      <c r="O276" s="49">
        <v>8.1854043392504892</v>
      </c>
      <c r="P276" s="49"/>
      <c r="Q276" s="49"/>
      <c r="R276" s="49" t="s">
        <v>2275</v>
      </c>
      <c r="S276">
        <f t="shared" si="16"/>
        <v>8</v>
      </c>
      <c r="T276" s="5" cm="1">
        <f t="array" ref="T2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6">
        <f>Table1[[#This Row],[Term to Maturity (Years)]]*Table1[[#This Row],[Coupon Frequency2]]</f>
        <v>8</v>
      </c>
      <c r="V276">
        <f>Table1[[#This Row],[Face value]]*Table1[[#This Row],[Current coupon %]]</f>
        <v>83</v>
      </c>
      <c r="W276" s="36">
        <f>RATE(Table1[[#This Row],[Total No. of Coupons]],Table1[[#This Row],[Coupon Amount]],-Table1[[#This Row],[Ask Price]],Table1[[#This Row],[Face value]])</f>
        <v>8.055862626282527E-2</v>
      </c>
      <c r="X276" s="27">
        <f>Table1[[#This Row],[IRR]]*Table1[[#This Row],[Coupon Frequency2]]</f>
        <v>8.055862626282527E-2</v>
      </c>
      <c r="Y276" s="19" cm="1">
        <f t="array" ref="Y2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6" s="33">
        <f>DURATION(Table1[[#This Row],[Issue date]],Table1[[#This Row],[Maturity date]],Table1[[#This Row],[Current coupon %]],Table1[[#This Row],[Yield (Annualised)]],Table1[[#This Row],[Coupon Frequency2]])</f>
        <v>6.0341354836622942</v>
      </c>
      <c r="AA276" s="33">
        <f>Table1[[#This Row],[Macaulay Duration in Years]]/(1+Table1[[#This Row],[IRR]])</f>
        <v>5.5842740384496325</v>
      </c>
      <c r="AB276" s="58">
        <f>VLOOKUP(Table1[[#This Row],[Yield Cluster]],'Cluster Details'!$B$3:$C$16,2,0)</f>
        <v>7.8548801574189142E-2</v>
      </c>
      <c r="AC276" s="78">
        <f>PRICE(Table1[[#This Row],[Issue date]],Table1[[#This Row],[Maturity date]],Table1[[#This Row],[Current coupon %]],Table1[[#This Row],[Average Cluster Yield]],100,Table1[[#This Row],[Coupon Frequency2]])*Table1[[#This Row],[Face value]]/100</f>
        <v>1025.7909842298118</v>
      </c>
      <c r="AD276" s="58" t="str">
        <f>IF(Table1[[#This Row],[Ask Price]]&gt;Table1[[#This Row],[Calculated Bond Price]],"Rich","Cheap")</f>
        <v>Cheap</v>
      </c>
      <c r="AE27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956.25962345796188</v>
      </c>
      <c r="AF27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1075.7958973768991</v>
      </c>
      <c r="AG276" s="78">
        <f>(Table1[[#This Row],[P (+ shock)]]+Table1[[#This Row],[P (-shock)]]-2*Table1[[#This Row],[Ask Price]])/(2*Table1[[#This Row],[Ask Price]]*($AF$2^2))</f>
        <v>19.997637252766268</v>
      </c>
      <c r="AH276">
        <v>8.3000000000000007</v>
      </c>
      <c r="AI276" s="6">
        <f t="shared" si="17"/>
        <v>8.1854043392504933E-2</v>
      </c>
      <c r="AK276" s="47">
        <f>RATE(Table1[[#This Row],[Total No. of Coupons]],Table1[[#This Row],[Coupon Amount]],-Table1[[#This Row],[Ask Price]],Table1[[#This Row],[Face value]])</f>
        <v>8.055862626282527E-2</v>
      </c>
      <c r="AL276" s="27">
        <f>Table1[[#This Row],[IRR]]*Table1[[#This Row],[Coupon Frequency2]]</f>
        <v>8.055862626282527E-2</v>
      </c>
      <c r="AM276" s="5">
        <f t="shared" si="18"/>
        <v>-5662.4538749879275</v>
      </c>
      <c r="AN276" t="s">
        <v>64</v>
      </c>
      <c r="AO276" t="s">
        <v>62</v>
      </c>
      <c r="AP276">
        <f t="shared" si="19"/>
        <v>1</v>
      </c>
    </row>
    <row r="277" spans="1:42" x14ac:dyDescent="0.35">
      <c r="A277" s="48" t="s">
        <v>1483</v>
      </c>
      <c r="B277" s="49" t="s">
        <v>2556</v>
      </c>
      <c r="C277" s="49" t="s">
        <v>2273</v>
      </c>
      <c r="D277" s="50">
        <v>45281</v>
      </c>
      <c r="E277" s="50">
        <v>46377</v>
      </c>
      <c r="F277" s="49">
        <v>1000</v>
      </c>
      <c r="G277" s="49" t="s">
        <v>76</v>
      </c>
      <c r="H277" s="49">
        <v>1050</v>
      </c>
      <c r="I277" s="49" t="s">
        <v>76</v>
      </c>
      <c r="J277" s="49">
        <v>105</v>
      </c>
      <c r="K277" s="49">
        <v>130</v>
      </c>
      <c r="L277" s="51">
        <v>0.1</v>
      </c>
      <c r="M277" s="49" t="s">
        <v>93</v>
      </c>
      <c r="N277" s="49">
        <v>460</v>
      </c>
      <c r="O277" s="49">
        <v>9.5238095238095202</v>
      </c>
      <c r="P277" s="49"/>
      <c r="Q277" s="49"/>
      <c r="R277" s="49" t="s">
        <v>2275</v>
      </c>
      <c r="S277">
        <f t="shared" si="16"/>
        <v>3</v>
      </c>
      <c r="T277" s="5" cm="1">
        <f t="array" ref="T2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7">
        <f>Table1[[#This Row],[Term to Maturity (Years)]]*Table1[[#This Row],[Coupon Frequency2]]</f>
        <v>3</v>
      </c>
      <c r="V277">
        <f>Table1[[#This Row],[Face value]]*Table1[[#This Row],[Current coupon %]]</f>
        <v>100</v>
      </c>
      <c r="W277" s="36">
        <f>RATE(Table1[[#This Row],[Total No. of Coupons]],Table1[[#This Row],[Coupon Amount]],-Table1[[#This Row],[Ask Price]],Table1[[#This Row],[Face value]])</f>
        <v>8.0578083335438075E-2</v>
      </c>
      <c r="X277" s="27">
        <f>Table1[[#This Row],[IRR]]*Table1[[#This Row],[Coupon Frequency2]]</f>
        <v>8.0578083335438075E-2</v>
      </c>
      <c r="Y277" s="19" cm="1">
        <f t="array" ref="Y2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7" s="33">
        <f>DURATION(Table1[[#This Row],[Issue date]],Table1[[#This Row],[Maturity date]],Table1[[#This Row],[Current coupon %]],Table1[[#This Row],[Yield (Annualised)]],Table1[[#This Row],[Coupon Frequency2]])</f>
        <v>2.7421635323943612</v>
      </c>
      <c r="AA277" s="33">
        <f>Table1[[#This Row],[Macaulay Duration in Years]]/(1+Table1[[#This Row],[IRR]])</f>
        <v>2.5376819821572543</v>
      </c>
      <c r="AB277" s="58">
        <f>VLOOKUP(Table1[[#This Row],[Yield Cluster]],'Cluster Details'!$B$3:$C$16,2,0)</f>
        <v>7.8548801574189142E-2</v>
      </c>
      <c r="AC277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1055.4268965673293</v>
      </c>
      <c r="AD277" s="58" t="str">
        <f>IF(Table1[[#This Row],[Ask Price]]&gt;Table1[[#This Row],[Calculated Bond Price]],"Rich","Cheap")</f>
        <v>Cheap</v>
      </c>
      <c r="AE27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1023.8250971720908</v>
      </c>
      <c r="AF27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1077.130930359524</v>
      </c>
      <c r="AG277" s="78">
        <f>(Table1[[#This Row],[P (+ shock)]]+Table1[[#This Row],[P (-shock)]]-2*Table1[[#This Row],[Ask Price]])/(2*Table1[[#This Row],[Ask Price]]*($AF$2^2))</f>
        <v>4.5525120553087444</v>
      </c>
      <c r="AH277">
        <v>7.7815594059405901</v>
      </c>
      <c r="AI277" s="6">
        <f t="shared" si="17"/>
        <v>9.5238095238095233E-2</v>
      </c>
      <c r="AK277" s="47">
        <f>RATE(Table1[[#This Row],[Total No. of Coupons]],Table1[[#This Row],[Coupon Amount]],-Table1[[#This Row],[Ask Price]],Table1[[#This Row],[Face value]])</f>
        <v>8.0578083335438075E-2</v>
      </c>
      <c r="AL277" s="27">
        <f>Table1[[#This Row],[IRR]]*Table1[[#This Row],[Coupon Frequency2]]</f>
        <v>8.0578083335438075E-2</v>
      </c>
      <c r="AM277" s="5">
        <f t="shared" si="18"/>
        <v>-2664.5660812651172</v>
      </c>
      <c r="AN277" t="s">
        <v>64</v>
      </c>
      <c r="AO277" t="s">
        <v>62</v>
      </c>
      <c r="AP277">
        <f t="shared" si="19"/>
        <v>1</v>
      </c>
    </row>
    <row r="278" spans="1:42" x14ac:dyDescent="0.35">
      <c r="A278" s="48" t="s">
        <v>1235</v>
      </c>
      <c r="B278" s="49" t="s">
        <v>2557</v>
      </c>
      <c r="C278" s="49" t="s">
        <v>2273</v>
      </c>
      <c r="D278" s="50">
        <v>42908</v>
      </c>
      <c r="E278" s="50">
        <v>46560</v>
      </c>
      <c r="F278" s="49">
        <v>1000000</v>
      </c>
      <c r="G278" s="49" t="s">
        <v>76</v>
      </c>
      <c r="H278" s="49">
        <v>1005640</v>
      </c>
      <c r="I278" s="49" t="s">
        <v>76</v>
      </c>
      <c r="J278" s="49">
        <v>100.56399999999999</v>
      </c>
      <c r="K278" s="49">
        <v>2</v>
      </c>
      <c r="L278" s="51">
        <v>8.1500000000000003E-2</v>
      </c>
      <c r="M278" s="49" t="s">
        <v>93</v>
      </c>
      <c r="N278" s="49">
        <v>643</v>
      </c>
      <c r="O278" s="49">
        <v>8.1042917942802593</v>
      </c>
      <c r="P278" s="49" t="s">
        <v>2274</v>
      </c>
      <c r="Q278" s="49"/>
      <c r="R278" s="49" t="s">
        <v>2275</v>
      </c>
      <c r="S278">
        <f t="shared" si="16"/>
        <v>10</v>
      </c>
      <c r="T278" s="5" cm="1">
        <f t="array" ref="T2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8">
        <f>Table1[[#This Row],[Term to Maturity (Years)]]*Table1[[#This Row],[Coupon Frequency2]]</f>
        <v>10</v>
      </c>
      <c r="V278">
        <f>Table1[[#This Row],[Face value]]*Table1[[#This Row],[Current coupon %]]</f>
        <v>81500</v>
      </c>
      <c r="W278" s="36">
        <f>RATE(Table1[[#This Row],[Total No. of Coupons]],Table1[[#This Row],[Coupon Amount]],-Table1[[#This Row],[Ask Price]],Table1[[#This Row],[Face value]])</f>
        <v>8.0656981267435673E-2</v>
      </c>
      <c r="X278" s="27">
        <f>Table1[[#This Row],[IRR]]*Table1[[#This Row],[Coupon Frequency2]]</f>
        <v>8.0656981267435673E-2</v>
      </c>
      <c r="Y278" s="19" cm="1">
        <f t="array" ref="Y2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8" s="33">
        <f>DURATION(Table1[[#This Row],[Issue date]],Table1[[#This Row],[Maturity date]],Table1[[#This Row],[Current coupon %]],Table1[[#This Row],[Yield (Annualised)]],Table1[[#This Row],[Coupon Frequency2]])</f>
        <v>7.2166026889520385</v>
      </c>
      <c r="AA278" s="33">
        <f>Table1[[#This Row],[Macaulay Duration in Years]]/(1+Table1[[#This Row],[IRR]])</f>
        <v>6.6779772065027814</v>
      </c>
      <c r="AB278" s="58">
        <f>VLOOKUP(Table1[[#This Row],[Yield Cluster]],'Cluster Details'!$B$3:$C$16,2,0)</f>
        <v>7.8548801574189142E-2</v>
      </c>
      <c r="AC278" s="78">
        <f>PRICE(Table1[[#This Row],[Issue date]],Table1[[#This Row],[Maturity date]],Table1[[#This Row],[Current coupon %]],Table1[[#This Row],[Average Cluster Yield]],100,Table1[[#This Row],[Coupon Frequency2]])*Table1[[#This Row],[Face value]]/100</f>
        <v>1019933.0599086619</v>
      </c>
      <c r="AD278" s="58" t="str">
        <f>IF(Table1[[#This Row],[Ask Price]]&gt;Table1[[#This Row],[Calculated Bond Price]],"Rich","Cheap")</f>
        <v>Cheap</v>
      </c>
      <c r="AE27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941403.18717765389</v>
      </c>
      <c r="AF27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1075926.0829457431</v>
      </c>
      <c r="AG278" s="78">
        <f>(Table1[[#This Row],[P (+ shock)]]+Table1[[#This Row],[P (-shock)]]-2*Table1[[#This Row],[Ask Price]])/(2*Table1[[#This Row],[Ask Price]]*($AF$2^2))</f>
        <v>30.076717927871801</v>
      </c>
      <c r="AI278" s="6">
        <f t="shared" si="17"/>
        <v>8.1042917942802592E-2</v>
      </c>
      <c r="AK278" s="47">
        <f>RATE(Table1[[#This Row],[Total No. of Coupons]],Table1[[#This Row],[Coupon Amount]],-Table1[[#This Row],[Ask Price]],Table1[[#This Row],[Face value]])</f>
        <v>8.0656981267435673E-2</v>
      </c>
      <c r="AL278" s="27">
        <f>Table1[[#This Row],[IRR]]*Table1[[#This Row],[Coupon Frequency2]]</f>
        <v>8.0656981267435673E-2</v>
      </c>
      <c r="AM278" s="5">
        <f t="shared" si="18"/>
        <v>-6715640.9979474572</v>
      </c>
      <c r="AN278" t="s">
        <v>64</v>
      </c>
      <c r="AO278" t="s">
        <v>62</v>
      </c>
      <c r="AP278">
        <f t="shared" si="19"/>
        <v>1</v>
      </c>
    </row>
    <row r="279" spans="1:42" x14ac:dyDescent="0.35">
      <c r="A279" s="48" t="s">
        <v>1838</v>
      </c>
      <c r="B279" s="49" t="s">
        <v>2558</v>
      </c>
      <c r="C279" s="49" t="s">
        <v>2273</v>
      </c>
      <c r="D279" s="50">
        <v>45050</v>
      </c>
      <c r="E279" s="50">
        <v>46146</v>
      </c>
      <c r="F279" s="49">
        <v>100000</v>
      </c>
      <c r="G279" s="49" t="s">
        <v>76</v>
      </c>
      <c r="H279" s="49">
        <v>101750</v>
      </c>
      <c r="I279" s="49" t="s">
        <v>76</v>
      </c>
      <c r="J279" s="49">
        <v>101.75</v>
      </c>
      <c r="K279" s="49">
        <v>1</v>
      </c>
      <c r="L279" s="51">
        <v>8.7499999999999994E-2</v>
      </c>
      <c r="M279" s="49" t="s">
        <v>93</v>
      </c>
      <c r="N279" s="49">
        <v>229</v>
      </c>
      <c r="O279" s="49">
        <v>8.5995085995085994</v>
      </c>
      <c r="P279" s="49" t="s">
        <v>2285</v>
      </c>
      <c r="Q279" s="49"/>
      <c r="R279" s="49" t="s">
        <v>2275</v>
      </c>
      <c r="S279">
        <f t="shared" si="16"/>
        <v>3</v>
      </c>
      <c r="T279" s="5" cm="1">
        <f t="array" ref="T2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79">
        <f>Table1[[#This Row],[Term to Maturity (Years)]]*Table1[[#This Row],[Coupon Frequency2]]</f>
        <v>3</v>
      </c>
      <c r="V279">
        <f>Table1[[#This Row],[Face value]]*Table1[[#This Row],[Current coupon %]]</f>
        <v>8750</v>
      </c>
      <c r="W279" s="36">
        <f>RATE(Table1[[#This Row],[Total No. of Coupons]],Table1[[#This Row],[Coupon Amount]],-Table1[[#This Row],[Ask Price]],Table1[[#This Row],[Face value]])</f>
        <v>8.0700824691590123E-2</v>
      </c>
      <c r="X279" s="27">
        <f>Table1[[#This Row],[IRR]]*Table1[[#This Row],[Coupon Frequency2]]</f>
        <v>8.0700824691590123E-2</v>
      </c>
      <c r="Y279" s="19" cm="1">
        <f t="array" ref="Y2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79" s="33">
        <f>DURATION(Table1[[#This Row],[Issue date]],Table1[[#This Row],[Maturity date]],Table1[[#This Row],[Current coupon %]],Table1[[#This Row],[Yield (Annualised)]],Table1[[#This Row],[Coupon Frequency2]])</f>
        <v>2.767221778937317</v>
      </c>
      <c r="AA279" s="33">
        <f>Table1[[#This Row],[Macaulay Duration in Years]]/(1+Table1[[#This Row],[IRR]])</f>
        <v>2.5605807969351977</v>
      </c>
      <c r="AB279" s="58">
        <f>VLOOKUP(Table1[[#This Row],[Yield Cluster]],'Cluster Details'!$B$3:$C$16,2,0)</f>
        <v>7.8548801574189142E-2</v>
      </c>
      <c r="AC279" s="78">
        <f>PRICE(Table1[[#This Row],[Issue date]],Table1[[#This Row],[Maturity date]],Table1[[#This Row],[Current coupon %]],Table1[[#This Row],[Average Cluster Yield]],100,Table1[[#This Row],[Coupon Frequency2]])*Table1[[#This Row],[Face value]]/100</f>
        <v>102312.86448175355</v>
      </c>
      <c r="AD279" s="58" t="str">
        <f>IF(Table1[[#This Row],[Ask Price]]&gt;Table1[[#This Row],[Calculated Bond Price]],"Rich","Cheap")</f>
        <v>Cheap</v>
      </c>
      <c r="AE27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99190.787873138528</v>
      </c>
      <c r="AF27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104402.99565843886</v>
      </c>
      <c r="AG279" s="78">
        <f>(Table1[[#This Row],[P (+ shock)]]+Table1[[#This Row],[P (-shock)]]-2*Table1[[#This Row],[Ask Price]])/(2*Table1[[#This Row],[Ask Price]]*($AF$2^2))</f>
        <v>4.6085273502400277</v>
      </c>
      <c r="AI279" s="6">
        <f t="shared" si="17"/>
        <v>8.5995085995085999E-2</v>
      </c>
      <c r="AK279" s="47">
        <f>RATE(Table1[[#This Row],[Total No. of Coupons]],Table1[[#This Row],[Coupon Amount]],-Table1[[#This Row],[Ask Price]],Table1[[#This Row],[Face value]])</f>
        <v>8.0700824691590123E-2</v>
      </c>
      <c r="AL279" s="27">
        <f>Table1[[#This Row],[IRR]]*Table1[[#This Row],[Coupon Frequency2]]</f>
        <v>8.0700824691590123E-2</v>
      </c>
      <c r="AM279" s="5">
        <f t="shared" si="18"/>
        <v>-260539.09608815637</v>
      </c>
      <c r="AN279" t="s">
        <v>64</v>
      </c>
      <c r="AO279" t="s">
        <v>62</v>
      </c>
      <c r="AP279">
        <f t="shared" si="19"/>
        <v>1</v>
      </c>
    </row>
    <row r="280" spans="1:42" x14ac:dyDescent="0.35">
      <c r="A280" s="48" t="s">
        <v>1424</v>
      </c>
      <c r="B280" s="49" t="s">
        <v>2559</v>
      </c>
      <c r="C280" s="49" t="s">
        <v>2273</v>
      </c>
      <c r="D280" s="50">
        <v>45681</v>
      </c>
      <c r="E280" s="50">
        <v>46411</v>
      </c>
      <c r="F280" s="49">
        <v>1000</v>
      </c>
      <c r="G280" s="49" t="s">
        <v>76</v>
      </c>
      <c r="H280" s="49">
        <v>1025</v>
      </c>
      <c r="I280" s="49" t="s">
        <v>76</v>
      </c>
      <c r="J280" s="49">
        <v>102.49999999999901</v>
      </c>
      <c r="K280" s="49">
        <v>200</v>
      </c>
      <c r="L280" s="51">
        <v>9.5000000000000001E-2</v>
      </c>
      <c r="M280" s="49" t="s">
        <v>93</v>
      </c>
      <c r="N280" s="49">
        <v>494</v>
      </c>
      <c r="O280" s="49">
        <v>9.2682926829268304</v>
      </c>
      <c r="P280" s="49"/>
      <c r="Q280" s="49"/>
      <c r="R280" s="49" t="s">
        <v>2275</v>
      </c>
      <c r="S280">
        <f t="shared" si="16"/>
        <v>2</v>
      </c>
      <c r="T280" s="5" cm="1">
        <f t="array" ref="T2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0">
        <f>Table1[[#This Row],[Term to Maturity (Years)]]*Table1[[#This Row],[Coupon Frequency2]]</f>
        <v>2</v>
      </c>
      <c r="V280">
        <f>Table1[[#This Row],[Face value]]*Table1[[#This Row],[Current coupon %]]</f>
        <v>95</v>
      </c>
      <c r="W280" s="36">
        <f>RATE(Table1[[#This Row],[Total No. of Coupons]],Table1[[#This Row],[Coupon Amount]],-Table1[[#This Row],[Ask Price]],Table1[[#This Row],[Face value]])</f>
        <v>8.0962270357080784E-2</v>
      </c>
      <c r="X280" s="27">
        <f>Table1[[#This Row],[IRR]]*Table1[[#This Row],[Coupon Frequency2]]</f>
        <v>8.0962270357080784E-2</v>
      </c>
      <c r="Y280" s="19" cm="1">
        <f t="array" ref="Y2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0" s="33">
        <f>DURATION(Table1[[#This Row],[Issue date]],Table1[[#This Row],[Maturity date]],Table1[[#This Row],[Current coupon %]],Table1[[#This Row],[Yield (Annualised)]],Table1[[#This Row],[Coupon Frequency2]])</f>
        <v>1.9142588697395961</v>
      </c>
      <c r="AA280" s="33">
        <f>Table1[[#This Row],[Macaulay Duration in Years]]/(1+Table1[[#This Row],[IRR]])</f>
        <v>1.7708840745267156</v>
      </c>
      <c r="AB280" s="58">
        <f>VLOOKUP(Table1[[#This Row],[Yield Cluster]],'Cluster Details'!$B$3:$C$16,2,0)</f>
        <v>7.8548801574189142E-2</v>
      </c>
      <c r="AC280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1029.3953181547861</v>
      </c>
      <c r="AD280" s="58" t="str">
        <f>IF(Table1[[#This Row],[Ask Price]]&gt;Table1[[#This Row],[Calculated Bond Price]],"Rich","Cheap")</f>
        <v>Cheap</v>
      </c>
      <c r="AE28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1007.0935554846048</v>
      </c>
      <c r="AF28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1043.4027543650077</v>
      </c>
      <c r="AG280" s="78">
        <f>(Table1[[#This Row],[P (+ shock)]]+Table1[[#This Row],[P (-shock)]]-2*Table1[[#This Row],[Ask Price]])/(2*Table1[[#This Row],[Ask Price]]*($AF$2^2))</f>
        <v>2.4210236566476651</v>
      </c>
      <c r="AH280">
        <v>8.3514634201808704</v>
      </c>
      <c r="AI280" s="6">
        <f t="shared" si="17"/>
        <v>9.2682926829268292E-2</v>
      </c>
      <c r="AK280" s="47">
        <f>RATE(Table1[[#This Row],[Total No. of Coupons]],Table1[[#This Row],[Coupon Amount]],-Table1[[#This Row],[Ask Price]],Table1[[#This Row],[Face value]])</f>
        <v>8.0962270357080784E-2</v>
      </c>
      <c r="AL280" s="27">
        <f>Table1[[#This Row],[IRR]]*Table1[[#This Row],[Coupon Frequency2]]</f>
        <v>8.0962270357080784E-2</v>
      </c>
      <c r="AM280" s="5">
        <f t="shared" si="18"/>
        <v>-1815.1561763898835</v>
      </c>
      <c r="AN280" t="s">
        <v>64</v>
      </c>
      <c r="AO280" t="s">
        <v>62</v>
      </c>
      <c r="AP280">
        <f t="shared" si="19"/>
        <v>1</v>
      </c>
    </row>
    <row r="281" spans="1:42" x14ac:dyDescent="0.35">
      <c r="A281" s="48" t="s">
        <v>411</v>
      </c>
      <c r="B281" s="49" t="s">
        <v>2560</v>
      </c>
      <c r="C281" s="49" t="s">
        <v>2273</v>
      </c>
      <c r="D281" s="50">
        <v>44145</v>
      </c>
      <c r="E281" s="50">
        <v>47795</v>
      </c>
      <c r="F281" s="49">
        <v>500000</v>
      </c>
      <c r="G281" s="49" t="s">
        <v>76</v>
      </c>
      <c r="H281" s="49">
        <v>480000</v>
      </c>
      <c r="I281" s="49" t="s">
        <v>76</v>
      </c>
      <c r="J281" s="49">
        <v>96</v>
      </c>
      <c r="K281" s="49">
        <v>6</v>
      </c>
      <c r="L281" s="51">
        <v>7.4999999999999997E-2</v>
      </c>
      <c r="M281" s="49" t="s">
        <v>93</v>
      </c>
      <c r="N281" s="49">
        <v>1878</v>
      </c>
      <c r="O281" s="49">
        <v>7.8125</v>
      </c>
      <c r="P281" s="49"/>
      <c r="Q281" s="49"/>
      <c r="R281" s="49" t="s">
        <v>2275</v>
      </c>
      <c r="S281">
        <f t="shared" si="16"/>
        <v>10</v>
      </c>
      <c r="T281" s="5" cm="1">
        <f t="array" ref="T2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1">
        <f>Table1[[#This Row],[Term to Maturity (Years)]]*Table1[[#This Row],[Coupon Frequency2]]</f>
        <v>10</v>
      </c>
      <c r="V281">
        <f>Table1[[#This Row],[Face value]]*Table1[[#This Row],[Current coupon %]]</f>
        <v>37500</v>
      </c>
      <c r="W281" s="36">
        <f>RATE(Table1[[#This Row],[Total No. of Coupons]],Table1[[#This Row],[Coupon Amount]],-Table1[[#This Row],[Ask Price]],Table1[[#This Row],[Face value]])</f>
        <v>8.0987765367752415E-2</v>
      </c>
      <c r="X281" s="27">
        <f>Table1[[#This Row],[IRR]]*Table1[[#This Row],[Coupon Frequency2]]</f>
        <v>8.0987765367752415E-2</v>
      </c>
      <c r="Y281" s="19" cm="1">
        <f t="array" ref="Y2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1" s="33">
        <f>DURATION(Table1[[#This Row],[Issue date]],Table1[[#This Row],[Maturity date]],Table1[[#This Row],[Current coupon %]],Table1[[#This Row],[Yield (Annualised)]],Table1[[#This Row],[Coupon Frequency2]])</f>
        <v>7.3139760267584482</v>
      </c>
      <c r="AA281" s="33">
        <f>Table1[[#This Row],[Macaulay Duration in Years]]/(1+Table1[[#This Row],[IRR]])</f>
        <v>6.7660118468318009</v>
      </c>
      <c r="AB281" s="58">
        <f>VLOOKUP(Table1[[#This Row],[Yield Cluster]],'Cluster Details'!$B$3:$C$16,2,0)</f>
        <v>7.8548801574189142E-2</v>
      </c>
      <c r="AC281" s="78">
        <f>PRICE(Table1[[#This Row],[Issue date]],Table1[[#This Row],[Maturity date]],Table1[[#This Row],[Current coupon %]],Table1[[#This Row],[Average Cluster Yield]],100,Table1[[#This Row],[Coupon Frequency2]])*Table1[[#This Row],[Face value]]/100</f>
        <v>488012.01752736454</v>
      </c>
      <c r="AD281" s="58" t="str">
        <f>IF(Table1[[#This Row],[Ask Price]]&gt;Table1[[#This Row],[Calculated Bond Price]],"Rich","Cheap")</f>
        <v>Cheap</v>
      </c>
      <c r="AE28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448929.20082364121</v>
      </c>
      <c r="AF28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514013.5699689489</v>
      </c>
      <c r="AG281" s="78">
        <f>(Table1[[#This Row],[P (+ shock)]]+Table1[[#This Row],[P (-shock)]]-2*Table1[[#This Row],[Ask Price]])/(2*Table1[[#This Row],[Ask Price]]*($AF$2^2))</f>
        <v>30.653862422813592</v>
      </c>
      <c r="AH281">
        <v>3.8360202802779901</v>
      </c>
      <c r="AI281" s="6">
        <f t="shared" si="17"/>
        <v>7.8125E-2</v>
      </c>
      <c r="AK281" s="47">
        <f>RATE(Table1[[#This Row],[Total No. of Coupons]],Table1[[#This Row],[Coupon Amount]],-Table1[[#This Row],[Ask Price]],Table1[[#This Row],[Face value]])</f>
        <v>8.0987765367752415E-2</v>
      </c>
      <c r="AL281" s="27">
        <f>Table1[[#This Row],[IRR]]*Table1[[#This Row],[Coupon Frequency2]]</f>
        <v>8.0987765367752415E-2</v>
      </c>
      <c r="AM281" s="5">
        <f t="shared" si="18"/>
        <v>-3247685.6864792644</v>
      </c>
      <c r="AN281" t="s">
        <v>64</v>
      </c>
      <c r="AO281" t="s">
        <v>62</v>
      </c>
      <c r="AP281">
        <f t="shared" si="19"/>
        <v>1</v>
      </c>
    </row>
    <row r="282" spans="1:42" x14ac:dyDescent="0.35">
      <c r="A282" s="48" t="s">
        <v>632</v>
      </c>
      <c r="B282" s="49" t="s">
        <v>2561</v>
      </c>
      <c r="C282" s="49" t="s">
        <v>2273</v>
      </c>
      <c r="D282" s="50">
        <v>45499</v>
      </c>
      <c r="E282" s="50">
        <v>47325</v>
      </c>
      <c r="F282" s="49">
        <v>100000</v>
      </c>
      <c r="G282" s="49" t="s">
        <v>76</v>
      </c>
      <c r="H282" s="49">
        <v>101775.21</v>
      </c>
      <c r="I282" s="49" t="s">
        <v>76</v>
      </c>
      <c r="J282" s="49">
        <v>101.77521</v>
      </c>
      <c r="K282" s="49">
        <v>20</v>
      </c>
      <c r="L282" s="51">
        <v>8.5500000000000007E-2</v>
      </c>
      <c r="M282" s="49" t="s">
        <v>93</v>
      </c>
      <c r="N282" s="49">
        <v>1408</v>
      </c>
      <c r="O282" s="49">
        <v>8.4008669694712506</v>
      </c>
      <c r="P282" s="49"/>
      <c r="Q282" s="49"/>
      <c r="R282" s="49" t="s">
        <v>2275</v>
      </c>
      <c r="S282">
        <f t="shared" si="16"/>
        <v>5</v>
      </c>
      <c r="T282" s="5" cm="1">
        <f t="array" ref="T2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2">
        <f>Table1[[#This Row],[Term to Maturity (Years)]]*Table1[[#This Row],[Coupon Frequency2]]</f>
        <v>5</v>
      </c>
      <c r="V282">
        <f>Table1[[#This Row],[Face value]]*Table1[[#This Row],[Current coupon %]]</f>
        <v>8550</v>
      </c>
      <c r="W282" s="36">
        <f>RATE(Table1[[#This Row],[Total No. of Coupons]],Table1[[#This Row],[Coupon Amount]],-Table1[[#This Row],[Ask Price]],Table1[[#This Row],[Face value]])</f>
        <v>8.1041658729834543E-2</v>
      </c>
      <c r="X282" s="27">
        <f>Table1[[#This Row],[IRR]]*Table1[[#This Row],[Coupon Frequency2]]</f>
        <v>8.1041658729834543E-2</v>
      </c>
      <c r="Y282" s="19" cm="1">
        <f t="array" ref="Y2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2" s="33">
        <f>DURATION(Table1[[#This Row],[Issue date]],Table1[[#This Row],[Maturity date]],Table1[[#This Row],[Current coupon %]],Table1[[#This Row],[Yield (Annualised)]],Table1[[#This Row],[Coupon Frequency2]])</f>
        <v>4.2789974819295562</v>
      </c>
      <c r="AA282" s="33">
        <f>Table1[[#This Row],[Macaulay Duration in Years]]/(1+Table1[[#This Row],[IRR]])</f>
        <v>3.9582170098395157</v>
      </c>
      <c r="AB282" s="58">
        <f>VLOOKUP(Table1[[#This Row],[Yield Cluster]],'Cluster Details'!$B$3:$C$16,2,0)</f>
        <v>7.8548801574189142E-2</v>
      </c>
      <c r="AC282" s="78">
        <f>PRICE(Table1[[#This Row],[Issue date]],Table1[[#This Row],[Maturity date]],Table1[[#This Row],[Current coupon %]],Table1[[#This Row],[Average Cluster Yield]],100,Table1[[#This Row],[Coupon Frequency2]])*Table1[[#This Row],[Face value]]/100</f>
        <v>102786.05988828071</v>
      </c>
      <c r="AD282" s="58" t="str">
        <f>IF(Table1[[#This Row],[Ask Price]]&gt;Table1[[#This Row],[Calculated Bond Price]],"Rich","Cheap")</f>
        <v>Cheap</v>
      </c>
      <c r="AE28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97850.301275742997</v>
      </c>
      <c r="AF28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105911.70784474321</v>
      </c>
      <c r="AG282" s="78">
        <f>(Table1[[#This Row],[P (+ shock)]]+Table1[[#This Row],[P (-shock)]]-2*Table1[[#This Row],[Ask Price]])/(2*Table1[[#This Row],[Ask Price]]*($AF$2^2))</f>
        <v>10.39492428884196</v>
      </c>
      <c r="AH282">
        <v>5.4773535494959598</v>
      </c>
      <c r="AI282" s="6">
        <f t="shared" si="17"/>
        <v>8.400866969471249E-2</v>
      </c>
      <c r="AK282" s="47">
        <f>RATE(Table1[[#This Row],[Total No. of Coupons]],Table1[[#This Row],[Coupon Amount]],-Table1[[#This Row],[Ask Price]],Table1[[#This Row],[Face value]])</f>
        <v>8.1041658729834543E-2</v>
      </c>
      <c r="AL282" s="27">
        <f>Table1[[#This Row],[IRR]]*Table1[[#This Row],[Coupon Frequency2]]</f>
        <v>8.1041658729834543E-2</v>
      </c>
      <c r="AM282" s="5">
        <f t="shared" si="18"/>
        <v>-402848.36740198883</v>
      </c>
      <c r="AN282" t="s">
        <v>64</v>
      </c>
      <c r="AO282" t="s">
        <v>62</v>
      </c>
      <c r="AP282">
        <f t="shared" si="19"/>
        <v>1</v>
      </c>
    </row>
    <row r="283" spans="1:42" x14ac:dyDescent="0.35">
      <c r="A283" s="48" t="s">
        <v>1321</v>
      </c>
      <c r="B283" s="49" t="s">
        <v>2562</v>
      </c>
      <c r="C283" s="49" t="s">
        <v>2273</v>
      </c>
      <c r="D283" s="50">
        <v>43570</v>
      </c>
      <c r="E283" s="50">
        <v>46492</v>
      </c>
      <c r="F283" s="49">
        <v>1000</v>
      </c>
      <c r="G283" s="49" t="s">
        <v>76</v>
      </c>
      <c r="H283" s="49">
        <v>1054</v>
      </c>
      <c r="I283" s="49" t="s">
        <v>76</v>
      </c>
      <c r="J283" s="49">
        <v>105.4</v>
      </c>
      <c r="K283" s="49">
        <v>50</v>
      </c>
      <c r="L283" s="51">
        <v>9.0500000000000011E-2</v>
      </c>
      <c r="M283" s="49" t="s">
        <v>93</v>
      </c>
      <c r="N283" s="49">
        <v>575</v>
      </c>
      <c r="O283" s="49">
        <v>8.5863377609108102</v>
      </c>
      <c r="P283" s="49" t="s">
        <v>2274</v>
      </c>
      <c r="Q283" s="49"/>
      <c r="R283" s="49" t="s">
        <v>2275</v>
      </c>
      <c r="S283">
        <f t="shared" si="16"/>
        <v>8</v>
      </c>
      <c r="T283" s="5" cm="1">
        <f t="array" ref="T2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3">
        <f>Table1[[#This Row],[Term to Maturity (Years)]]*Table1[[#This Row],[Coupon Frequency2]]</f>
        <v>8</v>
      </c>
      <c r="V283">
        <f>Table1[[#This Row],[Face value]]*Table1[[#This Row],[Current coupon %]]</f>
        <v>90.500000000000014</v>
      </c>
      <c r="W283" s="36">
        <f>RATE(Table1[[#This Row],[Total No. of Coupons]],Table1[[#This Row],[Coupon Amount]],-Table1[[#This Row],[Ask Price]],Table1[[#This Row],[Face value]])</f>
        <v>8.1065183805138302E-2</v>
      </c>
      <c r="X283" s="27">
        <f>Table1[[#This Row],[IRR]]*Table1[[#This Row],[Coupon Frequency2]]</f>
        <v>8.1065183805138302E-2</v>
      </c>
      <c r="Y283" s="19" cm="1">
        <f t="array" ref="Y2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3" s="33">
        <f>DURATION(Table1[[#This Row],[Issue date]],Table1[[#This Row],[Maturity date]],Table1[[#This Row],[Current coupon %]],Table1[[#This Row],[Yield (Annualised)]],Table1[[#This Row],[Coupon Frequency2]])</f>
        <v>6.0801738435321431</v>
      </c>
      <c r="AA283" s="33">
        <f>Table1[[#This Row],[Macaulay Duration in Years]]/(1+Table1[[#This Row],[IRR]])</f>
        <v>5.6242435096569459</v>
      </c>
      <c r="AB283" s="58">
        <f>VLOOKUP(Table1[[#This Row],[Yield Cluster]],'Cluster Details'!$B$3:$C$16,2,0)</f>
        <v>7.8548801574189142E-2</v>
      </c>
      <c r="AC283" s="78">
        <f>PRICE(Table1[[#This Row],[Issue date]],Table1[[#This Row],[Maturity date]],Table1[[#This Row],[Current coupon %]],Table1[[#This Row],[Average Cluster Yield]],100,Table1[[#This Row],[Coupon Frequency2]])*Table1[[#This Row],[Face value]]/100</f>
        <v>1069.0590729819223</v>
      </c>
      <c r="AD283" s="58" t="str">
        <f>IF(Table1[[#This Row],[Ask Price]]&gt;Table1[[#This Row],[Calculated Bond Price]],"Rich","Cheap")</f>
        <v>Cheap</v>
      </c>
      <c r="AE28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996.88415604441388</v>
      </c>
      <c r="AF28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1115.5735648107466</v>
      </c>
      <c r="AG283" s="78">
        <f>(Table1[[#This Row],[P (+ shock)]]+Table1[[#This Row],[P (-shock)]]-2*Table1[[#This Row],[Ask Price]])/(2*Table1[[#This Row],[Ask Price]]*($AF$2^2))</f>
        <v>21.14668337362647</v>
      </c>
      <c r="AI283" s="6">
        <f t="shared" si="17"/>
        <v>8.5863377609108171E-2</v>
      </c>
      <c r="AK283" s="47">
        <f>RATE(Table1[[#This Row],[Total No. of Coupons]],Table1[[#This Row],[Coupon Amount]],-Table1[[#This Row],[Ask Price]],Table1[[#This Row],[Face value]])</f>
        <v>8.1065183805138302E-2</v>
      </c>
      <c r="AL283" s="27">
        <f>Table1[[#This Row],[IRR]]*Table1[[#This Row],[Coupon Frequency2]]</f>
        <v>8.1065183805138302E-2</v>
      </c>
      <c r="AM283" s="5">
        <f t="shared" si="18"/>
        <v>-5927.9526591784206</v>
      </c>
      <c r="AN283" t="s">
        <v>69</v>
      </c>
      <c r="AO283" t="s">
        <v>62</v>
      </c>
      <c r="AP283">
        <f t="shared" si="19"/>
        <v>1</v>
      </c>
    </row>
    <row r="284" spans="1:42" x14ac:dyDescent="0.35">
      <c r="A284" s="48" t="s">
        <v>957</v>
      </c>
      <c r="B284" s="49" t="s">
        <v>2563</v>
      </c>
      <c r="C284" s="49" t="s">
        <v>2273</v>
      </c>
      <c r="D284" s="50">
        <v>45048</v>
      </c>
      <c r="E284" s="50">
        <v>46875</v>
      </c>
      <c r="F284" s="49">
        <v>100000</v>
      </c>
      <c r="G284" s="49" t="s">
        <v>76</v>
      </c>
      <c r="H284" s="49">
        <v>99597.97</v>
      </c>
      <c r="I284" s="49" t="s">
        <v>76</v>
      </c>
      <c r="J284" s="49">
        <v>99.597970000000004</v>
      </c>
      <c r="K284" s="49">
        <v>5</v>
      </c>
      <c r="L284" s="51">
        <v>8.0100000000000005E-2</v>
      </c>
      <c r="M284" s="49" t="s">
        <v>93</v>
      </c>
      <c r="N284" s="49">
        <v>958</v>
      </c>
      <c r="O284" s="49">
        <v>8.0423325897104103</v>
      </c>
      <c r="P284" s="49"/>
      <c r="Q284" s="49"/>
      <c r="R284" s="49" t="s">
        <v>2275</v>
      </c>
      <c r="S284">
        <f t="shared" si="16"/>
        <v>5</v>
      </c>
      <c r="T284" s="5" cm="1">
        <f t="array" ref="T2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4">
        <f>Table1[[#This Row],[Term to Maturity (Years)]]*Table1[[#This Row],[Coupon Frequency2]]</f>
        <v>5</v>
      </c>
      <c r="V284">
        <f>Table1[[#This Row],[Face value]]*Table1[[#This Row],[Current coupon %]]</f>
        <v>8010</v>
      </c>
      <c r="W284" s="36">
        <f>RATE(Table1[[#This Row],[Total No. of Coupons]],Table1[[#This Row],[Coupon Amount]],-Table1[[#This Row],[Ask Price]],Table1[[#This Row],[Face value]])</f>
        <v>8.1109857199421001E-2</v>
      </c>
      <c r="X284" s="27">
        <f>Table1[[#This Row],[IRR]]*Table1[[#This Row],[Coupon Frequency2]]</f>
        <v>8.1109857199421001E-2</v>
      </c>
      <c r="Y284" s="19" cm="1">
        <f t="array" ref="Y2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4" s="33">
        <f>DURATION(Table1[[#This Row],[Issue date]],Table1[[#This Row],[Maturity date]],Table1[[#This Row],[Current coupon %]],Table1[[#This Row],[Yield (Annualised)]],Table1[[#This Row],[Coupon Frequency2]])</f>
        <v>4.3098523818234424</v>
      </c>
      <c r="AA284" s="33">
        <f>Table1[[#This Row],[Macaulay Duration in Years]]/(1+Table1[[#This Row],[IRR]])</f>
        <v>3.9865073406952098</v>
      </c>
      <c r="AB284" s="58">
        <f>VLOOKUP(Table1[[#This Row],[Yield Cluster]],'Cluster Details'!$B$3:$C$16,2,0)</f>
        <v>7.8548801574189142E-2</v>
      </c>
      <c r="AC284" s="78">
        <f>PRICE(Table1[[#This Row],[Issue date]],Table1[[#This Row],[Maturity date]],Table1[[#This Row],[Current coupon %]],Table1[[#This Row],[Average Cluster Yield]],100,Table1[[#This Row],[Coupon Frequency2]])*Table1[[#This Row],[Face value]]/100</f>
        <v>100621.72469381231</v>
      </c>
      <c r="AD284" s="58" t="str">
        <f>IF(Table1[[#This Row],[Ask Price]]&gt;Table1[[#This Row],[Calculated Bond Price]],"Rich","Cheap")</f>
        <v>Cheap</v>
      </c>
      <c r="AE28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95729.853385349998</v>
      </c>
      <c r="AF28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103675.20791606966</v>
      </c>
      <c r="AG284" s="78">
        <f>(Table1[[#This Row],[P (+ shock)]]+Table1[[#This Row],[P (-shock)]]-2*Table1[[#This Row],[Ask Price]])/(2*Table1[[#This Row],[Ask Price]]*($AF$2^2))</f>
        <v>10.498271270973426</v>
      </c>
      <c r="AH284">
        <v>9.4915951920864092</v>
      </c>
      <c r="AI284" s="6">
        <f t="shared" si="17"/>
        <v>8.0423325897104131E-2</v>
      </c>
      <c r="AK284" s="47">
        <f>RATE(Table1[[#This Row],[Total No. of Coupons]],Table1[[#This Row],[Coupon Amount]],-Table1[[#This Row],[Ask Price]],Table1[[#This Row],[Face value]])</f>
        <v>8.1109857199421001E-2</v>
      </c>
      <c r="AL284" s="27">
        <f>Table1[[#This Row],[IRR]]*Table1[[#This Row],[Coupon Frequency2]]</f>
        <v>8.1109857199421001E-2</v>
      </c>
      <c r="AM284" s="5">
        <f t="shared" si="18"/>
        <v>-397048.0385233413</v>
      </c>
      <c r="AN284" t="s">
        <v>64</v>
      </c>
      <c r="AO284" t="s">
        <v>62</v>
      </c>
      <c r="AP284">
        <f t="shared" si="19"/>
        <v>1</v>
      </c>
    </row>
    <row r="285" spans="1:42" x14ac:dyDescent="0.35">
      <c r="A285" s="48" t="s">
        <v>251</v>
      </c>
      <c r="B285" s="49" t="s">
        <v>2564</v>
      </c>
      <c r="C285" s="49" t="s">
        <v>2273</v>
      </c>
      <c r="D285" s="50">
        <v>44883</v>
      </c>
      <c r="E285" s="50">
        <v>48536</v>
      </c>
      <c r="F285" s="49">
        <v>1000000</v>
      </c>
      <c r="G285" s="49" t="s">
        <v>76</v>
      </c>
      <c r="H285" s="49">
        <v>1000000</v>
      </c>
      <c r="I285" s="49" t="s">
        <v>76</v>
      </c>
      <c r="J285" s="49">
        <v>100</v>
      </c>
      <c r="K285" s="49">
        <v>1</v>
      </c>
      <c r="L285" s="51">
        <v>8.1199999999999994E-2</v>
      </c>
      <c r="M285" s="49" t="s">
        <v>93</v>
      </c>
      <c r="N285" s="49">
        <v>2619</v>
      </c>
      <c r="O285" s="49">
        <v>8.1199999999999992</v>
      </c>
      <c r="P285" s="49"/>
      <c r="Q285" s="49"/>
      <c r="R285" s="49" t="s">
        <v>2275</v>
      </c>
      <c r="S285">
        <f t="shared" si="16"/>
        <v>10</v>
      </c>
      <c r="T285" s="5" cm="1">
        <f t="array" ref="T2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5">
        <f>Table1[[#This Row],[Term to Maturity (Years)]]*Table1[[#This Row],[Coupon Frequency2]]</f>
        <v>10</v>
      </c>
      <c r="V285">
        <f>Table1[[#This Row],[Face value]]*Table1[[#This Row],[Current coupon %]]</f>
        <v>81200</v>
      </c>
      <c r="W285" s="36">
        <f>RATE(Table1[[#This Row],[Total No. of Coupons]],Table1[[#This Row],[Coupon Amount]],-Table1[[#This Row],[Ask Price]],Table1[[#This Row],[Face value]])</f>
        <v>8.1200000000004283E-2</v>
      </c>
      <c r="X285" s="27">
        <f>Table1[[#This Row],[IRR]]*Table1[[#This Row],[Coupon Frequency2]]</f>
        <v>8.1200000000004283E-2</v>
      </c>
      <c r="Y285" s="19" cm="1">
        <f t="array" ref="Y2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5" s="33">
        <f>DURATION(Table1[[#This Row],[Issue date]],Table1[[#This Row],[Maturity date]],Table1[[#This Row],[Current coupon %]],Table1[[#This Row],[Yield (Annualised)]],Table1[[#This Row],[Coupon Frequency2]])</f>
        <v>7.2158355145235484</v>
      </c>
      <c r="AA285" s="33">
        <f>Table1[[#This Row],[Macaulay Duration in Years]]/(1+Table1[[#This Row],[IRR]])</f>
        <v>6.6739137204250083</v>
      </c>
      <c r="AB285" s="58">
        <f>VLOOKUP(Table1[[#This Row],[Yield Cluster]],'Cluster Details'!$B$3:$C$16,2,0)</f>
        <v>7.8548801574189142E-2</v>
      </c>
      <c r="AC285" s="78">
        <f>PRICE(Table1[[#This Row],[Issue date]],Table1[[#This Row],[Maturity date]],Table1[[#This Row],[Current coupon %]],Table1[[#This Row],[Average Cluster Yield]],100,Table1[[#This Row],[Coupon Frequency2]])*Table1[[#This Row],[Face value]]/100</f>
        <v>1017906.7922337069</v>
      </c>
      <c r="AD285" s="58" t="str">
        <f>IF(Table1[[#This Row],[Ask Price]]&gt;Table1[[#This Row],[Calculated Bond Price]],"Rich","Cheap")</f>
        <v>Cheap</v>
      </c>
      <c r="AE28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936161.01397846045</v>
      </c>
      <c r="AF28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1069847.8669739089</v>
      </c>
      <c r="AG285" s="78">
        <f>(Table1[[#This Row],[P (+ shock)]]+Table1[[#This Row],[P (-shock)]]-2*Table1[[#This Row],[Ask Price]])/(2*Table1[[#This Row],[Ask Price]]*($AF$2^2))</f>
        <v>30.044404761847108</v>
      </c>
      <c r="AH285">
        <v>13.5659057437407</v>
      </c>
      <c r="AI285" s="6">
        <f t="shared" si="17"/>
        <v>8.1199999999999994E-2</v>
      </c>
      <c r="AK285" s="47">
        <f>RATE(Table1[[#This Row],[Total No. of Coupons]],Table1[[#This Row],[Coupon Amount]],-Table1[[#This Row],[Ask Price]],Table1[[#This Row],[Face value]])</f>
        <v>8.1200000000004283E-2</v>
      </c>
      <c r="AL285" s="27">
        <f>Table1[[#This Row],[IRR]]*Table1[[#This Row],[Coupon Frequency2]]</f>
        <v>8.1200000000004283E-2</v>
      </c>
      <c r="AM285" s="5">
        <f t="shared" si="18"/>
        <v>-6673913.7204250079</v>
      </c>
      <c r="AN285" t="s">
        <v>79</v>
      </c>
      <c r="AO285" t="s">
        <v>62</v>
      </c>
      <c r="AP285">
        <f t="shared" si="19"/>
        <v>1</v>
      </c>
    </row>
    <row r="286" spans="1:42" x14ac:dyDescent="0.35">
      <c r="A286" s="48" t="s">
        <v>210</v>
      </c>
      <c r="B286" s="49" t="s">
        <v>2565</v>
      </c>
      <c r="C286" s="49" t="s">
        <v>2273</v>
      </c>
      <c r="D286" s="50">
        <v>45233</v>
      </c>
      <c r="E286" s="50">
        <v>48886</v>
      </c>
      <c r="F286" s="49">
        <v>1000</v>
      </c>
      <c r="G286" s="49" t="s">
        <v>76</v>
      </c>
      <c r="H286" s="49">
        <v>1082</v>
      </c>
      <c r="I286" s="49" t="s">
        <v>76</v>
      </c>
      <c r="J286" s="49">
        <v>108.2</v>
      </c>
      <c r="K286" s="49">
        <v>100</v>
      </c>
      <c r="L286" s="51">
        <v>9.35E-2</v>
      </c>
      <c r="M286" s="49" t="s">
        <v>93</v>
      </c>
      <c r="N286" s="49">
        <v>2969</v>
      </c>
      <c r="O286" s="49">
        <v>8.64140480591497</v>
      </c>
      <c r="P286" s="49"/>
      <c r="Q286" s="49"/>
      <c r="R286" s="49" t="s">
        <v>2275</v>
      </c>
      <c r="S286">
        <f t="shared" si="16"/>
        <v>10</v>
      </c>
      <c r="T286" s="5" cm="1">
        <f t="array" ref="T2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6">
        <f>Table1[[#This Row],[Term to Maturity (Years)]]*Table1[[#This Row],[Coupon Frequency2]]</f>
        <v>10</v>
      </c>
      <c r="V286">
        <f>Table1[[#This Row],[Face value]]*Table1[[#This Row],[Current coupon %]]</f>
        <v>93.5</v>
      </c>
      <c r="W286" s="36">
        <f>RATE(Table1[[#This Row],[Total No. of Coupons]],Table1[[#This Row],[Coupon Amount]],-Table1[[#This Row],[Ask Price]],Table1[[#This Row],[Face value]])</f>
        <v>8.1212656914611256E-2</v>
      </c>
      <c r="X286" s="27">
        <f>Table1[[#This Row],[IRR]]*Table1[[#This Row],[Coupon Frequency2]]</f>
        <v>8.1212656914611256E-2</v>
      </c>
      <c r="Y286" s="19" cm="1">
        <f t="array" ref="Y2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6" s="33">
        <f>DURATION(Table1[[#This Row],[Issue date]],Table1[[#This Row],[Maturity date]],Table1[[#This Row],[Current coupon %]],Table1[[#This Row],[Yield (Annualised)]],Table1[[#This Row],[Coupon Frequency2]])</f>
        <v>7.037172216849541</v>
      </c>
      <c r="AA286" s="33">
        <f>Table1[[#This Row],[Macaulay Duration in Years]]/(1+Table1[[#This Row],[IRR]])</f>
        <v>6.5085921551557471</v>
      </c>
      <c r="AB286" s="58">
        <f>VLOOKUP(Table1[[#This Row],[Yield Cluster]],'Cluster Details'!$B$3:$C$16,2,0)</f>
        <v>7.8548801574189142E-2</v>
      </c>
      <c r="AC286" s="78">
        <f>PRICE(Table1[[#This Row],[Issue date]],Table1[[#This Row],[Maturity date]],Table1[[#This Row],[Current coupon %]],Table1[[#This Row],[Average Cluster Yield]],100,Table1[[#This Row],[Coupon Frequency2]])*Table1[[#This Row],[Face value]]/100</f>
        <v>1100.9837669068575</v>
      </c>
      <c r="AD286" s="58" t="str">
        <f>IF(Table1[[#This Row],[Ask Price]]&gt;Table1[[#This Row],[Calculated Bond Price]],"Rich","Cheap")</f>
        <v>Cheap</v>
      </c>
      <c r="AE28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1014.6013552352982</v>
      </c>
      <c r="AF28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1155.6632568785481</v>
      </c>
      <c r="AG286" s="78">
        <f>(Table1[[#This Row],[P (+ shock)]]+Table1[[#This Row],[P (-shock)]]-2*Table1[[#This Row],[Ask Price]])/(2*Table1[[#This Row],[Ask Price]]*($AF$2^2))</f>
        <v>28.9492241859815</v>
      </c>
      <c r="AH286">
        <v>70.215628347625895</v>
      </c>
      <c r="AI286" s="6">
        <f t="shared" si="17"/>
        <v>8.641404805914972E-2</v>
      </c>
      <c r="AK286" s="47">
        <f>RATE(Table1[[#This Row],[Total No. of Coupons]],Table1[[#This Row],[Coupon Amount]],-Table1[[#This Row],[Ask Price]],Table1[[#This Row],[Face value]])</f>
        <v>8.1212656914611256E-2</v>
      </c>
      <c r="AL286" s="27">
        <f>Table1[[#This Row],[IRR]]*Table1[[#This Row],[Coupon Frequency2]]</f>
        <v>8.1212656914611256E-2</v>
      </c>
      <c r="AM286" s="5">
        <f t="shared" si="18"/>
        <v>-7042.2967118785182</v>
      </c>
      <c r="AN286" t="s">
        <v>64</v>
      </c>
      <c r="AO286" t="s">
        <v>62</v>
      </c>
      <c r="AP286">
        <f t="shared" si="19"/>
        <v>1</v>
      </c>
    </row>
    <row r="287" spans="1:42" x14ac:dyDescent="0.35">
      <c r="A287" s="48" t="s">
        <v>1892</v>
      </c>
      <c r="B287" s="49" t="s">
        <v>2566</v>
      </c>
      <c r="C287" s="49" t="s">
        <v>2273</v>
      </c>
      <c r="D287" s="50">
        <v>40630</v>
      </c>
      <c r="E287" s="50">
        <v>46109</v>
      </c>
      <c r="F287" s="49">
        <v>1000</v>
      </c>
      <c r="G287" s="49" t="s">
        <v>76</v>
      </c>
      <c r="H287" s="49">
        <v>1015</v>
      </c>
      <c r="I287" s="49" t="s">
        <v>76</v>
      </c>
      <c r="J287" s="49">
        <v>101.49999999999901</v>
      </c>
      <c r="K287" s="49">
        <v>10</v>
      </c>
      <c r="L287" s="51">
        <v>8.3000000000000004E-2</v>
      </c>
      <c r="M287" s="49" t="s">
        <v>93</v>
      </c>
      <c r="N287" s="49">
        <v>192</v>
      </c>
      <c r="O287" s="49">
        <v>8.1773399014778292</v>
      </c>
      <c r="P287" s="49" t="s">
        <v>2282</v>
      </c>
      <c r="Q287" s="49"/>
      <c r="R287" s="49" t="s">
        <v>2275</v>
      </c>
      <c r="S287">
        <f t="shared" si="16"/>
        <v>15</v>
      </c>
      <c r="T287" s="5" cm="1">
        <f t="array" ref="T2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7">
        <f>Table1[[#This Row],[Term to Maturity (Years)]]*Table1[[#This Row],[Coupon Frequency2]]</f>
        <v>15</v>
      </c>
      <c r="V287">
        <f>Table1[[#This Row],[Face value]]*Table1[[#This Row],[Current coupon %]]</f>
        <v>83</v>
      </c>
      <c r="W287" s="36">
        <f>RATE(Table1[[#This Row],[Total No. of Coupons]],Table1[[#This Row],[Coupon Amount]],-Table1[[#This Row],[Ask Price]],Table1[[#This Row],[Face value]])</f>
        <v>8.1234326876654717E-2</v>
      </c>
      <c r="X287" s="27">
        <f>Table1[[#This Row],[IRR]]*Table1[[#This Row],[Coupon Frequency2]]</f>
        <v>8.1234326876654717E-2</v>
      </c>
      <c r="Y287" s="19" cm="1">
        <f t="array" ref="Y2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7" s="33">
        <f>DURATION(Table1[[#This Row],[Issue date]],Table1[[#This Row],[Maturity date]],Table1[[#This Row],[Current coupon %]],Table1[[#This Row],[Yield (Annualised)]],Table1[[#This Row],[Coupon Frequency2]])</f>
        <v>9.1468718055153797</v>
      </c>
      <c r="AA287" s="33">
        <f>Table1[[#This Row],[Macaulay Duration in Years]]/(1+Table1[[#This Row],[IRR]])</f>
        <v>8.4596572437149771</v>
      </c>
      <c r="AB287" s="58">
        <f>VLOOKUP(Table1[[#This Row],[Yield Cluster]],'Cluster Details'!$B$3:$C$16,2,0)</f>
        <v>7.8548801574189142E-2</v>
      </c>
      <c r="AC287" s="78">
        <f>PRICE(Table1[[#This Row],[Issue date]],Table1[[#This Row],[Maturity date]],Table1[[#This Row],[Current coupon %]],Table1[[#This Row],[Average Cluster Yield]],100,Table1[[#This Row],[Coupon Frequency2]])*Table1[[#This Row],[Face value]]/100</f>
        <v>1038.4398783726956</v>
      </c>
      <c r="AD287" s="58" t="str">
        <f>IF(Table1[[#This Row],[Ask Price]]&gt;Table1[[#This Row],[Calculated Bond Price]],"Rich","Cheap")</f>
        <v>Cheap</v>
      </c>
      <c r="AE28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934.1065478274877</v>
      </c>
      <c r="AF28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1106.3302702240867</v>
      </c>
      <c r="AG287" s="78">
        <f>(Table1[[#This Row],[P (+ shock)]]+Table1[[#This Row],[P (-shock)]]-2*Table1[[#This Row],[Ask Price]])/(2*Table1[[#This Row],[Ask Price]]*($AF$2^2))</f>
        <v>51.412896805785174</v>
      </c>
      <c r="AH287">
        <v>9.35</v>
      </c>
      <c r="AI287" s="6">
        <f t="shared" si="17"/>
        <v>8.1773399014778328E-2</v>
      </c>
      <c r="AK287" s="47">
        <f>RATE(Table1[[#This Row],[Total No. of Coupons]],Table1[[#This Row],[Coupon Amount]],-Table1[[#This Row],[Ask Price]],Table1[[#This Row],[Face value]])</f>
        <v>8.1234326876654717E-2</v>
      </c>
      <c r="AL287" s="27">
        <f>Table1[[#This Row],[IRR]]*Table1[[#This Row],[Coupon Frequency2]]</f>
        <v>8.1234326876654717E-2</v>
      </c>
      <c r="AM287" s="5">
        <f t="shared" si="18"/>
        <v>-8586.5521023707024</v>
      </c>
      <c r="AN287" t="s">
        <v>64</v>
      </c>
      <c r="AO287" t="s">
        <v>62</v>
      </c>
      <c r="AP287">
        <f t="shared" si="19"/>
        <v>1</v>
      </c>
    </row>
    <row r="288" spans="1:42" x14ac:dyDescent="0.35">
      <c r="A288" s="48" t="s">
        <v>1751</v>
      </c>
      <c r="B288" s="49" t="s">
        <v>2567</v>
      </c>
      <c r="C288" s="49" t="s">
        <v>2273</v>
      </c>
      <c r="D288" s="50">
        <v>45412</v>
      </c>
      <c r="E288" s="50">
        <v>46203</v>
      </c>
      <c r="F288" s="49">
        <v>1000</v>
      </c>
      <c r="G288" s="49" t="s">
        <v>76</v>
      </c>
      <c r="H288" s="49">
        <v>1020</v>
      </c>
      <c r="I288" s="49" t="s">
        <v>76</v>
      </c>
      <c r="J288" s="49">
        <v>102</v>
      </c>
      <c r="K288" s="49">
        <v>100</v>
      </c>
      <c r="L288" s="51">
        <v>9.2499999999999999E-2</v>
      </c>
      <c r="M288" s="49" t="s">
        <v>93</v>
      </c>
      <c r="N288" s="49">
        <v>286</v>
      </c>
      <c r="O288" s="49">
        <v>9.0686274509803901</v>
      </c>
      <c r="P288" s="49"/>
      <c r="Q288" s="49"/>
      <c r="R288" s="49" t="s">
        <v>2275</v>
      </c>
      <c r="S288">
        <f t="shared" si="16"/>
        <v>2</v>
      </c>
      <c r="T288" s="5" cm="1">
        <f t="array" ref="T2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8">
        <f>Table1[[#This Row],[Term to Maturity (Years)]]*Table1[[#This Row],[Coupon Frequency2]]</f>
        <v>2</v>
      </c>
      <c r="V288">
        <f>Table1[[#This Row],[Face value]]*Table1[[#This Row],[Current coupon %]]</f>
        <v>92.5</v>
      </c>
      <c r="W288" s="36">
        <f>RATE(Table1[[#This Row],[Total No. of Coupons]],Table1[[#This Row],[Coupon Amount]],-Table1[[#This Row],[Ask Price]],Table1[[#This Row],[Face value]])</f>
        <v>8.126515722970018E-2</v>
      </c>
      <c r="X288" s="27">
        <f>Table1[[#This Row],[IRR]]*Table1[[#This Row],[Coupon Frequency2]]</f>
        <v>8.126515722970018E-2</v>
      </c>
      <c r="Y288" s="19" cm="1">
        <f t="array" ref="Y2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8" s="33">
        <f>DURATION(Table1[[#This Row],[Issue date]],Table1[[#This Row],[Maturity date]],Table1[[#This Row],[Current coupon %]],Table1[[#This Row],[Yield (Annualised)]],Table1[[#This Row],[Coupon Frequency2]])</f>
        <v>1.923477512764733</v>
      </c>
      <c r="AA288" s="33">
        <f>Table1[[#This Row],[Macaulay Duration in Years]]/(1+Table1[[#This Row],[IRR]])</f>
        <v>1.7789138028759364</v>
      </c>
      <c r="AB288" s="58">
        <f>VLOOKUP(Table1[[#This Row],[Yield Cluster]],'Cluster Details'!$B$3:$C$16,2,0)</f>
        <v>7.8548801574189142E-2</v>
      </c>
      <c r="AC288" s="78">
        <f>PRICE(Table1[[#This Row],[Issue date]],Table1[[#This Row],[Maturity date]],Table1[[#This Row],[Current coupon %]],Table1[[#This Row],[Average Cluster Yield]],100,Table1[[#This Row],[Coupon Frequency2]])*Table1[[#This Row],[Face value]]/100</f>
        <v>1026.3506480050878</v>
      </c>
      <c r="AD288" s="58" t="str">
        <f>IF(Table1[[#This Row],[Ask Price]]&gt;Table1[[#This Row],[Calculated Bond Price]],"Rich","Cheap")</f>
        <v>Cheap</v>
      </c>
      <c r="AE28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1001.7662738185782</v>
      </c>
      <c r="AF28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1040.8421692983839</v>
      </c>
      <c r="AG288" s="78">
        <f>(Table1[[#This Row],[P (+ shock)]]+Table1[[#This Row],[P (-shock)]]-2*Table1[[#This Row],[Ask Price]])/(2*Table1[[#This Row],[Ask Price]]*($AF$2^2))</f>
        <v>12.78648586746082</v>
      </c>
      <c r="AH288">
        <v>10.865427026023101</v>
      </c>
      <c r="AI288" s="6">
        <f t="shared" si="17"/>
        <v>9.0686274509803919E-2</v>
      </c>
      <c r="AK288" s="47">
        <f>RATE(Table1[[#This Row],[Total No. of Coupons]],Table1[[#This Row],[Coupon Amount]],-Table1[[#This Row],[Ask Price]],Table1[[#This Row],[Face value]])</f>
        <v>8.126515722970018E-2</v>
      </c>
      <c r="AL288" s="27">
        <f>Table1[[#This Row],[IRR]]*Table1[[#This Row],[Coupon Frequency2]]</f>
        <v>8.126515722970018E-2</v>
      </c>
      <c r="AM288" s="5">
        <f t="shared" si="18"/>
        <v>-1814.4920789334551</v>
      </c>
      <c r="AN288" t="s">
        <v>64</v>
      </c>
      <c r="AO288" t="s">
        <v>62</v>
      </c>
      <c r="AP288">
        <f t="shared" si="19"/>
        <v>1</v>
      </c>
    </row>
    <row r="289" spans="1:42" x14ac:dyDescent="0.35">
      <c r="A289" s="48" t="s">
        <v>1163</v>
      </c>
      <c r="B289" s="49" t="s">
        <v>2568</v>
      </c>
      <c r="C289" s="49" t="s">
        <v>2273</v>
      </c>
      <c r="D289" s="50">
        <v>45560</v>
      </c>
      <c r="E289" s="50">
        <v>46655</v>
      </c>
      <c r="F289" s="49">
        <v>1000</v>
      </c>
      <c r="G289" s="49" t="s">
        <v>76</v>
      </c>
      <c r="H289" s="49">
        <v>1032.55</v>
      </c>
      <c r="I289" s="49" t="s">
        <v>76</v>
      </c>
      <c r="J289" s="49">
        <v>103.254999999999</v>
      </c>
      <c r="K289" s="49">
        <v>500</v>
      </c>
      <c r="L289" s="51">
        <v>9.4E-2</v>
      </c>
      <c r="M289" s="49" t="s">
        <v>93</v>
      </c>
      <c r="N289" s="49">
        <v>738</v>
      </c>
      <c r="O289" s="49">
        <v>9.1036753668103199</v>
      </c>
      <c r="P289" s="49" t="s">
        <v>2279</v>
      </c>
      <c r="Q289" s="49"/>
      <c r="R289" s="49" t="s">
        <v>2275</v>
      </c>
      <c r="S289">
        <f t="shared" si="16"/>
        <v>3</v>
      </c>
      <c r="T289" s="5" cm="1">
        <f t="array" ref="T2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89">
        <f>Table1[[#This Row],[Term to Maturity (Years)]]*Table1[[#This Row],[Coupon Frequency2]]</f>
        <v>3</v>
      </c>
      <c r="V289">
        <f>Table1[[#This Row],[Face value]]*Table1[[#This Row],[Current coupon %]]</f>
        <v>94</v>
      </c>
      <c r="W289" s="36">
        <f>RATE(Table1[[#This Row],[Total No. of Coupons]],Table1[[#This Row],[Coupon Amount]],-Table1[[#This Row],[Ask Price]],Table1[[#This Row],[Face value]])</f>
        <v>8.1338981760927367E-2</v>
      </c>
      <c r="X289" s="27">
        <f>Table1[[#This Row],[IRR]]*Table1[[#This Row],[Coupon Frequency2]]</f>
        <v>8.1338981760927367E-2</v>
      </c>
      <c r="Y289" s="19" cm="1">
        <f t="array" ref="Y2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89" s="33">
        <f>DURATION(Table1[[#This Row],[Issue date]],Table1[[#This Row],[Maturity date]],Table1[[#This Row],[Current coupon %]],Table1[[#This Row],[Yield (Annualised)]],Table1[[#This Row],[Coupon Frequency2]])</f>
        <v>2.7537660021319028</v>
      </c>
      <c r="AA289" s="33">
        <f>Table1[[#This Row],[Macaulay Duration in Years]]/(1+Table1[[#This Row],[IRR]])</f>
        <v>2.5466260336305266</v>
      </c>
      <c r="AB289" s="58">
        <f>VLOOKUP(Table1[[#This Row],[Yield Cluster]],'Cluster Details'!$B$3:$C$16,2,0)</f>
        <v>7.8548801574189142E-2</v>
      </c>
      <c r="AC289" s="78">
        <f>PRICE(Table1[[#This Row],[Issue date]],Table1[[#This Row],[Maturity date]],Table1[[#This Row],[Current coupon %]],Table1[[#This Row],[Average Cluster Yield]],100,Table1[[#This Row],[Coupon Frequency2]])*Table1[[#This Row],[Face value]]/100</f>
        <v>1039.9237357274283</v>
      </c>
      <c r="AD289" s="58" t="str">
        <f>IF(Table1[[#This Row],[Ask Price]]&gt;Table1[[#This Row],[Calculated Bond Price]],"Rich","Cheap")</f>
        <v>Cheap</v>
      </c>
      <c r="AE28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1006.7197795533473</v>
      </c>
      <c r="AF28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1059.3244884375129</v>
      </c>
      <c r="AG289" s="78">
        <f>(Table1[[#This Row],[P (+ shock)]]+Table1[[#This Row],[P (-shock)]]-2*Table1[[#This Row],[Ask Price]])/(2*Table1[[#This Row],[Ask Price]]*($AF$2^2))</f>
        <v>4.5725049191817631</v>
      </c>
      <c r="AH289">
        <v>8.7577758678523505</v>
      </c>
      <c r="AI289" s="6">
        <f t="shared" si="17"/>
        <v>9.1036753668103237E-2</v>
      </c>
      <c r="AK289" s="47">
        <f>RATE(Table1[[#This Row],[Total No. of Coupons]],Table1[[#This Row],[Coupon Amount]],-Table1[[#This Row],[Ask Price]],Table1[[#This Row],[Face value]])</f>
        <v>8.1338981760927367E-2</v>
      </c>
      <c r="AL289" s="27">
        <f>Table1[[#This Row],[IRR]]*Table1[[#This Row],[Coupon Frequency2]]</f>
        <v>8.1338981760927367E-2</v>
      </c>
      <c r="AM289" s="5">
        <f t="shared" si="18"/>
        <v>-2629.5187110252</v>
      </c>
      <c r="AN289" t="s">
        <v>64</v>
      </c>
      <c r="AO289" t="s">
        <v>62</v>
      </c>
      <c r="AP289">
        <f t="shared" si="19"/>
        <v>1</v>
      </c>
    </row>
    <row r="290" spans="1:42" x14ac:dyDescent="0.35">
      <c r="A290" s="48" t="s">
        <v>1430</v>
      </c>
      <c r="B290" s="49" t="s">
        <v>2569</v>
      </c>
      <c r="C290" s="49" t="s">
        <v>2273</v>
      </c>
      <c r="D290" s="50">
        <v>43483</v>
      </c>
      <c r="E290" s="50">
        <v>46405</v>
      </c>
      <c r="F290" s="49">
        <v>1000</v>
      </c>
      <c r="G290" s="49" t="s">
        <v>76</v>
      </c>
      <c r="H290" s="49">
        <v>1066.5899999999999</v>
      </c>
      <c r="I290" s="49" t="s">
        <v>76</v>
      </c>
      <c r="J290" s="49">
        <v>106.658999999999</v>
      </c>
      <c r="K290" s="49">
        <v>480</v>
      </c>
      <c r="L290" s="51">
        <v>9.3000000000000013E-2</v>
      </c>
      <c r="M290" s="49" t="s">
        <v>93</v>
      </c>
      <c r="N290" s="49">
        <v>488</v>
      </c>
      <c r="O290" s="49">
        <v>8.7193767052006805</v>
      </c>
      <c r="P290" s="49"/>
      <c r="Q290" s="49"/>
      <c r="R290" s="49" t="s">
        <v>2275</v>
      </c>
      <c r="S290">
        <f t="shared" si="16"/>
        <v>8</v>
      </c>
      <c r="T290" s="5" cm="1">
        <f t="array" ref="T2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0">
        <f>Table1[[#This Row],[Term to Maturity (Years)]]*Table1[[#This Row],[Coupon Frequency2]]</f>
        <v>8</v>
      </c>
      <c r="V290">
        <f>Table1[[#This Row],[Face value]]*Table1[[#This Row],[Current coupon %]]</f>
        <v>93.000000000000014</v>
      </c>
      <c r="W290" s="36">
        <f>RATE(Table1[[#This Row],[Total No. of Coupons]],Table1[[#This Row],[Coupon Amount]],-Table1[[#This Row],[Ask Price]],Table1[[#This Row],[Face value]])</f>
        <v>8.1352800116984814E-2</v>
      </c>
      <c r="X290" s="27">
        <f>Table1[[#This Row],[IRR]]*Table1[[#This Row],[Coupon Frequency2]]</f>
        <v>8.1352800116984814E-2</v>
      </c>
      <c r="Y290" s="19" cm="1">
        <f t="array" ref="Y2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0" s="33">
        <f>DURATION(Table1[[#This Row],[Issue date]],Table1[[#This Row],[Maturity date]],Table1[[#This Row],[Current coupon %]],Table1[[#This Row],[Yield (Annualised)]],Table1[[#This Row],[Coupon Frequency2]])</f>
        <v>6.0518663437092117</v>
      </c>
      <c r="AA290" s="33">
        <f>Table1[[#This Row],[Macaulay Duration in Years]]/(1+Table1[[#This Row],[IRR]])</f>
        <v>5.5965697254906059</v>
      </c>
      <c r="AB290" s="58">
        <f>VLOOKUP(Table1[[#This Row],[Yield Cluster]],'Cluster Details'!$B$3:$C$16,2,0)</f>
        <v>7.8548801574189142E-2</v>
      </c>
      <c r="AC290" s="78">
        <f>PRICE(Table1[[#This Row],[Issue date]],Table1[[#This Row],[Maturity date]],Table1[[#This Row],[Current coupon %]],Table1[[#This Row],[Average Cluster Yield]],100,Table1[[#This Row],[Coupon Frequency2]])*Table1[[#This Row],[Face value]]/100</f>
        <v>1083.5051290428726</v>
      </c>
      <c r="AD290" s="58" t="str">
        <f>IF(Table1[[#This Row],[Ask Price]]&gt;Table1[[#This Row],[Calculated Bond Price]],"Rich","Cheap")</f>
        <v>Cheap</v>
      </c>
      <c r="AE29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1009.0712932877381</v>
      </c>
      <c r="AF29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1128.5869706740086</v>
      </c>
      <c r="AG290" s="78">
        <f>(Table1[[#This Row],[P (+ shock)]]+Table1[[#This Row],[P (-shock)]]-2*Table1[[#This Row],[Ask Price]])/(2*Table1[[#This Row],[Ask Price]]*($AF$2^2))</f>
        <v>20.993371219245265</v>
      </c>
      <c r="AH290">
        <v>8.1875967701020294</v>
      </c>
      <c r="AI290" s="6">
        <f t="shared" si="17"/>
        <v>8.7193767052006876E-2</v>
      </c>
      <c r="AK290" s="47">
        <f>RATE(Table1[[#This Row],[Total No. of Coupons]],Table1[[#This Row],[Coupon Amount]],-Table1[[#This Row],[Ask Price]],Table1[[#This Row],[Face value]])</f>
        <v>8.1352800116984814E-2</v>
      </c>
      <c r="AL290" s="27">
        <f>Table1[[#This Row],[IRR]]*Table1[[#This Row],[Coupon Frequency2]]</f>
        <v>8.1352800116984814E-2</v>
      </c>
      <c r="AM290" s="5">
        <f t="shared" si="18"/>
        <v>-5969.2453035110248</v>
      </c>
      <c r="AN290" t="s">
        <v>64</v>
      </c>
      <c r="AO290" t="s">
        <v>62</v>
      </c>
      <c r="AP290">
        <f t="shared" si="19"/>
        <v>1</v>
      </c>
    </row>
    <row r="291" spans="1:42" x14ac:dyDescent="0.35">
      <c r="A291" s="48" t="s">
        <v>1839</v>
      </c>
      <c r="B291" s="49" t="s">
        <v>2570</v>
      </c>
      <c r="C291" s="49" t="s">
        <v>2273</v>
      </c>
      <c r="D291" s="50">
        <v>44959</v>
      </c>
      <c r="E291" s="50">
        <v>46144</v>
      </c>
      <c r="F291" s="49">
        <v>1000</v>
      </c>
      <c r="G291" s="49" t="s">
        <v>76</v>
      </c>
      <c r="H291" s="49">
        <v>1047.8</v>
      </c>
      <c r="I291" s="49" t="s">
        <v>76</v>
      </c>
      <c r="J291" s="49">
        <v>104.78</v>
      </c>
      <c r="K291" s="49">
        <v>41</v>
      </c>
      <c r="L291" s="51">
        <v>0.1</v>
      </c>
      <c r="M291" s="49" t="s">
        <v>93</v>
      </c>
      <c r="N291" s="49">
        <v>227</v>
      </c>
      <c r="O291" s="49">
        <v>9.5438060698606595</v>
      </c>
      <c r="P291" s="49"/>
      <c r="Q291" s="49"/>
      <c r="R291" s="49" t="s">
        <v>2275</v>
      </c>
      <c r="S291">
        <f t="shared" si="16"/>
        <v>3</v>
      </c>
      <c r="T291" s="5" cm="1">
        <f t="array" ref="T2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1">
        <f>Table1[[#This Row],[Term to Maturity (Years)]]*Table1[[#This Row],[Coupon Frequency2]]</f>
        <v>3</v>
      </c>
      <c r="V291">
        <f>Table1[[#This Row],[Face value]]*Table1[[#This Row],[Current coupon %]]</f>
        <v>100</v>
      </c>
      <c r="W291" s="36">
        <f>RATE(Table1[[#This Row],[Total No. of Coupons]],Table1[[#This Row],[Coupon Amount]],-Table1[[#This Row],[Ask Price]],Table1[[#This Row],[Face value]])</f>
        <v>8.1404958497058588E-2</v>
      </c>
      <c r="X291" s="27">
        <f>Table1[[#This Row],[IRR]]*Table1[[#This Row],[Coupon Frequency2]]</f>
        <v>8.1404958497058588E-2</v>
      </c>
      <c r="Y291" s="19" cm="1">
        <f t="array" ref="Y2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1" s="33">
        <f>DURATION(Table1[[#This Row],[Issue date]],Table1[[#This Row],[Maturity date]],Table1[[#This Row],[Current coupon %]],Table1[[#This Row],[Yield (Annualised)]],Table1[[#This Row],[Coupon Frequency2]])</f>
        <v>2.7530006539929985</v>
      </c>
      <c r="AA291" s="33">
        <f>Table1[[#This Row],[Macaulay Duration in Years]]/(1+Table1[[#This Row],[IRR]])</f>
        <v>2.5457629284584851</v>
      </c>
      <c r="AB291" s="58">
        <f>VLOOKUP(Table1[[#This Row],[Yield Cluster]],'Cluster Details'!$B$3:$C$16,2,0)</f>
        <v>7.8548801574189142E-2</v>
      </c>
      <c r="AC291" s="78">
        <f>PRICE(Table1[[#This Row],[Issue date]],Table1[[#This Row],[Maturity date]],Table1[[#This Row],[Current coupon %]],Table1[[#This Row],[Average Cluster Yield]],100,Table1[[#This Row],[Coupon Frequency2]])*Table1[[#This Row],[Face value]]/100</f>
        <v>1058.7897407064788</v>
      </c>
      <c r="AD291" s="58" t="str">
        <f>IF(Table1[[#This Row],[Ask Price]]&gt;Table1[[#This Row],[Calculated Bond Price]],"Rich","Cheap")</f>
        <v>Cheap</v>
      </c>
      <c r="AE29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1022.4407920915053</v>
      </c>
      <c r="AF29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1079.7662640666597</v>
      </c>
      <c r="AG291" s="78">
        <f>(Table1[[#This Row],[P (+ shock)]]+Table1[[#This Row],[P (-shock)]]-2*Table1[[#This Row],[Ask Price]])/(2*Table1[[#This Row],[Ask Price]]*($AF$2^2))</f>
        <v>31.528231333102934</v>
      </c>
      <c r="AH291">
        <v>13.488617331431</v>
      </c>
      <c r="AI291" s="6">
        <f t="shared" si="17"/>
        <v>9.5438060698606608E-2</v>
      </c>
      <c r="AK291" s="47">
        <f>RATE(Table1[[#This Row],[Total No. of Coupons]],Table1[[#This Row],[Coupon Amount]],-Table1[[#This Row],[Ask Price]],Table1[[#This Row],[Face value]])</f>
        <v>8.1404958497058588E-2</v>
      </c>
      <c r="AL291" s="27">
        <f>Table1[[#This Row],[IRR]]*Table1[[#This Row],[Coupon Frequency2]]</f>
        <v>8.1404958497058588E-2</v>
      </c>
      <c r="AM291" s="5">
        <f t="shared" si="18"/>
        <v>-2667.4503964388005</v>
      </c>
      <c r="AN291" t="s">
        <v>64</v>
      </c>
      <c r="AO291" t="s">
        <v>62</v>
      </c>
      <c r="AP291">
        <f t="shared" si="19"/>
        <v>1</v>
      </c>
    </row>
    <row r="292" spans="1:42" x14ac:dyDescent="0.35">
      <c r="A292" s="48" t="s">
        <v>1887</v>
      </c>
      <c r="B292" s="49" t="s">
        <v>2571</v>
      </c>
      <c r="C292" s="49" t="s">
        <v>2273</v>
      </c>
      <c r="D292" s="50">
        <v>40633</v>
      </c>
      <c r="E292" s="50">
        <v>46112</v>
      </c>
      <c r="F292" s="49">
        <v>5000</v>
      </c>
      <c r="G292" s="49" t="s">
        <v>76</v>
      </c>
      <c r="H292" s="49">
        <v>5150</v>
      </c>
      <c r="I292" s="49" t="s">
        <v>76</v>
      </c>
      <c r="J292" s="49">
        <v>103</v>
      </c>
      <c r="K292" s="49">
        <v>2</v>
      </c>
      <c r="L292" s="51">
        <v>8.5000000000000006E-2</v>
      </c>
      <c r="M292" s="49" t="s">
        <v>93</v>
      </c>
      <c r="N292" s="49">
        <v>195</v>
      </c>
      <c r="O292" s="49">
        <v>8.2524271844660202</v>
      </c>
      <c r="P292" s="49" t="s">
        <v>2282</v>
      </c>
      <c r="Q292" s="49"/>
      <c r="R292" s="49" t="s">
        <v>2275</v>
      </c>
      <c r="S292">
        <f t="shared" si="16"/>
        <v>15</v>
      </c>
      <c r="T292" s="5" cm="1">
        <f t="array" ref="T2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2">
        <f>Table1[[#This Row],[Term to Maturity (Years)]]*Table1[[#This Row],[Coupon Frequency2]]</f>
        <v>15</v>
      </c>
      <c r="V292">
        <f>Table1[[#This Row],[Face value]]*Table1[[#This Row],[Current coupon %]]</f>
        <v>425.00000000000006</v>
      </c>
      <c r="W292" s="36">
        <f>RATE(Table1[[#This Row],[Total No. of Coupons]],Table1[[#This Row],[Coupon Amount]],-Table1[[#This Row],[Ask Price]],Table1[[#This Row],[Face value]])</f>
        <v>8.1463726427210836E-2</v>
      </c>
      <c r="X292" s="27">
        <f>Table1[[#This Row],[IRR]]*Table1[[#This Row],[Coupon Frequency2]]</f>
        <v>8.1463726427210836E-2</v>
      </c>
      <c r="Y292" s="19" cm="1">
        <f t="array" ref="Y2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2" s="33">
        <f>DURATION(Table1[[#This Row],[Issue date]],Table1[[#This Row],[Maturity date]],Table1[[#This Row],[Current coupon %]],Table1[[#This Row],[Yield (Annualised)]],Table1[[#This Row],[Coupon Frequency2]])</f>
        <v>9.0987659838514929</v>
      </c>
      <c r="AA292" s="33">
        <f>Table1[[#This Row],[Macaulay Duration in Years]]/(1+Table1[[#This Row],[IRR]])</f>
        <v>8.4133806446848922</v>
      </c>
      <c r="AB292" s="58">
        <f>VLOOKUP(Table1[[#This Row],[Yield Cluster]],'Cluster Details'!$B$3:$C$16,2,0)</f>
        <v>7.8548801574189142E-2</v>
      </c>
      <c r="AC292" s="78">
        <f>PRICE(Table1[[#This Row],[Issue date]],Table1[[#This Row],[Maturity date]],Table1[[#This Row],[Current coupon %]],Table1[[#This Row],[Average Cluster Yield]],100,Table1[[#This Row],[Coupon Frequency2]])*Table1[[#This Row],[Face value]]/100</f>
        <v>5278.5578838817073</v>
      </c>
      <c r="AD292" s="58" t="str">
        <f>IF(Table1[[#This Row],[Ask Price]]&gt;Table1[[#This Row],[Calculated Bond Price]],"Rich","Cheap")</f>
        <v>Cheap</v>
      </c>
      <c r="AE29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4741.7254195077721</v>
      </c>
      <c r="AF29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5610.7772821371245</v>
      </c>
      <c r="AG292" s="78">
        <f>(Table1[[#This Row],[P (+ shock)]]+Table1[[#This Row],[P (-shock)]]-2*Table1[[#This Row],[Ask Price]])/(2*Table1[[#This Row],[Ask Price]]*($AF$2^2))</f>
        <v>50.973496742618117</v>
      </c>
      <c r="AH292">
        <v>12.191095951101699</v>
      </c>
      <c r="AI292" s="6">
        <f t="shared" si="17"/>
        <v>8.2524271844660199E-2</v>
      </c>
      <c r="AK292" s="47">
        <f>RATE(Table1[[#This Row],[Total No. of Coupons]],Table1[[#This Row],[Coupon Amount]],-Table1[[#This Row],[Ask Price]],Table1[[#This Row],[Face value]])</f>
        <v>8.1463726427210836E-2</v>
      </c>
      <c r="AL292" s="27">
        <f>Table1[[#This Row],[IRR]]*Table1[[#This Row],[Coupon Frequency2]]</f>
        <v>8.1463726427210836E-2</v>
      </c>
      <c r="AM292" s="5">
        <f t="shared" si="18"/>
        <v>-43328.910320127194</v>
      </c>
      <c r="AN292" t="s">
        <v>69</v>
      </c>
      <c r="AO292" t="s">
        <v>62</v>
      </c>
      <c r="AP292">
        <f t="shared" si="19"/>
        <v>1</v>
      </c>
    </row>
    <row r="293" spans="1:42" x14ac:dyDescent="0.35">
      <c r="A293" s="48" t="s">
        <v>1407</v>
      </c>
      <c r="B293" s="49" t="s">
        <v>2572</v>
      </c>
      <c r="C293" s="49" t="s">
        <v>2273</v>
      </c>
      <c r="D293" s="50">
        <v>45320</v>
      </c>
      <c r="E293" s="50">
        <v>46416</v>
      </c>
      <c r="F293" s="49">
        <v>1000</v>
      </c>
      <c r="G293" s="49" t="s">
        <v>76</v>
      </c>
      <c r="H293" s="49">
        <v>1036.8</v>
      </c>
      <c r="I293" s="49" t="s">
        <v>76</v>
      </c>
      <c r="J293" s="49">
        <v>103.679999999999</v>
      </c>
      <c r="K293" s="49">
        <v>80</v>
      </c>
      <c r="L293" s="51">
        <v>9.6000000000000002E-2</v>
      </c>
      <c r="M293" s="49" t="s">
        <v>93</v>
      </c>
      <c r="N293" s="49">
        <v>499</v>
      </c>
      <c r="O293" s="49">
        <v>9.2592592592592595</v>
      </c>
      <c r="P293" s="49"/>
      <c r="Q293" s="49"/>
      <c r="R293" s="49" t="s">
        <v>2275</v>
      </c>
      <c r="S293">
        <f t="shared" si="16"/>
        <v>3</v>
      </c>
      <c r="T293" s="5" cm="1">
        <f t="array" ref="T2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3">
        <f>Table1[[#This Row],[Term to Maturity (Years)]]*Table1[[#This Row],[Coupon Frequency2]]</f>
        <v>3</v>
      </c>
      <c r="V293">
        <f>Table1[[#This Row],[Face value]]*Table1[[#This Row],[Current coupon %]]</f>
        <v>96</v>
      </c>
      <c r="W293" s="36">
        <f>RATE(Table1[[#This Row],[Total No. of Coupons]],Table1[[#This Row],[Coupon Amount]],-Table1[[#This Row],[Ask Price]],Table1[[#This Row],[Face value]])</f>
        <v>8.1677133206563696E-2</v>
      </c>
      <c r="X293" s="27">
        <f>Table1[[#This Row],[IRR]]*Table1[[#This Row],[Coupon Frequency2]]</f>
        <v>8.1677133206563696E-2</v>
      </c>
      <c r="Y293" s="19" cm="1">
        <f t="array" ref="Y2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3" s="33">
        <f>DURATION(Table1[[#This Row],[Issue date]],Table1[[#This Row],[Maturity date]],Table1[[#This Row],[Current coupon %]],Table1[[#This Row],[Yield (Annualised)]],Table1[[#This Row],[Coupon Frequency2]])</f>
        <v>2.7496608469494817</v>
      </c>
      <c r="AA293" s="33">
        <f>Table1[[#This Row],[Macaulay Duration in Years]]/(1+Table1[[#This Row],[IRR]])</f>
        <v>2.5420347371107725</v>
      </c>
      <c r="AB293" s="58">
        <f>VLOOKUP(Table1[[#This Row],[Yield Cluster]],'Cluster Details'!$B$3:$C$16,2,0)</f>
        <v>7.8548801574189142E-2</v>
      </c>
      <c r="AC293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1045.0914560073952</v>
      </c>
      <c r="AD293" s="58" t="str">
        <f>IF(Table1[[#This Row],[Ask Price]]&gt;Table1[[#This Row],[Calculated Bond Price]],"Rich","Cheap")</f>
        <v>Cheap</v>
      </c>
      <c r="AE29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1010.9098249198538</v>
      </c>
      <c r="AF29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1063.6358039750999</v>
      </c>
      <c r="AG293" s="78">
        <f>(Table1[[#This Row],[P (+ shock)]]+Table1[[#This Row],[P (-shock)]]-2*Table1[[#This Row],[Ask Price]])/(2*Table1[[#This Row],[Ask Price]]*($AF$2^2))</f>
        <v>4.5603245319909478</v>
      </c>
      <c r="AH293">
        <v>14.2201754076996</v>
      </c>
      <c r="AI293" s="6">
        <f t="shared" si="17"/>
        <v>9.2592592592592601E-2</v>
      </c>
      <c r="AK293" s="47">
        <f>RATE(Table1[[#This Row],[Total No. of Coupons]],Table1[[#This Row],[Coupon Amount]],-Table1[[#This Row],[Ask Price]],Table1[[#This Row],[Face value]])</f>
        <v>8.1677133206563696E-2</v>
      </c>
      <c r="AL293" s="27">
        <f>Table1[[#This Row],[IRR]]*Table1[[#This Row],[Coupon Frequency2]]</f>
        <v>8.1677133206563696E-2</v>
      </c>
      <c r="AM293" s="5">
        <f t="shared" si="18"/>
        <v>-2635.5816154364488</v>
      </c>
      <c r="AN293" t="s">
        <v>64</v>
      </c>
      <c r="AO293" t="s">
        <v>62</v>
      </c>
      <c r="AP293">
        <f t="shared" si="19"/>
        <v>1</v>
      </c>
    </row>
    <row r="294" spans="1:42" x14ac:dyDescent="0.35">
      <c r="A294" s="48" t="s">
        <v>1510</v>
      </c>
      <c r="B294" s="49" t="s">
        <v>2573</v>
      </c>
      <c r="C294" s="49" t="s">
        <v>2273</v>
      </c>
      <c r="D294" s="50">
        <v>42705</v>
      </c>
      <c r="E294" s="50">
        <v>46357</v>
      </c>
      <c r="F294" s="49">
        <v>1000000</v>
      </c>
      <c r="G294" s="49" t="s">
        <v>76</v>
      </c>
      <c r="H294" s="49">
        <v>1021723</v>
      </c>
      <c r="I294" s="49" t="s">
        <v>76</v>
      </c>
      <c r="J294" s="49">
        <v>102.172299999999</v>
      </c>
      <c r="K294" s="49">
        <v>1</v>
      </c>
      <c r="L294" s="51">
        <v>8.5000000000000006E-2</v>
      </c>
      <c r="M294" s="49" t="s">
        <v>93</v>
      </c>
      <c r="N294" s="49">
        <v>440</v>
      </c>
      <c r="O294" s="49">
        <v>8.3192802745949699</v>
      </c>
      <c r="P294" s="49" t="s">
        <v>2285</v>
      </c>
      <c r="Q294" s="49"/>
      <c r="R294" s="49" t="s">
        <v>2275</v>
      </c>
      <c r="S294">
        <f t="shared" si="16"/>
        <v>10</v>
      </c>
      <c r="T294" s="5" cm="1">
        <f t="array" ref="T2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4">
        <f>Table1[[#This Row],[Term to Maturity (Years)]]*Table1[[#This Row],[Coupon Frequency2]]</f>
        <v>10</v>
      </c>
      <c r="V294">
        <f>Table1[[#This Row],[Face value]]*Table1[[#This Row],[Current coupon %]]</f>
        <v>85000</v>
      </c>
      <c r="W294" s="36">
        <f>RATE(Table1[[#This Row],[Total No. of Coupons]],Table1[[#This Row],[Coupon Amount]],-Table1[[#This Row],[Ask Price]],Table1[[#This Row],[Face value]])</f>
        <v>8.1737220045500616E-2</v>
      </c>
      <c r="X294" s="27">
        <f>Table1[[#This Row],[IRR]]*Table1[[#This Row],[Coupon Frequency2]]</f>
        <v>8.1737220045500616E-2</v>
      </c>
      <c r="Y294" s="19" cm="1">
        <f t="array" ref="Y2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4" s="33">
        <f>DURATION(Table1[[#This Row],[Issue date]],Table1[[#This Row],[Maturity date]],Table1[[#This Row],[Current coupon %]],Table1[[#This Row],[Yield (Annualised)]],Table1[[#This Row],[Coupon Frequency2]])</f>
        <v>7.1521843552249189</v>
      </c>
      <c r="AA294" s="33">
        <f>Table1[[#This Row],[Macaulay Duration in Years]]/(1+Table1[[#This Row],[IRR]])</f>
        <v>6.6117576641433118</v>
      </c>
      <c r="AB294" s="58">
        <f>VLOOKUP(Table1[[#This Row],[Yield Cluster]],'Cluster Details'!$B$3:$C$16,2,0)</f>
        <v>7.8548801574189142E-2</v>
      </c>
      <c r="AC294" s="78">
        <f>PRICE(Table1[[#This Row],[Issue date]],Table1[[#This Row],[Maturity date]],Table1[[#This Row],[Current coupon %]],Table1[[#This Row],[Average Cluster Yield]],100,Table1[[#This Row],[Coupon Frequency2]])*Table1[[#This Row],[Face value]]/100</f>
        <v>1043572.8494498022</v>
      </c>
      <c r="AD294" s="58" t="str">
        <f>IF(Table1[[#This Row],[Ask Price]]&gt;Table1[[#This Row],[Calculated Bond Price]],"Rich","Cheap")</f>
        <v>Cheap</v>
      </c>
      <c r="AE29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957091.49028847564</v>
      </c>
      <c r="AF29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1092408.7540924652</v>
      </c>
      <c r="AG294" s="78">
        <f>(Table1[[#This Row],[P (+ shock)]]+Table1[[#This Row],[P (-shock)]]-2*Table1[[#This Row],[Ask Price]])/(2*Table1[[#This Row],[Ask Price]]*($AF$2^2))</f>
        <v>29.627621091727811</v>
      </c>
      <c r="AH294">
        <v>11.8045859699258</v>
      </c>
      <c r="AI294" s="6">
        <f t="shared" si="17"/>
        <v>8.3192802745949729E-2</v>
      </c>
      <c r="AK294" s="47">
        <f>RATE(Table1[[#This Row],[Total No. of Coupons]],Table1[[#This Row],[Coupon Amount]],-Table1[[#This Row],[Ask Price]],Table1[[#This Row],[Face value]])</f>
        <v>8.1737220045500616E-2</v>
      </c>
      <c r="AL294" s="27">
        <f>Table1[[#This Row],[IRR]]*Table1[[#This Row],[Coupon Frequency2]]</f>
        <v>8.1737220045500616E-2</v>
      </c>
      <c r="AM294" s="5">
        <f t="shared" si="18"/>
        <v>-6755384.8758814968</v>
      </c>
      <c r="AN294" t="s">
        <v>64</v>
      </c>
      <c r="AO294" t="s">
        <v>62</v>
      </c>
      <c r="AP294">
        <f t="shared" si="19"/>
        <v>1</v>
      </c>
    </row>
    <row r="295" spans="1:42" x14ac:dyDescent="0.35">
      <c r="A295" s="48" t="s">
        <v>1776</v>
      </c>
      <c r="B295" s="49" t="s">
        <v>2574</v>
      </c>
      <c r="C295" s="49" t="s">
        <v>2273</v>
      </c>
      <c r="D295" s="50">
        <v>45000</v>
      </c>
      <c r="E295" s="50">
        <v>46188</v>
      </c>
      <c r="F295" s="49">
        <v>100000</v>
      </c>
      <c r="G295" s="49" t="s">
        <v>76</v>
      </c>
      <c r="H295" s="49">
        <v>101402.74</v>
      </c>
      <c r="I295" s="49" t="s">
        <v>76</v>
      </c>
      <c r="J295" s="49">
        <v>101.40273999999999</v>
      </c>
      <c r="K295" s="49">
        <v>5</v>
      </c>
      <c r="L295" s="51">
        <v>8.7499999999999994E-2</v>
      </c>
      <c r="M295" s="49" t="s">
        <v>93</v>
      </c>
      <c r="N295" s="49">
        <v>271</v>
      </c>
      <c r="O295" s="49">
        <v>8.6289581524128405</v>
      </c>
      <c r="P295" s="49" t="s">
        <v>2285</v>
      </c>
      <c r="Q295" s="49"/>
      <c r="R295" s="49" t="s">
        <v>2275</v>
      </c>
      <c r="S295">
        <f t="shared" si="16"/>
        <v>3</v>
      </c>
      <c r="T295" s="5" cm="1">
        <f t="array" ref="T2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5">
        <f>Table1[[#This Row],[Term to Maturity (Years)]]*Table1[[#This Row],[Coupon Frequency2]]</f>
        <v>3</v>
      </c>
      <c r="V295">
        <f>Table1[[#This Row],[Face value]]*Table1[[#This Row],[Current coupon %]]</f>
        <v>8750</v>
      </c>
      <c r="W295" s="36">
        <f>RATE(Table1[[#This Row],[Total No. of Coupons]],Table1[[#This Row],[Coupon Amount]],-Table1[[#This Row],[Ask Price]],Table1[[#This Row],[Face value]])</f>
        <v>8.2036882021625845E-2</v>
      </c>
      <c r="X295" s="27">
        <f>Table1[[#This Row],[IRR]]*Table1[[#This Row],[Coupon Frequency2]]</f>
        <v>8.2036882021625845E-2</v>
      </c>
      <c r="Y295" s="19" cm="1">
        <f t="array" ref="Y2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5" s="33">
        <f>DURATION(Table1[[#This Row],[Issue date]],Table1[[#This Row],[Maturity date]],Table1[[#This Row],[Current coupon %]],Table1[[#This Row],[Yield (Annualised)]],Table1[[#This Row],[Coupon Frequency2]])</f>
        <v>2.7970226246923664</v>
      </c>
      <c r="AA295" s="33">
        <f>Table1[[#This Row],[Macaulay Duration in Years]]/(1+Table1[[#This Row],[IRR]])</f>
        <v>2.5849605232185278</v>
      </c>
      <c r="AB295" s="58">
        <f>VLOOKUP(Table1[[#This Row],[Yield Cluster]],'Cluster Details'!$B$3:$C$16,2,0)</f>
        <v>7.8548801574189142E-2</v>
      </c>
      <c r="AC295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102420.54055149581</v>
      </c>
      <c r="AD295" s="58" t="str">
        <f>IF(Table1[[#This Row],[Ask Price]]&gt;Table1[[#This Row],[Calculated Bond Price]],"Rich","Cheap")</f>
        <v>Cheap</v>
      </c>
      <c r="AE29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98700.587066524997</v>
      </c>
      <c r="AF29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104285.93047154923</v>
      </c>
      <c r="AG295" s="78">
        <f>(Table1[[#This Row],[P (+ shock)]]+Table1[[#This Row],[P (-shock)]]-2*Table1[[#This Row],[Ask Price]])/(2*Table1[[#This Row],[Ask Price]]*($AF$2^2))</f>
        <v>8.9266590860473229</v>
      </c>
      <c r="AH295">
        <v>9.6477082585595895</v>
      </c>
      <c r="AI295" s="6">
        <f t="shared" si="17"/>
        <v>8.6289581524128439E-2</v>
      </c>
      <c r="AK295" s="47">
        <f>RATE(Table1[[#This Row],[Total No. of Coupons]],Table1[[#This Row],[Coupon Amount]],-Table1[[#This Row],[Ask Price]],Table1[[#This Row],[Face value]])</f>
        <v>8.2036882021625845E-2</v>
      </c>
      <c r="AL295" s="27">
        <f>Table1[[#This Row],[IRR]]*Table1[[#This Row],[Coupon Frequency2]]</f>
        <v>8.2036882021625845E-2</v>
      </c>
      <c r="AM295" s="5">
        <f t="shared" si="18"/>
        <v>-262122.07984619236</v>
      </c>
      <c r="AN295" t="s">
        <v>64</v>
      </c>
      <c r="AO295" t="s">
        <v>62</v>
      </c>
      <c r="AP295">
        <f t="shared" si="19"/>
        <v>1</v>
      </c>
    </row>
    <row r="296" spans="1:42" x14ac:dyDescent="0.35">
      <c r="A296" s="48" t="s">
        <v>424</v>
      </c>
      <c r="B296" s="49" t="s">
        <v>2575</v>
      </c>
      <c r="C296" s="49" t="s">
        <v>2273</v>
      </c>
      <c r="D296" s="50">
        <v>45716</v>
      </c>
      <c r="E296" s="50">
        <v>47759</v>
      </c>
      <c r="F296" s="49">
        <v>100000</v>
      </c>
      <c r="G296" s="49" t="s">
        <v>76</v>
      </c>
      <c r="H296" s="49">
        <v>104789.38</v>
      </c>
      <c r="I296" s="49" t="s">
        <v>76</v>
      </c>
      <c r="J296" s="49">
        <v>104.78937999999999</v>
      </c>
      <c r="K296" s="49">
        <v>30</v>
      </c>
      <c r="L296" s="51">
        <v>9.2499999999999999E-2</v>
      </c>
      <c r="M296" s="49" t="s">
        <v>93</v>
      </c>
      <c r="N296" s="49">
        <v>1842</v>
      </c>
      <c r="O296" s="49">
        <v>8.8272303930035605</v>
      </c>
      <c r="P296" s="49"/>
      <c r="Q296" s="49"/>
      <c r="R296" s="49" t="s">
        <v>2275</v>
      </c>
      <c r="S296">
        <f t="shared" si="16"/>
        <v>6</v>
      </c>
      <c r="T296" s="5" cm="1">
        <f t="array" ref="T2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6">
        <f>Table1[[#This Row],[Term to Maturity (Years)]]*Table1[[#This Row],[Coupon Frequency2]]</f>
        <v>6</v>
      </c>
      <c r="V296">
        <f>Table1[[#This Row],[Face value]]*Table1[[#This Row],[Current coupon %]]</f>
        <v>9250</v>
      </c>
      <c r="W296" s="36">
        <f>RATE(Table1[[#This Row],[Total No. of Coupons]],Table1[[#This Row],[Coupon Amount]],-Table1[[#This Row],[Ask Price]],Table1[[#This Row],[Face value]])</f>
        <v>8.2074545644056557E-2</v>
      </c>
      <c r="X296" s="27">
        <f>Table1[[#This Row],[IRR]]*Table1[[#This Row],[Coupon Frequency2]]</f>
        <v>8.2074545644056557E-2</v>
      </c>
      <c r="Y296" s="19" cm="1">
        <f t="array" ref="Y2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6" s="33">
        <f>DURATION(Table1[[#This Row],[Issue date]],Table1[[#This Row],[Maturity date]],Table1[[#This Row],[Current coupon %]],Table1[[#This Row],[Yield (Annualised)]],Table1[[#This Row],[Coupon Frequency2]])</f>
        <v>4.4904905216431166</v>
      </c>
      <c r="AA296" s="33">
        <f>Table1[[#This Row],[Macaulay Duration in Years]]/(1+Table1[[#This Row],[IRR]])</f>
        <v>4.1498901713563114</v>
      </c>
      <c r="AB296" s="58">
        <f>VLOOKUP(Table1[[#This Row],[Yield Cluster]],'Cluster Details'!$B$3:$C$16,2,0)</f>
        <v>7.8548801574189142E-2</v>
      </c>
      <c r="AC296" s="78">
        <f>PRICE(Table1[[#This Row],[Issue date]],Table1[[#This Row],[Maturity date]],Table1[[#This Row],[Current coupon %]],Table1[[#This Row],[Average Cluster Yield]],100,Table1[[#This Row],[Coupon Frequency2]])*Table1[[#This Row],[Face value]]/100</f>
        <v>106045.11756528681</v>
      </c>
      <c r="AD296" s="58" t="str">
        <f>IF(Table1[[#This Row],[Ask Price]]&gt;Table1[[#This Row],[Calculated Bond Price]],"Rich","Cheap")</f>
        <v>Cheap</v>
      </c>
      <c r="AE29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100082.1474510354</v>
      </c>
      <c r="AF29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109065.96224152482</v>
      </c>
      <c r="AG296" s="78">
        <f>(Table1[[#This Row],[P (+ shock)]]+Table1[[#This Row],[P (-shock)]]-2*Table1[[#This Row],[Ask Price]])/(2*Table1[[#This Row],[Ask Price]]*($AF$2^2))</f>
        <v>-20.548375581561388</v>
      </c>
      <c r="AI296" s="6">
        <f t="shared" si="17"/>
        <v>8.8272303930035656E-2</v>
      </c>
      <c r="AK296" s="47">
        <f>RATE(Table1[[#This Row],[Total No. of Coupons]],Table1[[#This Row],[Coupon Amount]],-Table1[[#This Row],[Ask Price]],Table1[[#This Row],[Face value]])</f>
        <v>8.2074545644056557E-2</v>
      </c>
      <c r="AL296" s="27">
        <f>Table1[[#This Row],[IRR]]*Table1[[#This Row],[Coupon Frequency2]]</f>
        <v>8.2074545644056557E-2</v>
      </c>
      <c r="AM296" s="5">
        <f t="shared" si="18"/>
        <v>-434864.41812452168</v>
      </c>
      <c r="AN296" t="s">
        <v>69</v>
      </c>
      <c r="AO296" t="s">
        <v>62</v>
      </c>
      <c r="AP296">
        <f t="shared" si="19"/>
        <v>1</v>
      </c>
    </row>
    <row r="297" spans="1:42" x14ac:dyDescent="0.35">
      <c r="A297" s="48" t="s">
        <v>789</v>
      </c>
      <c r="B297" s="49" t="s">
        <v>2576</v>
      </c>
      <c r="C297" s="49" t="s">
        <v>2273</v>
      </c>
      <c r="D297" s="50">
        <v>45287</v>
      </c>
      <c r="E297" s="50">
        <v>47114</v>
      </c>
      <c r="F297" s="49">
        <v>1000</v>
      </c>
      <c r="G297" s="49" t="s">
        <v>76</v>
      </c>
      <c r="H297" s="49">
        <v>1071</v>
      </c>
      <c r="I297" s="49" t="s">
        <v>76</v>
      </c>
      <c r="J297" s="49">
        <v>107.1</v>
      </c>
      <c r="K297" s="49">
        <v>100</v>
      </c>
      <c r="L297" s="51">
        <v>0.1</v>
      </c>
      <c r="M297" s="49" t="s">
        <v>93</v>
      </c>
      <c r="N297" s="49">
        <v>1197</v>
      </c>
      <c r="O297" s="49">
        <v>9.3370681605975694</v>
      </c>
      <c r="P297" s="49"/>
      <c r="Q297" s="49"/>
      <c r="R297" s="49" t="s">
        <v>2275</v>
      </c>
      <c r="S297">
        <f t="shared" si="16"/>
        <v>5</v>
      </c>
      <c r="T297" s="5" cm="1">
        <f t="array" ref="T2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7">
        <f>Table1[[#This Row],[Term to Maturity (Years)]]*Table1[[#This Row],[Coupon Frequency2]]</f>
        <v>5</v>
      </c>
      <c r="V297">
        <f>Table1[[#This Row],[Face value]]*Table1[[#This Row],[Current coupon %]]</f>
        <v>100</v>
      </c>
      <c r="W297" s="36">
        <f>RATE(Table1[[#This Row],[Total No. of Coupons]],Table1[[#This Row],[Coupon Amount]],-Table1[[#This Row],[Ask Price]],Table1[[#This Row],[Face value]])</f>
        <v>8.2118204597336888E-2</v>
      </c>
      <c r="X297" s="27">
        <f>Table1[[#This Row],[IRR]]*Table1[[#This Row],[Coupon Frequency2]]</f>
        <v>8.2118204597336888E-2</v>
      </c>
      <c r="Y297" s="19" cm="1">
        <f t="array" ref="Y2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7" s="33">
        <f>DURATION(Table1[[#This Row],[Issue date]],Table1[[#This Row],[Maturity date]],Table1[[#This Row],[Current coupon %]],Table1[[#This Row],[Yield (Annualised)]],Table1[[#This Row],[Coupon Frequency2]])</f>
        <v>4.2001809691555057</v>
      </c>
      <c r="AA297" s="33">
        <f>Table1[[#This Row],[Macaulay Duration in Years]]/(1+Table1[[#This Row],[IRR]])</f>
        <v>3.8814437750988762</v>
      </c>
      <c r="AB297" s="58">
        <f>VLOOKUP(Table1[[#This Row],[Yield Cluster]],'Cluster Details'!$B$3:$C$16,2,0)</f>
        <v>7.8548801574189142E-2</v>
      </c>
      <c r="AC297" s="78">
        <f>PRICE(Table1[[#This Row],[Issue date]],Table1[[#This Row],[Maturity date]],Table1[[#This Row],[Current coupon %]],Table1[[#This Row],[Average Cluster Yield]],100,Table1[[#This Row],[Coupon Frequency2]])*Table1[[#This Row],[Face value]]/100</f>
        <v>1085.9770068824205</v>
      </c>
      <c r="AD297" s="58" t="str">
        <f>IF(Table1[[#This Row],[Ask Price]]&gt;Table1[[#This Row],[Calculated Bond Price]],"Rich","Cheap")</f>
        <v>Cheap</v>
      </c>
      <c r="AE29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1030.4896790994244</v>
      </c>
      <c r="AF29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1113.6754047003922</v>
      </c>
      <c r="AG297" s="78">
        <f>(Table1[[#This Row],[P (+ shock)]]+Table1[[#This Row],[P (-shock)]]-2*Table1[[#This Row],[Ask Price]])/(2*Table1[[#This Row],[Ask Price]]*($AF$2^2))</f>
        <v>10.107767506147454</v>
      </c>
      <c r="AI297" s="6">
        <f t="shared" si="17"/>
        <v>9.3370681605975725E-2</v>
      </c>
      <c r="AK297" s="47">
        <f>RATE(Table1[[#This Row],[Total No. of Coupons]],Table1[[#This Row],[Coupon Amount]],-Table1[[#This Row],[Ask Price]],Table1[[#This Row],[Face value]])</f>
        <v>8.2118204597336888E-2</v>
      </c>
      <c r="AL297" s="27">
        <f>Table1[[#This Row],[IRR]]*Table1[[#This Row],[Coupon Frequency2]]</f>
        <v>8.2118204597336888E-2</v>
      </c>
      <c r="AM297" s="5">
        <f t="shared" si="18"/>
        <v>-4157.0262831308964</v>
      </c>
      <c r="AN297" t="s">
        <v>79</v>
      </c>
      <c r="AO297" t="s">
        <v>62</v>
      </c>
      <c r="AP297">
        <f t="shared" si="19"/>
        <v>1</v>
      </c>
    </row>
    <row r="298" spans="1:42" x14ac:dyDescent="0.35">
      <c r="A298" s="48" t="s">
        <v>671</v>
      </c>
      <c r="B298" s="49" t="s">
        <v>2577</v>
      </c>
      <c r="C298" s="49" t="s">
        <v>2273</v>
      </c>
      <c r="D298" s="50">
        <v>43612</v>
      </c>
      <c r="E298" s="50">
        <v>47263</v>
      </c>
      <c r="F298" s="49">
        <v>1000000</v>
      </c>
      <c r="G298" s="49" t="s">
        <v>76</v>
      </c>
      <c r="H298" s="49">
        <v>1042341</v>
      </c>
      <c r="I298" s="49" t="s">
        <v>76</v>
      </c>
      <c r="J298" s="49">
        <v>104.2341</v>
      </c>
      <c r="K298" s="49">
        <v>5</v>
      </c>
      <c r="L298" s="51">
        <v>8.8499999999999995E-2</v>
      </c>
      <c r="M298" s="49" t="s">
        <v>93</v>
      </c>
      <c r="N298" s="49">
        <v>1346</v>
      </c>
      <c r="O298" s="49">
        <v>8.4905035875975301</v>
      </c>
      <c r="P298" s="49" t="s">
        <v>2282</v>
      </c>
      <c r="Q298" s="49"/>
      <c r="R298" s="49" t="s">
        <v>2275</v>
      </c>
      <c r="S298">
        <f t="shared" si="16"/>
        <v>10</v>
      </c>
      <c r="T298" s="5" cm="1">
        <f t="array" ref="T2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8">
        <f>Table1[[#This Row],[Term to Maturity (Years)]]*Table1[[#This Row],[Coupon Frequency2]]</f>
        <v>10</v>
      </c>
      <c r="V298">
        <f>Table1[[#This Row],[Face value]]*Table1[[#This Row],[Current coupon %]]</f>
        <v>88500</v>
      </c>
      <c r="W298" s="36">
        <f>RATE(Table1[[#This Row],[Total No. of Coupons]],Table1[[#This Row],[Coupon Amount]],-Table1[[#This Row],[Ask Price]],Table1[[#This Row],[Face value]])</f>
        <v>8.2129209436319531E-2</v>
      </c>
      <c r="X298" s="27">
        <f>Table1[[#This Row],[IRR]]*Table1[[#This Row],[Coupon Frequency2]]</f>
        <v>8.2129209436319531E-2</v>
      </c>
      <c r="Y298" s="19" cm="1">
        <f t="array" ref="Y2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8" s="33">
        <f>DURATION(Table1[[#This Row],[Issue date]],Table1[[#This Row],[Maturity date]],Table1[[#This Row],[Current coupon %]],Table1[[#This Row],[Yield (Annualised)]],Table1[[#This Row],[Coupon Frequency2]])</f>
        <v>7.0914913340856183</v>
      </c>
      <c r="AA298" s="33">
        <f>Table1[[#This Row],[Macaulay Duration in Years]]/(1+Table1[[#This Row],[IRR]])</f>
        <v>6.5532759602520771</v>
      </c>
      <c r="AB298" s="58">
        <f>VLOOKUP(Table1[[#This Row],[Yield Cluster]],'Cluster Details'!$B$3:$C$16,2,0)</f>
        <v>7.8548801574189142E-2</v>
      </c>
      <c r="AC298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1067169.3932592217</v>
      </c>
      <c r="AD298" s="58" t="str">
        <f>IF(Table1[[#This Row],[Ask Price]]&gt;Table1[[#This Row],[Calculated Bond Price]],"Rich","Cheap")</f>
        <v>Cheap</v>
      </c>
      <c r="AE29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976912.43903552066</v>
      </c>
      <c r="AF29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1113797.7778705815</v>
      </c>
      <c r="AG298" s="78">
        <f>(Table1[[#This Row],[P (+ shock)]]+Table1[[#This Row],[P (-shock)]]-2*Table1[[#This Row],[Ask Price]])/(2*Table1[[#This Row],[Ask Price]]*($AF$2^2))</f>
        <v>28.916721620382109</v>
      </c>
      <c r="AI298" s="6">
        <f t="shared" si="17"/>
        <v>8.4905035875975324E-2</v>
      </c>
      <c r="AK298" s="47">
        <f>RATE(Table1[[#This Row],[Total No. of Coupons]],Table1[[#This Row],[Coupon Amount]],-Table1[[#This Row],[Ask Price]],Table1[[#This Row],[Face value]])</f>
        <v>8.2129209436319531E-2</v>
      </c>
      <c r="AL298" s="27">
        <f>Table1[[#This Row],[IRR]]*Table1[[#This Row],[Coupon Frequency2]]</f>
        <v>8.2129209436319531E-2</v>
      </c>
      <c r="AM298" s="5">
        <f t="shared" si="18"/>
        <v>-6830748.2176851099</v>
      </c>
      <c r="AN298" t="s">
        <v>64</v>
      </c>
      <c r="AO298" t="s">
        <v>62</v>
      </c>
      <c r="AP298">
        <f t="shared" si="19"/>
        <v>1</v>
      </c>
    </row>
    <row r="299" spans="1:42" x14ac:dyDescent="0.35">
      <c r="A299" s="48" t="s">
        <v>675</v>
      </c>
      <c r="B299" s="49" t="s">
        <v>2578</v>
      </c>
      <c r="C299" s="49" t="s">
        <v>2273</v>
      </c>
      <c r="D299" s="50">
        <v>45434</v>
      </c>
      <c r="E299" s="50">
        <v>47260</v>
      </c>
      <c r="F299" s="49">
        <v>100000</v>
      </c>
      <c r="G299" s="49" t="s">
        <v>76</v>
      </c>
      <c r="H299" s="49">
        <v>103881</v>
      </c>
      <c r="I299" s="49" t="s">
        <v>76</v>
      </c>
      <c r="J299" s="49">
        <v>103.881</v>
      </c>
      <c r="K299" s="49">
        <v>10</v>
      </c>
      <c r="L299" s="51">
        <v>9.1999999999999998E-2</v>
      </c>
      <c r="M299" s="49" t="s">
        <v>93</v>
      </c>
      <c r="N299" s="49">
        <v>1343</v>
      </c>
      <c r="O299" s="49">
        <v>8.8562874827928102</v>
      </c>
      <c r="P299" s="49" t="s">
        <v>2285</v>
      </c>
      <c r="Q299" s="49"/>
      <c r="R299" s="49" t="s">
        <v>2275</v>
      </c>
      <c r="S299">
        <f t="shared" si="16"/>
        <v>5</v>
      </c>
      <c r="T299" s="5" cm="1">
        <f t="array" ref="T2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299">
        <f>Table1[[#This Row],[Term to Maturity (Years)]]*Table1[[#This Row],[Coupon Frequency2]]</f>
        <v>5</v>
      </c>
      <c r="V299">
        <f>Table1[[#This Row],[Face value]]*Table1[[#This Row],[Current coupon %]]</f>
        <v>9200</v>
      </c>
      <c r="W299" s="36">
        <f>RATE(Table1[[#This Row],[Total No. of Coupons]],Table1[[#This Row],[Coupon Amount]],-Table1[[#This Row],[Ask Price]],Table1[[#This Row],[Face value]])</f>
        <v>8.222277294100612E-2</v>
      </c>
      <c r="X299" s="27">
        <f>Table1[[#This Row],[IRR]]*Table1[[#This Row],[Coupon Frequency2]]</f>
        <v>8.222277294100612E-2</v>
      </c>
      <c r="Y299" s="19" cm="1">
        <f t="array" ref="Y2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299" s="33">
        <f>DURATION(Table1[[#This Row],[Issue date]],Table1[[#This Row],[Maturity date]],Table1[[#This Row],[Current coupon %]],Table1[[#This Row],[Yield (Annualised)]],Table1[[#This Row],[Coupon Frequency2]])</f>
        <v>4.2415058901909024</v>
      </c>
      <c r="AA299" s="33">
        <f>Table1[[#This Row],[Macaulay Duration in Years]]/(1+Table1[[#This Row],[IRR]])</f>
        <v>3.9192539616075095</v>
      </c>
      <c r="AB299" s="58">
        <f>VLOOKUP(Table1[[#This Row],[Yield Cluster]],'Cluster Details'!$B$3:$C$16,2,0)</f>
        <v>7.8548801574189142E-2</v>
      </c>
      <c r="AC299" s="78">
        <f>PRICE(Table1[[#This Row],[Issue date]],Table1[[#This Row],[Maturity date]],Table1[[#This Row],[Current coupon %]],Table1[[#This Row],[Average Cluster Yield]],100,Table1[[#This Row],[Coupon Frequency2]])*Table1[[#This Row],[Face value]]/100</f>
        <v>105391.27817791853</v>
      </c>
      <c r="AD299" s="58" t="str">
        <f>IF(Table1[[#This Row],[Ask Price]]&gt;Table1[[#This Row],[Calculated Bond Price]],"Rich","Cheap")</f>
        <v>Cheap</v>
      </c>
      <c r="AE29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99913.846544825225</v>
      </c>
      <c r="AF29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108061.01990992238</v>
      </c>
      <c r="AG299" s="78">
        <f>(Table1[[#This Row],[P (+ shock)]]+Table1[[#This Row],[P (-shock)]]-2*Table1[[#This Row],[Ask Price]])/(2*Table1[[#This Row],[Ask Price]]*($AF$2^2))</f>
        <v>10.245687601564383</v>
      </c>
      <c r="AI299" s="6">
        <f t="shared" si="17"/>
        <v>8.8562874827928115E-2</v>
      </c>
      <c r="AK299" s="47">
        <f>RATE(Table1[[#This Row],[Total No. of Coupons]],Table1[[#This Row],[Coupon Amount]],-Table1[[#This Row],[Ask Price]],Table1[[#This Row],[Face value]])</f>
        <v>8.222277294100612E-2</v>
      </c>
      <c r="AL299" s="27">
        <f>Table1[[#This Row],[IRR]]*Table1[[#This Row],[Coupon Frequency2]]</f>
        <v>8.222277294100612E-2</v>
      </c>
      <c r="AM299" s="5">
        <f t="shared" si="18"/>
        <v>-407136.02078574972</v>
      </c>
      <c r="AN299" t="s">
        <v>79</v>
      </c>
      <c r="AO299" t="s">
        <v>62</v>
      </c>
      <c r="AP299">
        <f t="shared" si="19"/>
        <v>1</v>
      </c>
    </row>
    <row r="300" spans="1:42" x14ac:dyDescent="0.35">
      <c r="A300" s="48" t="s">
        <v>567</v>
      </c>
      <c r="B300" s="49" t="s">
        <v>2579</v>
      </c>
      <c r="C300" s="49" t="s">
        <v>2273</v>
      </c>
      <c r="D300" s="50">
        <v>45441</v>
      </c>
      <c r="E300" s="50">
        <v>47451</v>
      </c>
      <c r="F300" s="49">
        <v>100000</v>
      </c>
      <c r="G300" s="49" t="s">
        <v>76</v>
      </c>
      <c r="H300" s="49">
        <v>105850</v>
      </c>
      <c r="I300" s="49" t="s">
        <v>76</v>
      </c>
      <c r="J300" s="49">
        <v>105.85</v>
      </c>
      <c r="K300" s="49">
        <v>4</v>
      </c>
      <c r="L300" s="51">
        <v>9.5000000000000001E-2</v>
      </c>
      <c r="M300" s="49" t="s">
        <v>93</v>
      </c>
      <c r="N300" s="49">
        <v>1534</v>
      </c>
      <c r="O300" s="49">
        <v>8.9749645725082594</v>
      </c>
      <c r="P300" s="49"/>
      <c r="Q300" s="49"/>
      <c r="R300" s="49" t="s">
        <v>2275</v>
      </c>
      <c r="S300">
        <f t="shared" si="16"/>
        <v>6</v>
      </c>
      <c r="T300" s="5" cm="1">
        <f t="array" ref="T3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0">
        <f>Table1[[#This Row],[Term to Maturity (Years)]]*Table1[[#This Row],[Coupon Frequency2]]</f>
        <v>6</v>
      </c>
      <c r="V300">
        <f>Table1[[#This Row],[Face value]]*Table1[[#This Row],[Current coupon %]]</f>
        <v>9500</v>
      </c>
      <c r="W300" s="36">
        <f>RATE(Table1[[#This Row],[Total No. of Coupons]],Table1[[#This Row],[Coupon Amount]],-Table1[[#This Row],[Ask Price]],Table1[[#This Row],[Face value]])</f>
        <v>8.22587132843971E-2</v>
      </c>
      <c r="X300" s="27">
        <f>Table1[[#This Row],[IRR]]*Table1[[#This Row],[Coupon Frequency2]]</f>
        <v>8.22587132843971E-2</v>
      </c>
      <c r="Y300" s="19" cm="1">
        <f t="array" ref="Y3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0" s="33">
        <f>DURATION(Table1[[#This Row],[Issue date]],Table1[[#This Row],[Maturity date]],Table1[[#This Row],[Current coupon %]],Table1[[#This Row],[Yield (Annualised)]],Table1[[#This Row],[Coupon Frequency2]])</f>
        <v>4.3751697684025945</v>
      </c>
      <c r="AA300" s="33">
        <f>Table1[[#This Row],[Macaulay Duration in Years]]/(1+Table1[[#This Row],[IRR]])</f>
        <v>4.0426283611291041</v>
      </c>
      <c r="AB300" s="58">
        <f>VLOOKUP(Table1[[#This Row],[Yield Cluster]],'Cluster Details'!$B$3:$C$16,2,0)</f>
        <v>7.8548801574189142E-2</v>
      </c>
      <c r="AC300" s="78">
        <f>PRICE(Table1[[#This Row],[Issue date]],Table1[[#This Row],[Maturity date]],Table1[[#This Row],[Current coupon %]],Table1[[#This Row],[Average Cluster Yield]],100,Table1[[#This Row],[Coupon Frequency2]])*Table1[[#This Row],[Face value]]/100</f>
        <v>107036.33105307393</v>
      </c>
      <c r="AD300" s="58" t="str">
        <f>IF(Table1[[#This Row],[Ask Price]]&gt;Table1[[#This Row],[Calculated Bond Price]],"Rich","Cheap")</f>
        <v>Cheap</v>
      </c>
      <c r="AE30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101037.76661914185</v>
      </c>
      <c r="AF30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109946.61062098276</v>
      </c>
      <c r="AG300" s="78">
        <f>(Table1[[#This Row],[P (+ shock)]]+Table1[[#This Row],[P (-shock)]]-2*Table1[[#This Row],[Ask Price]])/(2*Table1[[#This Row],[Ask Price]]*($AF$2^2))</f>
        <v>-33.803625879800457</v>
      </c>
      <c r="AH300">
        <v>11.7493762649058</v>
      </c>
      <c r="AI300" s="6">
        <f t="shared" si="17"/>
        <v>8.9749645725082663E-2</v>
      </c>
      <c r="AK300" s="47">
        <f>RATE(Table1[[#This Row],[Total No. of Coupons]],Table1[[#This Row],[Coupon Amount]],-Table1[[#This Row],[Ask Price]],Table1[[#This Row],[Face value]])</f>
        <v>8.22587132843971E-2</v>
      </c>
      <c r="AL300" s="27">
        <f>Table1[[#This Row],[IRR]]*Table1[[#This Row],[Coupon Frequency2]]</f>
        <v>8.22587132843971E-2</v>
      </c>
      <c r="AM300" s="5">
        <f t="shared" si="18"/>
        <v>-427912.21202551568</v>
      </c>
      <c r="AN300" t="s">
        <v>64</v>
      </c>
      <c r="AO300" t="s">
        <v>62</v>
      </c>
      <c r="AP300">
        <f t="shared" si="19"/>
        <v>1</v>
      </c>
    </row>
    <row r="301" spans="1:42" x14ac:dyDescent="0.35">
      <c r="A301" s="48" t="s">
        <v>1620</v>
      </c>
      <c r="B301" s="49" t="s">
        <v>2580</v>
      </c>
      <c r="C301" s="49" t="s">
        <v>2273</v>
      </c>
      <c r="D301" s="50">
        <v>44463</v>
      </c>
      <c r="E301" s="50">
        <v>46289</v>
      </c>
      <c r="F301" s="49">
        <v>1000</v>
      </c>
      <c r="G301" s="49" t="s">
        <v>76</v>
      </c>
      <c r="H301" s="49">
        <v>1040.5999999999999</v>
      </c>
      <c r="I301" s="49" t="s">
        <v>76</v>
      </c>
      <c r="J301" s="49">
        <v>104.06</v>
      </c>
      <c r="K301" s="49">
        <v>27</v>
      </c>
      <c r="L301" s="51">
        <v>9.2499999999999999E-2</v>
      </c>
      <c r="M301" s="49" t="s">
        <v>93</v>
      </c>
      <c r="N301" s="49">
        <v>372</v>
      </c>
      <c r="O301" s="49">
        <v>8.8891024408994799</v>
      </c>
      <c r="P301" s="49" t="s">
        <v>2279</v>
      </c>
      <c r="Q301" s="49"/>
      <c r="R301" s="49" t="s">
        <v>2275</v>
      </c>
      <c r="S301">
        <f t="shared" si="16"/>
        <v>5</v>
      </c>
      <c r="T301" s="5" cm="1">
        <f t="array" ref="T3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1">
        <f>Table1[[#This Row],[Term to Maturity (Years)]]*Table1[[#This Row],[Coupon Frequency2]]</f>
        <v>5</v>
      </c>
      <c r="V301">
        <f>Table1[[#This Row],[Face value]]*Table1[[#This Row],[Current coupon %]]</f>
        <v>92.5</v>
      </c>
      <c r="W301" s="36">
        <f>RATE(Table1[[#This Row],[Total No. of Coupons]],Table1[[#This Row],[Coupon Amount]],-Table1[[#This Row],[Ask Price]],Table1[[#This Row],[Face value]])</f>
        <v>8.2270543057929621E-2</v>
      </c>
      <c r="X301" s="27">
        <f>Table1[[#This Row],[IRR]]*Table1[[#This Row],[Coupon Frequency2]]</f>
        <v>8.2270543057929621E-2</v>
      </c>
      <c r="Y301" s="19" cm="1">
        <f t="array" ref="Y3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1" s="33">
        <f>DURATION(Table1[[#This Row],[Issue date]],Table1[[#This Row],[Maturity date]],Table1[[#This Row],[Current coupon %]],Table1[[#This Row],[Yield (Annualised)]],Table1[[#This Row],[Coupon Frequency2]])</f>
        <v>4.2387600767323521</v>
      </c>
      <c r="AA301" s="33">
        <f>Table1[[#This Row],[Macaulay Duration in Years]]/(1+Table1[[#This Row],[IRR]])</f>
        <v>3.9165438844485565</v>
      </c>
      <c r="AB301" s="58">
        <f>VLOOKUP(Table1[[#This Row],[Yield Cluster]],'Cluster Details'!$B$3:$C$16,2,0)</f>
        <v>7.8548801574189142E-2</v>
      </c>
      <c r="AC301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1055.9167958481376</v>
      </c>
      <c r="AD301" s="58" t="str">
        <f>IF(Table1[[#This Row],[Ask Price]]&gt;Table1[[#This Row],[Calculated Bond Price]],"Rich","Cheap")</f>
        <v>Cheap</v>
      </c>
      <c r="AE30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1000.8872741336361</v>
      </c>
      <c r="AF30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1082.442939260822</v>
      </c>
      <c r="AG301" s="78">
        <f>(Table1[[#This Row],[P (+ shock)]]+Table1[[#This Row],[P (-shock)]]-2*Table1[[#This Row],[Ask Price]])/(2*Table1[[#This Row],[Ask Price]]*($AF$2^2))</f>
        <v>10.235505450981279</v>
      </c>
      <c r="AH301">
        <v>19.764486278247698</v>
      </c>
      <c r="AI301" s="6">
        <f t="shared" si="17"/>
        <v>8.8891024408994823E-2</v>
      </c>
      <c r="AK301" s="47">
        <f>RATE(Table1[[#This Row],[Total No. of Coupons]],Table1[[#This Row],[Coupon Amount]],-Table1[[#This Row],[Ask Price]],Table1[[#This Row],[Face value]])</f>
        <v>8.2270543057929621E-2</v>
      </c>
      <c r="AL301" s="27">
        <f>Table1[[#This Row],[IRR]]*Table1[[#This Row],[Coupon Frequency2]]</f>
        <v>8.2270543057929621E-2</v>
      </c>
      <c r="AM301" s="5">
        <f t="shared" si="18"/>
        <v>-4075.5555661571675</v>
      </c>
      <c r="AN301" t="s">
        <v>64</v>
      </c>
      <c r="AO301" t="s">
        <v>62</v>
      </c>
      <c r="AP301">
        <f t="shared" si="19"/>
        <v>1</v>
      </c>
    </row>
    <row r="302" spans="1:42" x14ac:dyDescent="0.35">
      <c r="A302" s="48" t="s">
        <v>1054</v>
      </c>
      <c r="B302" s="49" t="s">
        <v>2581</v>
      </c>
      <c r="C302" s="49" t="s">
        <v>2273</v>
      </c>
      <c r="D302" s="50">
        <v>44950</v>
      </c>
      <c r="E302" s="50">
        <v>46776</v>
      </c>
      <c r="F302" s="49">
        <v>1000</v>
      </c>
      <c r="G302" s="49" t="s">
        <v>76</v>
      </c>
      <c r="H302" s="49">
        <v>1030</v>
      </c>
      <c r="I302" s="49" t="s">
        <v>76</v>
      </c>
      <c r="J302" s="49">
        <v>103</v>
      </c>
      <c r="K302" s="49">
        <v>75</v>
      </c>
      <c r="L302" s="51">
        <v>0.09</v>
      </c>
      <c r="M302" s="49" t="s">
        <v>93</v>
      </c>
      <c r="N302" s="49">
        <v>859</v>
      </c>
      <c r="O302" s="49">
        <v>8.7378640776699008</v>
      </c>
      <c r="P302" s="49" t="s">
        <v>2279</v>
      </c>
      <c r="Q302" s="49"/>
      <c r="R302" s="49" t="s">
        <v>2275</v>
      </c>
      <c r="S302">
        <f t="shared" si="16"/>
        <v>5</v>
      </c>
      <c r="T302" s="5" cm="1">
        <f t="array" ref="T3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2">
        <f>Table1[[#This Row],[Term to Maturity (Years)]]*Table1[[#This Row],[Coupon Frequency2]]</f>
        <v>5</v>
      </c>
      <c r="V302">
        <f>Table1[[#This Row],[Face value]]*Table1[[#This Row],[Current coupon %]]</f>
        <v>90</v>
      </c>
      <c r="W302" s="36">
        <f>RATE(Table1[[#This Row],[Total No. of Coupons]],Table1[[#This Row],[Coupon Amount]],-Table1[[#This Row],[Ask Price]],Table1[[#This Row],[Face value]])</f>
        <v>8.2437964201701616E-2</v>
      </c>
      <c r="X302" s="27">
        <f>Table1[[#This Row],[IRR]]*Table1[[#This Row],[Coupon Frequency2]]</f>
        <v>8.2437964201701616E-2</v>
      </c>
      <c r="Y302" s="19" cm="1">
        <f t="array" ref="Y3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2" s="33">
        <f>DURATION(Table1[[#This Row],[Issue date]],Table1[[#This Row],[Maturity date]],Table1[[#This Row],[Current coupon %]],Table1[[#This Row],[Yield (Annualised)]],Table1[[#This Row],[Coupon Frequency2]])</f>
        <v>4.2519342675233514</v>
      </c>
      <c r="AA302" s="33">
        <f>Table1[[#This Row],[Macaulay Duration in Years]]/(1+Table1[[#This Row],[IRR]])</f>
        <v>3.9281089615691318</v>
      </c>
      <c r="AB302" s="58">
        <f>VLOOKUP(Table1[[#This Row],[Yield Cluster]],'Cluster Details'!$B$3:$C$16,2,0)</f>
        <v>7.8548801574189142E-2</v>
      </c>
      <c r="AC302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1045.8967255033767</v>
      </c>
      <c r="AD302" s="58" t="str">
        <f>IF(Table1[[#This Row],[Ask Price]]&gt;Table1[[#This Row],[Calculated Bond Price]],"Rich","Cheap")</f>
        <v>Cheap</v>
      </c>
      <c r="AE30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990.57685279535565</v>
      </c>
      <c r="AF30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1071.540198574957</v>
      </c>
      <c r="AG302" s="78">
        <f>(Table1[[#This Row],[P (+ shock)]]+Table1[[#This Row],[P (-shock)]]-2*Table1[[#This Row],[Ask Price]])/(2*Table1[[#This Row],[Ask Price]]*($AF$2^2))</f>
        <v>10.276948399576529</v>
      </c>
      <c r="AH302">
        <v>39.338235294117602</v>
      </c>
      <c r="AI302" s="6">
        <f t="shared" si="17"/>
        <v>8.7378640776699032E-2</v>
      </c>
      <c r="AK302" s="47">
        <f>RATE(Table1[[#This Row],[Total No. of Coupons]],Table1[[#This Row],[Coupon Amount]],-Table1[[#This Row],[Ask Price]],Table1[[#This Row],[Face value]])</f>
        <v>8.2437964201701616E-2</v>
      </c>
      <c r="AL302" s="27">
        <f>Table1[[#This Row],[IRR]]*Table1[[#This Row],[Coupon Frequency2]]</f>
        <v>8.2437964201701616E-2</v>
      </c>
      <c r="AM302" s="5">
        <f t="shared" si="18"/>
        <v>-4045.9522304162056</v>
      </c>
      <c r="AN302" t="s">
        <v>64</v>
      </c>
      <c r="AO302" t="s">
        <v>62</v>
      </c>
      <c r="AP302">
        <f t="shared" si="19"/>
        <v>1</v>
      </c>
    </row>
    <row r="303" spans="1:42" x14ac:dyDescent="0.35">
      <c r="A303" s="48" t="s">
        <v>1154</v>
      </c>
      <c r="B303" s="49" t="s">
        <v>2582</v>
      </c>
      <c r="C303" s="49" t="s">
        <v>2273</v>
      </c>
      <c r="D303" s="50">
        <v>44832</v>
      </c>
      <c r="E303" s="50">
        <v>46658</v>
      </c>
      <c r="F303" s="49">
        <v>1000</v>
      </c>
      <c r="G303" s="49" t="s">
        <v>76</v>
      </c>
      <c r="H303" s="49">
        <v>1051.73</v>
      </c>
      <c r="I303" s="49" t="s">
        <v>76</v>
      </c>
      <c r="J303" s="49">
        <v>105.173</v>
      </c>
      <c r="K303" s="49">
        <v>55</v>
      </c>
      <c r="L303" s="51">
        <v>9.5500000000000002E-2</v>
      </c>
      <c r="M303" s="49" t="s">
        <v>93</v>
      </c>
      <c r="N303" s="49">
        <v>741</v>
      </c>
      <c r="O303" s="49">
        <v>9.0802772574710193</v>
      </c>
      <c r="P303" s="49" t="s">
        <v>2279</v>
      </c>
      <c r="Q303" s="49"/>
      <c r="R303" s="49" t="s">
        <v>2275</v>
      </c>
      <c r="S303">
        <f t="shared" si="16"/>
        <v>5</v>
      </c>
      <c r="T303" s="5" cm="1">
        <f t="array" ref="T3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3">
        <f>Table1[[#This Row],[Term to Maturity (Years)]]*Table1[[#This Row],[Coupon Frequency2]]</f>
        <v>5</v>
      </c>
      <c r="V303">
        <f>Table1[[#This Row],[Face value]]*Table1[[#This Row],[Current coupon %]]</f>
        <v>95.5</v>
      </c>
      <c r="W303" s="36">
        <f>RATE(Table1[[#This Row],[Total No. of Coupons]],Table1[[#This Row],[Coupon Amount]],-Table1[[#This Row],[Ask Price]],Table1[[#This Row],[Face value]])</f>
        <v>8.2459782624185407E-2</v>
      </c>
      <c r="X303" s="27">
        <f>Table1[[#This Row],[IRR]]*Table1[[#This Row],[Coupon Frequency2]]</f>
        <v>8.2459782624185407E-2</v>
      </c>
      <c r="Y303" s="19" cm="1">
        <f t="array" ref="Y3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3" s="33">
        <f>DURATION(Table1[[#This Row],[Issue date]],Table1[[#This Row],[Maturity date]],Table1[[#This Row],[Current coupon %]],Table1[[#This Row],[Yield (Annualised)]],Table1[[#This Row],[Coupon Frequency2]])</f>
        <v>4.2226497286832494</v>
      </c>
      <c r="AA303" s="33">
        <f>Table1[[#This Row],[Macaulay Duration in Years]]/(1+Table1[[#This Row],[IRR]])</f>
        <v>3.9009760884107534</v>
      </c>
      <c r="AB303" s="58">
        <f>VLOOKUP(Table1[[#This Row],[Yield Cluster]],'Cluster Details'!$B$3:$C$16,2,0)</f>
        <v>7.8548801574189142E-2</v>
      </c>
      <c r="AC303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1067.9408802618509</v>
      </c>
      <c r="AD303" s="58" t="str">
        <f>IF(Table1[[#This Row],[Ask Price]]&gt;Table1[[#This Row],[Calculated Bond Price]],"Rich","Cheap")</f>
        <v>Cheap</v>
      </c>
      <c r="AE30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1011.7502956908762</v>
      </c>
      <c r="AF30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1093.8504981740584</v>
      </c>
      <c r="AG303" s="78">
        <f>(Table1[[#This Row],[P (+ shock)]]+Table1[[#This Row],[P (-shock)]]-2*Table1[[#This Row],[Ask Price]])/(2*Table1[[#This Row],[Ask Price]]*($AF$2^2))</f>
        <v>10.177487876805332</v>
      </c>
      <c r="AH303">
        <v>8.75</v>
      </c>
      <c r="AI303" s="6">
        <f t="shared" si="17"/>
        <v>9.0802772574710242E-2</v>
      </c>
      <c r="AK303" s="47">
        <f>RATE(Table1[[#This Row],[Total No. of Coupons]],Table1[[#This Row],[Coupon Amount]],-Table1[[#This Row],[Ask Price]],Table1[[#This Row],[Face value]])</f>
        <v>8.2459782624185407E-2</v>
      </c>
      <c r="AL303" s="27">
        <f>Table1[[#This Row],[IRR]]*Table1[[#This Row],[Coupon Frequency2]]</f>
        <v>8.2459782624185407E-2</v>
      </c>
      <c r="AM303" s="5">
        <f t="shared" si="18"/>
        <v>-4102.7735814642419</v>
      </c>
      <c r="AN303" t="s">
        <v>64</v>
      </c>
      <c r="AO303" t="s">
        <v>62</v>
      </c>
      <c r="AP303">
        <f t="shared" si="19"/>
        <v>1</v>
      </c>
    </row>
    <row r="304" spans="1:42" x14ac:dyDescent="0.35">
      <c r="A304" s="48" t="s">
        <v>1179</v>
      </c>
      <c r="B304" s="49" t="s">
        <v>2583</v>
      </c>
      <c r="C304" s="49" t="s">
        <v>2273</v>
      </c>
      <c r="D304" s="50">
        <v>43703</v>
      </c>
      <c r="E304" s="50">
        <v>46625</v>
      </c>
      <c r="F304" s="49">
        <v>1000</v>
      </c>
      <c r="G304" s="49" t="s">
        <v>76</v>
      </c>
      <c r="H304" s="49">
        <v>1021</v>
      </c>
      <c r="I304" s="49" t="s">
        <v>76</v>
      </c>
      <c r="J304" s="49">
        <v>102.1</v>
      </c>
      <c r="K304" s="49">
        <v>67</v>
      </c>
      <c r="L304" s="51">
        <v>8.6500000000000007E-2</v>
      </c>
      <c r="M304" s="49" t="s">
        <v>93</v>
      </c>
      <c r="N304" s="49">
        <v>708</v>
      </c>
      <c r="O304" s="49">
        <v>8.4720861900097901</v>
      </c>
      <c r="P304" s="49"/>
      <c r="Q304" s="49"/>
      <c r="R304" s="49" t="s">
        <v>2275</v>
      </c>
      <c r="S304">
        <f t="shared" si="16"/>
        <v>8</v>
      </c>
      <c r="T304" s="5" cm="1">
        <f t="array" ref="T3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4">
        <f>Table1[[#This Row],[Term to Maturity (Years)]]*Table1[[#This Row],[Coupon Frequency2]]</f>
        <v>8</v>
      </c>
      <c r="V304">
        <f>Table1[[#This Row],[Face value]]*Table1[[#This Row],[Current coupon %]]</f>
        <v>86.500000000000014</v>
      </c>
      <c r="W304" s="36">
        <f>RATE(Table1[[#This Row],[Total No. of Coupons]],Table1[[#This Row],[Coupon Amount]],-Table1[[#This Row],[Ask Price]],Table1[[#This Row],[Face value]])</f>
        <v>8.2806674535624278E-2</v>
      </c>
      <c r="X304" s="27">
        <f>Table1[[#This Row],[IRR]]*Table1[[#This Row],[Coupon Frequency2]]</f>
        <v>8.2806674535624278E-2</v>
      </c>
      <c r="Y304" s="19" cm="1">
        <f t="array" ref="Y3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4" s="33">
        <f>DURATION(Table1[[#This Row],[Issue date]],Table1[[#This Row],[Maturity date]],Table1[[#This Row],[Current coupon %]],Table1[[#This Row],[Yield (Annualised)]],Table1[[#This Row],[Coupon Frequency2]])</f>
        <v>6.114157040271202</v>
      </c>
      <c r="AA304" s="33">
        <f>Table1[[#This Row],[Macaulay Duration in Years]]/(1+Table1[[#This Row],[IRR]])</f>
        <v>5.6465823346474462</v>
      </c>
      <c r="AB304" s="58">
        <f>VLOOKUP(Table1[[#This Row],[Yield Cluster]],'Cluster Details'!$B$3:$C$16,2,0)</f>
        <v>7.8548801574189142E-2</v>
      </c>
      <c r="AC304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1045.9453832844019</v>
      </c>
      <c r="AD304" s="58" t="str">
        <f>IF(Table1[[#This Row],[Ask Price]]&gt;Table1[[#This Row],[Calculated Bond Price]],"Rich","Cheap")</f>
        <v>Cheap</v>
      </c>
      <c r="AE30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965.45488045193053</v>
      </c>
      <c r="AF30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1080.8849912621249</v>
      </c>
      <c r="AG304" s="78">
        <f>(Table1[[#This Row],[P (+ shock)]]+Table1[[#This Row],[P (-shock)]]-2*Table1[[#This Row],[Ask Price]])/(2*Table1[[#This Row],[Ask Price]]*($AF$2^2))</f>
        <v>21.253044632984007</v>
      </c>
      <c r="AH304">
        <v>12.1036945363669</v>
      </c>
      <c r="AI304" s="6">
        <f t="shared" si="17"/>
        <v>8.4720861900097963E-2</v>
      </c>
      <c r="AK304" s="47">
        <f>RATE(Table1[[#This Row],[Total No. of Coupons]],Table1[[#This Row],[Coupon Amount]],-Table1[[#This Row],[Ask Price]],Table1[[#This Row],[Face value]])</f>
        <v>8.2806674535624278E-2</v>
      </c>
      <c r="AL304" s="27">
        <f>Table1[[#This Row],[IRR]]*Table1[[#This Row],[Coupon Frequency2]]</f>
        <v>8.2806674535624278E-2</v>
      </c>
      <c r="AM304" s="5">
        <f t="shared" si="18"/>
        <v>-5765.1605636750428</v>
      </c>
      <c r="AN304" t="s">
        <v>64</v>
      </c>
      <c r="AO304" t="s">
        <v>62</v>
      </c>
      <c r="AP304">
        <f t="shared" si="19"/>
        <v>1</v>
      </c>
    </row>
    <row r="305" spans="1:42" x14ac:dyDescent="0.35">
      <c r="A305" s="48" t="s">
        <v>701</v>
      </c>
      <c r="B305" s="49" t="s">
        <v>2584</v>
      </c>
      <c r="C305" s="49" t="s">
        <v>2273</v>
      </c>
      <c r="D305" s="50">
        <v>43552</v>
      </c>
      <c r="E305" s="50">
        <v>47205</v>
      </c>
      <c r="F305" s="49">
        <v>1000000</v>
      </c>
      <c r="G305" s="49" t="s">
        <v>76</v>
      </c>
      <c r="H305" s="49">
        <v>1045000</v>
      </c>
      <c r="I305" s="49" t="s">
        <v>76</v>
      </c>
      <c r="J305" s="49">
        <v>104.5</v>
      </c>
      <c r="K305" s="49">
        <v>1</v>
      </c>
      <c r="L305" s="51">
        <v>8.9700000000000002E-2</v>
      </c>
      <c r="M305" s="49" t="s">
        <v>93</v>
      </c>
      <c r="N305" s="49">
        <v>1288</v>
      </c>
      <c r="O305" s="49">
        <v>8.5837320574162597</v>
      </c>
      <c r="P305" s="49"/>
      <c r="Q305" s="49"/>
      <c r="R305" s="49" t="s">
        <v>2275</v>
      </c>
      <c r="S305">
        <f t="shared" si="16"/>
        <v>10</v>
      </c>
      <c r="T305" s="5" cm="1">
        <f t="array" ref="T3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5">
        <f>Table1[[#This Row],[Term to Maturity (Years)]]*Table1[[#This Row],[Coupon Frequency2]]</f>
        <v>10</v>
      </c>
      <c r="V305">
        <f>Table1[[#This Row],[Face value]]*Table1[[#This Row],[Current coupon %]]</f>
        <v>89700</v>
      </c>
      <c r="W305" s="36">
        <f>RATE(Table1[[#This Row],[Total No. of Coupons]],Table1[[#This Row],[Coupon Amount]],-Table1[[#This Row],[Ask Price]],Table1[[#This Row],[Face value]])</f>
        <v>8.2905522073600552E-2</v>
      </c>
      <c r="X305" s="27">
        <f>Table1[[#This Row],[IRR]]*Table1[[#This Row],[Coupon Frequency2]]</f>
        <v>8.2905522073600552E-2</v>
      </c>
      <c r="Y305" s="19" cm="1">
        <f t="array" ref="Y3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5" s="33">
        <f>DURATION(Table1[[#This Row],[Issue date]],Table1[[#This Row],[Maturity date]],Table1[[#This Row],[Current coupon %]],Table1[[#This Row],[Yield (Annualised)]],Table1[[#This Row],[Coupon Frequency2]])</f>
        <v>7.072107791763738</v>
      </c>
      <c r="AA305" s="33">
        <f>Table1[[#This Row],[Macaulay Duration in Years]]/(1+Table1[[#This Row],[IRR]])</f>
        <v>6.5306784826636761</v>
      </c>
      <c r="AB305" s="58">
        <f>VLOOKUP(Table1[[#This Row],[Yield Cluster]],'Cluster Details'!$B$3:$C$16,2,0)</f>
        <v>7.8548801574189142E-2</v>
      </c>
      <c r="AC305" s="78">
        <f>PRICE(Table1[[#This Row],[Issue date]],Table1[[#This Row],[Maturity date]],Table1[[#This Row],[Current coupon %]],Table1[[#This Row],[Average Cluster Yield]],100,Table1[[#This Row],[Coupon Frequency2]])*Table1[[#This Row],[Face value]]/100</f>
        <v>1075317.7096907622</v>
      </c>
      <c r="AD305" s="58" t="str">
        <f>IF(Table1[[#This Row],[Ask Price]]&gt;Table1[[#This Row],[Calculated Bond Price]],"Rich","Cheap")</f>
        <v>Cheap</v>
      </c>
      <c r="AE30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979688.55887766881</v>
      </c>
      <c r="AF30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1116389.2853244012</v>
      </c>
      <c r="AG305" s="78">
        <f>(Table1[[#This Row],[P (+ shock)]]+Table1[[#This Row],[P (-shock)]]-2*Table1[[#This Row],[Ask Price]])/(2*Table1[[#This Row],[Ask Price]]*($AF$2^2))</f>
        <v>29.080594268277661</v>
      </c>
      <c r="AH305">
        <v>4.0725492377879098</v>
      </c>
      <c r="AI305" s="6">
        <f t="shared" si="17"/>
        <v>8.5837320574162684E-2</v>
      </c>
      <c r="AK305" s="47">
        <f>RATE(Table1[[#This Row],[Total No. of Coupons]],Table1[[#This Row],[Coupon Amount]],-Table1[[#This Row],[Ask Price]],Table1[[#This Row],[Face value]])</f>
        <v>8.2905522073600552E-2</v>
      </c>
      <c r="AL305" s="27">
        <f>Table1[[#This Row],[IRR]]*Table1[[#This Row],[Coupon Frequency2]]</f>
        <v>8.2905522073600552E-2</v>
      </c>
      <c r="AM305" s="5">
        <f t="shared" si="18"/>
        <v>-6824559.0143835414</v>
      </c>
      <c r="AN305" t="s">
        <v>64</v>
      </c>
      <c r="AO305" t="s">
        <v>62</v>
      </c>
      <c r="AP305">
        <f t="shared" si="19"/>
        <v>1</v>
      </c>
    </row>
    <row r="306" spans="1:42" x14ac:dyDescent="0.35">
      <c r="A306" s="48" t="s">
        <v>97</v>
      </c>
      <c r="B306" s="49" t="s">
        <v>2585</v>
      </c>
      <c r="C306" s="49" t="s">
        <v>2273</v>
      </c>
      <c r="D306" s="50">
        <v>44945</v>
      </c>
      <c r="E306" s="50">
        <v>50424</v>
      </c>
      <c r="F306" s="49">
        <v>100000</v>
      </c>
      <c r="G306" s="49" t="s">
        <v>76</v>
      </c>
      <c r="H306" s="49">
        <v>95000</v>
      </c>
      <c r="I306" s="49" t="s">
        <v>76</v>
      </c>
      <c r="J306" s="49">
        <v>95</v>
      </c>
      <c r="K306" s="49">
        <v>3</v>
      </c>
      <c r="L306" s="51">
        <v>7.6999999999999999E-2</v>
      </c>
      <c r="M306" s="49" t="s">
        <v>93</v>
      </c>
      <c r="N306" s="49">
        <v>4507</v>
      </c>
      <c r="O306" s="49">
        <v>8.1052631578947292</v>
      </c>
      <c r="P306" s="49" t="s">
        <v>2274</v>
      </c>
      <c r="Q306" s="49"/>
      <c r="R306" s="49" t="s">
        <v>2275</v>
      </c>
      <c r="S306">
        <f t="shared" si="16"/>
        <v>15</v>
      </c>
      <c r="T306" s="5" cm="1">
        <f t="array" ref="T3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6">
        <f>Table1[[#This Row],[Term to Maturity (Years)]]*Table1[[#This Row],[Coupon Frequency2]]</f>
        <v>15</v>
      </c>
      <c r="V306">
        <f>Table1[[#This Row],[Face value]]*Table1[[#This Row],[Current coupon %]]</f>
        <v>7700</v>
      </c>
      <c r="W306" s="36">
        <f>RATE(Table1[[#This Row],[Total No. of Coupons]],Table1[[#This Row],[Coupon Amount]],-Table1[[#This Row],[Ask Price]],Table1[[#This Row],[Face value]])</f>
        <v>8.2947011400228782E-2</v>
      </c>
      <c r="X306" s="27">
        <f>Table1[[#This Row],[IRR]]*Table1[[#This Row],[Coupon Frequency2]]</f>
        <v>8.2947011400228782E-2</v>
      </c>
      <c r="Y306" s="19" cm="1">
        <f t="array" ref="Y3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6" s="33">
        <f>DURATION(Table1[[#This Row],[Issue date]],Table1[[#This Row],[Maturity date]],Table1[[#This Row],[Current coupon %]],Table1[[#This Row],[Yield (Annualised)]],Table1[[#This Row],[Coupon Frequency2]])</f>
        <v>9.2396016385427888</v>
      </c>
      <c r="AA306" s="33">
        <f>Table1[[#This Row],[Macaulay Duration in Years]]/(1+Table1[[#This Row],[IRR]])</f>
        <v>8.5319055699652093</v>
      </c>
      <c r="AB306" s="58">
        <f>VLOOKUP(Table1[[#This Row],[Yield Cluster]],'Cluster Details'!$B$3:$C$16,2,0)</f>
        <v>7.8548801574189142E-2</v>
      </c>
      <c r="AC306" s="78">
        <f>PRICE(Table1[[#This Row],[Issue date]],Table1[[#This Row],[Maturity date]],Table1[[#This Row],[Current coupon %]],Table1[[#This Row],[Average Cluster Yield]],100,Table1[[#This Row],[Coupon Frequency2]])*Table1[[#This Row],[Face value]]/100</f>
        <v>98662.478316175737</v>
      </c>
      <c r="AD306" s="58" t="str">
        <f>IF(Table1[[#This Row],[Ask Price]]&gt;Table1[[#This Row],[Calculated Bond Price]],"Rich","Cheap")</f>
        <v>Cheap</v>
      </c>
      <c r="AE30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87366.219887104831</v>
      </c>
      <c r="AF30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103623.68670555099</v>
      </c>
      <c r="AG306" s="78">
        <f>(Table1[[#This Row],[P (+ shock)]]+Table1[[#This Row],[P (-shock)]]-2*Table1[[#This Row],[Ask Price]])/(2*Table1[[#This Row],[Ask Price]]*($AF$2^2))</f>
        <v>52.100346981884762</v>
      </c>
      <c r="AH306">
        <v>4.2590073066263496</v>
      </c>
      <c r="AI306" s="6">
        <f t="shared" si="17"/>
        <v>8.1052631578947362E-2</v>
      </c>
      <c r="AK306" s="47">
        <f>RATE(Table1[[#This Row],[Total No. of Coupons]],Table1[[#This Row],[Coupon Amount]],-Table1[[#This Row],[Ask Price]],Table1[[#This Row],[Face value]])</f>
        <v>8.2947011400228782E-2</v>
      </c>
      <c r="AL306" s="27">
        <f>Table1[[#This Row],[IRR]]*Table1[[#This Row],[Coupon Frequency2]]</f>
        <v>8.2947011400228782E-2</v>
      </c>
      <c r="AM306" s="5">
        <f t="shared" si="18"/>
        <v>-810531.02914669493</v>
      </c>
      <c r="AN306" t="s">
        <v>64</v>
      </c>
      <c r="AO306" t="s">
        <v>62</v>
      </c>
      <c r="AP306">
        <f t="shared" si="19"/>
        <v>1</v>
      </c>
    </row>
    <row r="307" spans="1:42" x14ac:dyDescent="0.35">
      <c r="A307" s="48" t="s">
        <v>1410</v>
      </c>
      <c r="B307" s="49" t="s">
        <v>2586</v>
      </c>
      <c r="C307" s="49" t="s">
        <v>2273</v>
      </c>
      <c r="D307" s="50">
        <v>44225</v>
      </c>
      <c r="E307" s="50">
        <v>46416</v>
      </c>
      <c r="F307" s="49">
        <v>1000</v>
      </c>
      <c r="G307" s="49" t="s">
        <v>76</v>
      </c>
      <c r="H307" s="49">
        <v>1050</v>
      </c>
      <c r="I307" s="49" t="s">
        <v>76</v>
      </c>
      <c r="J307" s="49">
        <v>105</v>
      </c>
      <c r="K307" s="49">
        <v>100</v>
      </c>
      <c r="L307" s="51">
        <v>9.4E-2</v>
      </c>
      <c r="M307" s="49" t="s">
        <v>93</v>
      </c>
      <c r="N307" s="49">
        <v>499</v>
      </c>
      <c r="O307" s="49">
        <v>8.9523809523809508</v>
      </c>
      <c r="P307" s="49"/>
      <c r="Q307" s="49"/>
      <c r="R307" s="49" t="s">
        <v>2275</v>
      </c>
      <c r="S307">
        <f t="shared" si="16"/>
        <v>6</v>
      </c>
      <c r="T307" s="5" cm="1">
        <f t="array" ref="T3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7">
        <f>Table1[[#This Row],[Term to Maturity (Years)]]*Table1[[#This Row],[Coupon Frequency2]]</f>
        <v>6</v>
      </c>
      <c r="V307">
        <f>Table1[[#This Row],[Face value]]*Table1[[#This Row],[Current coupon %]]</f>
        <v>94</v>
      </c>
      <c r="W307" s="36">
        <f>RATE(Table1[[#This Row],[Total No. of Coupons]],Table1[[#This Row],[Coupon Amount]],-Table1[[#This Row],[Ask Price]],Table1[[#This Row],[Face value]])</f>
        <v>8.3082876393820893E-2</v>
      </c>
      <c r="X307" s="27">
        <f>Table1[[#This Row],[IRR]]*Table1[[#This Row],[Coupon Frequency2]]</f>
        <v>8.3082876393820893E-2</v>
      </c>
      <c r="Y307" s="19" cm="1">
        <f t="array" ref="Y3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7" s="33">
        <f>DURATION(Table1[[#This Row],[Issue date]],Table1[[#This Row],[Maturity date]],Table1[[#This Row],[Current coupon %]],Table1[[#This Row],[Yield (Annualised)]],Table1[[#This Row],[Coupon Frequency2]])</f>
        <v>4.8798891356335874</v>
      </c>
      <c r="AA307" s="33">
        <f>Table1[[#This Row],[Macaulay Duration in Years]]/(1+Table1[[#This Row],[IRR]])</f>
        <v>4.505554692066986</v>
      </c>
      <c r="AB307" s="58">
        <f>VLOOKUP(Table1[[#This Row],[Yield Cluster]],'Cluster Details'!$B$3:$C$16,2,0)</f>
        <v>7.8548801574189142E-2</v>
      </c>
      <c r="AC307" s="78">
        <f>PRICE(Table1[[#This Row],[Issue date]],Table1[[#This Row],[Maturity date]],Table1[[#This Row],[Current coupon %]],Table1[[#This Row],[Average Cluster Yield]],100,Table1[[#This Row],[Coupon Frequency2]])*Table1[[#This Row],[Face value]]/100</f>
        <v>1071.7445852870687</v>
      </c>
      <c r="AD307" s="58" t="str">
        <f>IF(Table1[[#This Row],[Ask Price]]&gt;Table1[[#This Row],[Calculated Bond Price]],"Rich","Cheap")</f>
        <v>Cheap</v>
      </c>
      <c r="AE30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1004.0765997112544</v>
      </c>
      <c r="AF30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1098.7604462901124</v>
      </c>
      <c r="AG307" s="78">
        <f>(Table1[[#This Row],[P (+ shock)]]+Table1[[#This Row],[P (-shock)]]-2*Table1[[#This Row],[Ask Price]])/(2*Table1[[#This Row],[Ask Price]]*($AF$2^2))</f>
        <v>13.509742863650551</v>
      </c>
      <c r="AH307">
        <v>31.006097560975601</v>
      </c>
      <c r="AI307" s="6">
        <f t="shared" si="17"/>
        <v>8.9523809523809519E-2</v>
      </c>
      <c r="AK307" s="47">
        <f>RATE(Table1[[#This Row],[Total No. of Coupons]],Table1[[#This Row],[Coupon Amount]],-Table1[[#This Row],[Ask Price]],Table1[[#This Row],[Face value]])</f>
        <v>8.3082876393820893E-2</v>
      </c>
      <c r="AL307" s="27">
        <f>Table1[[#This Row],[IRR]]*Table1[[#This Row],[Coupon Frequency2]]</f>
        <v>8.3082876393820893E-2</v>
      </c>
      <c r="AM307" s="5">
        <f t="shared" si="18"/>
        <v>-4730.8324266703357</v>
      </c>
      <c r="AN307" t="s">
        <v>64</v>
      </c>
      <c r="AO307" t="s">
        <v>62</v>
      </c>
      <c r="AP307">
        <f t="shared" si="19"/>
        <v>1</v>
      </c>
    </row>
    <row r="308" spans="1:42" x14ac:dyDescent="0.35">
      <c r="A308" s="48" t="s">
        <v>617</v>
      </c>
      <c r="B308" s="49" t="s">
        <v>2587</v>
      </c>
      <c r="C308" s="49" t="s">
        <v>2273</v>
      </c>
      <c r="D308" s="50">
        <v>43703</v>
      </c>
      <c r="E308" s="50">
        <v>47356</v>
      </c>
      <c r="F308" s="49">
        <v>1000</v>
      </c>
      <c r="G308" s="49" t="s">
        <v>76</v>
      </c>
      <c r="H308" s="49">
        <v>1035.0999999999999</v>
      </c>
      <c r="I308" s="49" t="s">
        <v>76</v>
      </c>
      <c r="J308" s="49">
        <v>103.509999999999</v>
      </c>
      <c r="K308" s="49">
        <v>10</v>
      </c>
      <c r="L308" s="51">
        <v>8.8499999999999995E-2</v>
      </c>
      <c r="M308" s="49" t="s">
        <v>93</v>
      </c>
      <c r="N308" s="49">
        <v>1439</v>
      </c>
      <c r="O308" s="49">
        <v>8.5498985605255502</v>
      </c>
      <c r="P308" s="49"/>
      <c r="Q308" s="49"/>
      <c r="R308" s="49" t="s">
        <v>2275</v>
      </c>
      <c r="S308">
        <f t="shared" si="16"/>
        <v>10</v>
      </c>
      <c r="T308" s="5" cm="1">
        <f t="array" ref="T3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8">
        <f>Table1[[#This Row],[Term to Maturity (Years)]]*Table1[[#This Row],[Coupon Frequency2]]</f>
        <v>10</v>
      </c>
      <c r="V308">
        <f>Table1[[#This Row],[Face value]]*Table1[[#This Row],[Current coupon %]]</f>
        <v>88.5</v>
      </c>
      <c r="W308" s="36">
        <f>RATE(Table1[[#This Row],[Total No. of Coupons]],Table1[[#This Row],[Coupon Amount]],-Table1[[#This Row],[Ask Price]],Table1[[#This Row],[Face value]])</f>
        <v>8.3193470810561249E-2</v>
      </c>
      <c r="X308" s="27">
        <f>Table1[[#This Row],[IRR]]*Table1[[#This Row],[Coupon Frequency2]]</f>
        <v>8.3193470810561249E-2</v>
      </c>
      <c r="Y308" s="19" cm="1">
        <f t="array" ref="Y3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8" s="33">
        <f>DURATION(Table1[[#This Row],[Issue date]],Table1[[#This Row],[Maturity date]],Table1[[#This Row],[Current coupon %]],Table1[[#This Row],[Yield (Annualised)]],Table1[[#This Row],[Coupon Frequency2]])</f>
        <v>7.0862039014263818</v>
      </c>
      <c r="AA308" s="33">
        <f>Table1[[#This Row],[Macaulay Duration in Years]]/(1+Table1[[#This Row],[IRR]])</f>
        <v>6.5419558854280444</v>
      </c>
      <c r="AB308" s="58">
        <f>VLOOKUP(Table1[[#This Row],[Yield Cluster]],'Cluster Details'!$B$3:$C$16,2,0)</f>
        <v>7.8548801574189142E-2</v>
      </c>
      <c r="AC308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1067.2126389909424</v>
      </c>
      <c r="AD308" s="58" t="str">
        <f>IF(Table1[[#This Row],[Ask Price]]&gt;Table1[[#This Row],[Calculated Bond Price]],"Rich","Cheap")</f>
        <v>Cheap</v>
      </c>
      <c r="AE30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970.29772474823824</v>
      </c>
      <c r="AF30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1105.9374384950659</v>
      </c>
      <c r="AG308" s="78">
        <f>(Table1[[#This Row],[P (+ shock)]]+Table1[[#This Row],[P (-shock)]]-2*Table1[[#This Row],[Ask Price]])/(2*Table1[[#This Row],[Ask Price]]*($AF$2^2))</f>
        <v>29.152561314387</v>
      </c>
      <c r="AH308">
        <v>8.0449143640893404</v>
      </c>
      <c r="AI308" s="6">
        <f t="shared" si="17"/>
        <v>8.549898560525554E-2</v>
      </c>
      <c r="AK308" s="47">
        <f>RATE(Table1[[#This Row],[Total No. of Coupons]],Table1[[#This Row],[Coupon Amount]],-Table1[[#This Row],[Ask Price]],Table1[[#This Row],[Face value]])</f>
        <v>8.3193470810561249E-2</v>
      </c>
      <c r="AL308" s="27">
        <f>Table1[[#This Row],[IRR]]*Table1[[#This Row],[Coupon Frequency2]]</f>
        <v>8.3193470810561249E-2</v>
      </c>
      <c r="AM308" s="5">
        <f t="shared" si="18"/>
        <v>-6771.5785370065678</v>
      </c>
      <c r="AN308" t="s">
        <v>64</v>
      </c>
      <c r="AO308" t="s">
        <v>62</v>
      </c>
      <c r="AP308">
        <f t="shared" si="19"/>
        <v>1</v>
      </c>
    </row>
    <row r="309" spans="1:42" x14ac:dyDescent="0.35">
      <c r="A309" s="48" t="s">
        <v>1755</v>
      </c>
      <c r="B309" s="49" t="s">
        <v>2588</v>
      </c>
      <c r="C309" s="49" t="s">
        <v>2273</v>
      </c>
      <c r="D309" s="50">
        <v>45105</v>
      </c>
      <c r="E309" s="50">
        <v>46201</v>
      </c>
      <c r="F309" s="49">
        <v>1000</v>
      </c>
      <c r="G309" s="49" t="s">
        <v>76</v>
      </c>
      <c r="H309" s="49">
        <v>1004.38</v>
      </c>
      <c r="I309" s="49" t="s">
        <v>76</v>
      </c>
      <c r="J309" s="49">
        <v>100.438</v>
      </c>
      <c r="K309" s="49">
        <v>79</v>
      </c>
      <c r="L309" s="51">
        <v>8.5000000000000006E-2</v>
      </c>
      <c r="M309" s="49" t="s">
        <v>93</v>
      </c>
      <c r="N309" s="49">
        <v>284</v>
      </c>
      <c r="O309" s="49">
        <v>8.4629323562794898</v>
      </c>
      <c r="P309" s="49" t="s">
        <v>2279</v>
      </c>
      <c r="Q309" s="49"/>
      <c r="R309" s="49" t="s">
        <v>2275</v>
      </c>
      <c r="S309">
        <f t="shared" si="16"/>
        <v>3</v>
      </c>
      <c r="T309" s="5" cm="1">
        <f t="array" ref="T3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09">
        <f>Table1[[#This Row],[Term to Maturity (Years)]]*Table1[[#This Row],[Coupon Frequency2]]</f>
        <v>3</v>
      </c>
      <c r="V309">
        <f>Table1[[#This Row],[Face value]]*Table1[[#This Row],[Current coupon %]]</f>
        <v>85</v>
      </c>
      <c r="W309" s="36">
        <f>RATE(Table1[[#This Row],[Total No. of Coupons]],Table1[[#This Row],[Coupon Amount]],-Table1[[#This Row],[Ask Price]],Table1[[#This Row],[Face value]])</f>
        <v>8.3290313411978248E-2</v>
      </c>
      <c r="X309" s="27">
        <f>Table1[[#This Row],[IRR]]*Table1[[#This Row],[Coupon Frequency2]]</f>
        <v>8.3290313411978248E-2</v>
      </c>
      <c r="Y309" s="19" cm="1">
        <f t="array" ref="Y3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09" s="33">
        <f>DURATION(Table1[[#This Row],[Issue date]],Table1[[#This Row],[Maturity date]],Table1[[#This Row],[Current coupon %]],Table1[[#This Row],[Yield (Annualised)]],Table1[[#This Row],[Coupon Frequency2]])</f>
        <v>2.7716391239197207</v>
      </c>
      <c r="AA309" s="33">
        <f>Table1[[#This Row],[Macaulay Duration in Years]]/(1+Table1[[#This Row],[IRR]])</f>
        <v>2.5585377157024931</v>
      </c>
      <c r="AB309" s="58">
        <f>VLOOKUP(Table1[[#This Row],[Yield Cluster]],'Cluster Details'!$B$3:$C$16,2,0)</f>
        <v>7.8548801574189142E-2</v>
      </c>
      <c r="AC309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1016.668994467577</v>
      </c>
      <c r="AD309" s="58" t="str">
        <f>IF(Table1[[#This Row],[Ask Price]]&gt;Table1[[#This Row],[Calculated Bond Price]],"Rich","Cheap")</f>
        <v>Cheap</v>
      </c>
      <c r="AE30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979.13722519352609</v>
      </c>
      <c r="AF30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1030.5461164962987</v>
      </c>
      <c r="AG309" s="78">
        <f>(Table1[[#This Row],[P (+ shock)]]+Table1[[#This Row],[P (-shock)]]-2*Table1[[#This Row],[Ask Price]])/(2*Table1[[#This Row],[Ask Price]]*($AF$2^2))</f>
        <v>4.5965754486590624</v>
      </c>
      <c r="AH309">
        <v>10.8650916797547</v>
      </c>
      <c r="AI309" s="6">
        <f t="shared" si="17"/>
        <v>8.4629323562794956E-2</v>
      </c>
      <c r="AK309" s="47">
        <f>RATE(Table1[[#This Row],[Total No. of Coupons]],Table1[[#This Row],[Coupon Amount]],-Table1[[#This Row],[Ask Price]],Table1[[#This Row],[Face value]])</f>
        <v>8.3290313411978248E-2</v>
      </c>
      <c r="AL309" s="27">
        <f>Table1[[#This Row],[IRR]]*Table1[[#This Row],[Coupon Frequency2]]</f>
        <v>8.3290313411978248E-2</v>
      </c>
      <c r="AM309" s="5">
        <f t="shared" si="18"/>
        <v>-2569.7441108972698</v>
      </c>
      <c r="AN309" t="s">
        <v>64</v>
      </c>
      <c r="AO309" t="s">
        <v>62</v>
      </c>
      <c r="AP309">
        <f t="shared" si="19"/>
        <v>1</v>
      </c>
    </row>
    <row r="310" spans="1:42" x14ac:dyDescent="0.35">
      <c r="A310" s="48" t="s">
        <v>2589</v>
      </c>
      <c r="B310" s="49" t="s">
        <v>2590</v>
      </c>
      <c r="C310" s="49" t="s">
        <v>2273</v>
      </c>
      <c r="D310" s="50">
        <v>45450</v>
      </c>
      <c r="E310" s="50">
        <v>46605</v>
      </c>
      <c r="F310" s="49">
        <v>100000</v>
      </c>
      <c r="G310" s="49" t="s">
        <v>76</v>
      </c>
      <c r="H310" s="49">
        <v>100000</v>
      </c>
      <c r="I310" s="49" t="s">
        <v>76</v>
      </c>
      <c r="J310" s="49">
        <v>100</v>
      </c>
      <c r="K310" s="49">
        <v>5</v>
      </c>
      <c r="L310" s="51">
        <v>8.3330000000000001E-2</v>
      </c>
      <c r="M310" s="49" t="s">
        <v>93</v>
      </c>
      <c r="N310" s="49">
        <v>688</v>
      </c>
      <c r="O310" s="49">
        <v>8.3330000000000002</v>
      </c>
      <c r="P310" s="49"/>
      <c r="Q310" s="49"/>
      <c r="R310" s="49" t="s">
        <v>2275</v>
      </c>
      <c r="S310">
        <f t="shared" si="16"/>
        <v>3</v>
      </c>
      <c r="T310" s="5" cm="1">
        <f t="array" ref="T3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0">
        <f>Table1[[#This Row],[Term to Maturity (Years)]]*Table1[[#This Row],[Coupon Frequency2]]</f>
        <v>3</v>
      </c>
      <c r="V310">
        <f>Table1[[#This Row],[Face value]]*Table1[[#This Row],[Current coupon %]]</f>
        <v>8333</v>
      </c>
      <c r="W310" s="36">
        <f>RATE(Table1[[#This Row],[Total No. of Coupons]],Table1[[#This Row],[Coupon Amount]],-Table1[[#This Row],[Ask Price]],Table1[[#This Row],[Face value]])</f>
        <v>8.3330000000005969E-2</v>
      </c>
      <c r="X310" s="27">
        <f>Table1[[#This Row],[IRR]]*Table1[[#This Row],[Coupon Frequency2]]</f>
        <v>8.3330000000005969E-2</v>
      </c>
      <c r="Y310" s="19" cm="1">
        <f t="array" ref="Y3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0" s="33">
        <f>DURATION(Table1[[#This Row],[Issue date]],Table1[[#This Row],[Maturity date]],Table1[[#This Row],[Current coupon %]],Table1[[#This Row],[Yield (Annualised)]],Table1[[#This Row],[Coupon Frequency2]])</f>
        <v>2.7255792443462168</v>
      </c>
      <c r="AA310" s="33">
        <f>Table1[[#This Row],[Macaulay Duration in Years]]/(1+Table1[[#This Row],[IRR]])</f>
        <v>2.5159270437873982</v>
      </c>
      <c r="AB310" s="58">
        <f>VLOOKUP(Table1[[#This Row],[Yield Cluster]],'Cluster Details'!$B$3:$C$16,2,0)</f>
        <v>7.8548801574189142E-2</v>
      </c>
      <c r="AC310" s="78">
        <f>PRICE(Table1[[#This Row],[Issue date]],Table1[[#This Row],[Maturity date]],Table1[[#This Row],[Current coupon %]],Table1[[#This Row],[Average Cluster Yield]],100,Table1[[#This Row],[Coupon Frequency2]])*Table1[[#This Row],[Face value]]/100</f>
        <v>101251.6124188165</v>
      </c>
      <c r="AD310" s="58" t="str">
        <f>IF(Table1[[#This Row],[Ask Price]]&gt;Table1[[#This Row],[Calculated Bond Price]],"Rich","Cheap")</f>
        <v>Cheap</v>
      </c>
      <c r="AE3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97313.189482225236</v>
      </c>
      <c r="AF3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102694.87813352786</v>
      </c>
      <c r="AG310" s="78">
        <f>(Table1[[#This Row],[P (+ shock)]]+Table1[[#This Row],[P (-shock)]]-2*Table1[[#This Row],[Ask Price]])/(2*Table1[[#This Row],[Ask Price]]*($AF$2^2))</f>
        <v>0.40338078765489627</v>
      </c>
      <c r="AH310">
        <v>12.853013970762399</v>
      </c>
      <c r="AI310" s="6">
        <f t="shared" si="17"/>
        <v>8.3330000000000001E-2</v>
      </c>
      <c r="AK310" s="47">
        <f>RATE(Table1[[#This Row],[Total No. of Coupons]],Table1[[#This Row],[Coupon Amount]],-Table1[[#This Row],[Ask Price]],Table1[[#This Row],[Face value]])</f>
        <v>8.3330000000005969E-2</v>
      </c>
      <c r="AL310" s="27">
        <f>Table1[[#This Row],[IRR]]*Table1[[#This Row],[Coupon Frequency2]]</f>
        <v>8.3330000000005969E-2</v>
      </c>
      <c r="AM310" s="5">
        <f t="shared" si="18"/>
        <v>-251592.70437873981</v>
      </c>
      <c r="AN310" t="s">
        <v>64</v>
      </c>
      <c r="AO310" t="s">
        <v>62</v>
      </c>
      <c r="AP310">
        <f t="shared" si="19"/>
        <v>1</v>
      </c>
    </row>
    <row r="311" spans="1:42" x14ac:dyDescent="0.35">
      <c r="A311" s="48" t="s">
        <v>1277</v>
      </c>
      <c r="B311" s="49" t="s">
        <v>2591</v>
      </c>
      <c r="C311" s="49" t="s">
        <v>2273</v>
      </c>
      <c r="D311" s="50">
        <v>45358</v>
      </c>
      <c r="E311" s="50">
        <v>46514</v>
      </c>
      <c r="F311" s="49">
        <v>100000</v>
      </c>
      <c r="G311" s="49" t="s">
        <v>76</v>
      </c>
      <c r="H311" s="49">
        <v>100000</v>
      </c>
      <c r="I311" s="49" t="s">
        <v>76</v>
      </c>
      <c r="J311" s="49">
        <v>100</v>
      </c>
      <c r="K311" s="49">
        <v>1</v>
      </c>
      <c r="L311" s="51">
        <v>8.3499999999999991E-2</v>
      </c>
      <c r="M311" s="49" t="s">
        <v>93</v>
      </c>
      <c r="N311" s="49">
        <v>597</v>
      </c>
      <c r="O311" s="49">
        <v>8.35</v>
      </c>
      <c r="P311" s="49"/>
      <c r="Q311" s="49"/>
      <c r="R311" s="49" t="s">
        <v>2275</v>
      </c>
      <c r="S311">
        <f t="shared" si="16"/>
        <v>3</v>
      </c>
      <c r="T311" s="5" cm="1">
        <f t="array" ref="T3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1">
        <f>Table1[[#This Row],[Term to Maturity (Years)]]*Table1[[#This Row],[Coupon Frequency2]]</f>
        <v>3</v>
      </c>
      <c r="V311">
        <f>Table1[[#This Row],[Face value]]*Table1[[#This Row],[Current coupon %]]</f>
        <v>8349.9999999999982</v>
      </c>
      <c r="W311" s="36">
        <f>RATE(Table1[[#This Row],[Total No. of Coupons]],Table1[[#This Row],[Coupon Amount]],-Table1[[#This Row],[Ask Price]],Table1[[#This Row],[Face value]])</f>
        <v>8.35000000000055E-2</v>
      </c>
      <c r="X311" s="27">
        <f>Table1[[#This Row],[IRR]]*Table1[[#This Row],[Coupon Frequency2]]</f>
        <v>8.35000000000055E-2</v>
      </c>
      <c r="Y311" s="19" cm="1">
        <f t="array" ref="Y3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1" s="33">
        <f>DURATION(Table1[[#This Row],[Issue date]],Table1[[#This Row],[Maturity date]],Table1[[#This Row],[Current coupon %]],Table1[[#This Row],[Yield (Annualised)]],Table1[[#This Row],[Coupon Frequency2]])</f>
        <v>2.7275746720196148</v>
      </c>
      <c r="AA311" s="33">
        <f>Table1[[#This Row],[Macaulay Duration in Years]]/(1+Table1[[#This Row],[IRR]])</f>
        <v>2.5173739474107992</v>
      </c>
      <c r="AB311" s="58">
        <f>VLOOKUP(Table1[[#This Row],[Yield Cluster]],'Cluster Details'!$B$3:$C$16,2,0)</f>
        <v>7.8548801574189142E-2</v>
      </c>
      <c r="AC311" s="78">
        <f>PRICE(Table1[[#This Row],[Issue date]],Table1[[#This Row],[Maturity date]],Table1[[#This Row],[Current coupon %]],Table1[[#This Row],[Average Cluster Yield]],100,Table1[[#This Row],[Coupon Frequency2]])*Table1[[#This Row],[Face value]]/100</f>
        <v>101298.02705712304</v>
      </c>
      <c r="AD311" s="58" t="str">
        <f>IF(Table1[[#This Row],[Ask Price]]&gt;Table1[[#This Row],[Calculated Bond Price]],"Rich","Cheap")</f>
        <v>Cheap</v>
      </c>
      <c r="AE3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97311.121716078254</v>
      </c>
      <c r="AF3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102695.41341357669</v>
      </c>
      <c r="AG311" s="78">
        <f>(Table1[[#This Row],[P (+ shock)]]+Table1[[#This Row],[P (-shock)]]-2*Table1[[#This Row],[Ask Price]])/(2*Table1[[#This Row],[Ask Price]]*($AF$2^2))</f>
        <v>0.32675648274744162</v>
      </c>
      <c r="AH311">
        <v>10.6584577766133</v>
      </c>
      <c r="AI311" s="6">
        <f t="shared" si="17"/>
        <v>8.3499999999999977E-2</v>
      </c>
      <c r="AK311" s="47">
        <f>RATE(Table1[[#This Row],[Total No. of Coupons]],Table1[[#This Row],[Coupon Amount]],-Table1[[#This Row],[Ask Price]],Table1[[#This Row],[Face value]])</f>
        <v>8.35000000000055E-2</v>
      </c>
      <c r="AL311" s="27">
        <f>Table1[[#This Row],[IRR]]*Table1[[#This Row],[Coupon Frequency2]]</f>
        <v>8.35000000000055E-2</v>
      </c>
      <c r="AM311" s="5">
        <f t="shared" si="18"/>
        <v>-251737.39474107992</v>
      </c>
      <c r="AN311" t="s">
        <v>64</v>
      </c>
      <c r="AO311" t="s">
        <v>62</v>
      </c>
      <c r="AP311">
        <f t="shared" si="19"/>
        <v>1</v>
      </c>
    </row>
    <row r="312" spans="1:42" x14ac:dyDescent="0.35">
      <c r="A312" s="48" t="s">
        <v>1497</v>
      </c>
      <c r="B312" s="49" t="s">
        <v>2592</v>
      </c>
      <c r="C312" s="49" t="s">
        <v>2273</v>
      </c>
      <c r="D312" s="50">
        <v>40889</v>
      </c>
      <c r="E312" s="50">
        <v>46368</v>
      </c>
      <c r="F312" s="49">
        <v>5000</v>
      </c>
      <c r="G312" s="49" t="s">
        <v>76</v>
      </c>
      <c r="H312" s="49">
        <v>5166.01</v>
      </c>
      <c r="I312" s="49" t="s">
        <v>76</v>
      </c>
      <c r="J312" s="49">
        <v>103.3202</v>
      </c>
      <c r="K312" s="49">
        <v>4</v>
      </c>
      <c r="L312" s="51">
        <v>8.7499999999999994E-2</v>
      </c>
      <c r="M312" s="49" t="s">
        <v>93</v>
      </c>
      <c r="N312" s="49">
        <v>451</v>
      </c>
      <c r="O312" s="49">
        <v>8.4688182949703901</v>
      </c>
      <c r="P312" s="49"/>
      <c r="Q312" s="49"/>
      <c r="R312" s="49" t="s">
        <v>2275</v>
      </c>
      <c r="S312">
        <f t="shared" si="16"/>
        <v>15</v>
      </c>
      <c r="T312" s="5" cm="1">
        <f t="array" ref="T3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2">
        <f>Table1[[#This Row],[Term to Maturity (Years)]]*Table1[[#This Row],[Coupon Frequency2]]</f>
        <v>15</v>
      </c>
      <c r="V312">
        <f>Table1[[#This Row],[Face value]]*Table1[[#This Row],[Current coupon %]]</f>
        <v>437.5</v>
      </c>
      <c r="W312" s="36">
        <f>RATE(Table1[[#This Row],[Total No. of Coupons]],Table1[[#This Row],[Coupon Amount]],-Table1[[#This Row],[Ask Price]],Table1[[#This Row],[Face value]])</f>
        <v>8.3536853628699267E-2</v>
      </c>
      <c r="X312" s="27">
        <f>Table1[[#This Row],[IRR]]*Table1[[#This Row],[Coupon Frequency2]]</f>
        <v>8.3536853628699267E-2</v>
      </c>
      <c r="Y312" s="19" cm="1">
        <f t="array" ref="Y3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2" s="33">
        <f>DURATION(Table1[[#This Row],[Issue date]],Table1[[#This Row],[Maturity date]],Table1[[#This Row],[Current coupon %]],Table1[[#This Row],[Yield (Annualised)]],Table1[[#This Row],[Coupon Frequency2]])</f>
        <v>8.9959074823489935</v>
      </c>
      <c r="AA312" s="33">
        <f>Table1[[#This Row],[Macaulay Duration in Years]]/(1+Table1[[#This Row],[IRR]])</f>
        <v>8.3023548781218128</v>
      </c>
      <c r="AB312" s="58">
        <f>VLOOKUP(Table1[[#This Row],[Yield Cluster]],'Cluster Details'!$B$3:$C$16,2,0)</f>
        <v>7.8548801574189142E-2</v>
      </c>
      <c r="AC312" s="78">
        <f>PRICE(Table1[[#This Row],[Issue date]],Table1[[#This Row],[Maturity date]],Table1[[#This Row],[Current coupon %]],Table1[[#This Row],[Average Cluster Yield]],100,Table1[[#This Row],[Coupon Frequency2]])*Table1[[#This Row],[Face value]]/100</f>
        <v>5386.5059989044958</v>
      </c>
      <c r="AD312" s="58" t="str">
        <f>IF(Table1[[#This Row],[Ask Price]]&gt;Table1[[#This Row],[Calculated Bond Price]],"Rich","Cheap")</f>
        <v>Cheap</v>
      </c>
      <c r="AE3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4761.6918746995625</v>
      </c>
      <c r="AF3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5621.9110039699872</v>
      </c>
      <c r="AG312" s="78">
        <f>(Table1[[#This Row],[P (+ shock)]]+Table1[[#This Row],[P (-shock)]]-2*Table1[[#This Row],[Ask Price]])/(2*Table1[[#This Row],[Ask Price]]*($AF$2^2))</f>
        <v>49.925260181019041</v>
      </c>
      <c r="AH312">
        <v>10.699735755440599</v>
      </c>
      <c r="AI312" s="6">
        <f t="shared" si="17"/>
        <v>8.4688182949703927E-2</v>
      </c>
      <c r="AK312" s="47">
        <f>RATE(Table1[[#This Row],[Total No. of Coupons]],Table1[[#This Row],[Coupon Amount]],-Table1[[#This Row],[Ask Price]],Table1[[#This Row],[Face value]])</f>
        <v>8.3536853628699267E-2</v>
      </c>
      <c r="AL312" s="27">
        <f>Table1[[#This Row],[IRR]]*Table1[[#This Row],[Coupon Frequency2]]</f>
        <v>8.3536853628699267E-2</v>
      </c>
      <c r="AM312" s="5">
        <f t="shared" si="18"/>
        <v>-42890.048323926065</v>
      </c>
      <c r="AN312" t="s">
        <v>64</v>
      </c>
      <c r="AO312" t="s">
        <v>62</v>
      </c>
      <c r="AP312">
        <f t="shared" si="19"/>
        <v>1</v>
      </c>
    </row>
    <row r="313" spans="1:42" x14ac:dyDescent="0.35">
      <c r="A313" s="48" t="s">
        <v>1450</v>
      </c>
      <c r="B313" s="49" t="s">
        <v>2593</v>
      </c>
      <c r="C313" s="49" t="s">
        <v>2273</v>
      </c>
      <c r="D313" s="50">
        <v>45663</v>
      </c>
      <c r="E313" s="50">
        <v>46393</v>
      </c>
      <c r="F313" s="49">
        <v>1000</v>
      </c>
      <c r="G313" s="49" t="s">
        <v>76</v>
      </c>
      <c r="H313" s="49">
        <v>1020.2</v>
      </c>
      <c r="I313" s="49" t="s">
        <v>76</v>
      </c>
      <c r="J313" s="49">
        <v>102.02</v>
      </c>
      <c r="K313" s="49">
        <v>10</v>
      </c>
      <c r="L313" s="51">
        <v>9.5000000000000001E-2</v>
      </c>
      <c r="M313" s="49" t="s">
        <v>93</v>
      </c>
      <c r="N313" s="49">
        <v>476</v>
      </c>
      <c r="O313" s="49">
        <v>9.31189962752401</v>
      </c>
      <c r="P313" s="49"/>
      <c r="Q313" s="49"/>
      <c r="R313" s="49" t="s">
        <v>2275</v>
      </c>
      <c r="S313">
        <f t="shared" si="16"/>
        <v>2</v>
      </c>
      <c r="T313" s="5" cm="1">
        <f t="array" ref="T3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3">
        <f>Table1[[#This Row],[Term to Maturity (Years)]]*Table1[[#This Row],[Coupon Frequency2]]</f>
        <v>2</v>
      </c>
      <c r="V313">
        <f>Table1[[#This Row],[Face value]]*Table1[[#This Row],[Current coupon %]]</f>
        <v>95</v>
      </c>
      <c r="W313" s="36">
        <f>RATE(Table1[[#This Row],[Total No. of Coupons]],Table1[[#This Row],[Coupon Amount]],-Table1[[#This Row],[Ask Price]],Table1[[#This Row],[Face value]])</f>
        <v>8.3616268008039868E-2</v>
      </c>
      <c r="X313" s="27">
        <f>Table1[[#This Row],[IRR]]*Table1[[#This Row],[Coupon Frequency2]]</f>
        <v>8.3616268008039868E-2</v>
      </c>
      <c r="Y313" s="19" cm="1">
        <f t="array" ref="Y3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3" s="33">
        <f>DURATION(Table1[[#This Row],[Issue date]],Table1[[#This Row],[Maturity date]],Table1[[#This Row],[Current coupon %]],Table1[[#This Row],[Yield (Annualised)]],Table1[[#This Row],[Coupon Frequency2]])</f>
        <v>1.9140664467446431</v>
      </c>
      <c r="AA313" s="33">
        <f>Table1[[#This Row],[Macaulay Duration in Years]]/(1+Table1[[#This Row],[IRR]])</f>
        <v>1.766369242742341</v>
      </c>
      <c r="AB313" s="58">
        <f>VLOOKUP(Table1[[#This Row],[Yield Cluster]],'Cluster Details'!$B$3:$C$16,2,0)</f>
        <v>7.8548801574189142E-2</v>
      </c>
      <c r="AC313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1029.3953181547861</v>
      </c>
      <c r="AD313" s="58" t="str">
        <f>IF(Table1[[#This Row],[Ask Price]]&gt;Table1[[#This Row],[Calculated Bond Price]],"Rich","Cheap")</f>
        <v>Cheap</v>
      </c>
      <c r="AE3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1002.4222509915702</v>
      </c>
      <c r="AF3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1038.4692506715257</v>
      </c>
      <c r="AG313" s="78">
        <f>(Table1[[#This Row],[P (+ shock)]]+Table1[[#This Row],[P (-shock)]]-2*Table1[[#This Row],[Ask Price]])/(2*Table1[[#This Row],[Ask Price]]*($AF$2^2))</f>
        <v>2.4088495544782025</v>
      </c>
      <c r="AH313">
        <v>11.25</v>
      </c>
      <c r="AI313" s="6">
        <f t="shared" si="17"/>
        <v>9.3118996275240146E-2</v>
      </c>
      <c r="AK313" s="47">
        <f>RATE(Table1[[#This Row],[Total No. of Coupons]],Table1[[#This Row],[Coupon Amount]],-Table1[[#This Row],[Ask Price]],Table1[[#This Row],[Face value]])</f>
        <v>8.3616268008039868E-2</v>
      </c>
      <c r="AL313" s="27">
        <f>Table1[[#This Row],[IRR]]*Table1[[#This Row],[Coupon Frequency2]]</f>
        <v>8.3616268008039868E-2</v>
      </c>
      <c r="AM313" s="5">
        <f t="shared" si="18"/>
        <v>-1802.0499014457364</v>
      </c>
      <c r="AN313" t="s">
        <v>64</v>
      </c>
      <c r="AO313" t="s">
        <v>62</v>
      </c>
      <c r="AP313">
        <f t="shared" si="19"/>
        <v>1</v>
      </c>
    </row>
    <row r="314" spans="1:42" x14ac:dyDescent="0.35">
      <c r="A314" s="48" t="s">
        <v>678</v>
      </c>
      <c r="B314" s="49" t="s">
        <v>2594</v>
      </c>
      <c r="C314" s="49" t="s">
        <v>2273</v>
      </c>
      <c r="D314" s="50">
        <v>45421</v>
      </c>
      <c r="E314" s="50">
        <v>47247</v>
      </c>
      <c r="F314" s="49">
        <v>1000</v>
      </c>
      <c r="G314" s="49" t="s">
        <v>76</v>
      </c>
      <c r="H314" s="49">
        <v>1039</v>
      </c>
      <c r="I314" s="49" t="s">
        <v>76</v>
      </c>
      <c r="J314" s="49">
        <v>103.899999999999</v>
      </c>
      <c r="K314" s="49">
        <v>170</v>
      </c>
      <c r="L314" s="51">
        <v>9.35E-2</v>
      </c>
      <c r="M314" s="49" t="s">
        <v>93</v>
      </c>
      <c r="N314" s="49">
        <v>1330</v>
      </c>
      <c r="O314" s="49">
        <v>8.9990375360923895</v>
      </c>
      <c r="P314" s="49"/>
      <c r="Q314" s="49"/>
      <c r="R314" s="49" t="s">
        <v>2275</v>
      </c>
      <c r="S314">
        <f t="shared" si="16"/>
        <v>5</v>
      </c>
      <c r="T314" s="5" cm="1">
        <f t="array" ref="T3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4">
        <f>Table1[[#This Row],[Term to Maturity (Years)]]*Table1[[#This Row],[Coupon Frequency2]]</f>
        <v>5</v>
      </c>
      <c r="V314">
        <f>Table1[[#This Row],[Face value]]*Table1[[#This Row],[Current coupon %]]</f>
        <v>93.5</v>
      </c>
      <c r="W314" s="36">
        <f>RATE(Table1[[#This Row],[Total No. of Coupons]],Table1[[#This Row],[Coupon Amount]],-Table1[[#This Row],[Ask Price]],Table1[[#This Row],[Face value]])</f>
        <v>8.3638350792090893E-2</v>
      </c>
      <c r="X314" s="27">
        <f>Table1[[#This Row],[IRR]]*Table1[[#This Row],[Coupon Frequency2]]</f>
        <v>8.3638350792090893E-2</v>
      </c>
      <c r="Y314" s="19" cm="1">
        <f t="array" ref="Y3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4" s="33">
        <f>DURATION(Table1[[#This Row],[Issue date]],Table1[[#This Row],[Maturity date]],Table1[[#This Row],[Current coupon %]],Table1[[#This Row],[Yield (Annualised)]],Table1[[#This Row],[Coupon Frequency2]])</f>
        <v>4.2312143182832926</v>
      </c>
      <c r="AA314" s="33">
        <f>Table1[[#This Row],[Macaulay Duration in Years]]/(1+Table1[[#This Row],[IRR]])</f>
        <v>3.9046369254008644</v>
      </c>
      <c r="AB314" s="58">
        <f>VLOOKUP(Table1[[#This Row],[Yield Cluster]],'Cluster Details'!$B$3:$C$16,2,0)</f>
        <v>7.8548801574189142E-2</v>
      </c>
      <c r="AC31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1059.9248239860419</v>
      </c>
      <c r="AD314" s="58" t="str">
        <f>IF(Table1[[#This Row],[Ask Price]]&gt;Table1[[#This Row],[Calculated Bond Price]],"Rich","Cheap")</f>
        <v>Cheap</v>
      </c>
      <c r="AE3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999.46690571133445</v>
      </c>
      <c r="AF3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1080.6494537570213</v>
      </c>
      <c r="AG314" s="78">
        <f>(Table1[[#This Row],[P (+ shock)]]+Table1[[#This Row],[P (-shock)]]-2*Table1[[#This Row],[Ask Price]])/(2*Table1[[#This Row],[Ask Price]]*($AF$2^2))</f>
        <v>10.184598019036416</v>
      </c>
      <c r="AH314">
        <v>13.3881826261422</v>
      </c>
      <c r="AI314" s="6">
        <f t="shared" si="17"/>
        <v>8.9990375360923969E-2</v>
      </c>
      <c r="AK314" s="47">
        <f>RATE(Table1[[#This Row],[Total No. of Coupons]],Table1[[#This Row],[Coupon Amount]],-Table1[[#This Row],[Ask Price]],Table1[[#This Row],[Face value]])</f>
        <v>8.3638350792090893E-2</v>
      </c>
      <c r="AL314" s="27">
        <f>Table1[[#This Row],[IRR]]*Table1[[#This Row],[Coupon Frequency2]]</f>
        <v>8.3638350792090893E-2</v>
      </c>
      <c r="AM314" s="5">
        <f t="shared" si="18"/>
        <v>-4056.9177654914979</v>
      </c>
      <c r="AN314" t="s">
        <v>64</v>
      </c>
      <c r="AO314" t="s">
        <v>62</v>
      </c>
      <c r="AP314">
        <f t="shared" si="19"/>
        <v>1</v>
      </c>
    </row>
    <row r="315" spans="1:42" x14ac:dyDescent="0.35">
      <c r="A315" s="48" t="s">
        <v>768</v>
      </c>
      <c r="B315" s="49" t="s">
        <v>2595</v>
      </c>
      <c r="C315" s="49" t="s">
        <v>2273</v>
      </c>
      <c r="D315" s="50">
        <v>43483</v>
      </c>
      <c r="E315" s="50">
        <v>47136</v>
      </c>
      <c r="F315" s="49">
        <v>1000</v>
      </c>
      <c r="G315" s="49" t="s">
        <v>76</v>
      </c>
      <c r="H315" s="49">
        <v>1075</v>
      </c>
      <c r="I315" s="49" t="s">
        <v>76</v>
      </c>
      <c r="J315" s="49">
        <v>107.5</v>
      </c>
      <c r="K315" s="49">
        <v>72</v>
      </c>
      <c r="L315" s="51">
        <v>9.5000000000000001E-2</v>
      </c>
      <c r="M315" s="49" t="s">
        <v>93</v>
      </c>
      <c r="N315" s="49">
        <v>1219</v>
      </c>
      <c r="O315" s="49">
        <v>8.8372093023255793</v>
      </c>
      <c r="P315" s="49"/>
      <c r="Q315" s="49"/>
      <c r="R315" s="49" t="s">
        <v>2275</v>
      </c>
      <c r="S315">
        <f t="shared" si="16"/>
        <v>10</v>
      </c>
      <c r="T315" s="5" cm="1">
        <f t="array" ref="T3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5">
        <f>Table1[[#This Row],[Term to Maturity (Years)]]*Table1[[#This Row],[Coupon Frequency2]]</f>
        <v>10</v>
      </c>
      <c r="V315">
        <f>Table1[[#This Row],[Face value]]*Table1[[#This Row],[Current coupon %]]</f>
        <v>95</v>
      </c>
      <c r="W315" s="36">
        <f>RATE(Table1[[#This Row],[Total No. of Coupons]],Table1[[#This Row],[Coupon Amount]],-Table1[[#This Row],[Ask Price]],Table1[[#This Row],[Face value]])</f>
        <v>8.363866100078135E-2</v>
      </c>
      <c r="X315" s="27">
        <f>Table1[[#This Row],[IRR]]*Table1[[#This Row],[Coupon Frequency2]]</f>
        <v>8.363866100078135E-2</v>
      </c>
      <c r="Y315" s="19" cm="1">
        <f t="array" ref="Y3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5" s="33">
        <f>DURATION(Table1[[#This Row],[Issue date]],Table1[[#This Row],[Maturity date]],Table1[[#This Row],[Current coupon %]],Table1[[#This Row],[Yield (Annualised)]],Table1[[#This Row],[Coupon Frequency2]])</f>
        <v>6.992364845175584</v>
      </c>
      <c r="AA315" s="33">
        <f>Table1[[#This Row],[Macaulay Duration in Years]]/(1+Table1[[#This Row],[IRR]])</f>
        <v>6.4526719992786807</v>
      </c>
      <c r="AB315" s="58">
        <f>VLOOKUP(Table1[[#This Row],[Yield Cluster]],'Cluster Details'!$B$3:$C$16,2,0)</f>
        <v>7.8548801574189142E-2</v>
      </c>
      <c r="AC315" s="78">
        <f>PRICE(Table1[[#This Row],[Issue date]],Table1[[#This Row],[Maturity date]],Table1[[#This Row],[Current coupon %]],Table1[[#This Row],[Average Cluster Yield]],100,Table1[[#This Row],[Coupon Frequency2]])*Table1[[#This Row],[Face value]]/100</f>
        <v>1111.1151052816319</v>
      </c>
      <c r="AD315" s="58" t="str">
        <f>IF(Table1[[#This Row],[Ask Price]]&gt;Table1[[#This Row],[Calculated Bond Price]],"Rich","Cheap")</f>
        <v>Cheap</v>
      </c>
      <c r="AE3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1008.5984052327476</v>
      </c>
      <c r="AF3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1147.5417579847372</v>
      </c>
      <c r="AG315" s="78">
        <f>(Table1[[#This Row],[P (+ shock)]]+Table1[[#This Row],[P (-shock)]]-2*Table1[[#This Row],[Ask Price]])/(2*Table1[[#This Row],[Ask Price]]*($AF$2^2))</f>
        <v>28.55889868597567</v>
      </c>
      <c r="AI315" s="6">
        <f t="shared" si="17"/>
        <v>8.8372093023255813E-2</v>
      </c>
      <c r="AK315" s="47">
        <f>RATE(Table1[[#This Row],[Total No. of Coupons]],Table1[[#This Row],[Coupon Amount]],-Table1[[#This Row],[Ask Price]],Table1[[#This Row],[Face value]])</f>
        <v>8.363866100078135E-2</v>
      </c>
      <c r="AL315" s="27">
        <f>Table1[[#This Row],[IRR]]*Table1[[#This Row],[Coupon Frequency2]]</f>
        <v>8.363866100078135E-2</v>
      </c>
      <c r="AM315" s="5">
        <f t="shared" si="18"/>
        <v>-6936.6223992245814</v>
      </c>
      <c r="AN315" t="s">
        <v>64</v>
      </c>
      <c r="AO315" t="s">
        <v>62</v>
      </c>
      <c r="AP315">
        <f t="shared" si="19"/>
        <v>1</v>
      </c>
    </row>
    <row r="316" spans="1:42" x14ac:dyDescent="0.35">
      <c r="A316" s="48" t="s">
        <v>1448</v>
      </c>
      <c r="B316" s="49" t="s">
        <v>2596</v>
      </c>
      <c r="C316" s="49" t="s">
        <v>2273</v>
      </c>
      <c r="D316" s="50">
        <v>44567</v>
      </c>
      <c r="E316" s="50">
        <v>46393</v>
      </c>
      <c r="F316" s="49">
        <v>1000</v>
      </c>
      <c r="G316" s="49" t="s">
        <v>76</v>
      </c>
      <c r="H316" s="49">
        <v>1035</v>
      </c>
      <c r="I316" s="49" t="s">
        <v>76</v>
      </c>
      <c r="J316" s="49">
        <v>103.49999999999901</v>
      </c>
      <c r="K316" s="49">
        <v>30</v>
      </c>
      <c r="L316" s="51">
        <v>9.2499999999999999E-2</v>
      </c>
      <c r="M316" s="49" t="s">
        <v>93</v>
      </c>
      <c r="N316" s="49">
        <v>476</v>
      </c>
      <c r="O316" s="49">
        <v>8.9371980676328509</v>
      </c>
      <c r="P316" s="49" t="s">
        <v>2279</v>
      </c>
      <c r="Q316" s="49"/>
      <c r="R316" s="49" t="s">
        <v>2275</v>
      </c>
      <c r="S316">
        <f t="shared" si="16"/>
        <v>5</v>
      </c>
      <c r="T316" s="5" cm="1">
        <f t="array" ref="T3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6">
        <f>Table1[[#This Row],[Term to Maturity (Years)]]*Table1[[#This Row],[Coupon Frequency2]]</f>
        <v>5</v>
      </c>
      <c r="V316">
        <f>Table1[[#This Row],[Face value]]*Table1[[#This Row],[Current coupon %]]</f>
        <v>92.5</v>
      </c>
      <c r="W316" s="36">
        <f>RATE(Table1[[#This Row],[Total No. of Coupons]],Table1[[#This Row],[Coupon Amount]],-Table1[[#This Row],[Ask Price]],Table1[[#This Row],[Face value]])</f>
        <v>8.3649542424341181E-2</v>
      </c>
      <c r="X316" s="27">
        <f>Table1[[#This Row],[IRR]]*Table1[[#This Row],[Coupon Frequency2]]</f>
        <v>8.3649542424341181E-2</v>
      </c>
      <c r="Y316" s="19" cm="1">
        <f t="array" ref="Y3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6" s="33">
        <f>DURATION(Table1[[#This Row],[Issue date]],Table1[[#This Row],[Maturity date]],Table1[[#This Row],[Current coupon %]],Table1[[#This Row],[Yield (Annualised)]],Table1[[#This Row],[Coupon Frequency2]])</f>
        <v>4.2365124024467571</v>
      </c>
      <c r="AA316" s="33">
        <f>Table1[[#This Row],[Macaulay Duration in Years]]/(1+Table1[[#This Row],[IRR]])</f>
        <v>3.9094857115602433</v>
      </c>
      <c r="AB316" s="58">
        <f>VLOOKUP(Table1[[#This Row],[Yield Cluster]],'Cluster Details'!$B$3:$C$16,2,0)</f>
        <v>7.8548801574189142E-2</v>
      </c>
      <c r="AC316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1055.9167958481376</v>
      </c>
      <c r="AD316" s="58" t="str">
        <f>IF(Table1[[#This Row],[Ask Price]]&gt;Table1[[#This Row],[Calculated Bond Price]],"Rich","Cheap")</f>
        <v>Cheap</v>
      </c>
      <c r="AE3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995.57070257847113</v>
      </c>
      <c r="AF3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1076.5411671779157</v>
      </c>
      <c r="AG316" s="78">
        <f>(Table1[[#This Row],[P (+ shock)]]+Table1[[#This Row],[P (-shock)]]-2*Table1[[#This Row],[Ask Price]])/(2*Table1[[#This Row],[Ask Price]]*($AF$2^2))</f>
        <v>10.202269354526679</v>
      </c>
      <c r="AH316">
        <v>12.3764360138925</v>
      </c>
      <c r="AI316" s="6">
        <f t="shared" si="17"/>
        <v>8.9371980676328497E-2</v>
      </c>
      <c r="AK316" s="47">
        <f>RATE(Table1[[#This Row],[Total No. of Coupons]],Table1[[#This Row],[Coupon Amount]],-Table1[[#This Row],[Ask Price]],Table1[[#This Row],[Face value]])</f>
        <v>8.3649542424341181E-2</v>
      </c>
      <c r="AL316" s="27">
        <f>Table1[[#This Row],[IRR]]*Table1[[#This Row],[Coupon Frequency2]]</f>
        <v>8.3649542424341181E-2</v>
      </c>
      <c r="AM316" s="5">
        <f t="shared" si="18"/>
        <v>-4046.317711464852</v>
      </c>
      <c r="AN316" t="s">
        <v>64</v>
      </c>
      <c r="AO316" t="s">
        <v>62</v>
      </c>
      <c r="AP316">
        <f t="shared" si="19"/>
        <v>1</v>
      </c>
    </row>
    <row r="317" spans="1:42" x14ac:dyDescent="0.35">
      <c r="A317" s="48" t="s">
        <v>1231</v>
      </c>
      <c r="B317" s="49" t="s">
        <v>2597</v>
      </c>
      <c r="C317" s="49" t="s">
        <v>2273</v>
      </c>
      <c r="D317" s="50">
        <v>42913</v>
      </c>
      <c r="E317" s="50">
        <v>46563</v>
      </c>
      <c r="F317" s="49">
        <v>1000000</v>
      </c>
      <c r="G317" s="49" t="s">
        <v>76</v>
      </c>
      <c r="H317" s="49">
        <v>940300</v>
      </c>
      <c r="I317" s="49" t="s">
        <v>76</v>
      </c>
      <c r="J317" s="49">
        <v>94.03</v>
      </c>
      <c r="K317" s="49">
        <v>2</v>
      </c>
      <c r="L317" s="51">
        <v>7.4700000000000003E-2</v>
      </c>
      <c r="M317" s="49" t="s">
        <v>93</v>
      </c>
      <c r="N317" s="49">
        <v>646</v>
      </c>
      <c r="O317" s="49">
        <v>7.9442731043284001</v>
      </c>
      <c r="P317" s="49" t="s">
        <v>2274</v>
      </c>
      <c r="Q317" s="49"/>
      <c r="R317" s="49" t="s">
        <v>2275</v>
      </c>
      <c r="S317">
        <f t="shared" si="16"/>
        <v>10</v>
      </c>
      <c r="T317" s="5" cm="1">
        <f t="array" ref="T3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7">
        <f>Table1[[#This Row],[Term to Maturity (Years)]]*Table1[[#This Row],[Coupon Frequency2]]</f>
        <v>10</v>
      </c>
      <c r="V317">
        <f>Table1[[#This Row],[Face value]]*Table1[[#This Row],[Current coupon %]]</f>
        <v>74700</v>
      </c>
      <c r="W317" s="36">
        <f>RATE(Table1[[#This Row],[Total No. of Coupons]],Table1[[#This Row],[Coupon Amount]],-Table1[[#This Row],[Ask Price]],Table1[[#This Row],[Face value]])</f>
        <v>8.3748048836328998E-2</v>
      </c>
      <c r="X317" s="27">
        <f>Table1[[#This Row],[IRR]]*Table1[[#This Row],[Coupon Frequency2]]</f>
        <v>8.3748048836328998E-2</v>
      </c>
      <c r="Y317" s="19" cm="1">
        <f t="array" ref="Y3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7" s="33">
        <f>DURATION(Table1[[#This Row],[Issue date]],Table1[[#This Row],[Maturity date]],Table1[[#This Row],[Current coupon %]],Table1[[#This Row],[Yield (Annualised)]],Table1[[#This Row],[Coupon Frequency2]])</f>
        <v>7.2916081627796485</v>
      </c>
      <c r="AA317" s="33">
        <f>Table1[[#This Row],[Macaulay Duration in Years]]/(1+Table1[[#This Row],[IRR]])</f>
        <v>6.7281395990599382</v>
      </c>
      <c r="AB317" s="58">
        <f>VLOOKUP(Table1[[#This Row],[Yield Cluster]],'Cluster Details'!$B$3:$C$16,2,0)</f>
        <v>7.8548801574189142E-2</v>
      </c>
      <c r="AC317" s="78">
        <f>PRICE(Table1[[#This Row],[Issue date]],Table1[[#This Row],[Maturity date]],Table1[[#This Row],[Current coupon %]],Table1[[#This Row],[Average Cluster Yield]],100,Table1[[#This Row],[Coupon Frequency2]])*Table1[[#This Row],[Face value]]/100</f>
        <v>973998.58265018498</v>
      </c>
      <c r="AD317" s="58" t="str">
        <f>IF(Table1[[#This Row],[Ask Price]]&gt;Table1[[#This Row],[Calculated Bond Price]],"Rich","Cheap")</f>
        <v>Cheap</v>
      </c>
      <c r="AE3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879770.36479157</v>
      </c>
      <c r="AF3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1006554.7720368893</v>
      </c>
      <c r="AG317" s="78">
        <f>(Table1[[#This Row],[P (+ shock)]]+Table1[[#This Row],[P (-shock)]]-2*Table1[[#This Row],[Ask Price]])/(2*Table1[[#This Row],[Ask Price]]*($AF$2^2))</f>
        <v>30.443139574919353</v>
      </c>
      <c r="AH317">
        <v>10.4607517965726</v>
      </c>
      <c r="AI317" s="6">
        <f t="shared" si="17"/>
        <v>7.9442731043284059E-2</v>
      </c>
      <c r="AK317" s="47">
        <f>RATE(Table1[[#This Row],[Total No. of Coupons]],Table1[[#This Row],[Coupon Amount]],-Table1[[#This Row],[Ask Price]],Table1[[#This Row],[Face value]])</f>
        <v>8.3748048836328998E-2</v>
      </c>
      <c r="AL317" s="27">
        <f>Table1[[#This Row],[IRR]]*Table1[[#This Row],[Coupon Frequency2]]</f>
        <v>8.3748048836328998E-2</v>
      </c>
      <c r="AM317" s="5">
        <f t="shared" si="18"/>
        <v>-6326469.6649960596</v>
      </c>
      <c r="AN317" t="s">
        <v>64</v>
      </c>
      <c r="AO317" t="s">
        <v>62</v>
      </c>
      <c r="AP317">
        <f t="shared" si="19"/>
        <v>1</v>
      </c>
    </row>
    <row r="318" spans="1:42" x14ac:dyDescent="0.35">
      <c r="A318" s="48" t="s">
        <v>2598</v>
      </c>
      <c r="B318" s="49" t="s">
        <v>2599</v>
      </c>
      <c r="C318" s="49" t="s">
        <v>2273</v>
      </c>
      <c r="D318" s="50">
        <v>45037</v>
      </c>
      <c r="E318" s="50">
        <v>46167</v>
      </c>
      <c r="F318" s="49">
        <v>100000</v>
      </c>
      <c r="G318" s="49" t="s">
        <v>76</v>
      </c>
      <c r="H318" s="49">
        <v>100935</v>
      </c>
      <c r="I318" s="49" t="s">
        <v>76</v>
      </c>
      <c r="J318" s="49">
        <v>100.935</v>
      </c>
      <c r="K318" s="49">
        <v>5</v>
      </c>
      <c r="L318" s="51">
        <v>8.7499999999999994E-2</v>
      </c>
      <c r="M318" s="49" t="s">
        <v>93</v>
      </c>
      <c r="N318" s="49">
        <v>250</v>
      </c>
      <c r="O318" s="49">
        <v>8.66894536087581</v>
      </c>
      <c r="P318" s="49" t="s">
        <v>2282</v>
      </c>
      <c r="Q318" s="49"/>
      <c r="R318" s="49" t="s">
        <v>2275</v>
      </c>
      <c r="S318">
        <f t="shared" si="16"/>
        <v>3</v>
      </c>
      <c r="T318" s="5" cm="1">
        <f t="array" ref="T3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8">
        <f>Table1[[#This Row],[Term to Maturity (Years)]]*Table1[[#This Row],[Coupon Frequency2]]</f>
        <v>3</v>
      </c>
      <c r="V318">
        <f>Table1[[#This Row],[Face value]]*Table1[[#This Row],[Current coupon %]]</f>
        <v>8750</v>
      </c>
      <c r="W318" s="36">
        <f>RATE(Table1[[#This Row],[Total No. of Coupons]],Table1[[#This Row],[Coupon Amount]],-Table1[[#This Row],[Ask Price]],Table1[[#This Row],[Face value]])</f>
        <v>8.3846677026986088E-2</v>
      </c>
      <c r="X318" s="27">
        <f>Table1[[#This Row],[IRR]]*Table1[[#This Row],[Coupon Frequency2]]</f>
        <v>8.3846677026986088E-2</v>
      </c>
      <c r="Y318" s="19" cm="1">
        <f t="array" ref="Y3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8" s="33">
        <f>DURATION(Table1[[#This Row],[Issue date]],Table1[[#This Row],[Maturity date]],Table1[[#This Row],[Current coupon %]],Table1[[#This Row],[Yield (Annualised)]],Table1[[#This Row],[Coupon Frequency2]])</f>
        <v>2.6400089634741191</v>
      </c>
      <c r="AA318" s="33">
        <f>Table1[[#This Row],[Macaulay Duration in Years]]/(1+Table1[[#This Row],[IRR]])</f>
        <v>2.4357771439736462</v>
      </c>
      <c r="AB318" s="58">
        <f>VLOOKUP(Table1[[#This Row],[Yield Cluster]],'Cluster Details'!$B$3:$C$16,2,0)</f>
        <v>7.8548801574189142E-2</v>
      </c>
      <c r="AC318" s="78">
        <f>PRICE(Table1[[#This Row],[Issue date]],Table1[[#This Row],[Maturity date]],Table1[[#This Row],[Current coupon %]],Table1[[#This Row],[Average Cluster Yield]],100,Table1[[#This Row],[Coupon Frequency2]])*Table1[[#This Row],[Face value]]/100</f>
        <v>102348.9175949512</v>
      </c>
      <c r="AD318" s="58" t="str">
        <f>IF(Table1[[#This Row],[Ask Price]]&gt;Table1[[#This Row],[Calculated Bond Price]],"Rich","Cheap")</f>
        <v>Cheap</v>
      </c>
      <c r="AE3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98326.860551144448</v>
      </c>
      <c r="AF3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103631.24568648581</v>
      </c>
      <c r="AG318" s="78">
        <f>(Table1[[#This Row],[P (+ shock)]]+Table1[[#This Row],[P (-shock)]]-2*Table1[[#This Row],[Ask Price]])/(2*Table1[[#This Row],[Ask Price]]*($AF$2^2))</f>
        <v>4.3645037712509742</v>
      </c>
      <c r="AH318">
        <v>9.6670802315963602</v>
      </c>
      <c r="AI318" s="6">
        <f t="shared" si="17"/>
        <v>8.6689453608758113E-2</v>
      </c>
      <c r="AK318" s="47">
        <f>RATE(Table1[[#This Row],[Total No. of Coupons]],Table1[[#This Row],[Coupon Amount]],-Table1[[#This Row],[Ask Price]],Table1[[#This Row],[Face value]])</f>
        <v>8.3846677026986088E-2</v>
      </c>
      <c r="AL318" s="27">
        <f>Table1[[#This Row],[IRR]]*Table1[[#This Row],[Coupon Frequency2]]</f>
        <v>8.3846677026986088E-2</v>
      </c>
      <c r="AM318" s="5">
        <f t="shared" si="18"/>
        <v>-245855.16602697998</v>
      </c>
      <c r="AN318" t="s">
        <v>64</v>
      </c>
      <c r="AO318" t="s">
        <v>62</v>
      </c>
      <c r="AP318">
        <f t="shared" si="19"/>
        <v>1</v>
      </c>
    </row>
    <row r="319" spans="1:42" x14ac:dyDescent="0.35">
      <c r="A319" s="48" t="s">
        <v>857</v>
      </c>
      <c r="B319" s="49" t="s">
        <v>2600</v>
      </c>
      <c r="C319" s="49" t="s">
        <v>2273</v>
      </c>
      <c r="D319" s="50">
        <v>43370</v>
      </c>
      <c r="E319" s="50">
        <v>47023</v>
      </c>
      <c r="F319" s="49">
        <v>1000</v>
      </c>
      <c r="G319" s="49" t="s">
        <v>76</v>
      </c>
      <c r="H319" s="49">
        <v>1046.5999999999999</v>
      </c>
      <c r="I319" s="49" t="s">
        <v>76</v>
      </c>
      <c r="J319" s="49">
        <v>104.66</v>
      </c>
      <c r="K319" s="49">
        <v>322</v>
      </c>
      <c r="L319" s="51">
        <v>9.0999999999999998E-2</v>
      </c>
      <c r="M319" s="49" t="s">
        <v>93</v>
      </c>
      <c r="N319" s="49">
        <v>1106</v>
      </c>
      <c r="O319" s="49">
        <v>8.6948213261991203</v>
      </c>
      <c r="P319" s="49"/>
      <c r="Q319" s="49"/>
      <c r="R319" s="49" t="s">
        <v>2275</v>
      </c>
      <c r="S319">
        <f t="shared" si="16"/>
        <v>10</v>
      </c>
      <c r="T319" s="5" cm="1">
        <f t="array" ref="T3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19">
        <f>Table1[[#This Row],[Term to Maturity (Years)]]*Table1[[#This Row],[Coupon Frequency2]]</f>
        <v>10</v>
      </c>
      <c r="V319">
        <f>Table1[[#This Row],[Face value]]*Table1[[#This Row],[Current coupon %]]</f>
        <v>91</v>
      </c>
      <c r="W319" s="36">
        <f>RATE(Table1[[#This Row],[Total No. of Coupons]],Table1[[#This Row],[Coupon Amount]],-Table1[[#This Row],[Ask Price]],Table1[[#This Row],[Face value]])</f>
        <v>8.3931574825997404E-2</v>
      </c>
      <c r="X319" s="27">
        <f>Table1[[#This Row],[IRR]]*Table1[[#This Row],[Coupon Frequency2]]</f>
        <v>8.3931574825997404E-2</v>
      </c>
      <c r="Y319" s="19" cm="1">
        <f t="array" ref="Y3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19" s="33">
        <f>DURATION(Table1[[#This Row],[Issue date]],Table1[[#This Row],[Maturity date]],Table1[[#This Row],[Current coupon %]],Table1[[#This Row],[Yield (Annualised)]],Table1[[#This Row],[Coupon Frequency2]])</f>
        <v>7.0434584804791092</v>
      </c>
      <c r="AA319" s="33">
        <f>Table1[[#This Row],[Macaulay Duration in Years]]/(1+Table1[[#This Row],[IRR]])</f>
        <v>6.4980656012440541</v>
      </c>
      <c r="AB319" s="58">
        <f>VLOOKUP(Table1[[#This Row],[Yield Cluster]],'Cluster Details'!$B$3:$C$16,2,0)</f>
        <v>7.8548801574189142E-2</v>
      </c>
      <c r="AC319" s="78">
        <f>PRICE(Table1[[#This Row],[Issue date]],Table1[[#This Row],[Maturity date]],Table1[[#This Row],[Current coupon %]],Table1[[#This Row],[Average Cluster Yield]],100,Table1[[#This Row],[Coupon Frequency2]])*Table1[[#This Row],[Face value]]/100</f>
        <v>1084.0982029489001</v>
      </c>
      <c r="AD319" s="58" t="str">
        <f>IF(Table1[[#This Row],[Ask Price]]&gt;Table1[[#This Row],[Calculated Bond Price]],"Rich","Cheap")</f>
        <v>Cheap</v>
      </c>
      <c r="AE3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981.50740704930479</v>
      </c>
      <c r="AF3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1117.7327651351582</v>
      </c>
      <c r="AG319" s="78">
        <f>(Table1[[#This Row],[P (+ shock)]]+Table1[[#This Row],[P (-shock)]]-2*Table1[[#This Row],[Ask Price]])/(2*Table1[[#This Row],[Ask Price]]*($AF$2^2))</f>
        <v>28.856163694168</v>
      </c>
      <c r="AH319">
        <v>11.376555012923101</v>
      </c>
      <c r="AI319" s="6">
        <f t="shared" si="17"/>
        <v>8.6948213261991217E-2</v>
      </c>
      <c r="AK319" s="47">
        <f>RATE(Table1[[#This Row],[Total No. of Coupons]],Table1[[#This Row],[Coupon Amount]],-Table1[[#This Row],[Ask Price]],Table1[[#This Row],[Face value]])</f>
        <v>8.3931574825997404E-2</v>
      </c>
      <c r="AL319" s="27">
        <f>Table1[[#This Row],[IRR]]*Table1[[#This Row],[Coupon Frequency2]]</f>
        <v>8.3931574825997404E-2</v>
      </c>
      <c r="AM319" s="5">
        <f t="shared" si="18"/>
        <v>-6800.8754582620268</v>
      </c>
      <c r="AN319" t="s">
        <v>64</v>
      </c>
      <c r="AO319" t="s">
        <v>62</v>
      </c>
      <c r="AP319">
        <f t="shared" si="19"/>
        <v>1</v>
      </c>
    </row>
    <row r="320" spans="1:42" x14ac:dyDescent="0.35">
      <c r="A320" s="48" t="s">
        <v>837</v>
      </c>
      <c r="B320" s="49" t="s">
        <v>2601</v>
      </c>
      <c r="C320" s="49" t="s">
        <v>2273</v>
      </c>
      <c r="D320" s="50">
        <v>45231</v>
      </c>
      <c r="E320" s="50">
        <v>47058</v>
      </c>
      <c r="F320" s="49">
        <v>1000</v>
      </c>
      <c r="G320" s="49" t="s">
        <v>76</v>
      </c>
      <c r="H320" s="49">
        <v>1041.3</v>
      </c>
      <c r="I320" s="49" t="s">
        <v>76</v>
      </c>
      <c r="J320" s="49">
        <v>104.13</v>
      </c>
      <c r="K320" s="49">
        <v>10</v>
      </c>
      <c r="L320" s="51">
        <v>9.4399999999999998E-2</v>
      </c>
      <c r="M320" s="49" t="s">
        <v>93</v>
      </c>
      <c r="N320" s="49">
        <v>1141</v>
      </c>
      <c r="O320" s="49">
        <v>9.0655910880629893</v>
      </c>
      <c r="P320" s="49"/>
      <c r="Q320" s="49"/>
      <c r="R320" s="49" t="s">
        <v>2275</v>
      </c>
      <c r="S320">
        <f t="shared" si="16"/>
        <v>5</v>
      </c>
      <c r="T320" s="5" cm="1">
        <f t="array" ref="T3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0">
        <f>Table1[[#This Row],[Term to Maturity (Years)]]*Table1[[#This Row],[Coupon Frequency2]]</f>
        <v>5</v>
      </c>
      <c r="V320">
        <f>Table1[[#This Row],[Face value]]*Table1[[#This Row],[Current coupon %]]</f>
        <v>94.399999999999991</v>
      </c>
      <c r="W320" s="36">
        <f>RATE(Table1[[#This Row],[Total No. of Coupons]],Table1[[#This Row],[Coupon Amount]],-Table1[[#This Row],[Ask Price]],Table1[[#This Row],[Face value]])</f>
        <v>8.3948282841305455E-2</v>
      </c>
      <c r="X320" s="27">
        <f>Table1[[#This Row],[IRR]]*Table1[[#This Row],[Coupon Frequency2]]</f>
        <v>8.3948282841305455E-2</v>
      </c>
      <c r="Y320" s="19" cm="1">
        <f t="array" ref="Y3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0" s="33">
        <f>DURATION(Table1[[#This Row],[Issue date]],Table1[[#This Row],[Maturity date]],Table1[[#This Row],[Current coupon %]],Table1[[#This Row],[Yield (Annualised)]],Table1[[#This Row],[Coupon Frequency2]])</f>
        <v>4.2259541205384776</v>
      </c>
      <c r="AA320" s="33">
        <f>Table1[[#This Row],[Macaulay Duration in Years]]/(1+Table1[[#This Row],[IRR]])</f>
        <v>3.898667664716597</v>
      </c>
      <c r="AB320" s="58">
        <f>VLOOKUP(Table1[[#This Row],[Yield Cluster]],'Cluster Details'!$B$3:$C$16,2,0)</f>
        <v>7.8548801574189142E-2</v>
      </c>
      <c r="AC320" s="78">
        <f>PRICE(Table1[[#This Row],[Issue date]],Table1[[#This Row],[Maturity date]],Table1[[#This Row],[Current coupon %]],Table1[[#This Row],[Average Cluster Yield]],100,Table1[[#This Row],[Coupon Frequency2]])*Table1[[#This Row],[Face value]]/100</f>
        <v>1063.532049310156</v>
      </c>
      <c r="AD320" s="58" t="str">
        <f>IF(Table1[[#This Row],[Ask Price]]&gt;Table1[[#This Row],[Calculated Bond Price]],"Rich","Cheap")</f>
        <v>Cheap</v>
      </c>
      <c r="AE3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1001.7391689662443</v>
      </c>
      <c r="AF3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1082.9769861087393</v>
      </c>
      <c r="AG320" s="78">
        <f>(Table1[[#This Row],[P (+ shock)]]+Table1[[#This Row],[P (-shock)]]-2*Table1[[#This Row],[Ask Price]])/(2*Table1[[#This Row],[Ask Price]]*($AF$2^2))</f>
        <v>10.161121074538814</v>
      </c>
      <c r="AH320">
        <v>11.009053783217899</v>
      </c>
      <c r="AI320" s="6">
        <f t="shared" si="17"/>
        <v>9.0655910880629978E-2</v>
      </c>
      <c r="AK320" s="47">
        <f>RATE(Table1[[#This Row],[Total No. of Coupons]],Table1[[#This Row],[Coupon Amount]],-Table1[[#This Row],[Ask Price]],Table1[[#This Row],[Face value]])</f>
        <v>8.3948282841305455E-2</v>
      </c>
      <c r="AL320" s="27">
        <f>Table1[[#This Row],[IRR]]*Table1[[#This Row],[Coupon Frequency2]]</f>
        <v>8.3948282841305455E-2</v>
      </c>
      <c r="AM320" s="5">
        <f t="shared" si="18"/>
        <v>-4059.6826392693924</v>
      </c>
      <c r="AN320" t="s">
        <v>64</v>
      </c>
      <c r="AO320" t="s">
        <v>62</v>
      </c>
      <c r="AP320">
        <f t="shared" si="19"/>
        <v>1</v>
      </c>
    </row>
    <row r="321" spans="1:42" x14ac:dyDescent="0.35">
      <c r="A321" s="48" t="s">
        <v>1662</v>
      </c>
      <c r="B321" s="49" t="s">
        <v>2602</v>
      </c>
      <c r="C321" s="49" t="s">
        <v>2273</v>
      </c>
      <c r="D321" s="50">
        <v>45712</v>
      </c>
      <c r="E321" s="50">
        <v>46258</v>
      </c>
      <c r="F321" s="49">
        <v>1000</v>
      </c>
      <c r="G321" s="49" t="s">
        <v>76</v>
      </c>
      <c r="H321" s="49">
        <v>1016</v>
      </c>
      <c r="I321" s="49" t="s">
        <v>76</v>
      </c>
      <c r="J321" s="49">
        <v>101.6</v>
      </c>
      <c r="K321" s="49">
        <v>88</v>
      </c>
      <c r="L321" s="51">
        <v>9.3000000000000013E-2</v>
      </c>
      <c r="M321" s="49" t="s">
        <v>93</v>
      </c>
      <c r="N321" s="49">
        <v>341</v>
      </c>
      <c r="O321" s="49">
        <v>9.1535433070866095</v>
      </c>
      <c r="P321" s="49"/>
      <c r="Q321" s="49"/>
      <c r="R321" s="49" t="s">
        <v>2275</v>
      </c>
      <c r="S321">
        <f t="shared" si="16"/>
        <v>2</v>
      </c>
      <c r="T321" s="5" cm="1">
        <f t="array" ref="T3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1">
        <f>Table1[[#This Row],[Term to Maturity (Years)]]*Table1[[#This Row],[Coupon Frequency2]]</f>
        <v>2</v>
      </c>
      <c r="V321">
        <f>Table1[[#This Row],[Face value]]*Table1[[#This Row],[Current coupon %]]</f>
        <v>93.000000000000014</v>
      </c>
      <c r="W321" s="36">
        <f>RATE(Table1[[#This Row],[Total No. of Coupons]],Table1[[#This Row],[Coupon Amount]],-Table1[[#This Row],[Ask Price]],Table1[[#This Row],[Face value]])</f>
        <v>8.3978718910032724E-2</v>
      </c>
      <c r="X321" s="27">
        <f>Table1[[#This Row],[IRR]]*Table1[[#This Row],[Coupon Frequency2]]</f>
        <v>8.3978718910032724E-2</v>
      </c>
      <c r="Y321" s="19" cm="1">
        <f t="array" ref="Y3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1" s="33">
        <f>DURATION(Table1[[#This Row],[Issue date]],Table1[[#This Row],[Maturity date]],Table1[[#This Row],[Current coupon %]],Table1[[#This Row],[Yield (Annualised)]],Table1[[#This Row],[Coupon Frequency2]])</f>
        <v>1.4155560607657434</v>
      </c>
      <c r="AA321" s="33">
        <f>Table1[[#This Row],[Macaulay Duration in Years]]/(1+Table1[[#This Row],[IRR]])</f>
        <v>1.3058891619100417</v>
      </c>
      <c r="AB321" s="58">
        <f>VLOOKUP(Table1[[#This Row],[Yield Cluster]],'Cluster Details'!$B$3:$C$16,2,0)</f>
        <v>7.8548801574189142E-2</v>
      </c>
      <c r="AC321" s="78">
        <f>PRICE(Table1[[#This Row],[Issue date]],Table1[[#This Row],[Maturity date]],Table1[[#This Row],[Current coupon %]],Table1[[#This Row],[Average Cluster Yield]],100,Table1[[#This Row],[Coupon Frequency2]])*Table1[[#This Row],[Face value]]/100</f>
        <v>1018.8486833453047</v>
      </c>
      <c r="AD321" s="58" t="str">
        <f>IF(Table1[[#This Row],[Ask Price]]&gt;Table1[[#This Row],[Calculated Bond Price]],"Rich","Cheap")</f>
        <v>Cheap</v>
      </c>
      <c r="AE3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997.64328797142559</v>
      </c>
      <c r="AF3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1025.2740831872165</v>
      </c>
      <c r="AG321" s="78">
        <f>(Table1[[#This Row],[P (+ shock)]]+Table1[[#This Row],[P (-shock)]]-2*Table1[[#This Row],[Ask Price]])/(2*Table1[[#This Row],[Ask Price]]*($AF$2^2))</f>
        <v>-44.697976581484966</v>
      </c>
      <c r="AH321">
        <v>11.639347947687201</v>
      </c>
      <c r="AI321" s="6">
        <f t="shared" si="17"/>
        <v>9.153543307086616E-2</v>
      </c>
      <c r="AK321" s="47">
        <f>RATE(Table1[[#This Row],[Total No. of Coupons]],Table1[[#This Row],[Coupon Amount]],-Table1[[#This Row],[Ask Price]],Table1[[#This Row],[Face value]])</f>
        <v>8.3978718910032724E-2</v>
      </c>
      <c r="AL321" s="27">
        <f>Table1[[#This Row],[IRR]]*Table1[[#This Row],[Coupon Frequency2]]</f>
        <v>8.3978718910032724E-2</v>
      </c>
      <c r="AM321" s="5">
        <f t="shared" si="18"/>
        <v>-1326.7833885006023</v>
      </c>
      <c r="AN321" t="s">
        <v>64</v>
      </c>
      <c r="AO321" t="s">
        <v>62</v>
      </c>
      <c r="AP321">
        <f t="shared" si="19"/>
        <v>1</v>
      </c>
    </row>
    <row r="322" spans="1:42" x14ac:dyDescent="0.35">
      <c r="A322" s="48" t="s">
        <v>1460</v>
      </c>
      <c r="B322" s="49" t="s">
        <v>2603</v>
      </c>
      <c r="C322" s="49" t="s">
        <v>2273</v>
      </c>
      <c r="D322" s="50">
        <v>44558</v>
      </c>
      <c r="E322" s="50">
        <v>46384</v>
      </c>
      <c r="F322" s="49">
        <v>1000</v>
      </c>
      <c r="G322" s="49" t="s">
        <v>76</v>
      </c>
      <c r="H322" s="49">
        <v>1045</v>
      </c>
      <c r="I322" s="49" t="s">
        <v>76</v>
      </c>
      <c r="J322" s="49">
        <v>104.5</v>
      </c>
      <c r="K322" s="49">
        <v>3</v>
      </c>
      <c r="L322" s="51">
        <v>9.5500000000000002E-2</v>
      </c>
      <c r="M322" s="49" t="s">
        <v>93</v>
      </c>
      <c r="N322" s="49">
        <v>467</v>
      </c>
      <c r="O322" s="49">
        <v>9.1387559808612409</v>
      </c>
      <c r="P322" s="49"/>
      <c r="Q322" s="49"/>
      <c r="R322" s="49" t="s">
        <v>2275</v>
      </c>
      <c r="S322">
        <f t="shared" si="16"/>
        <v>5</v>
      </c>
      <c r="T322" s="5" cm="1">
        <f t="array" ref="T3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2">
        <f>Table1[[#This Row],[Term to Maturity (Years)]]*Table1[[#This Row],[Coupon Frequency2]]</f>
        <v>5</v>
      </c>
      <c r="V322">
        <f>Table1[[#This Row],[Face value]]*Table1[[#This Row],[Current coupon %]]</f>
        <v>95.5</v>
      </c>
      <c r="W322" s="36">
        <f>RATE(Table1[[#This Row],[Total No. of Coupons]],Table1[[#This Row],[Coupon Amount]],-Table1[[#This Row],[Ask Price]],Table1[[#This Row],[Face value]])</f>
        <v>8.4107189978720368E-2</v>
      </c>
      <c r="X322" s="27">
        <f>Table1[[#This Row],[IRR]]*Table1[[#This Row],[Coupon Frequency2]]</f>
        <v>8.4107189978720368E-2</v>
      </c>
      <c r="Y322" s="19" cm="1">
        <f t="array" ref="Y3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2" s="33">
        <f>DURATION(Table1[[#This Row],[Issue date]],Table1[[#This Row],[Maturity date]],Table1[[#This Row],[Current coupon %]],Table1[[#This Row],[Yield (Annualised)]],Table1[[#This Row],[Coupon Frequency2]])</f>
        <v>4.2199268310886611</v>
      </c>
      <c r="AA322" s="33">
        <f>Table1[[#This Row],[Macaulay Duration in Years]]/(1+Table1[[#This Row],[IRR]])</f>
        <v>3.8925365223078101</v>
      </c>
      <c r="AB322" s="58">
        <f>VLOOKUP(Table1[[#This Row],[Yield Cluster]],'Cluster Details'!$B$3:$C$16,2,0)</f>
        <v>7.8548801574189142E-2</v>
      </c>
      <c r="AC322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1067.9408802618509</v>
      </c>
      <c r="AD322" s="58" t="str">
        <f>IF(Table1[[#This Row],[Ask Price]]&gt;Table1[[#This Row],[Calculated Bond Price]],"Rich","Cheap")</f>
        <v>Cheap</v>
      </c>
      <c r="AE3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1005.3603003787678</v>
      </c>
      <c r="AF3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1086.7585136430728</v>
      </c>
      <c r="AG322" s="78">
        <f>(Table1[[#This Row],[P (+ shock)]]+Table1[[#This Row],[P (-shock)]]-2*Table1[[#This Row],[Ask Price]])/(2*Table1[[#This Row],[Ask Price]]*($AF$2^2))</f>
        <v>10.137866133208302</v>
      </c>
      <c r="AH322">
        <v>12.2127349080396</v>
      </c>
      <c r="AI322" s="6">
        <f t="shared" si="17"/>
        <v>9.1387559808612434E-2</v>
      </c>
      <c r="AK322" s="47">
        <f>RATE(Table1[[#This Row],[Total No. of Coupons]],Table1[[#This Row],[Coupon Amount]],-Table1[[#This Row],[Ask Price]],Table1[[#This Row],[Face value]])</f>
        <v>8.4107189978720368E-2</v>
      </c>
      <c r="AL322" s="27">
        <f>Table1[[#This Row],[IRR]]*Table1[[#This Row],[Coupon Frequency2]]</f>
        <v>8.4107189978720368E-2</v>
      </c>
      <c r="AM322" s="5">
        <f t="shared" si="18"/>
        <v>-4067.7006658116616</v>
      </c>
      <c r="AN322" t="s">
        <v>64</v>
      </c>
      <c r="AO322" t="s">
        <v>62</v>
      </c>
      <c r="AP322">
        <f t="shared" si="19"/>
        <v>1</v>
      </c>
    </row>
    <row r="323" spans="1:42" x14ac:dyDescent="0.35">
      <c r="A323" s="48" t="s">
        <v>1527</v>
      </c>
      <c r="B323" s="49" t="s">
        <v>2604</v>
      </c>
      <c r="C323" s="49" t="s">
        <v>2273</v>
      </c>
      <c r="D323" s="50">
        <v>45607</v>
      </c>
      <c r="E323" s="50">
        <v>46337</v>
      </c>
      <c r="F323" s="49">
        <v>100000</v>
      </c>
      <c r="G323" s="49" t="s">
        <v>76</v>
      </c>
      <c r="H323" s="49">
        <v>101797.78</v>
      </c>
      <c r="I323" s="49" t="s">
        <v>76</v>
      </c>
      <c r="J323" s="49">
        <v>101.79777999999899</v>
      </c>
      <c r="K323" s="49">
        <v>1</v>
      </c>
      <c r="L323" s="51">
        <v>9.4499999999999987E-2</v>
      </c>
      <c r="M323" s="49" t="s">
        <v>93</v>
      </c>
      <c r="N323" s="49">
        <v>420</v>
      </c>
      <c r="O323" s="49">
        <v>9.2831101031869192</v>
      </c>
      <c r="P323" s="49"/>
      <c r="Q323" s="49"/>
      <c r="R323" s="49" t="s">
        <v>2275</v>
      </c>
      <c r="S323">
        <f t="shared" si="16"/>
        <v>2</v>
      </c>
      <c r="T323" s="5" cm="1">
        <f t="array" ref="T3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3">
        <f>Table1[[#This Row],[Term to Maturity (Years)]]*Table1[[#This Row],[Coupon Frequency2]]</f>
        <v>2</v>
      </c>
      <c r="V323">
        <f>Table1[[#This Row],[Face value]]*Table1[[#This Row],[Current coupon %]]</f>
        <v>9449.9999999999982</v>
      </c>
      <c r="W323" s="36">
        <f>RATE(Table1[[#This Row],[Total No. of Coupons]],Table1[[#This Row],[Coupon Amount]],-Table1[[#This Row],[Ask Price]],Table1[[#This Row],[Face value]])</f>
        <v>8.4358322454975876E-2</v>
      </c>
      <c r="X323" s="27">
        <f>Table1[[#This Row],[IRR]]*Table1[[#This Row],[Coupon Frequency2]]</f>
        <v>8.4358322454975876E-2</v>
      </c>
      <c r="Y323" s="19" cm="1">
        <f t="array" ref="Y3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3" s="33">
        <f>DURATION(Table1[[#This Row],[Issue date]],Table1[[#This Row],[Maturity date]],Table1[[#This Row],[Current coupon %]],Table1[[#This Row],[Yield (Annualised)]],Table1[[#This Row],[Coupon Frequency2]])</f>
        <v>1.9143907515536926</v>
      </c>
      <c r="AA323" s="33">
        <f>Table1[[#This Row],[Macaulay Duration in Years]]/(1+Table1[[#This Row],[IRR]])</f>
        <v>1.7654595458994882</v>
      </c>
      <c r="AB323" s="58">
        <f>VLOOKUP(Table1[[#This Row],[Yield Cluster]],'Cluster Details'!$B$3:$C$16,2,0)</f>
        <v>7.8548801574189142E-2</v>
      </c>
      <c r="AC323" s="78">
        <f>PRICE(Table1[[#This Row],[Issue date]],Table1[[#This Row],[Maturity date]],Table1[[#This Row],[Current coupon %]],Table1[[#This Row],[Average Cluster Yield]],100,Table1[[#This Row],[Coupon Frequency2]])*Table1[[#This Row],[Face value]]/100</f>
        <v>102850.19085260788</v>
      </c>
      <c r="AD323" s="58" t="str">
        <f>IF(Table1[[#This Row],[Ask Price]]&gt;Table1[[#This Row],[Calculated Bond Price]],"Rich","Cheap")</f>
        <v>Cheap</v>
      </c>
      <c r="AE3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100024.77609854157</v>
      </c>
      <c r="AF3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103619.77113208582</v>
      </c>
      <c r="AG323" s="78">
        <f>(Table1[[#This Row],[P (+ shock)]]+Table1[[#This Row],[P (-shock)]]-2*Table1[[#This Row],[Ask Price]])/(2*Table1[[#This Row],[Ask Price]]*($AF$2^2))</f>
        <v>2.4061050558956238</v>
      </c>
      <c r="AH323">
        <v>9</v>
      </c>
      <c r="AI323" s="6">
        <f t="shared" si="17"/>
        <v>9.2831101031869243E-2</v>
      </c>
      <c r="AK323" s="47">
        <f>RATE(Table1[[#This Row],[Total No. of Coupons]],Table1[[#This Row],[Coupon Amount]],-Table1[[#This Row],[Ask Price]],Table1[[#This Row],[Face value]])</f>
        <v>8.4358322454975876E-2</v>
      </c>
      <c r="AL323" s="27">
        <f>Table1[[#This Row],[IRR]]*Table1[[#This Row],[Coupon Frequency2]]</f>
        <v>8.4358322454975876E-2</v>
      </c>
      <c r="AM323" s="5">
        <f t="shared" si="18"/>
        <v>-179719.86245237599</v>
      </c>
      <c r="AN323" t="s">
        <v>64</v>
      </c>
      <c r="AO323" t="s">
        <v>62</v>
      </c>
      <c r="AP323">
        <f t="shared" si="19"/>
        <v>1</v>
      </c>
    </row>
    <row r="324" spans="1:42" x14ac:dyDescent="0.35">
      <c r="A324" s="48" t="s">
        <v>651</v>
      </c>
      <c r="B324" s="49" t="s">
        <v>2605</v>
      </c>
      <c r="C324" s="49" t="s">
        <v>2273</v>
      </c>
      <c r="D324" s="50">
        <v>45471</v>
      </c>
      <c r="E324" s="50">
        <v>47297</v>
      </c>
      <c r="F324" s="49">
        <v>100000</v>
      </c>
      <c r="G324" s="49" t="s">
        <v>76</v>
      </c>
      <c r="H324" s="49">
        <v>102787.95</v>
      </c>
      <c r="I324" s="49" t="s">
        <v>76</v>
      </c>
      <c r="J324" s="49">
        <v>102.78795</v>
      </c>
      <c r="K324" s="49">
        <v>30</v>
      </c>
      <c r="L324" s="51">
        <v>9.1499999999999998E-2</v>
      </c>
      <c r="M324" s="49" t="s">
        <v>93</v>
      </c>
      <c r="N324" s="49">
        <v>1380</v>
      </c>
      <c r="O324" s="49">
        <v>8.9018216629478406</v>
      </c>
      <c r="P324" s="49" t="s">
        <v>2285</v>
      </c>
      <c r="Q324" s="49"/>
      <c r="R324" s="49" t="s">
        <v>2275</v>
      </c>
      <c r="S324">
        <f t="shared" ref="S324:S387" si="20">ROUND(YEARFRAC(D324,E324),0)</f>
        <v>5</v>
      </c>
      <c r="T324" s="5" cm="1">
        <f t="array" ref="T3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4">
        <f>Table1[[#This Row],[Term to Maturity (Years)]]*Table1[[#This Row],[Coupon Frequency2]]</f>
        <v>5</v>
      </c>
      <c r="V324">
        <f>Table1[[#This Row],[Face value]]*Table1[[#This Row],[Current coupon %]]</f>
        <v>9150</v>
      </c>
      <c r="W324" s="36">
        <f>RATE(Table1[[#This Row],[Total No. of Coupons]],Table1[[#This Row],[Coupon Amount]],-Table1[[#This Row],[Ask Price]],Table1[[#This Row],[Face value]])</f>
        <v>8.4435577008767526E-2</v>
      </c>
      <c r="X324" s="27">
        <f>Table1[[#This Row],[IRR]]*Table1[[#This Row],[Coupon Frequency2]]</f>
        <v>8.4435577008767526E-2</v>
      </c>
      <c r="Y324" s="19" cm="1">
        <f t="array" ref="Y3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4" s="33">
        <f>DURATION(Table1[[#This Row],[Issue date]],Table1[[#This Row],[Maturity date]],Table1[[#This Row],[Current coupon %]],Table1[[#This Row],[Yield (Annualised)]],Table1[[#This Row],[Coupon Frequency2]])</f>
        <v>4.2405932391056957</v>
      </c>
      <c r="AA324" s="33">
        <f>Table1[[#This Row],[Macaulay Duration in Years]]/(1+Table1[[#This Row],[IRR]])</f>
        <v>3.9104150850552659</v>
      </c>
      <c r="AB324" s="58">
        <f>VLOOKUP(Table1[[#This Row],[Yield Cluster]],'Cluster Details'!$B$3:$C$16,2,0)</f>
        <v>7.8548801574189142E-2</v>
      </c>
      <c r="AC32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105190.87677102332</v>
      </c>
      <c r="AD324" s="58" t="str">
        <f>IF(Table1[[#This Row],[Ask Price]]&gt;Table1[[#This Row],[Calculated Bond Price]],"Rich","Cheap")</f>
        <v>Cheap</v>
      </c>
      <c r="AE3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98871.184064748173</v>
      </c>
      <c r="AF3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106914.43321678889</v>
      </c>
      <c r="AG324" s="78">
        <f>(Table1[[#This Row],[P (+ shock)]]+Table1[[#This Row],[P (-shock)]]-2*Table1[[#This Row],[Ask Price]])/(2*Table1[[#This Row],[Ask Price]]*($AF$2^2))</f>
        <v>10.201452676946678</v>
      </c>
      <c r="AH324">
        <v>11.439815595659701</v>
      </c>
      <c r="AI324" s="6">
        <f t="shared" ref="AI324:AI387" si="21">(L324*F324)/H324</f>
        <v>8.9018216629478453E-2</v>
      </c>
      <c r="AK324" s="47">
        <f>RATE(Table1[[#This Row],[Total No. of Coupons]],Table1[[#This Row],[Coupon Amount]],-Table1[[#This Row],[Ask Price]],Table1[[#This Row],[Face value]])</f>
        <v>8.4435577008767526E-2</v>
      </c>
      <c r="AL324" s="27">
        <f>Table1[[#This Row],[IRR]]*Table1[[#This Row],[Coupon Frequency2]]</f>
        <v>8.4435577008767526E-2</v>
      </c>
      <c r="AM324" s="5">
        <f t="shared" ref="AM324:AM387" si="22">-AA324*H324</f>
        <v>-401943.55024190643</v>
      </c>
      <c r="AN324" t="s">
        <v>64</v>
      </c>
      <c r="AO324" t="s">
        <v>62</v>
      </c>
      <c r="AP324">
        <f t="shared" ref="AP324:AP387" si="23">_xlfn.SWITCH(PROPER(TRIM(M324)),
   "Annual",1,
   "Semi-Annual",2,
   "Quarterly",4,
   "Monthly",12,
   "")</f>
        <v>1</v>
      </c>
    </row>
    <row r="325" spans="1:42" x14ac:dyDescent="0.35">
      <c r="A325" s="48" t="s">
        <v>1136</v>
      </c>
      <c r="B325" s="49" t="s">
        <v>2606</v>
      </c>
      <c r="C325" s="49" t="s">
        <v>2273</v>
      </c>
      <c r="D325" s="50">
        <v>44854</v>
      </c>
      <c r="E325" s="50">
        <v>46680</v>
      </c>
      <c r="F325" s="49">
        <v>1000</v>
      </c>
      <c r="G325" s="49" t="s">
        <v>76</v>
      </c>
      <c r="H325" s="49">
        <v>1051.5</v>
      </c>
      <c r="I325" s="49" t="s">
        <v>76</v>
      </c>
      <c r="J325" s="49">
        <v>105.15</v>
      </c>
      <c r="K325" s="49">
        <v>100</v>
      </c>
      <c r="L325" s="51">
        <v>9.7500000000000003E-2</v>
      </c>
      <c r="M325" s="49" t="s">
        <v>93</v>
      </c>
      <c r="N325" s="49">
        <v>763</v>
      </c>
      <c r="O325" s="49">
        <v>9.2724679029957198</v>
      </c>
      <c r="P325" s="49"/>
      <c r="Q325" s="49"/>
      <c r="R325" s="49" t="s">
        <v>2275</v>
      </c>
      <c r="S325">
        <f t="shared" si="20"/>
        <v>5</v>
      </c>
      <c r="T325" s="5" cm="1">
        <f t="array" ref="T3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5">
        <f>Table1[[#This Row],[Term to Maturity (Years)]]*Table1[[#This Row],[Coupon Frequency2]]</f>
        <v>5</v>
      </c>
      <c r="V325">
        <f>Table1[[#This Row],[Face value]]*Table1[[#This Row],[Current coupon %]]</f>
        <v>97.5</v>
      </c>
      <c r="W325" s="36">
        <f>RATE(Table1[[#This Row],[Total No. of Coupons]],Table1[[#This Row],[Coupon Amount]],-Table1[[#This Row],[Ask Price]],Table1[[#This Row],[Face value]])</f>
        <v>8.4449859764653482E-2</v>
      </c>
      <c r="X325" s="27">
        <f>Table1[[#This Row],[IRR]]*Table1[[#This Row],[Coupon Frequency2]]</f>
        <v>8.4449859764653482E-2</v>
      </c>
      <c r="Y325" s="19" cm="1">
        <f t="array" ref="Y3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5" s="33">
        <f>DURATION(Table1[[#This Row],[Issue date]],Table1[[#This Row],[Maturity date]],Table1[[#This Row],[Current coupon %]],Table1[[#This Row],[Yield (Annualised)]],Table1[[#This Row],[Coupon Frequency2]])</f>
        <v>4.2089937396611701</v>
      </c>
      <c r="AA325" s="33">
        <f>Table1[[#This Row],[Macaulay Duration in Years]]/(1+Table1[[#This Row],[IRR]])</f>
        <v>3.8812248457246357</v>
      </c>
      <c r="AB325" s="58">
        <f>VLOOKUP(Table1[[#This Row],[Yield Cluster]],'Cluster Details'!$B$3:$C$16,2,0)</f>
        <v>7.8548801574189142E-2</v>
      </c>
      <c r="AC325" s="78">
        <f>PRICE(Table1[[#This Row],[Issue date]],Table1[[#This Row],[Maturity date]],Table1[[#This Row],[Current coupon %]],Table1[[#This Row],[Average Cluster Yield]],100,Table1[[#This Row],[Coupon Frequency2]])*Table1[[#This Row],[Face value]]/100</f>
        <v>1075.9569365376594</v>
      </c>
      <c r="AD325" s="58" t="str">
        <f>IF(Table1[[#This Row],[Ask Price]]&gt;Table1[[#This Row],[Calculated Bond Price]],"Rich","Cheap")</f>
        <v>Cheap</v>
      </c>
      <c r="AE3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1011.7282570955661</v>
      </c>
      <c r="AF3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1093.3946627527923</v>
      </c>
      <c r="AG325" s="78">
        <f>(Table1[[#This Row],[P (+ shock)]]+Table1[[#This Row],[P (-shock)]]-2*Table1[[#This Row],[Ask Price]])/(2*Table1[[#This Row],[Ask Price]]*($AF$2^2))</f>
        <v>10.094721104890056</v>
      </c>
      <c r="AH325">
        <v>11.9404886369419</v>
      </c>
      <c r="AI325" s="6">
        <f t="shared" si="21"/>
        <v>9.2724679029957208E-2</v>
      </c>
      <c r="AK325" s="47">
        <f>RATE(Table1[[#This Row],[Total No. of Coupons]],Table1[[#This Row],[Coupon Amount]],-Table1[[#This Row],[Ask Price]],Table1[[#This Row],[Face value]])</f>
        <v>8.4449859764653482E-2</v>
      </c>
      <c r="AL325" s="27">
        <f>Table1[[#This Row],[IRR]]*Table1[[#This Row],[Coupon Frequency2]]</f>
        <v>8.4449859764653482E-2</v>
      </c>
      <c r="AM325" s="5">
        <f t="shared" si="22"/>
        <v>-4081.1079252794543</v>
      </c>
      <c r="AN325" t="s">
        <v>64</v>
      </c>
      <c r="AO325" t="s">
        <v>62</v>
      </c>
      <c r="AP325">
        <f t="shared" si="23"/>
        <v>1</v>
      </c>
    </row>
    <row r="326" spans="1:42" x14ac:dyDescent="0.35">
      <c r="A326" s="48" t="s">
        <v>741</v>
      </c>
      <c r="B326" s="49" t="s">
        <v>2607</v>
      </c>
      <c r="C326" s="49" t="s">
        <v>2273</v>
      </c>
      <c r="D326" s="50">
        <v>43502</v>
      </c>
      <c r="E326" s="50">
        <v>47155</v>
      </c>
      <c r="F326" s="49">
        <v>1000</v>
      </c>
      <c r="G326" s="49" t="s">
        <v>76</v>
      </c>
      <c r="H326" s="49">
        <v>1082</v>
      </c>
      <c r="I326" s="49" t="s">
        <v>76</v>
      </c>
      <c r="J326" s="49">
        <v>108.2</v>
      </c>
      <c r="K326" s="49">
        <v>25</v>
      </c>
      <c r="L326" s="51">
        <v>9.6999999999999989E-2</v>
      </c>
      <c r="M326" s="49" t="s">
        <v>93</v>
      </c>
      <c r="N326" s="49">
        <v>1238</v>
      </c>
      <c r="O326" s="49">
        <v>8.9648798521256907</v>
      </c>
      <c r="P326" s="49" t="s">
        <v>2285</v>
      </c>
      <c r="Q326" s="49"/>
      <c r="R326" s="49" t="s">
        <v>2275</v>
      </c>
      <c r="S326">
        <f t="shared" si="20"/>
        <v>10</v>
      </c>
      <c r="T326" s="5" cm="1">
        <f t="array" ref="T3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6">
        <f>Table1[[#This Row],[Term to Maturity (Years)]]*Table1[[#This Row],[Coupon Frequency2]]</f>
        <v>10</v>
      </c>
      <c r="V326">
        <f>Table1[[#This Row],[Face value]]*Table1[[#This Row],[Current coupon %]]</f>
        <v>96.999999999999986</v>
      </c>
      <c r="W326" s="36">
        <f>RATE(Table1[[#This Row],[Total No. of Coupons]],Table1[[#This Row],[Coupon Amount]],-Table1[[#This Row],[Ask Price]],Table1[[#This Row],[Face value]])</f>
        <v>8.4528794468079857E-2</v>
      </c>
      <c r="X326" s="27">
        <f>Table1[[#This Row],[IRR]]*Table1[[#This Row],[Coupon Frequency2]]</f>
        <v>8.4528794468079857E-2</v>
      </c>
      <c r="Y326" s="19" cm="1">
        <f t="array" ref="Y3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6" s="33">
        <f>DURATION(Table1[[#This Row],[Issue date]],Table1[[#This Row],[Maturity date]],Table1[[#This Row],[Current coupon %]],Table1[[#This Row],[Yield (Annualised)]],Table1[[#This Row],[Coupon Frequency2]])</f>
        <v>6.9571529453903551</v>
      </c>
      <c r="AA326" s="33">
        <f>Table1[[#This Row],[Macaulay Duration in Years]]/(1+Table1[[#This Row],[IRR]])</f>
        <v>6.4149084661256719</v>
      </c>
      <c r="AB326" s="58">
        <f>VLOOKUP(Table1[[#This Row],[Yield Cluster]],'Cluster Details'!$B$3:$C$16,2,0)</f>
        <v>7.8548801574189142E-2</v>
      </c>
      <c r="AC326" s="78">
        <f>PRICE(Table1[[#This Row],[Issue date]],Table1[[#This Row],[Maturity date]],Table1[[#This Row],[Current coupon %]],Table1[[#This Row],[Average Cluster Yield]],100,Table1[[#This Row],[Coupon Frequency2]])*Table1[[#This Row],[Face value]]/100</f>
        <v>1124.6235564479978</v>
      </c>
      <c r="AD326" s="58" t="str">
        <f>IF(Table1[[#This Row],[Ask Price]]&gt;Table1[[#This Row],[Calculated Bond Price]],"Rich","Cheap")</f>
        <v>Cheap</v>
      </c>
      <c r="AE3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1015.5480435630773</v>
      </c>
      <c r="AF3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1154.5765899396617</v>
      </c>
      <c r="AG326" s="78">
        <f>(Table1[[#This Row],[P (+ shock)]]+Table1[[#This Row],[P (-shock)]]-2*Table1[[#This Row],[Ask Price]])/(2*Table1[[#This Row],[Ask Price]]*($AF$2^2))</f>
        <v>28.302372933174748</v>
      </c>
      <c r="AH326">
        <v>11.5038115038115</v>
      </c>
      <c r="AI326" s="6">
        <f t="shared" si="21"/>
        <v>8.9648798521256914E-2</v>
      </c>
      <c r="AK326" s="47">
        <f>RATE(Table1[[#This Row],[Total No. of Coupons]],Table1[[#This Row],[Coupon Amount]],-Table1[[#This Row],[Ask Price]],Table1[[#This Row],[Face value]])</f>
        <v>8.4528794468079857E-2</v>
      </c>
      <c r="AL326" s="27">
        <f>Table1[[#This Row],[IRR]]*Table1[[#This Row],[Coupon Frequency2]]</f>
        <v>8.4528794468079857E-2</v>
      </c>
      <c r="AM326" s="5">
        <f t="shared" si="22"/>
        <v>-6940.9309603479769</v>
      </c>
      <c r="AN326" t="s">
        <v>64</v>
      </c>
      <c r="AO326" t="s">
        <v>62</v>
      </c>
      <c r="AP326">
        <f t="shared" si="23"/>
        <v>1</v>
      </c>
    </row>
    <row r="327" spans="1:42" x14ac:dyDescent="0.35">
      <c r="A327" s="48" t="s">
        <v>414</v>
      </c>
      <c r="B327" s="49" t="s">
        <v>2608</v>
      </c>
      <c r="C327" s="49" t="s">
        <v>2273</v>
      </c>
      <c r="D327" s="50">
        <v>45595</v>
      </c>
      <c r="E327" s="50">
        <v>47786</v>
      </c>
      <c r="F327" s="49">
        <v>1000</v>
      </c>
      <c r="G327" s="49" t="s">
        <v>76</v>
      </c>
      <c r="H327" s="49">
        <v>1075</v>
      </c>
      <c r="I327" s="49" t="s">
        <v>76</v>
      </c>
      <c r="J327" s="49">
        <v>107.5</v>
      </c>
      <c r="K327" s="49">
        <v>61</v>
      </c>
      <c r="L327" s="51">
        <v>0.10099999999999999</v>
      </c>
      <c r="M327" s="49" t="s">
        <v>93</v>
      </c>
      <c r="N327" s="49">
        <v>1869</v>
      </c>
      <c r="O327" s="49">
        <v>9.3953488372092995</v>
      </c>
      <c r="P327" s="49"/>
      <c r="Q327" s="49"/>
      <c r="R327" s="49" t="s">
        <v>2275</v>
      </c>
      <c r="S327">
        <f t="shared" si="20"/>
        <v>6</v>
      </c>
      <c r="T327" s="5" cm="1">
        <f t="array" ref="T3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7">
        <f>Table1[[#This Row],[Term to Maturity (Years)]]*Table1[[#This Row],[Coupon Frequency2]]</f>
        <v>6</v>
      </c>
      <c r="V327">
        <f>Table1[[#This Row],[Face value]]*Table1[[#This Row],[Current coupon %]]</f>
        <v>100.99999999999999</v>
      </c>
      <c r="W327" s="36">
        <f>RATE(Table1[[#This Row],[Total No. of Coupons]],Table1[[#This Row],[Coupon Amount]],-Table1[[#This Row],[Ask Price]],Table1[[#This Row],[Face value]])</f>
        <v>8.4551669728872639E-2</v>
      </c>
      <c r="X327" s="27">
        <f>Table1[[#This Row],[IRR]]*Table1[[#This Row],[Coupon Frequency2]]</f>
        <v>8.4551669728872639E-2</v>
      </c>
      <c r="Y327" s="19" cm="1">
        <f t="array" ref="Y3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7" s="33">
        <f>DURATION(Table1[[#This Row],[Issue date]],Table1[[#This Row],[Maturity date]],Table1[[#This Row],[Current coupon %]],Table1[[#This Row],[Yield (Annualised)]],Table1[[#This Row],[Coupon Frequency2]])</f>
        <v>4.8279841160167951</v>
      </c>
      <c r="AA327" s="33">
        <f>Table1[[#This Row],[Macaulay Duration in Years]]/(1+Table1[[#This Row],[IRR]])</f>
        <v>4.4515943783699532</v>
      </c>
      <c r="AB327" s="58">
        <f>VLOOKUP(Table1[[#This Row],[Yield Cluster]],'Cluster Details'!$B$3:$C$16,2,0)</f>
        <v>7.8548801574189142E-2</v>
      </c>
      <c r="AC327" s="78">
        <f>PRICE(Table1[[#This Row],[Issue date]],Table1[[#This Row],[Maturity date]],Table1[[#This Row],[Current coupon %]],Table1[[#This Row],[Average Cluster Yield]],100,Table1[[#This Row],[Coupon Frequency2]])*Table1[[#This Row],[Face value]]/100</f>
        <v>1104.2477014318038</v>
      </c>
      <c r="AD327" s="58" t="str">
        <f>IF(Table1[[#This Row],[Ask Price]]&gt;Table1[[#This Row],[Calculated Bond Price]],"Rich","Cheap")</f>
        <v>Cheap</v>
      </c>
      <c r="AE3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1028.5383019442429</v>
      </c>
      <c r="AF3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1124.3149091567579</v>
      </c>
      <c r="AG327" s="78">
        <f>(Table1[[#This Row],[P (+ shock)]]+Table1[[#This Row],[P (-shock)]]-2*Table1[[#This Row],[Ask Price]])/(2*Table1[[#This Row],[Ask Price]]*($AF$2^2))</f>
        <v>13.270749306980708</v>
      </c>
      <c r="AI327" s="6">
        <f t="shared" si="21"/>
        <v>9.3953488372093011E-2</v>
      </c>
      <c r="AK327" s="47">
        <f>RATE(Table1[[#This Row],[Total No. of Coupons]],Table1[[#This Row],[Coupon Amount]],-Table1[[#This Row],[Ask Price]],Table1[[#This Row],[Face value]])</f>
        <v>8.4551669728872639E-2</v>
      </c>
      <c r="AL327" s="27">
        <f>Table1[[#This Row],[IRR]]*Table1[[#This Row],[Coupon Frequency2]]</f>
        <v>8.4551669728872639E-2</v>
      </c>
      <c r="AM327" s="5">
        <f t="shared" si="22"/>
        <v>-4785.4639567476997</v>
      </c>
      <c r="AN327" t="s">
        <v>64</v>
      </c>
      <c r="AO327" t="s">
        <v>62</v>
      </c>
      <c r="AP327">
        <f t="shared" si="23"/>
        <v>1</v>
      </c>
    </row>
    <row r="328" spans="1:42" x14ac:dyDescent="0.35">
      <c r="A328" s="48" t="s">
        <v>1909</v>
      </c>
      <c r="B328" s="49" t="s">
        <v>2609</v>
      </c>
      <c r="C328" s="49" t="s">
        <v>2273</v>
      </c>
      <c r="D328" s="50">
        <v>45369</v>
      </c>
      <c r="E328" s="50">
        <v>46099</v>
      </c>
      <c r="F328" s="49">
        <v>100000</v>
      </c>
      <c r="G328" s="49" t="s">
        <v>76</v>
      </c>
      <c r="H328" s="49">
        <v>104492</v>
      </c>
      <c r="I328" s="49" t="s">
        <v>76</v>
      </c>
      <c r="J328" s="49">
        <v>104.492</v>
      </c>
      <c r="K328" s="49">
        <v>1</v>
      </c>
      <c r="L328" s="51">
        <v>0.11</v>
      </c>
      <c r="M328" s="49" t="s">
        <v>93</v>
      </c>
      <c r="N328" s="49">
        <v>182</v>
      </c>
      <c r="O328" s="49">
        <v>10.5271216935267</v>
      </c>
      <c r="P328" s="49"/>
      <c r="Q328" s="49"/>
      <c r="R328" s="49" t="s">
        <v>2275</v>
      </c>
      <c r="S328">
        <f t="shared" si="20"/>
        <v>2</v>
      </c>
      <c r="T328" s="5" cm="1">
        <f t="array" ref="T3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8">
        <f>Table1[[#This Row],[Term to Maturity (Years)]]*Table1[[#This Row],[Coupon Frequency2]]</f>
        <v>2</v>
      </c>
      <c r="V328">
        <f>Table1[[#This Row],[Face value]]*Table1[[#This Row],[Current coupon %]]</f>
        <v>11000</v>
      </c>
      <c r="W328" s="36">
        <f>RATE(Table1[[#This Row],[Total No. of Coupons]],Table1[[#This Row],[Coupon Amount]],-Table1[[#This Row],[Ask Price]],Table1[[#This Row],[Face value]])</f>
        <v>8.4649555690206338E-2</v>
      </c>
      <c r="X328" s="27">
        <f>Table1[[#This Row],[IRR]]*Table1[[#This Row],[Coupon Frequency2]]</f>
        <v>8.4649555690206338E-2</v>
      </c>
      <c r="Y328" s="19" cm="1">
        <f t="array" ref="Y3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8" s="33">
        <f>DURATION(Table1[[#This Row],[Issue date]],Table1[[#This Row],[Maturity date]],Table1[[#This Row],[Current coupon %]],Table1[[#This Row],[Yield (Annualised)]],Table1[[#This Row],[Coupon Frequency2]])</f>
        <v>1.9029444889522134</v>
      </c>
      <c r="AA328" s="33">
        <f>Table1[[#This Row],[Macaulay Duration in Years]]/(1+Table1[[#This Row],[IRR]])</f>
        <v>1.7544325528638538</v>
      </c>
      <c r="AB328" s="58">
        <f>VLOOKUP(Table1[[#This Row],[Yield Cluster]],'Cluster Details'!$B$3:$C$16,2,0)</f>
        <v>7.8548801574189142E-2</v>
      </c>
      <c r="AC328" s="78">
        <f>PRICE(Table1[[#This Row],[Issue date]],Table1[[#This Row],[Maturity date]],Table1[[#This Row],[Current coupon %]],Table1[[#This Row],[Average Cluster Yield]],100,Table1[[#This Row],[Coupon Frequency2]])*Table1[[#This Row],[Face value]]/100</f>
        <v>105619.76070160035</v>
      </c>
      <c r="AD328" s="58" t="str">
        <f>IF(Table1[[#This Row],[Ask Price]]&gt;Table1[[#This Row],[Calculated Bond Price]],"Rich","Cheap")</f>
        <v>Cheap</v>
      </c>
      <c r="AE3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102683.3796019791</v>
      </c>
      <c r="AF3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106350.47041518119</v>
      </c>
      <c r="AG328" s="78">
        <f>(Table1[[#This Row],[P (+ shock)]]+Table1[[#This Row],[P (-shock)]]-2*Table1[[#This Row],[Ask Price]])/(2*Table1[[#This Row],[Ask Price]]*($AF$2^2))</f>
        <v>2.3853508957764058</v>
      </c>
      <c r="AH328">
        <v>4.1071324429929401</v>
      </c>
      <c r="AI328" s="6">
        <f t="shared" si="21"/>
        <v>0.10527121693526777</v>
      </c>
      <c r="AK328" s="47">
        <f>RATE(Table1[[#This Row],[Total No. of Coupons]],Table1[[#This Row],[Coupon Amount]],-Table1[[#This Row],[Ask Price]],Table1[[#This Row],[Face value]])</f>
        <v>8.4649555690206338E-2</v>
      </c>
      <c r="AL328" s="27">
        <f>Table1[[#This Row],[IRR]]*Table1[[#This Row],[Coupon Frequency2]]</f>
        <v>8.4649555690206338E-2</v>
      </c>
      <c r="AM328" s="5">
        <f t="shared" si="22"/>
        <v>-183324.1663138498</v>
      </c>
      <c r="AN328" t="s">
        <v>64</v>
      </c>
      <c r="AO328" t="s">
        <v>62</v>
      </c>
      <c r="AP328">
        <f t="shared" si="23"/>
        <v>1</v>
      </c>
    </row>
    <row r="329" spans="1:42" x14ac:dyDescent="0.35">
      <c r="A329" s="48" t="s">
        <v>2013</v>
      </c>
      <c r="B329" s="49" t="s">
        <v>2610</v>
      </c>
      <c r="C329" s="49" t="s">
        <v>2273</v>
      </c>
      <c r="D329" s="50">
        <v>44204</v>
      </c>
      <c r="E329" s="50">
        <v>46030</v>
      </c>
      <c r="F329" s="49">
        <v>1000</v>
      </c>
      <c r="G329" s="49" t="s">
        <v>76</v>
      </c>
      <c r="H329" s="49">
        <v>1052</v>
      </c>
      <c r="I329" s="49" t="s">
        <v>76</v>
      </c>
      <c r="J329" s="49">
        <v>105.2</v>
      </c>
      <c r="K329" s="49">
        <v>39</v>
      </c>
      <c r="L329" s="51">
        <v>9.8000000000000004E-2</v>
      </c>
      <c r="M329" s="49" t="s">
        <v>93</v>
      </c>
      <c r="N329" s="49">
        <v>113</v>
      </c>
      <c r="O329" s="49">
        <v>9.3155893536121592</v>
      </c>
      <c r="P329" s="49"/>
      <c r="Q329" s="49"/>
      <c r="R329" s="49" t="s">
        <v>2275</v>
      </c>
      <c r="S329">
        <f t="shared" si="20"/>
        <v>5</v>
      </c>
      <c r="T329" s="5" cm="1">
        <f t="array" ref="T3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29">
        <f>Table1[[#This Row],[Term to Maturity (Years)]]*Table1[[#This Row],[Coupon Frequency2]]</f>
        <v>5</v>
      </c>
      <c r="V329">
        <f>Table1[[#This Row],[Face value]]*Table1[[#This Row],[Current coupon %]]</f>
        <v>98</v>
      </c>
      <c r="W329" s="36">
        <f>RATE(Table1[[#This Row],[Total No. of Coupons]],Table1[[#This Row],[Coupon Amount]],-Table1[[#This Row],[Ask Price]],Table1[[#This Row],[Face value]])</f>
        <v>8.4810712102487432E-2</v>
      </c>
      <c r="X329" s="27">
        <f>Table1[[#This Row],[IRR]]*Table1[[#This Row],[Coupon Frequency2]]</f>
        <v>8.4810712102487432E-2</v>
      </c>
      <c r="Y329" s="19" cm="1">
        <f t="array" ref="Y3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29" s="33">
        <f>DURATION(Table1[[#This Row],[Issue date]],Table1[[#This Row],[Maturity date]],Table1[[#This Row],[Current coupon %]],Table1[[#This Row],[Yield (Annualised)]],Table1[[#This Row],[Coupon Frequency2]])</f>
        <v>4.205822856000256</v>
      </c>
      <c r="AA329" s="33">
        <f>Table1[[#This Row],[Macaulay Duration in Years]]/(1+Table1[[#This Row],[IRR]])</f>
        <v>3.8770108085021482</v>
      </c>
      <c r="AB329" s="58">
        <f>VLOOKUP(Table1[[#This Row],[Yield Cluster]],'Cluster Details'!$B$3:$C$16,2,0)</f>
        <v>7.8548801574189142E-2</v>
      </c>
      <c r="AC329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1077.9609506066117</v>
      </c>
      <c r="AD329" s="58" t="str">
        <f>IF(Table1[[#This Row],[Ask Price]]&gt;Table1[[#This Row],[Calculated Bond Price]],"Rich","Cheap")</f>
        <v>Cheap</v>
      </c>
      <c r="AE3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1012.2519069299117</v>
      </c>
      <c r="AF3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1093.8683852001625</v>
      </c>
      <c r="AG329" s="78">
        <f>(Table1[[#This Row],[P (+ shock)]]+Table1[[#This Row],[P (-shock)]]-2*Table1[[#This Row],[Ask Price]])/(2*Table1[[#This Row],[Ask Price]]*($AF$2^2))</f>
        <v>10.077434078299317</v>
      </c>
      <c r="AH329">
        <v>48.669298560433802</v>
      </c>
      <c r="AI329" s="6">
        <f t="shared" si="21"/>
        <v>9.3155893536121678E-2</v>
      </c>
      <c r="AK329" s="47">
        <f>RATE(Table1[[#This Row],[Total No. of Coupons]],Table1[[#This Row],[Coupon Amount]],-Table1[[#This Row],[Ask Price]],Table1[[#This Row],[Face value]])</f>
        <v>8.4810712102487432E-2</v>
      </c>
      <c r="AL329" s="27">
        <f>Table1[[#This Row],[IRR]]*Table1[[#This Row],[Coupon Frequency2]]</f>
        <v>8.4810712102487432E-2</v>
      </c>
      <c r="AM329" s="5">
        <f t="shared" si="22"/>
        <v>-4078.6153705442598</v>
      </c>
      <c r="AN329" t="s">
        <v>64</v>
      </c>
      <c r="AO329" t="s">
        <v>62</v>
      </c>
      <c r="AP329">
        <f t="shared" si="23"/>
        <v>1</v>
      </c>
    </row>
    <row r="330" spans="1:42" x14ac:dyDescent="0.35">
      <c r="A330" s="48" t="s">
        <v>164</v>
      </c>
      <c r="B330" s="49" t="s">
        <v>2611</v>
      </c>
      <c r="C330" s="49" t="s">
        <v>2273</v>
      </c>
      <c r="D330" s="50">
        <v>45421</v>
      </c>
      <c r="E330" s="50">
        <v>49073</v>
      </c>
      <c r="F330" s="49">
        <v>1000</v>
      </c>
      <c r="G330" s="49" t="s">
        <v>76</v>
      </c>
      <c r="H330" s="49">
        <v>1080</v>
      </c>
      <c r="I330" s="49" t="s">
        <v>76</v>
      </c>
      <c r="J330" s="49">
        <v>108</v>
      </c>
      <c r="K330" s="49">
        <v>530</v>
      </c>
      <c r="L330" s="51">
        <v>9.6999999999999989E-2</v>
      </c>
      <c r="M330" s="49" t="s">
        <v>93</v>
      </c>
      <c r="N330" s="49">
        <v>3156</v>
      </c>
      <c r="O330" s="49">
        <v>8.9814814814814792</v>
      </c>
      <c r="P330" s="49"/>
      <c r="Q330" s="49"/>
      <c r="R330" s="49" t="s">
        <v>2275</v>
      </c>
      <c r="S330">
        <f t="shared" si="20"/>
        <v>10</v>
      </c>
      <c r="T330" s="5" cm="1">
        <f t="array" ref="T3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0">
        <f>Table1[[#This Row],[Term to Maturity (Years)]]*Table1[[#This Row],[Coupon Frequency2]]</f>
        <v>10</v>
      </c>
      <c r="V330">
        <f>Table1[[#This Row],[Face value]]*Table1[[#This Row],[Current coupon %]]</f>
        <v>96.999999999999986</v>
      </c>
      <c r="W330" s="36">
        <f>RATE(Table1[[#This Row],[Total No. of Coupons]],Table1[[#This Row],[Coupon Amount]],-Table1[[#This Row],[Ask Price]],Table1[[#This Row],[Face value]])</f>
        <v>8.4817306779056245E-2</v>
      </c>
      <c r="X330" s="27">
        <f>Table1[[#This Row],[IRR]]*Table1[[#This Row],[Coupon Frequency2]]</f>
        <v>8.4817306779056245E-2</v>
      </c>
      <c r="Y330" s="19" cm="1">
        <f t="array" ref="Y3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0" s="33">
        <f>DURATION(Table1[[#This Row],[Issue date]],Table1[[#This Row],[Maturity date]],Table1[[#This Row],[Current coupon %]],Table1[[#This Row],[Yield (Annualised)]],Table1[[#This Row],[Coupon Frequency2]])</f>
        <v>6.9541853462744623</v>
      </c>
      <c r="AA330" s="33">
        <f>Table1[[#This Row],[Macaulay Duration in Years]]/(1+Table1[[#This Row],[IRR]])</f>
        <v>6.4104668157647806</v>
      </c>
      <c r="AB330" s="58">
        <f>VLOOKUP(Table1[[#This Row],[Yield Cluster]],'Cluster Details'!$B$3:$C$16,2,0)</f>
        <v>7.8548801574189142E-2</v>
      </c>
      <c r="AC330" s="78">
        <f>PRICE(Table1[[#This Row],[Issue date]],Table1[[#This Row],[Maturity date]],Table1[[#This Row],[Current coupon %]],Table1[[#This Row],[Average Cluster Yield]],100,Table1[[#This Row],[Coupon Frequency2]])*Table1[[#This Row],[Face value]]/100</f>
        <v>1124.6235564479978</v>
      </c>
      <c r="AD330" s="58" t="str">
        <f>IF(Table1[[#This Row],[Ask Price]]&gt;Table1[[#This Row],[Calculated Bond Price]],"Rich","Cheap")</f>
        <v>Cheap</v>
      </c>
      <c r="AE3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1013.7155838832276</v>
      </c>
      <c r="AF3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1152.3909009824354</v>
      </c>
      <c r="AG330" s="78">
        <f>(Table1[[#This Row],[P (+ shock)]]+Table1[[#This Row],[P (-shock)]]-2*Table1[[#This Row],[Ask Price]])/(2*Table1[[#This Row],[Ask Price]]*($AF$2^2))</f>
        <v>28.270763266957768</v>
      </c>
      <c r="AI330" s="6">
        <f t="shared" si="21"/>
        <v>8.9814814814814806E-2</v>
      </c>
      <c r="AK330" s="47">
        <f>RATE(Table1[[#This Row],[Total No. of Coupons]],Table1[[#This Row],[Coupon Amount]],-Table1[[#This Row],[Ask Price]],Table1[[#This Row],[Face value]])</f>
        <v>8.4817306779056245E-2</v>
      </c>
      <c r="AL330" s="27">
        <f>Table1[[#This Row],[IRR]]*Table1[[#This Row],[Coupon Frequency2]]</f>
        <v>8.4817306779056245E-2</v>
      </c>
      <c r="AM330" s="5">
        <f t="shared" si="22"/>
        <v>-6923.3041610259634</v>
      </c>
      <c r="AN330" t="s">
        <v>64</v>
      </c>
      <c r="AO330" t="s">
        <v>62</v>
      </c>
      <c r="AP330">
        <f t="shared" si="23"/>
        <v>1</v>
      </c>
    </row>
    <row r="331" spans="1:42" x14ac:dyDescent="0.35">
      <c r="A331" s="48" t="s">
        <v>1399</v>
      </c>
      <c r="B331" s="49" t="s">
        <v>2612</v>
      </c>
      <c r="C331" s="49" t="s">
        <v>2273</v>
      </c>
      <c r="D331" s="50">
        <v>44958</v>
      </c>
      <c r="E331" s="50">
        <v>46419</v>
      </c>
      <c r="F331" s="49">
        <v>1000</v>
      </c>
      <c r="G331" s="49" t="s">
        <v>76</v>
      </c>
      <c r="H331" s="49">
        <v>1007</v>
      </c>
      <c r="I331" s="49" t="s">
        <v>76</v>
      </c>
      <c r="J331" s="49">
        <v>100.69999999999899</v>
      </c>
      <c r="K331" s="49">
        <v>20</v>
      </c>
      <c r="L331" s="51">
        <v>8.6999999999999994E-2</v>
      </c>
      <c r="M331" s="49" t="s">
        <v>93</v>
      </c>
      <c r="N331" s="49">
        <v>502</v>
      </c>
      <c r="O331" s="49">
        <v>8.6395233366434905</v>
      </c>
      <c r="P331" s="49"/>
      <c r="Q331" s="49"/>
      <c r="R331" s="49" t="s">
        <v>2275</v>
      </c>
      <c r="S331">
        <f t="shared" si="20"/>
        <v>4</v>
      </c>
      <c r="T331" s="5" cm="1">
        <f t="array" ref="T3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1">
        <f>Table1[[#This Row],[Term to Maturity (Years)]]*Table1[[#This Row],[Coupon Frequency2]]</f>
        <v>4</v>
      </c>
      <c r="V331">
        <f>Table1[[#This Row],[Face value]]*Table1[[#This Row],[Current coupon %]]</f>
        <v>87</v>
      </c>
      <c r="W331" s="36">
        <f>RATE(Table1[[#This Row],[Total No. of Coupons]],Table1[[#This Row],[Coupon Amount]],-Table1[[#This Row],[Ask Price]],Table1[[#This Row],[Face value]])</f>
        <v>8.4863628868875718E-2</v>
      </c>
      <c r="X331" s="27">
        <f>Table1[[#This Row],[IRR]]*Table1[[#This Row],[Coupon Frequency2]]</f>
        <v>8.4863628868875718E-2</v>
      </c>
      <c r="Y331" s="19" cm="1">
        <f t="array" ref="Y3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1" s="33">
        <f>DURATION(Table1[[#This Row],[Issue date]],Table1[[#This Row],[Maturity date]],Table1[[#This Row],[Current coupon %]],Table1[[#This Row],[Yield (Annualised)]],Table1[[#This Row],[Coupon Frequency2]])</f>
        <v>3.5466094248702493</v>
      </c>
      <c r="AA331" s="33">
        <f>Table1[[#This Row],[Macaulay Duration in Years]]/(1+Table1[[#This Row],[IRR]])</f>
        <v>3.2691753419442153</v>
      </c>
      <c r="AB331" s="58">
        <f>VLOOKUP(Table1[[#This Row],[Yield Cluster]],'Cluster Details'!$B$3:$C$16,2,0)</f>
        <v>7.8548801574189142E-2</v>
      </c>
      <c r="AC331" s="78">
        <f>PRICE(Table1[[#This Row],[Issue date]],Table1[[#This Row],[Maturity date]],Table1[[#This Row],[Current coupon %]],Table1[[#This Row],[Average Cluster Yield]],100,Table1[[#This Row],[Coupon Frequency2]])*Table1[[#This Row],[Face value]]/100</f>
        <v>1028.0820980275982</v>
      </c>
      <c r="AD331" s="58" t="str">
        <f>IF(Table1[[#This Row],[Ask Price]]&gt;Table1[[#This Row],[Calculated Bond Price]],"Rich","Cheap")</f>
        <v>Cheap</v>
      </c>
      <c r="AE3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974.79365745576786</v>
      </c>
      <c r="AF3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1040.6610956808684</v>
      </c>
      <c r="AG331" s="78">
        <f>(Table1[[#This Row],[P (+ shock)]]+Table1[[#This Row],[P (-shock)]]-2*Table1[[#This Row],[Ask Price]])/(2*Table1[[#This Row],[Ask Price]]*($AF$2^2))</f>
        <v>7.2232032603579928</v>
      </c>
      <c r="AI331" s="6">
        <f t="shared" si="21"/>
        <v>8.6395233366434954E-2</v>
      </c>
      <c r="AK331" s="47">
        <f>RATE(Table1[[#This Row],[Total No. of Coupons]],Table1[[#This Row],[Coupon Amount]],-Table1[[#This Row],[Ask Price]],Table1[[#This Row],[Face value]])</f>
        <v>8.4863628868875718E-2</v>
      </c>
      <c r="AL331" s="27">
        <f>Table1[[#This Row],[IRR]]*Table1[[#This Row],[Coupon Frequency2]]</f>
        <v>8.4863628868875718E-2</v>
      </c>
      <c r="AM331" s="5">
        <f t="shared" si="22"/>
        <v>-3292.059569337825</v>
      </c>
      <c r="AN331" t="s">
        <v>64</v>
      </c>
      <c r="AO331" t="s">
        <v>62</v>
      </c>
      <c r="AP331">
        <f t="shared" si="23"/>
        <v>1</v>
      </c>
    </row>
    <row r="332" spans="1:42" x14ac:dyDescent="0.35">
      <c r="A332" s="48" t="s">
        <v>1724</v>
      </c>
      <c r="B332" s="49" t="s">
        <v>2613</v>
      </c>
      <c r="C332" s="49" t="s">
        <v>2273</v>
      </c>
      <c r="D332" s="50">
        <v>44400</v>
      </c>
      <c r="E332" s="50">
        <v>46226</v>
      </c>
      <c r="F332" s="49">
        <v>1000</v>
      </c>
      <c r="G332" s="49" t="s">
        <v>76</v>
      </c>
      <c r="H332" s="49">
        <v>1010</v>
      </c>
      <c r="I332" s="49" t="s">
        <v>76</v>
      </c>
      <c r="J332" s="49">
        <v>101</v>
      </c>
      <c r="K332" s="49">
        <v>31</v>
      </c>
      <c r="L332" s="51">
        <v>8.7499999999999994E-2</v>
      </c>
      <c r="M332" s="49" t="s">
        <v>93</v>
      </c>
      <c r="N332" s="49">
        <v>309</v>
      </c>
      <c r="O332" s="49">
        <v>8.6633663366336595</v>
      </c>
      <c r="P332" s="49" t="s">
        <v>2282</v>
      </c>
      <c r="Q332" s="49"/>
      <c r="R332" s="49" t="s">
        <v>2275</v>
      </c>
      <c r="S332">
        <f t="shared" si="20"/>
        <v>5</v>
      </c>
      <c r="T332" s="5" cm="1">
        <f t="array" ref="T3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2">
        <f>Table1[[#This Row],[Term to Maturity (Years)]]*Table1[[#This Row],[Coupon Frequency2]]</f>
        <v>5</v>
      </c>
      <c r="V332">
        <f>Table1[[#This Row],[Face value]]*Table1[[#This Row],[Current coupon %]]</f>
        <v>87.5</v>
      </c>
      <c r="W332" s="36">
        <f>RATE(Table1[[#This Row],[Total No. of Coupons]],Table1[[#This Row],[Coupon Amount]],-Table1[[#This Row],[Ask Price]],Table1[[#This Row],[Face value]])</f>
        <v>8.4962590726805481E-2</v>
      </c>
      <c r="X332" s="27">
        <f>Table1[[#This Row],[IRR]]*Table1[[#This Row],[Coupon Frequency2]]</f>
        <v>8.4962590726805481E-2</v>
      </c>
      <c r="Y332" s="19" cm="1">
        <f t="array" ref="Y3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2" s="33">
        <f>DURATION(Table1[[#This Row],[Issue date]],Table1[[#This Row],[Maturity date]],Table1[[#This Row],[Current coupon %]],Table1[[#This Row],[Yield (Annualised)]],Table1[[#This Row],[Coupon Frequency2]])</f>
        <v>4.2616250440415051</v>
      </c>
      <c r="AA332" s="33">
        <f>Table1[[#This Row],[Macaulay Duration in Years]]/(1+Table1[[#This Row],[IRR]])</f>
        <v>3.9279004460298355</v>
      </c>
      <c r="AB332" s="58">
        <f>VLOOKUP(Table1[[#This Row],[Yield Cluster]],'Cluster Details'!$B$3:$C$16,2,0)</f>
        <v>7.8548801574189142E-2</v>
      </c>
      <c r="AC33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1035.8766551586157</v>
      </c>
      <c r="AD332" s="58" t="str">
        <f>IF(Table1[[#This Row],[Ask Price]]&gt;Table1[[#This Row],[Calculated Bond Price]],"Rich","Cheap")</f>
        <v>Cheap</v>
      </c>
      <c r="AE3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971.34306485724676</v>
      </c>
      <c r="AF3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1050.729956123098</v>
      </c>
      <c r="AG332" s="78">
        <f>(Table1[[#This Row],[P (+ shock)]]+Table1[[#This Row],[P (-shock)]]-2*Table1[[#This Row],[Ask Price]])/(2*Table1[[#This Row],[Ask Price]]*($AF$2^2))</f>
        <v>10.262480100715884</v>
      </c>
      <c r="AH332">
        <v>12.029822508774901</v>
      </c>
      <c r="AI332" s="6">
        <f t="shared" si="21"/>
        <v>8.6633663366336627E-2</v>
      </c>
      <c r="AK332" s="47">
        <f>RATE(Table1[[#This Row],[Total No. of Coupons]],Table1[[#This Row],[Coupon Amount]],-Table1[[#This Row],[Ask Price]],Table1[[#This Row],[Face value]])</f>
        <v>8.4962590726805481E-2</v>
      </c>
      <c r="AL332" s="27">
        <f>Table1[[#This Row],[IRR]]*Table1[[#This Row],[Coupon Frequency2]]</f>
        <v>8.4962590726805481E-2</v>
      </c>
      <c r="AM332" s="5">
        <f t="shared" si="22"/>
        <v>-3967.1794504901336</v>
      </c>
      <c r="AN332" t="s">
        <v>64</v>
      </c>
      <c r="AO332" t="s">
        <v>62</v>
      </c>
      <c r="AP332">
        <f t="shared" si="23"/>
        <v>1</v>
      </c>
    </row>
    <row r="333" spans="1:42" x14ac:dyDescent="0.35">
      <c r="A333" s="48" t="s">
        <v>828</v>
      </c>
      <c r="B333" s="49" t="s">
        <v>2614</v>
      </c>
      <c r="C333" s="49" t="s">
        <v>2273</v>
      </c>
      <c r="D333" s="50">
        <v>45233</v>
      </c>
      <c r="E333" s="50">
        <v>47060</v>
      </c>
      <c r="F333" s="49">
        <v>1000</v>
      </c>
      <c r="G333" s="49" t="s">
        <v>76</v>
      </c>
      <c r="H333" s="49">
        <v>1027.23</v>
      </c>
      <c r="I333" s="49" t="s">
        <v>76</v>
      </c>
      <c r="J333" s="49">
        <v>102.723</v>
      </c>
      <c r="K333" s="49">
        <v>200</v>
      </c>
      <c r="L333" s="51">
        <v>9.1999999999999998E-2</v>
      </c>
      <c r="M333" s="49" t="s">
        <v>93</v>
      </c>
      <c r="N333" s="49">
        <v>1143</v>
      </c>
      <c r="O333" s="49">
        <v>8.9561247237716906</v>
      </c>
      <c r="P333" s="49"/>
      <c r="Q333" s="49"/>
      <c r="R333" s="49" t="s">
        <v>2275</v>
      </c>
      <c r="S333">
        <f t="shared" si="20"/>
        <v>5</v>
      </c>
      <c r="T333" s="5" cm="1">
        <f t="array" ref="T3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3">
        <f>Table1[[#This Row],[Term to Maturity (Years)]]*Table1[[#This Row],[Coupon Frequency2]]</f>
        <v>5</v>
      </c>
      <c r="V333">
        <f>Table1[[#This Row],[Face value]]*Table1[[#This Row],[Current coupon %]]</f>
        <v>92</v>
      </c>
      <c r="W333" s="36">
        <f>RATE(Table1[[#This Row],[Total No. of Coupons]],Table1[[#This Row],[Coupon Amount]],-Table1[[#This Row],[Ask Price]],Table1[[#This Row],[Face value]])</f>
        <v>8.5088361807596088E-2</v>
      </c>
      <c r="X333" s="27">
        <f>Table1[[#This Row],[IRR]]*Table1[[#This Row],[Coupon Frequency2]]</f>
        <v>8.5088361807596088E-2</v>
      </c>
      <c r="Y333" s="19" cm="1">
        <f t="array" ref="Y3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3" s="33">
        <f>DURATION(Table1[[#This Row],[Issue date]],Table1[[#This Row],[Maturity date]],Table1[[#This Row],[Current coupon %]],Table1[[#This Row],[Yield (Annualised)]],Table1[[#This Row],[Coupon Frequency2]])</f>
        <v>4.236843279563824</v>
      </c>
      <c r="AA333" s="33">
        <f>Table1[[#This Row],[Macaulay Duration in Years]]/(1+Table1[[#This Row],[IRR]])</f>
        <v>3.904606692588493</v>
      </c>
      <c r="AB333" s="58">
        <f>VLOOKUP(Table1[[#This Row],[Yield Cluster]],'Cluster Details'!$B$3:$C$16,2,0)</f>
        <v>7.8548801574189142E-2</v>
      </c>
      <c r="AC333" s="78">
        <f>PRICE(Table1[[#This Row],[Issue date]],Table1[[#This Row],[Maturity date]],Table1[[#This Row],[Current coupon %]],Table1[[#This Row],[Average Cluster Yield]],100,Table1[[#This Row],[Coupon Frequency2]])*Table1[[#This Row],[Face value]]/100</f>
        <v>1053.9127817791853</v>
      </c>
      <c r="AD333" s="58" t="str">
        <f>IF(Table1[[#This Row],[Ask Price]]&gt;Table1[[#This Row],[Calculated Bond Price]],"Rich","Cheap")</f>
        <v>Cheap</v>
      </c>
      <c r="AE3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988.14428723507865</v>
      </c>
      <c r="AF3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1068.4064838888035</v>
      </c>
      <c r="AG333" s="78">
        <f>(Table1[[#This Row],[P (+ shock)]]+Table1[[#This Row],[P (-shock)]]-2*Table1[[#This Row],[Ask Price]])/(2*Table1[[#This Row],[Ask Price]]*($AF$2^2))</f>
        <v>10.176742909971233</v>
      </c>
      <c r="AI333" s="6">
        <f t="shared" si="21"/>
        <v>8.9561247237716968E-2</v>
      </c>
      <c r="AK333" s="47">
        <f>RATE(Table1[[#This Row],[Total No. of Coupons]],Table1[[#This Row],[Coupon Amount]],-Table1[[#This Row],[Ask Price]],Table1[[#This Row],[Face value]])</f>
        <v>8.5088361807596088E-2</v>
      </c>
      <c r="AL333" s="27">
        <f>Table1[[#This Row],[IRR]]*Table1[[#This Row],[Coupon Frequency2]]</f>
        <v>8.5088361807596088E-2</v>
      </c>
      <c r="AM333" s="5">
        <f t="shared" si="22"/>
        <v>-4010.9291328276777</v>
      </c>
      <c r="AN333" t="s">
        <v>69</v>
      </c>
      <c r="AO333" t="s">
        <v>62</v>
      </c>
      <c r="AP333">
        <f t="shared" si="23"/>
        <v>1</v>
      </c>
    </row>
    <row r="334" spans="1:42" x14ac:dyDescent="0.35">
      <c r="A334" s="48" t="s">
        <v>2138</v>
      </c>
      <c r="B334" s="49" t="s">
        <v>2615</v>
      </c>
      <c r="C334" s="49" t="s">
        <v>2273</v>
      </c>
      <c r="D334" s="50">
        <v>44841</v>
      </c>
      <c r="E334" s="50">
        <v>45937</v>
      </c>
      <c r="F334" s="49">
        <v>1000000</v>
      </c>
      <c r="G334" s="49" t="s">
        <v>76</v>
      </c>
      <c r="H334" s="49">
        <v>994347.81</v>
      </c>
      <c r="I334" s="49" t="s">
        <v>76</v>
      </c>
      <c r="J334" s="49">
        <v>99.434781000000001</v>
      </c>
      <c r="K334" s="49">
        <v>1</v>
      </c>
      <c r="L334" s="51">
        <v>8.3000000000000004E-2</v>
      </c>
      <c r="M334" s="49" t="s">
        <v>93</v>
      </c>
      <c r="N334" s="49">
        <v>20</v>
      </c>
      <c r="O334" s="49">
        <v>8.3471798464563403</v>
      </c>
      <c r="P334" s="49"/>
      <c r="Q334" s="49"/>
      <c r="R334" s="49" t="s">
        <v>2275</v>
      </c>
      <c r="S334">
        <f t="shared" si="20"/>
        <v>3</v>
      </c>
      <c r="T334" s="5" cm="1">
        <f t="array" ref="T3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4">
        <f>Table1[[#This Row],[Term to Maturity (Years)]]*Table1[[#This Row],[Coupon Frequency2]]</f>
        <v>3</v>
      </c>
      <c r="V334">
        <f>Table1[[#This Row],[Face value]]*Table1[[#This Row],[Current coupon %]]</f>
        <v>83000</v>
      </c>
      <c r="W334" s="36">
        <f>RATE(Table1[[#This Row],[Total No. of Coupons]],Table1[[#This Row],[Coupon Amount]],-Table1[[#This Row],[Ask Price]],Table1[[#This Row],[Face value]])</f>
        <v>8.5213903161897669E-2</v>
      </c>
      <c r="X334" s="27">
        <f>Table1[[#This Row],[IRR]]*Table1[[#This Row],[Coupon Frequency2]]</f>
        <v>8.5213903161897669E-2</v>
      </c>
      <c r="Y334" s="19" cm="1">
        <f t="array" ref="Y3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4" s="33">
        <f>DURATION(Table1[[#This Row],[Issue date]],Table1[[#This Row],[Maturity date]],Table1[[#This Row],[Current coupon %]],Table1[[#This Row],[Yield (Annualised)]],Table1[[#This Row],[Coupon Frequency2]])</f>
        <v>2.7752876502672961</v>
      </c>
      <c r="AA334" s="33">
        <f>Table1[[#This Row],[Macaulay Duration in Years]]/(1+Table1[[#This Row],[IRR]])</f>
        <v>2.5573646284674116</v>
      </c>
      <c r="AB334" s="58">
        <f>VLOOKUP(Table1[[#This Row],[Yield Cluster]],'Cluster Details'!$B$3:$C$16,2,0)</f>
        <v>7.8548801574189142E-2</v>
      </c>
      <c r="AC334" s="78">
        <f>PRICE(Table1[[#This Row],[Issue date]],Table1[[#This Row],[Maturity date]],Table1[[#This Row],[Current coupon %]],Table1[[#This Row],[Average Cluster Yield]],100,Table1[[#This Row],[Coupon Frequency2]])*Table1[[#This Row],[Face value]]/100</f>
        <v>1011501.27418761</v>
      </c>
      <c r="AD334" s="58" t="str">
        <f>IF(Table1[[#This Row],[Ask Price]]&gt;Table1[[#This Row],[Calculated Bond Price]],"Rich","Cheap")</f>
        <v>Cheap</v>
      </c>
      <c r="AE3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969368.06171273079</v>
      </c>
      <c r="AF3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1020240.084037017</v>
      </c>
      <c r="AG334" s="78">
        <f>(Table1[[#This Row],[P (+ shock)]]+Table1[[#This Row],[P (-shock)]]-2*Table1[[#This Row],[Ask Price]])/(2*Table1[[#This Row],[Ask Price]]*($AF$2^2))</f>
        <v>4.5885641853409487</v>
      </c>
      <c r="AH334">
        <v>11.8232329758366</v>
      </c>
      <c r="AI334" s="6">
        <f t="shared" si="21"/>
        <v>8.3471798464563415E-2</v>
      </c>
      <c r="AK334" s="47">
        <f>RATE(Table1[[#This Row],[Total No. of Coupons]],Table1[[#This Row],[Coupon Amount]],-Table1[[#This Row],[Ask Price]],Table1[[#This Row],[Face value]])</f>
        <v>8.5213903161897669E-2</v>
      </c>
      <c r="AL334" s="27">
        <f>Table1[[#This Row],[IRR]]*Table1[[#This Row],[Coupon Frequency2]]</f>
        <v>8.5213903161897669E-2</v>
      </c>
      <c r="AM334" s="5">
        <f t="shared" si="22"/>
        <v>-2542909.9176880345</v>
      </c>
      <c r="AN334" t="s">
        <v>64</v>
      </c>
      <c r="AO334" t="s">
        <v>62</v>
      </c>
      <c r="AP334">
        <f t="shared" si="23"/>
        <v>1</v>
      </c>
    </row>
    <row r="335" spans="1:42" x14ac:dyDescent="0.35">
      <c r="A335" s="48" t="s">
        <v>1225</v>
      </c>
      <c r="B335" s="49" t="s">
        <v>2616</v>
      </c>
      <c r="C335" s="49" t="s">
        <v>2273</v>
      </c>
      <c r="D335" s="50">
        <v>45659</v>
      </c>
      <c r="E335" s="50">
        <v>46570</v>
      </c>
      <c r="F335" s="49">
        <v>100000</v>
      </c>
      <c r="G335" s="49" t="s">
        <v>76</v>
      </c>
      <c r="H335" s="49">
        <v>105800</v>
      </c>
      <c r="I335" s="49" t="s">
        <v>76</v>
      </c>
      <c r="J335" s="49">
        <v>105.8</v>
      </c>
      <c r="K335" s="49">
        <v>1</v>
      </c>
      <c r="L335" s="51">
        <v>0.10800000000000001</v>
      </c>
      <c r="M335" s="49" t="s">
        <v>93</v>
      </c>
      <c r="N335" s="49">
        <v>653</v>
      </c>
      <c r="O335" s="49">
        <v>10.2079395085066</v>
      </c>
      <c r="P335" s="49"/>
      <c r="Q335" s="49"/>
      <c r="R335" s="49" t="s">
        <v>2275</v>
      </c>
      <c r="S335">
        <f t="shared" si="20"/>
        <v>3</v>
      </c>
      <c r="T335" s="5" cm="1">
        <f t="array" ref="T3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5">
        <f>Table1[[#This Row],[Term to Maturity (Years)]]*Table1[[#This Row],[Coupon Frequency2]]</f>
        <v>3</v>
      </c>
      <c r="V335">
        <f>Table1[[#This Row],[Face value]]*Table1[[#This Row],[Current coupon %]]</f>
        <v>10800.000000000002</v>
      </c>
      <c r="W335" s="36">
        <f>RATE(Table1[[#This Row],[Total No. of Coupons]],Table1[[#This Row],[Coupon Amount]],-Table1[[#This Row],[Ask Price]],Table1[[#This Row],[Face value]])</f>
        <v>8.5279346764068523E-2</v>
      </c>
      <c r="X335" s="27">
        <f>Table1[[#This Row],[IRR]]*Table1[[#This Row],[Coupon Frequency2]]</f>
        <v>8.5279346764068523E-2</v>
      </c>
      <c r="Y335" s="19" cm="1">
        <f t="array" ref="Y3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5" s="33">
        <f>DURATION(Table1[[#This Row],[Issue date]],Table1[[#This Row],[Maturity date]],Table1[[#This Row],[Current coupon %]],Table1[[#This Row],[Yield (Annualised)]],Table1[[#This Row],[Coupon Frequency2]])</f>
        <v>2.2252164003728461</v>
      </c>
      <c r="AA335" s="33">
        <f>Table1[[#This Row],[Macaulay Duration in Years]]/(1+Table1[[#This Row],[IRR]])</f>
        <v>2.0503628001469667</v>
      </c>
      <c r="AB335" s="58">
        <f>VLOOKUP(Table1[[#This Row],[Yield Cluster]],'Cluster Details'!$B$3:$C$16,2,0)</f>
        <v>7.8548801574189142E-2</v>
      </c>
      <c r="AC335" s="78">
        <f>PRICE(Table1[[#This Row],[Issue date]],Table1[[#This Row],[Maturity date]],Table1[[#This Row],[Current coupon %]],Table1[[#This Row],[Average Cluster Yield]],100,Table1[[#This Row],[Coupon Frequency2]])*Table1[[#This Row],[Face value]]/100</f>
        <v>106356.20220974804</v>
      </c>
      <c r="AD335" s="58" t="str">
        <f>IF(Table1[[#This Row],[Ask Price]]&gt;Table1[[#This Row],[Calculated Bond Price]],"Rich","Cheap")</f>
        <v>Cheap</v>
      </c>
      <c r="AE3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102594.01889584844</v>
      </c>
      <c r="AF3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107114.76241732002</v>
      </c>
      <c r="AG335" s="78">
        <f>(Table1[[#This Row],[P (+ shock)]]+Table1[[#This Row],[P (-shock)]]-2*Table1[[#This Row],[Ask Price]])/(2*Table1[[#This Row],[Ask Price]]*($AF$2^2))</f>
        <v>-89.37706459506299</v>
      </c>
      <c r="AH335">
        <v>12.4167891581563</v>
      </c>
      <c r="AI335" s="6">
        <f t="shared" si="21"/>
        <v>0.10207939508506618</v>
      </c>
      <c r="AK335" s="47">
        <f>RATE(Table1[[#This Row],[Total No. of Coupons]],Table1[[#This Row],[Coupon Amount]],-Table1[[#This Row],[Ask Price]],Table1[[#This Row],[Face value]])</f>
        <v>8.5279346764068523E-2</v>
      </c>
      <c r="AL335" s="27">
        <f>Table1[[#This Row],[IRR]]*Table1[[#This Row],[Coupon Frequency2]]</f>
        <v>8.5279346764068523E-2</v>
      </c>
      <c r="AM335" s="5">
        <f t="shared" si="22"/>
        <v>-216928.38425554908</v>
      </c>
      <c r="AN335" t="s">
        <v>64</v>
      </c>
      <c r="AO335" t="s">
        <v>62</v>
      </c>
      <c r="AP335">
        <f t="shared" si="23"/>
        <v>1</v>
      </c>
    </row>
    <row r="336" spans="1:42" x14ac:dyDescent="0.35">
      <c r="A336" s="48" t="s">
        <v>1285</v>
      </c>
      <c r="B336" s="49" t="s">
        <v>2617</v>
      </c>
      <c r="C336" s="49" t="s">
        <v>2273</v>
      </c>
      <c r="D336" s="50">
        <v>42860</v>
      </c>
      <c r="E336" s="50">
        <v>46507</v>
      </c>
      <c r="F336" s="49">
        <v>100000</v>
      </c>
      <c r="G336" s="49" t="s">
        <v>76</v>
      </c>
      <c r="H336" s="49">
        <v>107900</v>
      </c>
      <c r="I336" s="49" t="s">
        <v>76</v>
      </c>
      <c r="J336" s="49">
        <v>107.899999999999</v>
      </c>
      <c r="K336" s="49">
        <v>40</v>
      </c>
      <c r="L336" s="51">
        <v>9.7500000000000003E-2</v>
      </c>
      <c r="M336" s="49" t="s">
        <v>93</v>
      </c>
      <c r="N336" s="49">
        <v>590</v>
      </c>
      <c r="O336" s="49">
        <v>9.0361445783132499</v>
      </c>
      <c r="P336" s="49"/>
      <c r="Q336" s="49"/>
      <c r="R336" s="49" t="s">
        <v>2275</v>
      </c>
      <c r="S336">
        <f t="shared" si="20"/>
        <v>10</v>
      </c>
      <c r="T336" s="5" cm="1">
        <f t="array" ref="T3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6">
        <f>Table1[[#This Row],[Term to Maturity (Years)]]*Table1[[#This Row],[Coupon Frequency2]]</f>
        <v>10</v>
      </c>
      <c r="V336">
        <f>Table1[[#This Row],[Face value]]*Table1[[#This Row],[Current coupon %]]</f>
        <v>9750</v>
      </c>
      <c r="W336" s="36">
        <f>RATE(Table1[[#This Row],[Total No. of Coupons]],Table1[[#This Row],[Coupon Amount]],-Table1[[#This Row],[Ask Price]],Table1[[#This Row],[Face value]])</f>
        <v>8.5436371008542414E-2</v>
      </c>
      <c r="X336" s="27">
        <f>Table1[[#This Row],[IRR]]*Table1[[#This Row],[Coupon Frequency2]]</f>
        <v>8.5436371008542414E-2</v>
      </c>
      <c r="Y336" s="19" cm="1">
        <f t="array" ref="Y3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6" s="33">
        <f>DURATION(Table1[[#This Row],[Issue date]],Table1[[#This Row],[Maturity date]],Table1[[#This Row],[Current coupon %]],Table1[[#This Row],[Yield (Annualised)]],Table1[[#This Row],[Coupon Frequency2]])</f>
        <v>6.9275036195562274</v>
      </c>
      <c r="AA336" s="33">
        <f>Table1[[#This Row],[Macaulay Duration in Years]]/(1+Table1[[#This Row],[IRR]])</f>
        <v>6.3822291242364386</v>
      </c>
      <c r="AB336" s="58">
        <f>VLOOKUP(Table1[[#This Row],[Yield Cluster]],'Cluster Details'!$B$3:$C$16,2,0)</f>
        <v>7.8548801574189142E-2</v>
      </c>
      <c r="AC336" s="78">
        <f>PRICE(Table1[[#This Row],[Issue date]],Table1[[#This Row],[Maturity date]],Table1[[#This Row],[Current coupon %]],Table1[[#This Row],[Average Cluster Yield]],100,Table1[[#This Row],[Coupon Frequency2]])*Table1[[#This Row],[Face value]]/100</f>
        <v>112783.17830609332</v>
      </c>
      <c r="AD336" s="58" t="str">
        <f>IF(Table1[[#This Row],[Ask Price]]&gt;Table1[[#This Row],[Calculated Bond Price]],"Rich","Cheap")</f>
        <v>Cheap</v>
      </c>
      <c r="AE3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101286.15891250802</v>
      </c>
      <c r="AF3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115095.4420224131</v>
      </c>
      <c r="AG336" s="78">
        <f>(Table1[[#This Row],[P (+ shock)]]+Table1[[#This Row],[P (-shock)]]-2*Table1[[#This Row],[Ask Price]])/(2*Table1[[#This Row],[Ask Price]]*($AF$2^2))</f>
        <v>26.950923768356049</v>
      </c>
      <c r="AH336">
        <v>11.3194437269195</v>
      </c>
      <c r="AI336" s="6">
        <f t="shared" si="21"/>
        <v>9.036144578313253E-2</v>
      </c>
      <c r="AK336" s="47">
        <f>RATE(Table1[[#This Row],[Total No. of Coupons]],Table1[[#This Row],[Coupon Amount]],-Table1[[#This Row],[Ask Price]],Table1[[#This Row],[Face value]])</f>
        <v>8.5436371008542414E-2</v>
      </c>
      <c r="AL336" s="27">
        <f>Table1[[#This Row],[IRR]]*Table1[[#This Row],[Coupon Frequency2]]</f>
        <v>8.5436371008542414E-2</v>
      </c>
      <c r="AM336" s="5">
        <f t="shared" si="22"/>
        <v>-688642.52250511176</v>
      </c>
      <c r="AN336" t="s">
        <v>64</v>
      </c>
      <c r="AO336" t="s">
        <v>62</v>
      </c>
      <c r="AP336">
        <f t="shared" si="23"/>
        <v>1</v>
      </c>
    </row>
    <row r="337" spans="1:42" x14ac:dyDescent="0.35">
      <c r="A337" s="48" t="s">
        <v>1330</v>
      </c>
      <c r="B337" s="49" t="s">
        <v>2618</v>
      </c>
      <c r="C337" s="49" t="s">
        <v>2273</v>
      </c>
      <c r="D337" s="50">
        <v>40999</v>
      </c>
      <c r="E337" s="50">
        <v>46477</v>
      </c>
      <c r="F337" s="49">
        <v>5000</v>
      </c>
      <c r="G337" s="49" t="s">
        <v>76</v>
      </c>
      <c r="H337" s="49">
        <v>5071</v>
      </c>
      <c r="I337" s="49" t="s">
        <v>76</v>
      </c>
      <c r="J337" s="49">
        <v>101.42</v>
      </c>
      <c r="K337" s="49">
        <v>8</v>
      </c>
      <c r="L337" s="51">
        <v>8.72E-2</v>
      </c>
      <c r="M337" s="49" t="s">
        <v>93</v>
      </c>
      <c r="N337" s="49">
        <v>560</v>
      </c>
      <c r="O337" s="49">
        <v>8.5979096825083801</v>
      </c>
      <c r="P337" s="49"/>
      <c r="Q337" s="49"/>
      <c r="R337" s="49" t="s">
        <v>2275</v>
      </c>
      <c r="S337">
        <f t="shared" si="20"/>
        <v>15</v>
      </c>
      <c r="T337" s="5" cm="1">
        <f t="array" ref="T3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7">
        <f>Table1[[#This Row],[Term to Maturity (Years)]]*Table1[[#This Row],[Coupon Frequency2]]</f>
        <v>15</v>
      </c>
      <c r="V337">
        <f>Table1[[#This Row],[Face value]]*Table1[[#This Row],[Current coupon %]]</f>
        <v>436</v>
      </c>
      <c r="W337" s="36">
        <f>RATE(Table1[[#This Row],[Total No. of Coupons]],Table1[[#This Row],[Coupon Amount]],-Table1[[#This Row],[Ask Price]],Table1[[#This Row],[Face value]])</f>
        <v>8.5485046697595074E-2</v>
      </c>
      <c r="X337" s="27">
        <f>Table1[[#This Row],[IRR]]*Table1[[#This Row],[Coupon Frequency2]]</f>
        <v>8.5485046697595074E-2</v>
      </c>
      <c r="Y337" s="19" cm="1">
        <f t="array" ref="Y3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7" s="33">
        <f>DURATION(Table1[[#This Row],[Issue date]],Table1[[#This Row],[Maturity date]],Table1[[#This Row],[Current coupon %]],Table1[[#This Row],[Yield (Annualised)]],Table1[[#This Row],[Coupon Frequency2]])</f>
        <v>8.953188349872784</v>
      </c>
      <c r="AA337" s="33">
        <f>Table1[[#This Row],[Macaulay Duration in Years]]/(1+Table1[[#This Row],[IRR]])</f>
        <v>8.2480992042325649</v>
      </c>
      <c r="AB337" s="58">
        <f>VLOOKUP(Table1[[#This Row],[Yield Cluster]],'Cluster Details'!$B$3:$C$16,2,0)</f>
        <v>7.8548801574189142E-2</v>
      </c>
      <c r="AC337" s="78">
        <f>PRICE(Table1[[#This Row],[Issue date]],Table1[[#This Row],[Maturity date]],Table1[[#This Row],[Current coupon %]],Table1[[#This Row],[Average Cluster Yield]],100,Table1[[#This Row],[Coupon Frequency2]])*Table1[[#This Row],[Face value]]/100</f>
        <v>5373.5522251017601</v>
      </c>
      <c r="AD337" s="58" t="str">
        <f>IF(Table1[[#This Row],[Ask Price]]&gt;Table1[[#This Row],[Calculated Bond Price]],"Rich","Cheap")</f>
        <v>Cheap</v>
      </c>
      <c r="AE3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4676.6270504851936</v>
      </c>
      <c r="AF3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5515.4926470199107</v>
      </c>
      <c r="AG337" s="78">
        <f>(Table1[[#This Row],[P (+ shock)]]+Table1[[#This Row],[P (-shock)]]-2*Table1[[#This Row],[Ask Price]])/(2*Table1[[#This Row],[Ask Price]]*($AF$2^2))</f>
        <v>49.417962438477957</v>
      </c>
      <c r="AH337">
        <v>118.368538938961</v>
      </c>
      <c r="AI337" s="6">
        <f t="shared" si="21"/>
        <v>8.5979096825083812E-2</v>
      </c>
      <c r="AK337" s="47">
        <f>RATE(Table1[[#This Row],[Total No. of Coupons]],Table1[[#This Row],[Coupon Amount]],-Table1[[#This Row],[Ask Price]],Table1[[#This Row],[Face value]])</f>
        <v>8.5485046697595074E-2</v>
      </c>
      <c r="AL337" s="27">
        <f>Table1[[#This Row],[IRR]]*Table1[[#This Row],[Coupon Frequency2]]</f>
        <v>8.5485046697595074E-2</v>
      </c>
      <c r="AM337" s="5">
        <f t="shared" si="22"/>
        <v>-41826.111064663339</v>
      </c>
      <c r="AN337" t="s">
        <v>79</v>
      </c>
      <c r="AO337" t="s">
        <v>62</v>
      </c>
      <c r="AP337">
        <f t="shared" si="23"/>
        <v>1</v>
      </c>
    </row>
    <row r="338" spans="1:42" x14ac:dyDescent="0.35">
      <c r="A338" s="48" t="s">
        <v>1795</v>
      </c>
      <c r="B338" s="49" t="s">
        <v>2619</v>
      </c>
      <c r="C338" s="49" t="s">
        <v>2273</v>
      </c>
      <c r="D338" s="50">
        <v>42527</v>
      </c>
      <c r="E338" s="50">
        <v>46179</v>
      </c>
      <c r="F338" s="49">
        <v>1000</v>
      </c>
      <c r="G338" s="49" t="s">
        <v>76</v>
      </c>
      <c r="H338" s="49">
        <v>1027.95</v>
      </c>
      <c r="I338" s="49" t="s">
        <v>76</v>
      </c>
      <c r="J338" s="49">
        <v>102.795</v>
      </c>
      <c r="K338" s="49">
        <v>553</v>
      </c>
      <c r="L338" s="51">
        <v>0.09</v>
      </c>
      <c r="M338" s="49" t="s">
        <v>93</v>
      </c>
      <c r="N338" s="49">
        <v>262</v>
      </c>
      <c r="O338" s="49">
        <v>8.7552896541660505</v>
      </c>
      <c r="P338" s="49"/>
      <c r="Q338" s="49"/>
      <c r="R338" s="49" t="s">
        <v>2275</v>
      </c>
      <c r="S338">
        <f t="shared" si="20"/>
        <v>10</v>
      </c>
      <c r="T338" s="5" cm="1">
        <f t="array" ref="T3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8">
        <f>Table1[[#This Row],[Term to Maturity (Years)]]*Table1[[#This Row],[Coupon Frequency2]]</f>
        <v>10</v>
      </c>
      <c r="V338">
        <f>Table1[[#This Row],[Face value]]*Table1[[#This Row],[Current coupon %]]</f>
        <v>90</v>
      </c>
      <c r="W338" s="36">
        <f>RATE(Table1[[#This Row],[Total No. of Coupons]],Table1[[#This Row],[Coupon Amount]],-Table1[[#This Row],[Ask Price]],Table1[[#This Row],[Face value]])</f>
        <v>8.5726407226172252E-2</v>
      </c>
      <c r="X338" s="27">
        <f>Table1[[#This Row],[IRR]]*Table1[[#This Row],[Coupon Frequency2]]</f>
        <v>8.5726407226172252E-2</v>
      </c>
      <c r="Y338" s="19" cm="1">
        <f t="array" ref="Y3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8" s="33">
        <f>DURATION(Table1[[#This Row],[Issue date]],Table1[[#This Row],[Maturity date]],Table1[[#This Row],[Current coupon %]],Table1[[#This Row],[Yield (Annualised)]],Table1[[#This Row],[Coupon Frequency2]])</f>
        <v>7.0390595561396117</v>
      </c>
      <c r="AA338" s="33">
        <f>Table1[[#This Row],[Macaulay Duration in Years]]/(1+Table1[[#This Row],[IRR]])</f>
        <v>6.4832719452067957</v>
      </c>
      <c r="AB338" s="58">
        <f>VLOOKUP(Table1[[#This Row],[Yield Cluster]],'Cluster Details'!$B$3:$C$16,2,0)</f>
        <v>7.8548801574189142E-2</v>
      </c>
      <c r="AC338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1077.3439773657171</v>
      </c>
      <c r="AD338" s="58" t="str">
        <f>IF(Table1[[#This Row],[Ask Price]]&gt;Table1[[#This Row],[Calculated Bond Price]],"Rich","Cheap")</f>
        <v>Cheap</v>
      </c>
      <c r="AE3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964.15833674554847</v>
      </c>
      <c r="AF3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1097.6509555218763</v>
      </c>
      <c r="AG338" s="78">
        <f>(Table1[[#This Row],[P (+ shock)]]+Table1[[#This Row],[P (-shock)]]-2*Table1[[#This Row],[Ask Price]])/(2*Table1[[#This Row],[Ask Price]]*($AF$2^2))</f>
        <v>28.743091918016031</v>
      </c>
      <c r="AH338">
        <v>8.8910728910728896</v>
      </c>
      <c r="AI338" s="6">
        <f t="shared" si="21"/>
        <v>8.7552896541660583E-2</v>
      </c>
      <c r="AK338" s="47">
        <f>RATE(Table1[[#This Row],[Total No. of Coupons]],Table1[[#This Row],[Coupon Amount]],-Table1[[#This Row],[Ask Price]],Table1[[#This Row],[Face value]])</f>
        <v>8.5726407226172252E-2</v>
      </c>
      <c r="AL338" s="27">
        <f>Table1[[#This Row],[IRR]]*Table1[[#This Row],[Coupon Frequency2]]</f>
        <v>8.5726407226172252E-2</v>
      </c>
      <c r="AM338" s="5">
        <f t="shared" si="22"/>
        <v>-6664.4793960753259</v>
      </c>
      <c r="AN338" t="s">
        <v>69</v>
      </c>
      <c r="AO338" t="s">
        <v>62</v>
      </c>
      <c r="AP338">
        <f t="shared" si="23"/>
        <v>1</v>
      </c>
    </row>
    <row r="339" spans="1:42" x14ac:dyDescent="0.35">
      <c r="A339" s="48" t="s">
        <v>1846</v>
      </c>
      <c r="B339" s="49" t="s">
        <v>2620</v>
      </c>
      <c r="C339" s="49" t="s">
        <v>2273</v>
      </c>
      <c r="D339" s="50">
        <v>45411</v>
      </c>
      <c r="E339" s="50">
        <v>46141</v>
      </c>
      <c r="F339" s="49">
        <v>1000</v>
      </c>
      <c r="G339" s="49" t="s">
        <v>76</v>
      </c>
      <c r="H339" s="49">
        <v>1007.2</v>
      </c>
      <c r="I339" s="49" t="s">
        <v>76</v>
      </c>
      <c r="J339" s="49">
        <v>100.72</v>
      </c>
      <c r="K339" s="49">
        <v>20</v>
      </c>
      <c r="L339" s="51">
        <v>0.09</v>
      </c>
      <c r="M339" s="49" t="s">
        <v>93</v>
      </c>
      <c r="N339" s="49">
        <v>224</v>
      </c>
      <c r="O339" s="49">
        <v>8.9356632247815693</v>
      </c>
      <c r="P339" s="49"/>
      <c r="Q339" s="49"/>
      <c r="R339" s="49" t="s">
        <v>2275</v>
      </c>
      <c r="S339">
        <f t="shared" si="20"/>
        <v>2</v>
      </c>
      <c r="T339" s="5" cm="1">
        <f t="array" ref="T3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39">
        <f>Table1[[#This Row],[Term to Maturity (Years)]]*Table1[[#This Row],[Coupon Frequency2]]</f>
        <v>2</v>
      </c>
      <c r="V339">
        <f>Table1[[#This Row],[Face value]]*Table1[[#This Row],[Current coupon %]]</f>
        <v>90</v>
      </c>
      <c r="W339" s="36">
        <f>RATE(Table1[[#This Row],[Total No. of Coupons]],Table1[[#This Row],[Coupon Amount]],-Table1[[#This Row],[Ask Price]],Table1[[#This Row],[Face value]])</f>
        <v>8.5929608367839846E-2</v>
      </c>
      <c r="X339" s="27">
        <f>Table1[[#This Row],[IRR]]*Table1[[#This Row],[Coupon Frequency2]]</f>
        <v>8.5929608367839846E-2</v>
      </c>
      <c r="Y339" s="19" cm="1">
        <f t="array" ref="Y3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39" s="33">
        <f>DURATION(Table1[[#This Row],[Issue date]],Table1[[#This Row],[Maturity date]],Table1[[#This Row],[Current coupon %]],Table1[[#This Row],[Yield (Annualised)]],Table1[[#This Row],[Coupon Frequency2]])</f>
        <v>1.9177141579350441</v>
      </c>
      <c r="AA339" s="33">
        <f>Table1[[#This Row],[Macaulay Duration in Years]]/(1+Table1[[#This Row],[IRR]])</f>
        <v>1.7659654393413056</v>
      </c>
      <c r="AB339" s="58">
        <f>VLOOKUP(Table1[[#This Row],[Yield Cluster]],'Cluster Details'!$B$3:$C$16,2,0)</f>
        <v>7.8548801574189142E-2</v>
      </c>
      <c r="AC339" s="78">
        <f>PRICE(Table1[[#This Row],[Issue date]],Table1[[#This Row],[Maturity date]],Table1[[#This Row],[Current coupon %]],Table1[[#This Row],[Average Cluster Yield]],100,Table1[[#This Row],[Coupon Frequency2]])*Table1[[#This Row],[Face value]]/100</f>
        <v>1020.4612218677136</v>
      </c>
      <c r="AD339" s="58" t="str">
        <f>IF(Table1[[#This Row],[Ask Price]]&gt;Table1[[#This Row],[Calculated Bond Price]],"Rich","Cheap")</f>
        <v>Cheap</v>
      </c>
      <c r="AE3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989.65245359422397</v>
      </c>
      <c r="AF3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1025.2319660056669</v>
      </c>
      <c r="AG339" s="78">
        <f>(Table1[[#This Row],[P (+ shock)]]+Table1[[#This Row],[P (-shock)]]-2*Table1[[#This Row],[Ask Price]])/(2*Table1[[#This Row],[Ask Price]]*($AF$2^2))</f>
        <v>2.4047835578374244</v>
      </c>
      <c r="AH339">
        <v>7.5</v>
      </c>
      <c r="AI339" s="6">
        <f t="shared" si="21"/>
        <v>8.9356632247815718E-2</v>
      </c>
      <c r="AK339" s="47">
        <f>RATE(Table1[[#This Row],[Total No. of Coupons]],Table1[[#This Row],[Coupon Amount]],-Table1[[#This Row],[Ask Price]],Table1[[#This Row],[Face value]])</f>
        <v>8.5929608367839846E-2</v>
      </c>
      <c r="AL339" s="27">
        <f>Table1[[#This Row],[IRR]]*Table1[[#This Row],[Coupon Frequency2]]</f>
        <v>8.5929608367839846E-2</v>
      </c>
      <c r="AM339" s="5">
        <f t="shared" si="22"/>
        <v>-1778.6803905045631</v>
      </c>
      <c r="AN339" t="s">
        <v>64</v>
      </c>
      <c r="AO339" t="s">
        <v>62</v>
      </c>
      <c r="AP339">
        <f t="shared" si="23"/>
        <v>1</v>
      </c>
    </row>
    <row r="340" spans="1:42" x14ac:dyDescent="0.35">
      <c r="A340" s="48" t="s">
        <v>913</v>
      </c>
      <c r="B340" s="49" t="s">
        <v>2621</v>
      </c>
      <c r="C340" s="49" t="s">
        <v>2273</v>
      </c>
      <c r="D340" s="50">
        <v>43293</v>
      </c>
      <c r="E340" s="50">
        <v>46946</v>
      </c>
      <c r="F340" s="49">
        <v>1000</v>
      </c>
      <c r="G340" s="49" t="s">
        <v>76</v>
      </c>
      <c r="H340" s="49">
        <v>1051</v>
      </c>
      <c r="I340" s="49" t="s">
        <v>76</v>
      </c>
      <c r="J340" s="49">
        <v>105.1</v>
      </c>
      <c r="K340" s="49">
        <v>200</v>
      </c>
      <c r="L340" s="51">
        <v>9.4E-2</v>
      </c>
      <c r="M340" s="49" t="s">
        <v>93</v>
      </c>
      <c r="N340" s="49">
        <v>1029</v>
      </c>
      <c r="O340" s="49">
        <v>8.9438629876308209</v>
      </c>
      <c r="P340" s="49" t="s">
        <v>2285</v>
      </c>
      <c r="Q340" s="49"/>
      <c r="R340" s="49" t="s">
        <v>2275</v>
      </c>
      <c r="S340">
        <f t="shared" si="20"/>
        <v>10</v>
      </c>
      <c r="T340" s="5" cm="1">
        <f t="array" ref="T3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0">
        <f>Table1[[#This Row],[Term to Maturity (Years)]]*Table1[[#This Row],[Coupon Frequency2]]</f>
        <v>10</v>
      </c>
      <c r="V340">
        <f>Table1[[#This Row],[Face value]]*Table1[[#This Row],[Current coupon %]]</f>
        <v>94</v>
      </c>
      <c r="W340" s="36">
        <f>RATE(Table1[[#This Row],[Total No. of Coupons]],Table1[[#This Row],[Coupon Amount]],-Table1[[#This Row],[Ask Price]],Table1[[#This Row],[Face value]])</f>
        <v>8.6186080655240055E-2</v>
      </c>
      <c r="X340" s="27">
        <f>Table1[[#This Row],[IRR]]*Table1[[#This Row],[Coupon Frequency2]]</f>
        <v>8.6186080655240055E-2</v>
      </c>
      <c r="Y340" s="19" cm="1">
        <f t="array" ref="Y3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0" s="33">
        <f>DURATION(Table1[[#This Row],[Issue date]],Table1[[#This Row],[Maturity date]],Table1[[#This Row],[Current coupon %]],Table1[[#This Row],[Yield (Annualised)]],Table1[[#This Row],[Coupon Frequency2]])</f>
        <v>6.9794900977508352</v>
      </c>
      <c r="AA340" s="33">
        <f>Table1[[#This Row],[Macaulay Duration in Years]]/(1+Table1[[#This Row],[IRR]])</f>
        <v>6.4256854530307255</v>
      </c>
      <c r="AB340" s="58">
        <f>VLOOKUP(Table1[[#This Row],[Yield Cluster]],'Cluster Details'!$B$3:$C$16,2,0)</f>
        <v>7.8548801574189142E-2</v>
      </c>
      <c r="AC340" s="78">
        <f>PRICE(Table1[[#This Row],[Issue date]],Table1[[#This Row],[Maturity date]],Table1[[#This Row],[Current coupon %]],Table1[[#This Row],[Average Cluster Yield]],100,Table1[[#This Row],[Coupon Frequency2]])*Table1[[#This Row],[Face value]]/100</f>
        <v>1104.360879698449</v>
      </c>
      <c r="AD340" s="58" t="str">
        <f>IF(Table1[[#This Row],[Ask Price]]&gt;Table1[[#This Row],[Calculated Bond Price]],"Rich","Cheap")</f>
        <v>Cheap</v>
      </c>
      <c r="AE3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986.3445491475884</v>
      </c>
      <c r="AF3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1121.6167147932219</v>
      </c>
      <c r="AG340" s="78">
        <f>(Table1[[#This Row],[P (+ shock)]]+Table1[[#This Row],[P (-shock)]]-2*Table1[[#This Row],[Ask Price]])/(2*Table1[[#This Row],[Ask Price]]*($AF$2^2))</f>
        <v>28.359961659422304</v>
      </c>
      <c r="AH340">
        <v>8.0511144628791698</v>
      </c>
      <c r="AI340" s="6">
        <f t="shared" si="21"/>
        <v>8.9438629876308282E-2</v>
      </c>
      <c r="AK340" s="47">
        <f>RATE(Table1[[#This Row],[Total No. of Coupons]],Table1[[#This Row],[Coupon Amount]],-Table1[[#This Row],[Ask Price]],Table1[[#This Row],[Face value]])</f>
        <v>8.6186080655240055E-2</v>
      </c>
      <c r="AL340" s="27">
        <f>Table1[[#This Row],[IRR]]*Table1[[#This Row],[Coupon Frequency2]]</f>
        <v>8.6186080655240055E-2</v>
      </c>
      <c r="AM340" s="5">
        <f t="shared" si="22"/>
        <v>-6753.3954111352923</v>
      </c>
      <c r="AN340" t="s">
        <v>64</v>
      </c>
      <c r="AO340" t="s">
        <v>62</v>
      </c>
      <c r="AP340">
        <f t="shared" si="23"/>
        <v>1</v>
      </c>
    </row>
    <row r="341" spans="1:42" x14ac:dyDescent="0.35">
      <c r="A341" s="48" t="s">
        <v>1049</v>
      </c>
      <c r="B341" s="49" t="s">
        <v>2622</v>
      </c>
      <c r="C341" s="49" t="s">
        <v>2273</v>
      </c>
      <c r="D341" s="50">
        <v>45681</v>
      </c>
      <c r="E341" s="50">
        <v>46776</v>
      </c>
      <c r="F341" s="49">
        <v>1000</v>
      </c>
      <c r="G341" s="49" t="s">
        <v>76</v>
      </c>
      <c r="H341" s="49">
        <v>1035</v>
      </c>
      <c r="I341" s="49" t="s">
        <v>76</v>
      </c>
      <c r="J341" s="49">
        <v>103.49999999999901</v>
      </c>
      <c r="K341" s="49">
        <v>103</v>
      </c>
      <c r="L341" s="51">
        <v>0.1</v>
      </c>
      <c r="M341" s="49" t="s">
        <v>93</v>
      </c>
      <c r="N341" s="49">
        <v>859</v>
      </c>
      <c r="O341" s="49">
        <v>9.6618357487922708</v>
      </c>
      <c r="P341" s="49"/>
      <c r="Q341" s="49"/>
      <c r="R341" s="49" t="s">
        <v>2275</v>
      </c>
      <c r="S341">
        <f t="shared" si="20"/>
        <v>3</v>
      </c>
      <c r="T341" s="5" cm="1">
        <f t="array" ref="T3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1">
        <f>Table1[[#This Row],[Term to Maturity (Years)]]*Table1[[#This Row],[Coupon Frequency2]]</f>
        <v>3</v>
      </c>
      <c r="V341">
        <f>Table1[[#This Row],[Face value]]*Table1[[#This Row],[Current coupon %]]</f>
        <v>100</v>
      </c>
      <c r="W341" s="36">
        <f>RATE(Table1[[#This Row],[Total No. of Coupons]],Table1[[#This Row],[Coupon Amount]],-Table1[[#This Row],[Ask Price]],Table1[[#This Row],[Face value]])</f>
        <v>8.6265028007495234E-2</v>
      </c>
      <c r="X341" s="27">
        <f>Table1[[#This Row],[IRR]]*Table1[[#This Row],[Coupon Frequency2]]</f>
        <v>8.6265028007495234E-2</v>
      </c>
      <c r="Y341" s="19" cm="1">
        <f t="array" ref="Y3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1" s="33">
        <f>DURATION(Table1[[#This Row],[Issue date]],Table1[[#This Row],[Maturity date]],Table1[[#This Row],[Current coupon %]],Table1[[#This Row],[Yield (Annualised)]],Table1[[#This Row],[Coupon Frequency2]])</f>
        <v>2.7402271256022503</v>
      </c>
      <c r="AA341" s="33">
        <f>Table1[[#This Row],[Macaulay Duration in Years]]/(1+Table1[[#This Row],[IRR]])</f>
        <v>2.5226137774393513</v>
      </c>
      <c r="AB341" s="58">
        <f>VLOOKUP(Table1[[#This Row],[Yield Cluster]],'Cluster Details'!$B$3:$C$16,2,0)</f>
        <v>7.8548801574189142E-2</v>
      </c>
      <c r="AC341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1055.4268965673293</v>
      </c>
      <c r="AD341" s="58" t="str">
        <f>IF(Table1[[#This Row],[Ask Price]]&gt;Table1[[#This Row],[Calculated Bond Price]],"Rich","Cheap")</f>
        <v>Cheap</v>
      </c>
      <c r="AE3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1009.3497390670302</v>
      </c>
      <c r="AF3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1061.5819101545856</v>
      </c>
      <c r="AG341" s="78">
        <f>(Table1[[#This Row],[P (+ shock)]]+Table1[[#This Row],[P (-shock)]]-2*Table1[[#This Row],[Ask Price]])/(2*Table1[[#This Row],[Ask Price]]*($AF$2^2))</f>
        <v>4.5007208773708749</v>
      </c>
      <c r="AI341" s="6">
        <f t="shared" si="21"/>
        <v>9.6618357487922704E-2</v>
      </c>
      <c r="AK341" s="47">
        <f>RATE(Table1[[#This Row],[Total No. of Coupons]],Table1[[#This Row],[Coupon Amount]],-Table1[[#This Row],[Ask Price]],Table1[[#This Row],[Face value]])</f>
        <v>8.6265028007495234E-2</v>
      </c>
      <c r="AL341" s="27">
        <f>Table1[[#This Row],[IRR]]*Table1[[#This Row],[Coupon Frequency2]]</f>
        <v>8.6265028007495234E-2</v>
      </c>
      <c r="AM341" s="5">
        <f t="shared" si="22"/>
        <v>-2610.9052596497286</v>
      </c>
      <c r="AN341" t="s">
        <v>69</v>
      </c>
      <c r="AO341" t="s">
        <v>62</v>
      </c>
      <c r="AP341">
        <f t="shared" si="23"/>
        <v>1</v>
      </c>
    </row>
    <row r="342" spans="1:42" x14ac:dyDescent="0.35">
      <c r="A342" s="48" t="s">
        <v>1349</v>
      </c>
      <c r="B342" s="49" t="s">
        <v>2623</v>
      </c>
      <c r="C342" s="49" t="s">
        <v>2273</v>
      </c>
      <c r="D342" s="50">
        <v>45735</v>
      </c>
      <c r="E342" s="50">
        <v>46465</v>
      </c>
      <c r="F342" s="49">
        <v>1000</v>
      </c>
      <c r="G342" s="49" t="s">
        <v>76</v>
      </c>
      <c r="H342" s="49">
        <v>1018</v>
      </c>
      <c r="I342" s="49" t="s">
        <v>76</v>
      </c>
      <c r="J342" s="49">
        <v>101.8</v>
      </c>
      <c r="K342" s="49">
        <v>10</v>
      </c>
      <c r="L342" s="51">
        <v>9.6500000000000002E-2</v>
      </c>
      <c r="M342" s="49" t="s">
        <v>93</v>
      </c>
      <c r="N342" s="49">
        <v>548</v>
      </c>
      <c r="O342" s="49">
        <v>9.4793713163064801</v>
      </c>
      <c r="P342" s="49" t="s">
        <v>2279</v>
      </c>
      <c r="Q342" s="49"/>
      <c r="R342" s="49" t="s">
        <v>2275</v>
      </c>
      <c r="S342">
        <f t="shared" si="20"/>
        <v>2</v>
      </c>
      <c r="T342" s="5" cm="1">
        <f t="array" ref="T3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2">
        <f>Table1[[#This Row],[Term to Maturity (Years)]]*Table1[[#This Row],[Coupon Frequency2]]</f>
        <v>2</v>
      </c>
      <c r="V342">
        <f>Table1[[#This Row],[Face value]]*Table1[[#This Row],[Current coupon %]]</f>
        <v>96.5</v>
      </c>
      <c r="W342" s="36">
        <f>RATE(Table1[[#This Row],[Total No. of Coupons]],Table1[[#This Row],[Coupon Amount]],-Table1[[#This Row],[Ask Price]],Table1[[#This Row],[Face value]])</f>
        <v>8.631862760027377E-2</v>
      </c>
      <c r="X342" s="27">
        <f>Table1[[#This Row],[IRR]]*Table1[[#This Row],[Coupon Frequency2]]</f>
        <v>8.631862760027377E-2</v>
      </c>
      <c r="Y342" s="19" cm="1">
        <f t="array" ref="Y3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2" s="33">
        <f>DURATION(Table1[[#This Row],[Issue date]],Table1[[#This Row],[Maturity date]],Table1[[#This Row],[Current coupon %]],Table1[[#This Row],[Yield (Annualised)]],Table1[[#This Row],[Coupon Frequency2]])</f>
        <v>1.9127385734216229</v>
      </c>
      <c r="AA342" s="33">
        <f>Table1[[#This Row],[Macaulay Duration in Years]]/(1+Table1[[#This Row],[IRR]])</f>
        <v>1.760752807532121</v>
      </c>
      <c r="AB342" s="58">
        <f>VLOOKUP(Table1[[#This Row],[Yield Cluster]],'Cluster Details'!$B$3:$C$16,2,0)</f>
        <v>7.8548801574189142E-2</v>
      </c>
      <c r="AC34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1032.0755470409078</v>
      </c>
      <c r="AD342" s="58" t="str">
        <f>IF(Table1[[#This Row],[Ask Price]]&gt;Table1[[#This Row],[Calculated Bond Price]],"Rich","Cheap")</f>
        <v>Cheap</v>
      </c>
      <c r="AE3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1000.316340579608</v>
      </c>
      <c r="AF3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1036.1712055363651</v>
      </c>
      <c r="AG342" s="78">
        <f>(Table1[[#This Row],[P (+ shock)]]+Table1[[#This Row],[P (-shock)]]-2*Table1[[#This Row],[Ask Price]])/(2*Table1[[#This Row],[Ask Price]]*($AF$2^2))</f>
        <v>2.3946272886696747</v>
      </c>
      <c r="AI342" s="6">
        <f t="shared" si="21"/>
        <v>9.4793713163064827E-2</v>
      </c>
      <c r="AK342" s="47">
        <f>RATE(Table1[[#This Row],[Total No. of Coupons]],Table1[[#This Row],[Coupon Amount]],-Table1[[#This Row],[Ask Price]],Table1[[#This Row],[Face value]])</f>
        <v>8.631862760027377E-2</v>
      </c>
      <c r="AL342" s="27">
        <f>Table1[[#This Row],[IRR]]*Table1[[#This Row],[Coupon Frequency2]]</f>
        <v>8.631862760027377E-2</v>
      </c>
      <c r="AM342" s="5">
        <f t="shared" si="22"/>
        <v>-1792.4463580676993</v>
      </c>
      <c r="AN342" t="s">
        <v>69</v>
      </c>
      <c r="AO342" t="s">
        <v>62</v>
      </c>
      <c r="AP342">
        <f t="shared" si="23"/>
        <v>1</v>
      </c>
    </row>
    <row r="343" spans="1:42" x14ac:dyDescent="0.35">
      <c r="A343" s="48" t="s">
        <v>1366</v>
      </c>
      <c r="B343" s="49" t="s">
        <v>2624</v>
      </c>
      <c r="C343" s="49" t="s">
        <v>2273</v>
      </c>
      <c r="D343" s="50">
        <v>45364</v>
      </c>
      <c r="E343" s="50">
        <v>46459</v>
      </c>
      <c r="F343" s="49">
        <v>1000</v>
      </c>
      <c r="G343" s="49" t="s">
        <v>76</v>
      </c>
      <c r="H343" s="49">
        <v>1065</v>
      </c>
      <c r="I343" s="49" t="s">
        <v>76</v>
      </c>
      <c r="J343" s="49">
        <v>106.5</v>
      </c>
      <c r="K343" s="49">
        <v>3</v>
      </c>
      <c r="L343" s="51">
        <v>0.1119</v>
      </c>
      <c r="M343" s="49" t="s">
        <v>93</v>
      </c>
      <c r="N343" s="49">
        <v>542</v>
      </c>
      <c r="O343" s="49">
        <v>10.507042253521099</v>
      </c>
      <c r="P343" s="49"/>
      <c r="Q343" s="49"/>
      <c r="R343" s="49" t="s">
        <v>2275</v>
      </c>
      <c r="S343">
        <f t="shared" si="20"/>
        <v>3</v>
      </c>
      <c r="T343" s="5" cm="1">
        <f t="array" ref="T3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3">
        <f>Table1[[#This Row],[Term to Maturity (Years)]]*Table1[[#This Row],[Coupon Frequency2]]</f>
        <v>3</v>
      </c>
      <c r="V343">
        <f>Table1[[#This Row],[Face value]]*Table1[[#This Row],[Current coupon %]]</f>
        <v>111.9</v>
      </c>
      <c r="W343" s="36">
        <f>RATE(Table1[[#This Row],[Total No. of Coupons]],Table1[[#This Row],[Coupon Amount]],-Table1[[#This Row],[Ask Price]],Table1[[#This Row],[Face value]])</f>
        <v>8.6386640593037564E-2</v>
      </c>
      <c r="X343" s="27">
        <f>Table1[[#This Row],[IRR]]*Table1[[#This Row],[Coupon Frequency2]]</f>
        <v>8.6386640593037564E-2</v>
      </c>
      <c r="Y343" s="19" cm="1">
        <f t="array" ref="Y3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3" s="33">
        <f>DURATION(Table1[[#This Row],[Issue date]],Table1[[#This Row],[Maturity date]],Table1[[#This Row],[Current coupon %]],Table1[[#This Row],[Yield (Annualised)]],Table1[[#This Row],[Coupon Frequency2]])</f>
        <v>2.7175440774328044</v>
      </c>
      <c r="AA343" s="33">
        <f>Table1[[#This Row],[Macaulay Duration in Years]]/(1+Table1[[#This Row],[IRR]])</f>
        <v>2.5014520391647577</v>
      </c>
      <c r="AB343" s="58">
        <f>VLOOKUP(Table1[[#This Row],[Yield Cluster]],'Cluster Details'!$B$3:$C$16,2,0)</f>
        <v>7.8548801574189142E-2</v>
      </c>
      <c r="AC343" s="78">
        <f>PRICE(Table1[[#This Row],[Issue date]],Table1[[#This Row],[Maturity date]],Table1[[#This Row],[Current coupon %]],Table1[[#This Row],[Average Cluster Yield]],100,Table1[[#This Row],[Coupon Frequency2]])*Table1[[#This Row],[Face value]]/100</f>
        <v>1086.1748322331325</v>
      </c>
      <c r="AD343" s="58" t="str">
        <f>IF(Table1[[#This Row],[Ask Price]]&gt;Table1[[#This Row],[Calculated Bond Price]],"Rich","Cheap")</f>
        <v>Cheap</v>
      </c>
      <c r="AE3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1038.8261738204578</v>
      </c>
      <c r="AF3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1092.1213835930023</v>
      </c>
      <c r="AG343" s="78">
        <f>(Table1[[#This Row],[P (+ shock)]]+Table1[[#This Row],[P (-shock)]]-2*Table1[[#This Row],[Ask Price]])/(2*Table1[[#This Row],[Ask Price]]*($AF$2^2))</f>
        <v>4.4486263542739186</v>
      </c>
      <c r="AI343" s="6">
        <f t="shared" si="21"/>
        <v>0.10507042253521127</v>
      </c>
      <c r="AK343" s="47">
        <f>RATE(Table1[[#This Row],[Total No. of Coupons]],Table1[[#This Row],[Coupon Amount]],-Table1[[#This Row],[Ask Price]],Table1[[#This Row],[Face value]])</f>
        <v>8.6386640593037564E-2</v>
      </c>
      <c r="AL343" s="27">
        <f>Table1[[#This Row],[IRR]]*Table1[[#This Row],[Coupon Frequency2]]</f>
        <v>8.6386640593037564E-2</v>
      </c>
      <c r="AM343" s="5">
        <f t="shared" si="22"/>
        <v>-2664.0464217104668</v>
      </c>
      <c r="AN343" t="s">
        <v>64</v>
      </c>
      <c r="AO343" t="s">
        <v>62</v>
      </c>
      <c r="AP343">
        <f t="shared" si="23"/>
        <v>1</v>
      </c>
    </row>
    <row r="344" spans="1:42" x14ac:dyDescent="0.35">
      <c r="A344" s="48" t="s">
        <v>262</v>
      </c>
      <c r="B344" s="49" t="s">
        <v>2625</v>
      </c>
      <c r="C344" s="49" t="s">
        <v>2273</v>
      </c>
      <c r="D344" s="50">
        <v>44790</v>
      </c>
      <c r="E344" s="50">
        <v>48443</v>
      </c>
      <c r="F344" s="49">
        <v>1000000</v>
      </c>
      <c r="G344" s="49" t="s">
        <v>76</v>
      </c>
      <c r="H344" s="49">
        <v>1005000</v>
      </c>
      <c r="I344" s="49" t="s">
        <v>76</v>
      </c>
      <c r="J344" s="49">
        <v>100.49999999999901</v>
      </c>
      <c r="K344" s="49">
        <v>1</v>
      </c>
      <c r="L344" s="51">
        <v>8.72E-2</v>
      </c>
      <c r="M344" s="49" t="s">
        <v>93</v>
      </c>
      <c r="N344" s="49">
        <v>2526</v>
      </c>
      <c r="O344" s="49">
        <v>8.6766169154228798</v>
      </c>
      <c r="P344" s="49" t="s">
        <v>2285</v>
      </c>
      <c r="Q344" s="49"/>
      <c r="R344" s="49" t="s">
        <v>2275</v>
      </c>
      <c r="S344">
        <f t="shared" si="20"/>
        <v>10</v>
      </c>
      <c r="T344" s="5" cm="1">
        <f t="array" ref="T3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4">
        <f>Table1[[#This Row],[Term to Maturity (Years)]]*Table1[[#This Row],[Coupon Frequency2]]</f>
        <v>10</v>
      </c>
      <c r="V344">
        <f>Table1[[#This Row],[Face value]]*Table1[[#This Row],[Current coupon %]]</f>
        <v>87200</v>
      </c>
      <c r="W344" s="36">
        <f>RATE(Table1[[#This Row],[Total No. of Coupons]],Table1[[#This Row],[Coupon Amount]],-Table1[[#This Row],[Ask Price]],Table1[[#This Row],[Face value]])</f>
        <v>8.6433088583288797E-2</v>
      </c>
      <c r="X344" s="27">
        <f>Table1[[#This Row],[IRR]]*Table1[[#This Row],[Coupon Frequency2]]</f>
        <v>8.6433088583288797E-2</v>
      </c>
      <c r="Y344" s="19" cm="1">
        <f t="array" ref="Y3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4" s="33">
        <f>DURATION(Table1[[#This Row],[Issue date]],Table1[[#This Row],[Maturity date]],Table1[[#This Row],[Current coupon %]],Table1[[#This Row],[Yield (Annualised)]],Table1[[#This Row],[Coupon Frequency2]])</f>
        <v>7.0719316036151199</v>
      </c>
      <c r="AA344" s="33">
        <f>Table1[[#This Row],[Macaulay Duration in Years]]/(1+Table1[[#This Row],[IRR]])</f>
        <v>6.5093116897212102</v>
      </c>
      <c r="AB344" s="58">
        <f>VLOOKUP(Table1[[#This Row],[Yield Cluster]],'Cluster Details'!$B$3:$C$16,2,0)</f>
        <v>7.8548801574189142E-2</v>
      </c>
      <c r="AC34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1058432.1457328049</v>
      </c>
      <c r="AD344" s="58" t="str">
        <f>IF(Table1[[#This Row],[Ask Price]]&gt;Table1[[#This Row],[Calculated Bond Price]],"Rich","Cheap")</f>
        <v>Cheap</v>
      </c>
      <c r="AE3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942386.81560184853</v>
      </c>
      <c r="AF3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1073423.7689297975</v>
      </c>
      <c r="AG344" s="78">
        <f>(Table1[[#This Row],[P (+ shock)]]+Table1[[#This Row],[P (-shock)]]-2*Table1[[#This Row],[Ask Price]])/(2*Table1[[#This Row],[Ask Price]]*($AF$2^2))</f>
        <v>28.908380754457657</v>
      </c>
      <c r="AH344">
        <v>12.3653205177893</v>
      </c>
      <c r="AI344" s="6">
        <f t="shared" si="21"/>
        <v>8.6766169154228856E-2</v>
      </c>
      <c r="AK344" s="47">
        <f>RATE(Table1[[#This Row],[Total No. of Coupons]],Table1[[#This Row],[Coupon Amount]],-Table1[[#This Row],[Ask Price]],Table1[[#This Row],[Face value]])</f>
        <v>8.6433088583288797E-2</v>
      </c>
      <c r="AL344" s="27">
        <f>Table1[[#This Row],[IRR]]*Table1[[#This Row],[Coupon Frequency2]]</f>
        <v>8.6433088583288797E-2</v>
      </c>
      <c r="AM344" s="5">
        <f t="shared" si="22"/>
        <v>-6541858.2481698161</v>
      </c>
      <c r="AN344" t="s">
        <v>64</v>
      </c>
      <c r="AO344" t="s">
        <v>62</v>
      </c>
      <c r="AP344">
        <f t="shared" si="23"/>
        <v>1</v>
      </c>
    </row>
    <row r="345" spans="1:42" x14ac:dyDescent="0.35">
      <c r="A345" s="48" t="s">
        <v>2626</v>
      </c>
      <c r="B345" s="49" t="s">
        <v>2627</v>
      </c>
      <c r="C345" s="49" t="s">
        <v>2273</v>
      </c>
      <c r="D345" s="50">
        <v>45849</v>
      </c>
      <c r="E345" s="50">
        <v>46741</v>
      </c>
      <c r="F345" s="49">
        <v>100000</v>
      </c>
      <c r="G345" s="49" t="s">
        <v>76</v>
      </c>
      <c r="H345" s="49">
        <v>100972.92</v>
      </c>
      <c r="I345" s="49" t="s">
        <v>76</v>
      </c>
      <c r="J345" s="49">
        <v>100.97292</v>
      </c>
      <c r="K345" s="49">
        <v>1</v>
      </c>
      <c r="L345" s="51">
        <v>9.1999999999999998E-2</v>
      </c>
      <c r="M345" s="49" t="s">
        <v>93</v>
      </c>
      <c r="N345" s="49">
        <v>824</v>
      </c>
      <c r="O345" s="49">
        <v>9.1113538164490002</v>
      </c>
      <c r="P345" s="49"/>
      <c r="Q345" s="49"/>
      <c r="R345" s="49" t="s">
        <v>2275</v>
      </c>
      <c r="S345">
        <f t="shared" si="20"/>
        <v>2</v>
      </c>
      <c r="T345" s="5" cm="1">
        <f t="array" ref="T3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5">
        <f>Table1[[#This Row],[Term to Maturity (Years)]]*Table1[[#This Row],[Coupon Frequency2]]</f>
        <v>2</v>
      </c>
      <c r="V345">
        <f>Table1[[#This Row],[Face value]]*Table1[[#This Row],[Current coupon %]]</f>
        <v>9200</v>
      </c>
      <c r="W345" s="36">
        <f>RATE(Table1[[#This Row],[Total No. of Coupons]],Table1[[#This Row],[Coupon Amount]],-Table1[[#This Row],[Ask Price]],Table1[[#This Row],[Face value]])</f>
        <v>8.6495529355825745E-2</v>
      </c>
      <c r="X345" s="27">
        <f>Table1[[#This Row],[IRR]]*Table1[[#This Row],[Coupon Frequency2]]</f>
        <v>8.6495529355825745E-2</v>
      </c>
      <c r="Y345" s="19" cm="1">
        <f t="array" ref="Y3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5" s="33">
        <f>DURATION(Table1[[#This Row],[Issue date]],Table1[[#This Row],[Maturity date]],Table1[[#This Row],[Current coupon %]],Table1[[#This Row],[Yield (Annualised)]],Table1[[#This Row],[Coupon Frequency2]])</f>
        <v>2.1977991970974577</v>
      </c>
      <c r="AA345" s="33">
        <f>Table1[[#This Row],[Macaulay Duration in Years]]/(1+Table1[[#This Row],[IRR]])</f>
        <v>2.0228331711594936</v>
      </c>
      <c r="AB345" s="58">
        <f>VLOOKUP(Table1[[#This Row],[Yield Cluster]],'Cluster Details'!$B$3:$C$16,2,0)</f>
        <v>7.8548801574189142E-2</v>
      </c>
      <c r="AC345" s="78">
        <f>PRICE(Table1[[#This Row],[Issue date]],Table1[[#This Row],[Maturity date]],Table1[[#This Row],[Current coupon %]],Table1[[#This Row],[Average Cluster Yield]],100,Table1[[#This Row],[Coupon Frequency2]])*Table1[[#This Row],[Face value]]/100</f>
        <v>102801.12169140797</v>
      </c>
      <c r="AD345" s="58" t="str">
        <f>IF(Table1[[#This Row],[Ask Price]]&gt;Table1[[#This Row],[Calculated Bond Price]],"Rich","Cheap")</f>
        <v>Cheap</v>
      </c>
      <c r="AE3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98956.945412070112</v>
      </c>
      <c r="AF3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103254.71352001613</v>
      </c>
      <c r="AG345" s="78">
        <f>(Table1[[#This Row],[P (+ shock)]]+Table1[[#This Row],[P (-shock)]]-2*Table1[[#This Row],[Ask Price]])/(2*Table1[[#This Row],[Ask Price]]*($AF$2^2))</f>
        <v>13.162882289937661</v>
      </c>
      <c r="AH345">
        <v>11.034394578698301</v>
      </c>
      <c r="AI345" s="6">
        <f t="shared" si="21"/>
        <v>9.1113538164490041E-2</v>
      </c>
      <c r="AK345" s="47">
        <f>RATE(Table1[[#This Row],[Total No. of Coupons]],Table1[[#This Row],[Coupon Amount]],-Table1[[#This Row],[Ask Price]],Table1[[#This Row],[Face value]])</f>
        <v>8.6495529355825745E-2</v>
      </c>
      <c r="AL345" s="27">
        <f>Table1[[#This Row],[IRR]]*Table1[[#This Row],[Coupon Frequency2]]</f>
        <v>8.6495529355825745E-2</v>
      </c>
      <c r="AM345" s="5">
        <f t="shared" si="22"/>
        <v>-204251.37196483384</v>
      </c>
      <c r="AN345" t="s">
        <v>64</v>
      </c>
      <c r="AO345" t="s">
        <v>62</v>
      </c>
      <c r="AP345">
        <f t="shared" si="23"/>
        <v>1</v>
      </c>
    </row>
    <row r="346" spans="1:42" x14ac:dyDescent="0.35">
      <c r="A346" s="48" t="s">
        <v>1792</v>
      </c>
      <c r="B346" s="49" t="s">
        <v>2628</v>
      </c>
      <c r="C346" s="49" t="s">
        <v>2273</v>
      </c>
      <c r="D346" s="50">
        <v>42527</v>
      </c>
      <c r="E346" s="50">
        <v>46179</v>
      </c>
      <c r="F346" s="49">
        <v>1000</v>
      </c>
      <c r="G346" s="49" t="s">
        <v>76</v>
      </c>
      <c r="H346" s="49">
        <v>1007</v>
      </c>
      <c r="I346" s="49" t="s">
        <v>76</v>
      </c>
      <c r="J346" s="49">
        <v>100.69999999999899</v>
      </c>
      <c r="K346" s="49">
        <v>199</v>
      </c>
      <c r="L346" s="51">
        <v>8.8000000000000009E-2</v>
      </c>
      <c r="M346" s="49" t="s">
        <v>93</v>
      </c>
      <c r="N346" s="49">
        <v>262</v>
      </c>
      <c r="O346" s="49">
        <v>8.7388282025819208</v>
      </c>
      <c r="P346" s="49"/>
      <c r="Q346" s="49"/>
      <c r="R346" s="49" t="s">
        <v>2275</v>
      </c>
      <c r="S346">
        <f t="shared" si="20"/>
        <v>10</v>
      </c>
      <c r="T346" s="5" cm="1">
        <f t="array" ref="T3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6">
        <f>Table1[[#This Row],[Term to Maturity (Years)]]*Table1[[#This Row],[Coupon Frequency2]]</f>
        <v>10</v>
      </c>
      <c r="V346">
        <f>Table1[[#This Row],[Face value]]*Table1[[#This Row],[Current coupon %]]</f>
        <v>88.000000000000014</v>
      </c>
      <c r="W346" s="36">
        <f>RATE(Table1[[#This Row],[Total No. of Coupons]],Table1[[#This Row],[Coupon Amount]],-Table1[[#This Row],[Ask Price]],Table1[[#This Row],[Face value]])</f>
        <v>8.6923982670223457E-2</v>
      </c>
      <c r="X346" s="27">
        <f>Table1[[#This Row],[IRR]]*Table1[[#This Row],[Coupon Frequency2]]</f>
        <v>8.6923982670223457E-2</v>
      </c>
      <c r="Y346" s="19" cm="1">
        <f t="array" ref="Y3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6" s="33">
        <f>DURATION(Table1[[#This Row],[Issue date]],Table1[[#This Row],[Maturity date]],Table1[[#This Row],[Current coupon %]],Table1[[#This Row],[Yield (Annualised)]],Table1[[#This Row],[Coupon Frequency2]])</f>
        <v>7.0553075856221668</v>
      </c>
      <c r="AA346" s="33">
        <f>Table1[[#This Row],[Macaulay Duration in Years]]/(1+Table1[[#This Row],[IRR]])</f>
        <v>6.4910772952948737</v>
      </c>
      <c r="AB346" s="58">
        <f>VLOOKUP(Table1[[#This Row],[Yield Cluster]],'Cluster Details'!$B$3:$C$16,2,0)</f>
        <v>7.8548801574189142E-2</v>
      </c>
      <c r="AC346" s="78">
        <f>PRICE(Table1[[#This Row],[Issue date]],Table1[[#This Row],[Maturity date]],Table1[[#This Row],[Current coupon %]],Table1[[#This Row],[Average Cluster Yield]],100,Table1[[#This Row],[Coupon Frequency2]])*Table1[[#This Row],[Face value]]/100</f>
        <v>1063.8355261993513</v>
      </c>
      <c r="AD346" s="58" t="str">
        <f>IF(Table1[[#This Row],[Ask Price]]&gt;Table1[[#This Row],[Calculated Bond Price]],"Rich","Cheap")</f>
        <v>Cheap</v>
      </c>
      <c r="AE3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944.43384676531684</v>
      </c>
      <c r="AF3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1075.363264644936</v>
      </c>
      <c r="AG346" s="78">
        <f>(Table1[[#This Row],[P (+ shock)]]+Table1[[#This Row],[P (-shock)]]-2*Table1[[#This Row],[Ask Price]])/(2*Table1[[#This Row],[Ask Price]]*($AF$2^2))</f>
        <v>28.784068571265689</v>
      </c>
      <c r="AH346">
        <v>9.5784839644048407</v>
      </c>
      <c r="AI346" s="6">
        <f t="shared" si="21"/>
        <v>8.7388282025819275E-2</v>
      </c>
      <c r="AK346" s="47">
        <f>RATE(Table1[[#This Row],[Total No. of Coupons]],Table1[[#This Row],[Coupon Amount]],-Table1[[#This Row],[Ask Price]],Table1[[#This Row],[Face value]])</f>
        <v>8.6923982670223457E-2</v>
      </c>
      <c r="AL346" s="27">
        <f>Table1[[#This Row],[IRR]]*Table1[[#This Row],[Coupon Frequency2]]</f>
        <v>8.6923982670223457E-2</v>
      </c>
      <c r="AM346" s="5">
        <f t="shared" si="22"/>
        <v>-6536.5148363619373</v>
      </c>
      <c r="AN346" t="s">
        <v>64</v>
      </c>
      <c r="AO346" t="s">
        <v>62</v>
      </c>
      <c r="AP346">
        <f t="shared" si="23"/>
        <v>1</v>
      </c>
    </row>
    <row r="347" spans="1:42" x14ac:dyDescent="0.35">
      <c r="A347" s="48" t="s">
        <v>1889</v>
      </c>
      <c r="B347" s="49" t="s">
        <v>2629</v>
      </c>
      <c r="C347" s="49" t="s">
        <v>2273</v>
      </c>
      <c r="D347" s="50">
        <v>42460</v>
      </c>
      <c r="E347" s="50">
        <v>46112</v>
      </c>
      <c r="F347" s="49">
        <v>1000000</v>
      </c>
      <c r="G347" s="49" t="s">
        <v>76</v>
      </c>
      <c r="H347" s="49">
        <v>1020000</v>
      </c>
      <c r="I347" s="49" t="s">
        <v>76</v>
      </c>
      <c r="J347" s="49">
        <v>102</v>
      </c>
      <c r="K347" s="49">
        <v>1</v>
      </c>
      <c r="L347" s="51">
        <v>0.09</v>
      </c>
      <c r="M347" s="49" t="s">
        <v>93</v>
      </c>
      <c r="N347" s="49">
        <v>195</v>
      </c>
      <c r="O347" s="49">
        <v>8.8235294117646994</v>
      </c>
      <c r="P347" s="49"/>
      <c r="Q347" s="49"/>
      <c r="R347" s="49" t="s">
        <v>2275</v>
      </c>
      <c r="S347">
        <f t="shared" si="20"/>
        <v>10</v>
      </c>
      <c r="T347" s="5" cm="1">
        <f t="array" ref="T3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7">
        <f>Table1[[#This Row],[Term to Maturity (Years)]]*Table1[[#This Row],[Coupon Frequency2]]</f>
        <v>10</v>
      </c>
      <c r="V347">
        <f>Table1[[#This Row],[Face value]]*Table1[[#This Row],[Current coupon %]]</f>
        <v>90000</v>
      </c>
      <c r="W347" s="36">
        <f>RATE(Table1[[#This Row],[Total No. of Coupons]],Table1[[#This Row],[Coupon Amount]],-Table1[[#This Row],[Ask Price]],Table1[[#This Row],[Face value]])</f>
        <v>8.6925642146766693E-2</v>
      </c>
      <c r="X347" s="27">
        <f>Table1[[#This Row],[IRR]]*Table1[[#This Row],[Coupon Frequency2]]</f>
        <v>8.6925642146766693E-2</v>
      </c>
      <c r="Y347" s="19" cm="1">
        <f t="array" ref="Y3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7" s="33">
        <f>DURATION(Table1[[#This Row],[Issue date]],Table1[[#This Row],[Maturity date]],Table1[[#This Row],[Current coupon %]],Table1[[#This Row],[Yield (Annualised)]],Table1[[#This Row],[Coupon Frequency2]])</f>
        <v>7.0267810128779642</v>
      </c>
      <c r="AA347" s="33">
        <f>Table1[[#This Row],[Macaulay Duration in Years]]/(1+Table1[[#This Row],[IRR]])</f>
        <v>6.464822192435812</v>
      </c>
      <c r="AB347" s="58">
        <f>VLOOKUP(Table1[[#This Row],[Yield Cluster]],'Cluster Details'!$B$3:$C$16,2,0)</f>
        <v>7.8548801574189142E-2</v>
      </c>
      <c r="AC347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1077343.9773657171</v>
      </c>
      <c r="AD347" s="58" t="str">
        <f>IF(Table1[[#This Row],[Ask Price]]&gt;Table1[[#This Row],[Calculated Bond Price]],"Rich","Cheap")</f>
        <v>Cheap</v>
      </c>
      <c r="AE3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956877.04212080361</v>
      </c>
      <c r="AF3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1088959.6712139098</v>
      </c>
      <c r="AG347" s="78">
        <f>(Table1[[#This Row],[P (+ shock)]]+Table1[[#This Row],[P (-shock)]]-2*Table1[[#This Row],[Ask Price]])/(2*Table1[[#This Row],[Ask Price]]*($AF$2^2))</f>
        <v>28.611339876045903</v>
      </c>
      <c r="AH347">
        <v>12.546095233069799</v>
      </c>
      <c r="AI347" s="6">
        <f t="shared" si="21"/>
        <v>8.8235294117647065E-2</v>
      </c>
      <c r="AK347" s="47">
        <f>RATE(Table1[[#This Row],[Total No. of Coupons]],Table1[[#This Row],[Coupon Amount]],-Table1[[#This Row],[Ask Price]],Table1[[#This Row],[Face value]])</f>
        <v>8.6925642146766693E-2</v>
      </c>
      <c r="AL347" s="27">
        <f>Table1[[#This Row],[IRR]]*Table1[[#This Row],[Coupon Frequency2]]</f>
        <v>8.6925642146766693E-2</v>
      </c>
      <c r="AM347" s="5">
        <f t="shared" si="22"/>
        <v>-6594118.6362845283</v>
      </c>
      <c r="AN347" t="s">
        <v>64</v>
      </c>
      <c r="AO347" t="s">
        <v>62</v>
      </c>
      <c r="AP347">
        <f t="shared" si="23"/>
        <v>1</v>
      </c>
    </row>
    <row r="348" spans="1:42" x14ac:dyDescent="0.35">
      <c r="A348" s="48" t="s">
        <v>1855</v>
      </c>
      <c r="B348" s="49" t="s">
        <v>2630</v>
      </c>
      <c r="C348" s="49" t="s">
        <v>2273</v>
      </c>
      <c r="D348" s="50">
        <v>45043</v>
      </c>
      <c r="E348" s="50">
        <v>46139</v>
      </c>
      <c r="F348" s="49">
        <v>1000</v>
      </c>
      <c r="G348" s="49" t="s">
        <v>76</v>
      </c>
      <c r="H348" s="49">
        <v>1023</v>
      </c>
      <c r="I348" s="49" t="s">
        <v>76</v>
      </c>
      <c r="J348" s="49">
        <v>102.3</v>
      </c>
      <c r="K348" s="49">
        <v>170</v>
      </c>
      <c r="L348" s="51">
        <v>9.6000000000000002E-2</v>
      </c>
      <c r="M348" s="49" t="s">
        <v>93</v>
      </c>
      <c r="N348" s="49">
        <v>222</v>
      </c>
      <c r="O348" s="49">
        <v>9.3841642228739008</v>
      </c>
      <c r="P348" s="49"/>
      <c r="Q348" s="49"/>
      <c r="R348" s="49" t="s">
        <v>2275</v>
      </c>
      <c r="S348">
        <f t="shared" si="20"/>
        <v>3</v>
      </c>
      <c r="T348" s="5" cm="1">
        <f t="array" ref="T3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8">
        <f>Table1[[#This Row],[Term to Maturity (Years)]]*Table1[[#This Row],[Coupon Frequency2]]</f>
        <v>3</v>
      </c>
      <c r="V348">
        <f>Table1[[#This Row],[Face value]]*Table1[[#This Row],[Current coupon %]]</f>
        <v>96</v>
      </c>
      <c r="W348" s="36">
        <f>RATE(Table1[[#This Row],[Total No. of Coupons]],Table1[[#This Row],[Coupon Amount]],-Table1[[#This Row],[Ask Price]],Table1[[#This Row],[Face value]])</f>
        <v>8.6962881567788655E-2</v>
      </c>
      <c r="X348" s="27">
        <f>Table1[[#This Row],[IRR]]*Table1[[#This Row],[Coupon Frequency2]]</f>
        <v>8.6962881567788655E-2</v>
      </c>
      <c r="Y348" s="19" cm="1">
        <f t="array" ref="Y3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8" s="33">
        <f>DURATION(Table1[[#This Row],[Issue date]],Table1[[#This Row],[Maturity date]],Table1[[#This Row],[Current coupon %]],Table1[[#This Row],[Yield (Annualised)]],Table1[[#This Row],[Coupon Frequency2]])</f>
        <v>2.7479057520621741</v>
      </c>
      <c r="AA348" s="33">
        <f>Table1[[#This Row],[Macaulay Duration in Years]]/(1+Table1[[#This Row],[IRR]])</f>
        <v>2.5280585001198133</v>
      </c>
      <c r="AB348" s="58">
        <f>VLOOKUP(Table1[[#This Row],[Yield Cluster]],'Cluster Details'!$B$3:$C$16,2,0)</f>
        <v>7.8548801574189142E-2</v>
      </c>
      <c r="AC348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1045.0914560073952</v>
      </c>
      <c r="AD348" s="58" t="str">
        <f>IF(Table1[[#This Row],[Ask Price]]&gt;Table1[[#This Row],[Calculated Bond Price]],"Rich","Cheap")</f>
        <v>Cheap</v>
      </c>
      <c r="AE3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997.59259455744211</v>
      </c>
      <c r="AF3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1049.3306084475473</v>
      </c>
      <c r="AG348" s="78">
        <f>(Table1[[#This Row],[P (+ shock)]]+Table1[[#This Row],[P (-shock)]]-2*Table1[[#This Row],[Ask Price]])/(2*Table1[[#This Row],[Ask Price]]*($AF$2^2))</f>
        <v>4.5122336509741849</v>
      </c>
      <c r="AH348">
        <v>10.8487312145848</v>
      </c>
      <c r="AI348" s="6">
        <f t="shared" si="21"/>
        <v>9.3841642228739003E-2</v>
      </c>
      <c r="AK348" s="47">
        <f>RATE(Table1[[#This Row],[Total No. of Coupons]],Table1[[#This Row],[Coupon Amount]],-Table1[[#This Row],[Ask Price]],Table1[[#This Row],[Face value]])</f>
        <v>8.6962881567788655E-2</v>
      </c>
      <c r="AL348" s="27">
        <f>Table1[[#This Row],[IRR]]*Table1[[#This Row],[Coupon Frequency2]]</f>
        <v>8.6962881567788655E-2</v>
      </c>
      <c r="AM348" s="5">
        <f t="shared" si="22"/>
        <v>-2586.2038456225691</v>
      </c>
      <c r="AN348" t="s">
        <v>64</v>
      </c>
      <c r="AO348" t="s">
        <v>62</v>
      </c>
      <c r="AP348">
        <f t="shared" si="23"/>
        <v>1</v>
      </c>
    </row>
    <row r="349" spans="1:42" x14ac:dyDescent="0.35">
      <c r="A349" s="48" t="s">
        <v>840</v>
      </c>
      <c r="B349" s="49" t="s">
        <v>2631</v>
      </c>
      <c r="C349" s="49" t="s">
        <v>2273</v>
      </c>
      <c r="D349" s="50">
        <v>45225</v>
      </c>
      <c r="E349" s="50">
        <v>47052</v>
      </c>
      <c r="F349" s="49">
        <v>1000</v>
      </c>
      <c r="G349" s="49" t="s">
        <v>76</v>
      </c>
      <c r="H349" s="49">
        <v>1055</v>
      </c>
      <c r="I349" s="49" t="s">
        <v>76</v>
      </c>
      <c r="J349" s="49">
        <v>105.5</v>
      </c>
      <c r="K349" s="49">
        <v>265</v>
      </c>
      <c r="L349" s="51">
        <v>0.10099999999999999</v>
      </c>
      <c r="M349" s="49" t="s">
        <v>93</v>
      </c>
      <c r="N349" s="49">
        <v>1135</v>
      </c>
      <c r="O349" s="49">
        <v>9.5734597156398102</v>
      </c>
      <c r="P349" s="49"/>
      <c r="Q349" s="49"/>
      <c r="R349" s="49" t="s">
        <v>2275</v>
      </c>
      <c r="S349">
        <f t="shared" si="20"/>
        <v>5</v>
      </c>
      <c r="T349" s="5" cm="1">
        <f t="array" ref="T3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49">
        <f>Table1[[#This Row],[Term to Maturity (Years)]]*Table1[[#This Row],[Coupon Frequency2]]</f>
        <v>5</v>
      </c>
      <c r="V349">
        <f>Table1[[#This Row],[Face value]]*Table1[[#This Row],[Current coupon %]]</f>
        <v>100.99999999999999</v>
      </c>
      <c r="W349" s="36">
        <f>RATE(Table1[[#This Row],[Total No. of Coupons]],Table1[[#This Row],[Coupon Amount]],-Table1[[#This Row],[Ask Price]],Table1[[#This Row],[Face value]])</f>
        <v>8.6970875752927307E-2</v>
      </c>
      <c r="X349" s="27">
        <f>Table1[[#This Row],[IRR]]*Table1[[#This Row],[Coupon Frequency2]]</f>
        <v>8.6970875752927307E-2</v>
      </c>
      <c r="Y349" s="19" cm="1">
        <f t="array" ref="Y3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49" s="33">
        <f>DURATION(Table1[[#This Row],[Issue date]],Table1[[#This Row],[Maturity date]],Table1[[#This Row],[Current coupon %]],Table1[[#This Row],[Yield (Annualised)]],Table1[[#This Row],[Coupon Frequency2]])</f>
        <v>4.186949639696425</v>
      </c>
      <c r="AA349" s="33">
        <f>Table1[[#This Row],[Macaulay Duration in Years]]/(1+Table1[[#This Row],[IRR]])</f>
        <v>3.8519428009478101</v>
      </c>
      <c r="AB349" s="58">
        <f>VLOOKUP(Table1[[#This Row],[Yield Cluster]],'Cluster Details'!$B$3:$C$16,2,0)</f>
        <v>7.8548801574189142E-2</v>
      </c>
      <c r="AC349" s="78">
        <f>PRICE(Table1[[#This Row],[Issue date]],Table1[[#This Row],[Maturity date]],Table1[[#This Row],[Current coupon %]],Table1[[#This Row],[Average Cluster Yield]],100,Table1[[#This Row],[Coupon Frequency2]])*Table1[[#This Row],[Face value]]/100</f>
        <v>1089.9850350203249</v>
      </c>
      <c r="AD349" s="58" t="str">
        <f>IF(Table1[[#This Row],[Ask Price]]&gt;Table1[[#This Row],[Calculated Bond Price]],"Rich","Cheap")</f>
        <v>Cheap</v>
      </c>
      <c r="AE3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1015.3924819620556</v>
      </c>
      <c r="AF3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1096.7121929855748</v>
      </c>
      <c r="AG349" s="78">
        <f>(Table1[[#This Row],[P (+ shock)]]+Table1[[#This Row],[P (-shock)]]-2*Table1[[#This Row],[Ask Price]])/(2*Table1[[#This Row],[Ask Price]]*($AF$2^2))</f>
        <v>9.9747627849783331</v>
      </c>
      <c r="AH349">
        <v>27.2506088928093</v>
      </c>
      <c r="AI349" s="6">
        <f t="shared" si="21"/>
        <v>9.5734597156398094E-2</v>
      </c>
      <c r="AK349" s="47">
        <f>RATE(Table1[[#This Row],[Total No. of Coupons]],Table1[[#This Row],[Coupon Amount]],-Table1[[#This Row],[Ask Price]],Table1[[#This Row],[Face value]])</f>
        <v>8.6970875752927307E-2</v>
      </c>
      <c r="AL349" s="27">
        <f>Table1[[#This Row],[IRR]]*Table1[[#This Row],[Coupon Frequency2]]</f>
        <v>8.6970875752927307E-2</v>
      </c>
      <c r="AM349" s="5">
        <f t="shared" si="22"/>
        <v>-4063.7996549999398</v>
      </c>
      <c r="AN349" t="s">
        <v>64</v>
      </c>
      <c r="AO349" t="s">
        <v>62</v>
      </c>
      <c r="AP349">
        <f t="shared" si="23"/>
        <v>1</v>
      </c>
    </row>
    <row r="350" spans="1:42" x14ac:dyDescent="0.35">
      <c r="A350" s="48" t="s">
        <v>1404</v>
      </c>
      <c r="B350" s="49" t="s">
        <v>2632</v>
      </c>
      <c r="C350" s="49" t="s">
        <v>2273</v>
      </c>
      <c r="D350" s="50">
        <v>45322</v>
      </c>
      <c r="E350" s="50">
        <v>46418</v>
      </c>
      <c r="F350" s="49">
        <v>1000</v>
      </c>
      <c r="G350" s="49" t="s">
        <v>76</v>
      </c>
      <c r="H350" s="49">
        <v>1020.2</v>
      </c>
      <c r="I350" s="49" t="s">
        <v>76</v>
      </c>
      <c r="J350" s="49">
        <v>102.02</v>
      </c>
      <c r="K350" s="49">
        <v>1</v>
      </c>
      <c r="L350" s="51">
        <v>9.5000000000000001E-2</v>
      </c>
      <c r="M350" s="49" t="s">
        <v>93</v>
      </c>
      <c r="N350" s="49">
        <v>501</v>
      </c>
      <c r="O350" s="49">
        <v>9.31189962752401</v>
      </c>
      <c r="P350" s="49"/>
      <c r="Q350" s="49"/>
      <c r="R350" s="49" t="s">
        <v>2275</v>
      </c>
      <c r="S350">
        <f t="shared" si="20"/>
        <v>3</v>
      </c>
      <c r="T350" s="5" cm="1">
        <f t="array" ref="T3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0">
        <f>Table1[[#This Row],[Term to Maturity (Years)]]*Table1[[#This Row],[Coupon Frequency2]]</f>
        <v>3</v>
      </c>
      <c r="V350">
        <f>Table1[[#This Row],[Face value]]*Table1[[#This Row],[Current coupon %]]</f>
        <v>95</v>
      </c>
      <c r="W350" s="36">
        <f>RATE(Table1[[#This Row],[Total No. of Coupons]],Table1[[#This Row],[Coupon Amount]],-Table1[[#This Row],[Ask Price]],Table1[[#This Row],[Face value]])</f>
        <v>8.706165010970629E-2</v>
      </c>
      <c r="X350" s="27">
        <f>Table1[[#This Row],[IRR]]*Table1[[#This Row],[Coupon Frequency2]]</f>
        <v>8.706165010970629E-2</v>
      </c>
      <c r="Y350" s="19" cm="1">
        <f t="array" ref="Y3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0" s="33">
        <f>DURATION(Table1[[#This Row],[Issue date]],Table1[[#This Row],[Maturity date]],Table1[[#This Row],[Current coupon %]],Table1[[#This Row],[Yield (Annualised)]],Table1[[#This Row],[Coupon Frequency2]])</f>
        <v>2.7498769420221123</v>
      </c>
      <c r="AA350" s="33">
        <f>Table1[[#This Row],[Macaulay Duration in Years]]/(1+Table1[[#This Row],[IRR]])</f>
        <v>2.5296421244780318</v>
      </c>
      <c r="AB350" s="58">
        <f>VLOOKUP(Table1[[#This Row],[Yield Cluster]],'Cluster Details'!$B$3:$C$16,2,0)</f>
        <v>7.8548801574189142E-2</v>
      </c>
      <c r="AC350" s="78">
        <f>PRICE(Table1[[#This Row],[Issue date]],Table1[[#This Row],[Maturity date]],Table1[[#This Row],[Current coupon %]],Table1[[#This Row],[Average Cluster Yield]],100,Table1[[#This Row],[Coupon Frequency2]])*Table1[[#This Row],[Face value]]/100</f>
        <v>1042.507595867412</v>
      </c>
      <c r="AD350" s="58" t="str">
        <f>IF(Table1[[#This Row],[Ask Price]]&gt;Table1[[#This Row],[Calculated Bond Price]],"Rich","Cheap")</f>
        <v>Cheap</v>
      </c>
      <c r="AE3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994.84634272735786</v>
      </c>
      <c r="AF3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1046.4750712620221</v>
      </c>
      <c r="AG350" s="78">
        <f>(Table1[[#This Row],[P (+ shock)]]+Table1[[#This Row],[P (-shock)]]-2*Table1[[#This Row],[Ask Price]])/(2*Table1[[#This Row],[Ask Price]]*($AF$2^2))</f>
        <v>4.515849781316132</v>
      </c>
      <c r="AH350">
        <v>10.5461834843278</v>
      </c>
      <c r="AI350" s="6">
        <f t="shared" si="21"/>
        <v>9.3118996275240146E-2</v>
      </c>
      <c r="AK350" s="47">
        <f>RATE(Table1[[#This Row],[Total No. of Coupons]],Table1[[#This Row],[Coupon Amount]],-Table1[[#This Row],[Ask Price]],Table1[[#This Row],[Face value]])</f>
        <v>8.706165010970629E-2</v>
      </c>
      <c r="AL350" s="27">
        <f>Table1[[#This Row],[IRR]]*Table1[[#This Row],[Coupon Frequency2]]</f>
        <v>8.706165010970629E-2</v>
      </c>
      <c r="AM350" s="5">
        <f t="shared" si="22"/>
        <v>-2580.7408953924883</v>
      </c>
      <c r="AN350" t="s">
        <v>64</v>
      </c>
      <c r="AO350" t="s">
        <v>62</v>
      </c>
      <c r="AP350">
        <f t="shared" si="23"/>
        <v>1</v>
      </c>
    </row>
    <row r="351" spans="1:42" x14ac:dyDescent="0.35">
      <c r="A351" s="48" t="s">
        <v>1625</v>
      </c>
      <c r="B351" s="49" t="s">
        <v>2633</v>
      </c>
      <c r="C351" s="49" t="s">
        <v>2273</v>
      </c>
      <c r="D351" s="50">
        <v>44274</v>
      </c>
      <c r="E351" s="50">
        <v>46283</v>
      </c>
      <c r="F351" s="49">
        <v>1000000</v>
      </c>
      <c r="G351" s="49" t="s">
        <v>76</v>
      </c>
      <c r="H351" s="49">
        <v>1040887</v>
      </c>
      <c r="I351" s="49" t="s">
        <v>76</v>
      </c>
      <c r="J351" s="49">
        <v>104.08869999999899</v>
      </c>
      <c r="K351" s="49">
        <v>2</v>
      </c>
      <c r="L351" s="51">
        <v>9.7500000000000003E-2</v>
      </c>
      <c r="M351" s="49" t="s">
        <v>93</v>
      </c>
      <c r="N351" s="49">
        <v>366</v>
      </c>
      <c r="O351" s="49">
        <v>9.3670110204085493</v>
      </c>
      <c r="P351" s="49"/>
      <c r="Q351" s="49"/>
      <c r="R351" s="49" t="s">
        <v>2275</v>
      </c>
      <c r="S351">
        <f t="shared" si="20"/>
        <v>5</v>
      </c>
      <c r="T351" s="5" cm="1">
        <f t="array" ref="T3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1">
        <f>Table1[[#This Row],[Term to Maturity (Years)]]*Table1[[#This Row],[Coupon Frequency2]]</f>
        <v>5</v>
      </c>
      <c r="V351">
        <f>Table1[[#This Row],[Face value]]*Table1[[#This Row],[Current coupon %]]</f>
        <v>97500</v>
      </c>
      <c r="W351" s="36">
        <f>RATE(Table1[[#This Row],[Total No. of Coupons]],Table1[[#This Row],[Coupon Amount]],-Table1[[#This Row],[Ask Price]],Table1[[#This Row],[Face value]])</f>
        <v>8.7068105340335086E-2</v>
      </c>
      <c r="X351" s="27">
        <f>Table1[[#This Row],[IRR]]*Table1[[#This Row],[Coupon Frequency2]]</f>
        <v>8.7068105340335086E-2</v>
      </c>
      <c r="Y351" s="19" cm="1">
        <f t="array" ref="Y3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1" s="33">
        <f>DURATION(Table1[[#This Row],[Issue date]],Table1[[#This Row],[Maturity date]],Table1[[#This Row],[Current coupon %]],Table1[[#This Row],[Yield (Annualised)]],Table1[[#This Row],[Coupon Frequency2]])</f>
        <v>4.3417264253591927</v>
      </c>
      <c r="AA351" s="33">
        <f>Table1[[#This Row],[Macaulay Duration in Years]]/(1+Table1[[#This Row],[IRR]])</f>
        <v>3.9939783018469686</v>
      </c>
      <c r="AB351" s="58">
        <f>VLOOKUP(Table1[[#This Row],[Yield Cluster]],'Cluster Details'!$B$3:$C$16,2,0)</f>
        <v>7.8548801574189142E-2</v>
      </c>
      <c r="AC351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1081135.3822302525</v>
      </c>
      <c r="AD351" s="58" t="str">
        <f>IF(Table1[[#This Row],[Ask Price]]&gt;Table1[[#This Row],[Calculated Bond Price]],"Rich","Cheap")</f>
        <v>Cheap</v>
      </c>
      <c r="AE3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1000646.6765296818</v>
      </c>
      <c r="AF3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1087936.9003231549</v>
      </c>
      <c r="AG351" s="78">
        <f>(Table1[[#This Row],[P (+ shock)]]+Table1[[#This Row],[P (-shock)]]-2*Table1[[#This Row],[Ask Price]])/(2*Table1[[#This Row],[Ask Price]]*($AF$2^2))</f>
        <v>32.710452012738394</v>
      </c>
      <c r="AI351" s="6">
        <f t="shared" si="21"/>
        <v>9.3670110204085555E-2</v>
      </c>
      <c r="AK351" s="47">
        <f>RATE(Table1[[#This Row],[Total No. of Coupons]],Table1[[#This Row],[Coupon Amount]],-Table1[[#This Row],[Ask Price]],Table1[[#This Row],[Face value]])</f>
        <v>8.7068105340335086E-2</v>
      </c>
      <c r="AL351" s="27">
        <f>Table1[[#This Row],[IRR]]*Table1[[#This Row],[Coupon Frequency2]]</f>
        <v>8.7068105340335086E-2</v>
      </c>
      <c r="AM351" s="5">
        <f t="shared" si="22"/>
        <v>-4157280.0926745855</v>
      </c>
      <c r="AN351" t="s">
        <v>69</v>
      </c>
      <c r="AO351" t="s">
        <v>62</v>
      </c>
      <c r="AP351">
        <f t="shared" si="23"/>
        <v>1</v>
      </c>
    </row>
    <row r="352" spans="1:42" x14ac:dyDescent="0.35">
      <c r="A352" s="48" t="s">
        <v>592</v>
      </c>
      <c r="B352" s="49" t="s">
        <v>2634</v>
      </c>
      <c r="C352" s="49" t="s">
        <v>2273</v>
      </c>
      <c r="D352" s="50">
        <v>45560</v>
      </c>
      <c r="E352" s="50">
        <v>47386</v>
      </c>
      <c r="F352" s="49">
        <v>1000</v>
      </c>
      <c r="G352" s="49" t="s">
        <v>76</v>
      </c>
      <c r="H352" s="49">
        <v>1070</v>
      </c>
      <c r="I352" s="49" t="s">
        <v>76</v>
      </c>
      <c r="J352" s="49">
        <v>107</v>
      </c>
      <c r="K352" s="49">
        <v>50</v>
      </c>
      <c r="L352" s="51">
        <v>0.105</v>
      </c>
      <c r="M352" s="49" t="s">
        <v>93</v>
      </c>
      <c r="N352" s="49">
        <v>1469</v>
      </c>
      <c r="O352" s="49">
        <v>9.8130841121495305</v>
      </c>
      <c r="P352" s="49"/>
      <c r="Q352" s="49"/>
      <c r="R352" s="49" t="s">
        <v>2275</v>
      </c>
      <c r="S352">
        <f t="shared" si="20"/>
        <v>5</v>
      </c>
      <c r="T352" s="5" cm="1">
        <f t="array" ref="T3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2">
        <f>Table1[[#This Row],[Term to Maturity (Years)]]*Table1[[#This Row],[Coupon Frequency2]]</f>
        <v>5</v>
      </c>
      <c r="V352">
        <f>Table1[[#This Row],[Face value]]*Table1[[#This Row],[Current coupon %]]</f>
        <v>105</v>
      </c>
      <c r="W352" s="36">
        <f>RATE(Table1[[#This Row],[Total No. of Coupons]],Table1[[#This Row],[Coupon Amount]],-Table1[[#This Row],[Ask Price]],Table1[[#This Row],[Face value]])</f>
        <v>8.7137016713474971E-2</v>
      </c>
      <c r="X352" s="27">
        <f>Table1[[#This Row],[IRR]]*Table1[[#This Row],[Coupon Frequency2]]</f>
        <v>8.7137016713474971E-2</v>
      </c>
      <c r="Y352" s="19" cm="1">
        <f t="array" ref="Y3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2" s="33">
        <f>DURATION(Table1[[#This Row],[Issue date]],Table1[[#This Row],[Maturity date]],Table1[[#This Row],[Current coupon %]],Table1[[#This Row],[Yield (Annualised)]],Table1[[#This Row],[Coupon Frequency2]])</f>
        <v>4.1668432845686176</v>
      </c>
      <c r="AA352" s="33">
        <f>Table1[[#This Row],[Macaulay Duration in Years]]/(1+Table1[[#This Row],[IRR]])</f>
        <v>3.8328593549002732</v>
      </c>
      <c r="AB352" s="58">
        <f>VLOOKUP(Table1[[#This Row],[Yield Cluster]],'Cluster Details'!$B$3:$C$16,2,0)</f>
        <v>7.8548801574189142E-2</v>
      </c>
      <c r="AC352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352" s="58" t="str">
        <f>IF(Table1[[#This Row],[Ask Price]]&gt;Table1[[#This Row],[Calculated Bond Price]],"Rich","Cheap")</f>
        <v>Cheap</v>
      </c>
      <c r="AE3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1030.0261861604495</v>
      </c>
      <c r="AF3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1112.0933499041325</v>
      </c>
      <c r="AG352" s="78">
        <f>(Table1[[#This Row],[P (+ shock)]]+Table1[[#This Row],[P (-shock)]]-2*Table1[[#This Row],[Ask Price]])/(2*Table1[[#This Row],[Ask Price]]*($AF$2^2))</f>
        <v>9.9043741335607809</v>
      </c>
      <c r="AH352">
        <v>12.120918828235901</v>
      </c>
      <c r="AI352" s="6">
        <f t="shared" si="21"/>
        <v>9.8130841121495324E-2</v>
      </c>
      <c r="AK352" s="47">
        <f>RATE(Table1[[#This Row],[Total No. of Coupons]],Table1[[#This Row],[Coupon Amount]],-Table1[[#This Row],[Ask Price]],Table1[[#This Row],[Face value]])</f>
        <v>8.7137016713474971E-2</v>
      </c>
      <c r="AL352" s="27">
        <f>Table1[[#This Row],[IRR]]*Table1[[#This Row],[Coupon Frequency2]]</f>
        <v>8.7137016713474971E-2</v>
      </c>
      <c r="AM352" s="5">
        <f t="shared" si="22"/>
        <v>-4101.1595097432919</v>
      </c>
      <c r="AN352" t="s">
        <v>64</v>
      </c>
      <c r="AO352" t="s">
        <v>62</v>
      </c>
      <c r="AP352">
        <f t="shared" si="23"/>
        <v>1</v>
      </c>
    </row>
    <row r="353" spans="1:42" x14ac:dyDescent="0.35">
      <c r="A353" s="48" t="s">
        <v>477</v>
      </c>
      <c r="B353" s="49" t="s">
        <v>2635</v>
      </c>
      <c r="C353" s="49" t="s">
        <v>2273</v>
      </c>
      <c r="D353" s="50">
        <v>45072</v>
      </c>
      <c r="E353" s="50">
        <v>47599</v>
      </c>
      <c r="F353" s="49">
        <v>100000</v>
      </c>
      <c r="G353" s="49" t="s">
        <v>76</v>
      </c>
      <c r="H353" s="49">
        <v>101350</v>
      </c>
      <c r="I353" s="49" t="s">
        <v>76</v>
      </c>
      <c r="J353" s="49">
        <v>101.35</v>
      </c>
      <c r="K353" s="49">
        <v>5</v>
      </c>
      <c r="L353" s="51">
        <v>0.09</v>
      </c>
      <c r="M353" s="49" t="s">
        <v>93</v>
      </c>
      <c r="N353" s="49">
        <v>1682</v>
      </c>
      <c r="O353" s="49">
        <v>8.8801184015786792</v>
      </c>
      <c r="P353" s="49"/>
      <c r="Q353" s="49"/>
      <c r="R353" s="49" t="s">
        <v>2275</v>
      </c>
      <c r="S353">
        <f t="shared" si="20"/>
        <v>7</v>
      </c>
      <c r="T353" s="5" cm="1">
        <f t="array" ref="T3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3">
        <f>Table1[[#This Row],[Term to Maturity (Years)]]*Table1[[#This Row],[Coupon Frequency2]]</f>
        <v>7</v>
      </c>
      <c r="V353">
        <f>Table1[[#This Row],[Face value]]*Table1[[#This Row],[Current coupon %]]</f>
        <v>9000</v>
      </c>
      <c r="W353" s="36">
        <f>RATE(Table1[[#This Row],[Total No. of Coupons]],Table1[[#This Row],[Coupon Amount]],-Table1[[#This Row],[Ask Price]],Table1[[#This Row],[Face value]])</f>
        <v>8.7341558516840223E-2</v>
      </c>
      <c r="X353" s="27">
        <f>Table1[[#This Row],[IRR]]*Table1[[#This Row],[Coupon Frequency2]]</f>
        <v>8.7341558516840223E-2</v>
      </c>
      <c r="Y353" s="19" cm="1">
        <f t="array" ref="Y3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3" s="33">
        <f>DURATION(Table1[[#This Row],[Issue date]],Table1[[#This Row],[Maturity date]],Table1[[#This Row],[Current coupon %]],Table1[[#This Row],[Yield (Annualised)]],Table1[[#This Row],[Coupon Frequency2]])</f>
        <v>5.4136597416985275</v>
      </c>
      <c r="AA353" s="33">
        <f>Table1[[#This Row],[Macaulay Duration in Years]]/(1+Table1[[#This Row],[IRR]])</f>
        <v>4.978803301772893</v>
      </c>
      <c r="AB353" s="58">
        <f>VLOOKUP(Table1[[#This Row],[Yield Cluster]],'Cluster Details'!$B$3:$C$16,2,0)</f>
        <v>7.8548801574189142E-2</v>
      </c>
      <c r="AC353" s="78">
        <f>PRICE(Table1[[#This Row],[Issue date]],Table1[[#This Row],[Maturity date]],Table1[[#This Row],[Current coupon %]],Table1[[#This Row],[Average Cluster Yield]],100,Table1[[#This Row],[Coupon Frequency2]])*Table1[[#This Row],[Face value]]/100</f>
        <v>105911.62380396519</v>
      </c>
      <c r="AD353" s="58" t="str">
        <f>IF(Table1[[#This Row],[Ask Price]]&gt;Table1[[#This Row],[Calculated Bond Price]],"Rich","Cheap")</f>
        <v>Cheap</v>
      </c>
      <c r="AE3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96393.393522858343</v>
      </c>
      <c r="AF3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106564.95298188785</v>
      </c>
      <c r="AG353" s="78">
        <f>(Table1[[#This Row],[P (+ shock)]]+Table1[[#This Row],[P (-shock)]]-2*Table1[[#This Row],[Ask Price]])/(2*Table1[[#This Row],[Ask Price]]*($AF$2^2))</f>
        <v>12.745264171000471</v>
      </c>
      <c r="AH353">
        <v>7.1392613203712303</v>
      </c>
      <c r="AI353" s="6">
        <f t="shared" si="21"/>
        <v>8.8801184015786877E-2</v>
      </c>
      <c r="AK353" s="47">
        <f>RATE(Table1[[#This Row],[Total No. of Coupons]],Table1[[#This Row],[Coupon Amount]],-Table1[[#This Row],[Ask Price]],Table1[[#This Row],[Face value]])</f>
        <v>8.7341558516840223E-2</v>
      </c>
      <c r="AL353" s="27">
        <f>Table1[[#This Row],[IRR]]*Table1[[#This Row],[Coupon Frequency2]]</f>
        <v>8.7341558516840223E-2</v>
      </c>
      <c r="AM353" s="5">
        <f t="shared" si="22"/>
        <v>-504601.71463468269</v>
      </c>
      <c r="AN353" t="s">
        <v>64</v>
      </c>
      <c r="AO353" t="s">
        <v>62</v>
      </c>
      <c r="AP353">
        <f t="shared" si="23"/>
        <v>1</v>
      </c>
    </row>
    <row r="354" spans="1:42" x14ac:dyDescent="0.35">
      <c r="A354" s="48" t="s">
        <v>1681</v>
      </c>
      <c r="B354" s="49" t="s">
        <v>2636</v>
      </c>
      <c r="C354" s="49" t="s">
        <v>2273</v>
      </c>
      <c r="D354" s="50">
        <v>42598</v>
      </c>
      <c r="E354" s="50">
        <v>46251</v>
      </c>
      <c r="F354" s="49">
        <v>1000000</v>
      </c>
      <c r="G354" s="49" t="s">
        <v>76</v>
      </c>
      <c r="H354" s="49">
        <v>1022987</v>
      </c>
      <c r="I354" s="49" t="s">
        <v>76</v>
      </c>
      <c r="J354" s="49">
        <v>102.2987</v>
      </c>
      <c r="K354" s="49">
        <v>1</v>
      </c>
      <c r="L354" s="51">
        <v>9.0999999999999998E-2</v>
      </c>
      <c r="M354" s="49" t="s">
        <v>93</v>
      </c>
      <c r="N354" s="49">
        <v>334</v>
      </c>
      <c r="O354" s="49">
        <v>8.8955187113814702</v>
      </c>
      <c r="P354" s="49"/>
      <c r="Q354" s="49"/>
      <c r="R354" s="49" t="s">
        <v>2275</v>
      </c>
      <c r="S354">
        <f t="shared" si="20"/>
        <v>10</v>
      </c>
      <c r="T354" s="5" cm="1">
        <f t="array" ref="T3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4">
        <f>Table1[[#This Row],[Term to Maturity (Years)]]*Table1[[#This Row],[Coupon Frequency2]]</f>
        <v>10</v>
      </c>
      <c r="V354">
        <f>Table1[[#This Row],[Face value]]*Table1[[#This Row],[Current coupon %]]</f>
        <v>91000</v>
      </c>
      <c r="W354" s="36">
        <f>RATE(Table1[[#This Row],[Total No. of Coupons]],Table1[[#This Row],[Coupon Amount]],-Table1[[#This Row],[Ask Price]],Table1[[#This Row],[Face value]])</f>
        <v>8.7458138024251508E-2</v>
      </c>
      <c r="X354" s="27">
        <f>Table1[[#This Row],[IRR]]*Table1[[#This Row],[Coupon Frequency2]]</f>
        <v>8.7458138024251508E-2</v>
      </c>
      <c r="Y354" s="19" cm="1">
        <f t="array" ref="Y3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4" s="33">
        <f>DURATION(Table1[[#This Row],[Issue date]],Table1[[#This Row],[Maturity date]],Table1[[#This Row],[Current coupon %]],Table1[[#This Row],[Yield (Annualised)]],Table1[[#This Row],[Coupon Frequency2]])</f>
        <v>6.4376945315868417</v>
      </c>
      <c r="AA354" s="33">
        <f>Table1[[#This Row],[Macaulay Duration in Years]]/(1+Table1[[#This Row],[IRR]])</f>
        <v>5.9199469905877651</v>
      </c>
      <c r="AB354" s="58">
        <f>VLOOKUP(Table1[[#This Row],[Yield Cluster]],'Cluster Details'!$B$3:$C$16,2,0)</f>
        <v>7.8548801574189142E-2</v>
      </c>
      <c r="AC354" s="78">
        <f>PRICE(Table1[[#This Row],[Issue date]],Table1[[#This Row],[Maturity date]],Table1[[#This Row],[Current coupon %]],Table1[[#This Row],[Average Cluster Yield]],100,Table1[[#This Row],[Coupon Frequency2]])*Table1[[#This Row],[Face value]]/100</f>
        <v>1084104.1823769084</v>
      </c>
      <c r="AD354" s="58" t="str">
        <f>IF(Table1[[#This Row],[Ask Price]]&gt;Table1[[#This Row],[Calculated Bond Price]],"Rich","Cheap")</f>
        <v>Cheap</v>
      </c>
      <c r="AE3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959861.84069640667</v>
      </c>
      <c r="AF3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1091925.7297003022</v>
      </c>
      <c r="AG354" s="78">
        <f>(Table1[[#This Row],[P (+ shock)]]+Table1[[#This Row],[P (-shock)]]-2*Table1[[#This Row],[Ask Price]])/(2*Table1[[#This Row],[Ask Price]]*($AF$2^2))</f>
        <v>28.414683650470582</v>
      </c>
      <c r="AI354" s="6">
        <f t="shared" si="21"/>
        <v>8.895518711381474E-2</v>
      </c>
      <c r="AK354" s="47">
        <f>RATE(Table1[[#This Row],[Total No. of Coupons]],Table1[[#This Row],[Coupon Amount]],-Table1[[#This Row],[Ask Price]],Table1[[#This Row],[Face value]])</f>
        <v>8.7458138024251508E-2</v>
      </c>
      <c r="AL354" s="27">
        <f>Table1[[#This Row],[IRR]]*Table1[[#This Row],[Coupon Frequency2]]</f>
        <v>8.7458138024251508E-2</v>
      </c>
      <c r="AM354" s="5">
        <f t="shared" si="22"/>
        <v>-6056028.8120604064</v>
      </c>
      <c r="AN354" t="s">
        <v>64</v>
      </c>
      <c r="AO354" t="s">
        <v>62</v>
      </c>
      <c r="AP354">
        <f t="shared" si="23"/>
        <v>1</v>
      </c>
    </row>
    <row r="355" spans="1:42" x14ac:dyDescent="0.35">
      <c r="A355" s="48" t="s">
        <v>933</v>
      </c>
      <c r="B355" s="49" t="s">
        <v>2637</v>
      </c>
      <c r="C355" s="49" t="s">
        <v>2273</v>
      </c>
      <c r="D355" s="50">
        <v>43258</v>
      </c>
      <c r="E355" s="50">
        <v>46911</v>
      </c>
      <c r="F355" s="49">
        <v>1000</v>
      </c>
      <c r="G355" s="49" t="s">
        <v>76</v>
      </c>
      <c r="H355" s="49">
        <v>1065</v>
      </c>
      <c r="I355" s="49" t="s">
        <v>76</v>
      </c>
      <c r="J355" s="49">
        <v>106.5</v>
      </c>
      <c r="K355" s="49">
        <v>150</v>
      </c>
      <c r="L355" s="51">
        <v>9.7500000000000003E-2</v>
      </c>
      <c r="M355" s="49" t="s">
        <v>93</v>
      </c>
      <c r="N355" s="49">
        <v>994</v>
      </c>
      <c r="O355" s="49">
        <v>9.1549295774647792</v>
      </c>
      <c r="P355" s="49"/>
      <c r="Q355" s="49"/>
      <c r="R355" s="49" t="s">
        <v>2275</v>
      </c>
      <c r="S355">
        <f t="shared" si="20"/>
        <v>10</v>
      </c>
      <c r="T355" s="5" cm="1">
        <f t="array" ref="T3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5">
        <f>Table1[[#This Row],[Term to Maturity (Years)]]*Table1[[#This Row],[Coupon Frequency2]]</f>
        <v>10</v>
      </c>
      <c r="V355">
        <f>Table1[[#This Row],[Face value]]*Table1[[#This Row],[Current coupon %]]</f>
        <v>97.5</v>
      </c>
      <c r="W355" s="36">
        <f>RATE(Table1[[#This Row],[Total No. of Coupons]],Table1[[#This Row],[Coupon Amount]],-Table1[[#This Row],[Ask Price]],Table1[[#This Row],[Face value]])</f>
        <v>8.7483599811574969E-2</v>
      </c>
      <c r="X355" s="27">
        <f>Table1[[#This Row],[IRR]]*Table1[[#This Row],[Coupon Frequency2]]</f>
        <v>8.7483599811574969E-2</v>
      </c>
      <c r="Y355" s="19" cm="1">
        <f t="array" ref="Y3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5" s="33">
        <f>DURATION(Table1[[#This Row],[Issue date]],Table1[[#This Row],[Maturity date]],Table1[[#This Row],[Current coupon %]],Table1[[#This Row],[Yield (Annualised)]],Table1[[#This Row],[Coupon Frequency2]])</f>
        <v>6.9203004944404904</v>
      </c>
      <c r="AA355" s="33">
        <f>Table1[[#This Row],[Macaulay Duration in Years]]/(1+Table1[[#This Row],[IRR]])</f>
        <v>6.363590674507229</v>
      </c>
      <c r="AB355" s="58">
        <f>VLOOKUP(Table1[[#This Row],[Yield Cluster]],'Cluster Details'!$B$3:$C$16,2,0)</f>
        <v>7.8548801574189142E-2</v>
      </c>
      <c r="AC355" s="78">
        <f>PRICE(Table1[[#This Row],[Issue date]],Table1[[#This Row],[Maturity date]],Table1[[#This Row],[Current coupon %]],Table1[[#This Row],[Average Cluster Yield]],100,Table1[[#This Row],[Coupon Frequency2]])*Table1[[#This Row],[Face value]]/100</f>
        <v>1128.0006692395891</v>
      </c>
      <c r="AD355" s="58" t="str">
        <f>IF(Table1[[#This Row],[Ask Price]]&gt;Table1[[#This Row],[Calculated Bond Price]],"Rich","Cheap")</f>
        <v>Cheap</v>
      </c>
      <c r="AE3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1000.1018706968824</v>
      </c>
      <c r="AF3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1135.849579162702</v>
      </c>
      <c r="AG355" s="78">
        <f>(Table1[[#This Row],[P (+ shock)]]+Table1[[#This Row],[P (-shock)]]-2*Table1[[#This Row],[Ask Price]])/(2*Table1[[#This Row],[Ask Price]]*($AF$2^2))</f>
        <v>27.941079152978869</v>
      </c>
      <c r="AH355">
        <v>14.728729399579599</v>
      </c>
      <c r="AI355" s="6">
        <f t="shared" si="21"/>
        <v>9.154929577464789E-2</v>
      </c>
      <c r="AK355" s="47">
        <f>RATE(Table1[[#This Row],[Total No. of Coupons]],Table1[[#This Row],[Coupon Amount]],-Table1[[#This Row],[Ask Price]],Table1[[#This Row],[Face value]])</f>
        <v>8.7483599811574969E-2</v>
      </c>
      <c r="AL355" s="27">
        <f>Table1[[#This Row],[IRR]]*Table1[[#This Row],[Coupon Frequency2]]</f>
        <v>8.7483599811574969E-2</v>
      </c>
      <c r="AM355" s="5">
        <f t="shared" si="22"/>
        <v>-6777.2240683501986</v>
      </c>
      <c r="AN355" t="s">
        <v>64</v>
      </c>
      <c r="AO355" t="s">
        <v>62</v>
      </c>
      <c r="AP355">
        <f t="shared" si="23"/>
        <v>1</v>
      </c>
    </row>
    <row r="356" spans="1:42" x14ac:dyDescent="0.35">
      <c r="A356" s="48" t="s">
        <v>697</v>
      </c>
      <c r="B356" s="49" t="s">
        <v>2638</v>
      </c>
      <c r="C356" s="49" t="s">
        <v>2273</v>
      </c>
      <c r="D356" s="50">
        <v>45756</v>
      </c>
      <c r="E356" s="50">
        <v>47217</v>
      </c>
      <c r="F356" s="49">
        <v>100000</v>
      </c>
      <c r="G356" s="49" t="s">
        <v>76</v>
      </c>
      <c r="H356" s="49">
        <v>101782.32</v>
      </c>
      <c r="I356" s="49" t="s">
        <v>76</v>
      </c>
      <c r="J356" s="49">
        <v>101.78232</v>
      </c>
      <c r="K356" s="49">
        <v>10</v>
      </c>
      <c r="L356" s="51">
        <v>9.3000000000000013E-2</v>
      </c>
      <c r="M356" s="49" t="s">
        <v>93</v>
      </c>
      <c r="N356" s="49">
        <v>1300</v>
      </c>
      <c r="O356" s="49">
        <v>9.1371468050639795</v>
      </c>
      <c r="P356" s="49"/>
      <c r="Q356" s="49"/>
      <c r="R356" s="49" t="s">
        <v>2275</v>
      </c>
      <c r="S356">
        <f t="shared" si="20"/>
        <v>4</v>
      </c>
      <c r="T356" s="5" cm="1">
        <f t="array" ref="T3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6">
        <f>Table1[[#This Row],[Term to Maturity (Years)]]*Table1[[#This Row],[Coupon Frequency2]]</f>
        <v>4</v>
      </c>
      <c r="V356">
        <f>Table1[[#This Row],[Face value]]*Table1[[#This Row],[Current coupon %]]</f>
        <v>9300.0000000000018</v>
      </c>
      <c r="W356" s="36">
        <f>RATE(Table1[[#This Row],[Total No. of Coupons]],Table1[[#This Row],[Coupon Amount]],-Table1[[#This Row],[Ask Price]],Table1[[#This Row],[Face value]])</f>
        <v>8.7528353426750236E-2</v>
      </c>
      <c r="X356" s="27">
        <f>Table1[[#This Row],[IRR]]*Table1[[#This Row],[Coupon Frequency2]]</f>
        <v>8.7528353426750236E-2</v>
      </c>
      <c r="Y356" s="19" cm="1">
        <f t="array" ref="Y3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6" s="33">
        <f>DURATION(Table1[[#This Row],[Issue date]],Table1[[#This Row],[Maturity date]],Table1[[#This Row],[Current coupon %]],Table1[[#This Row],[Yield (Annualised)]],Table1[[#This Row],[Coupon Frequency2]])</f>
        <v>3.5223986517804149</v>
      </c>
      <c r="AA356" s="33">
        <f>Table1[[#This Row],[Macaulay Duration in Years]]/(1+Table1[[#This Row],[IRR]])</f>
        <v>3.2389028209531312</v>
      </c>
      <c r="AB356" s="58">
        <f>VLOOKUP(Table1[[#This Row],[Yield Cluster]],'Cluster Details'!$B$3:$C$16,2,0)</f>
        <v>7.8548801574189142E-2</v>
      </c>
      <c r="AC356" s="78">
        <f>PRICE(Table1[[#This Row],[Issue date]],Table1[[#This Row],[Maturity date]],Table1[[#This Row],[Current coupon %]],Table1[[#This Row],[Average Cluster Yield]],100,Table1[[#This Row],[Coupon Frequency2]])*Table1[[#This Row],[Face value]]/100</f>
        <v>104801.92216964727</v>
      </c>
      <c r="AD356" s="58" t="str">
        <f>IF(Table1[[#This Row],[Ask Price]]&gt;Table1[[#This Row],[Calculated Bond Price]],"Rich","Cheap")</f>
        <v>Cheap</v>
      </c>
      <c r="AE3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98556.859030834312</v>
      </c>
      <c r="AF3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105152.72507411031</v>
      </c>
      <c r="AG356" s="78">
        <f>(Table1[[#This Row],[P (+ shock)]]+Table1[[#This Row],[P (-shock)]]-2*Table1[[#This Row],[Ask Price]])/(2*Table1[[#This Row],[Ask Price]]*($AF$2^2))</f>
        <v>7.1202987387489598</v>
      </c>
      <c r="AH356">
        <v>18.2666217471272</v>
      </c>
      <c r="AI356" s="6">
        <f t="shared" si="21"/>
        <v>9.1371468050639851E-2</v>
      </c>
      <c r="AK356" s="47">
        <f>RATE(Table1[[#This Row],[Total No. of Coupons]],Table1[[#This Row],[Coupon Amount]],-Table1[[#This Row],[Ask Price]],Table1[[#This Row],[Face value]])</f>
        <v>8.7528353426750236E-2</v>
      </c>
      <c r="AL356" s="27">
        <f>Table1[[#This Row],[IRR]]*Table1[[#This Row],[Coupon Frequency2]]</f>
        <v>8.7528353426750236E-2</v>
      </c>
      <c r="AM356" s="5">
        <f t="shared" si="22"/>
        <v>-329663.04337115434</v>
      </c>
      <c r="AN356" t="s">
        <v>64</v>
      </c>
      <c r="AO356" t="s">
        <v>62</v>
      </c>
      <c r="AP356">
        <f t="shared" si="23"/>
        <v>1</v>
      </c>
    </row>
    <row r="357" spans="1:42" x14ac:dyDescent="0.35">
      <c r="A357" s="48" t="s">
        <v>1577</v>
      </c>
      <c r="B357" s="49" t="s">
        <v>2639</v>
      </c>
      <c r="C357" s="49" t="s">
        <v>2273</v>
      </c>
      <c r="D357" s="50">
        <v>44263</v>
      </c>
      <c r="E357" s="50">
        <v>46303</v>
      </c>
      <c r="F357" s="49">
        <v>1000000</v>
      </c>
      <c r="G357" s="49" t="s">
        <v>76</v>
      </c>
      <c r="H357" s="49">
        <v>1045000</v>
      </c>
      <c r="I357" s="49" t="s">
        <v>76</v>
      </c>
      <c r="J357" s="49">
        <v>104.5</v>
      </c>
      <c r="K357" s="49">
        <v>1</v>
      </c>
      <c r="L357" s="51">
        <v>9.7500000000000003E-2</v>
      </c>
      <c r="M357" s="49" t="s">
        <v>93</v>
      </c>
      <c r="N357" s="49">
        <v>386</v>
      </c>
      <c r="O357" s="49">
        <v>9.3301435406698499</v>
      </c>
      <c r="P357" s="49"/>
      <c r="Q357" s="49"/>
      <c r="R357" s="49" t="s">
        <v>2275</v>
      </c>
      <c r="S357">
        <f t="shared" si="20"/>
        <v>6</v>
      </c>
      <c r="T357" s="5" cm="1">
        <f t="array" ref="T3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7">
        <f>Table1[[#This Row],[Term to Maturity (Years)]]*Table1[[#This Row],[Coupon Frequency2]]</f>
        <v>6</v>
      </c>
      <c r="V357">
        <f>Table1[[#This Row],[Face value]]*Table1[[#This Row],[Current coupon %]]</f>
        <v>97500</v>
      </c>
      <c r="W357" s="36">
        <f>RATE(Table1[[#This Row],[Total No. of Coupons]],Table1[[#This Row],[Coupon Amount]],-Table1[[#This Row],[Ask Price]],Table1[[#This Row],[Face value]])</f>
        <v>8.7542010503522921E-2</v>
      </c>
      <c r="X357" s="27">
        <f>Table1[[#This Row],[IRR]]*Table1[[#This Row],[Coupon Frequency2]]</f>
        <v>8.7542010503522921E-2</v>
      </c>
      <c r="Y357" s="19" cm="1">
        <f t="array" ref="Y3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7" s="33">
        <f>DURATION(Table1[[#This Row],[Issue date]],Table1[[#This Row],[Maturity date]],Table1[[#This Row],[Current coupon %]],Table1[[#This Row],[Yield (Annualised)]],Table1[[#This Row],[Coupon Frequency2]])</f>
        <v>4.4265089328152696</v>
      </c>
      <c r="AA357" s="33">
        <f>Table1[[#This Row],[Macaulay Duration in Years]]/(1+Table1[[#This Row],[IRR]])</f>
        <v>4.0701958085884264</v>
      </c>
      <c r="AB357" s="58">
        <f>VLOOKUP(Table1[[#This Row],[Yield Cluster]],'Cluster Details'!$B$3:$C$16,2,0)</f>
        <v>7.8548801574189142E-2</v>
      </c>
      <c r="AC357" s="78">
        <f>PRICE(Table1[[#This Row],[Issue date]],Table1[[#This Row],[Maturity date]],Table1[[#This Row],[Current coupon %]],Table1[[#This Row],[Average Cluster Yield]],100,Table1[[#This Row],[Coupon Frequency2]])*Table1[[#This Row],[Face value]]/100</f>
        <v>1082196.2056956762</v>
      </c>
      <c r="AD357" s="58" t="str">
        <f>IF(Table1[[#This Row],[Ask Price]]&gt;Table1[[#This Row],[Calculated Bond Price]],"Rich","Cheap")</f>
        <v>Cheap</v>
      </c>
      <c r="AE3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998725.67511738348</v>
      </c>
      <c r="AF3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1086875.3959157192</v>
      </c>
      <c r="AG357" s="78">
        <f>(Table1[[#This Row],[P (+ shock)]]+Table1[[#This Row],[P (-shock)]]-2*Table1[[#This Row],[Ask Price]])/(2*Table1[[#This Row],[Ask Price]]*($AF$2^2))</f>
        <v>-21.047507018647401</v>
      </c>
      <c r="AH357">
        <v>6.7509368995835199</v>
      </c>
      <c r="AI357" s="6">
        <f t="shared" si="21"/>
        <v>9.3301435406698566E-2</v>
      </c>
      <c r="AK357" s="47">
        <f>RATE(Table1[[#This Row],[Total No. of Coupons]],Table1[[#This Row],[Coupon Amount]],-Table1[[#This Row],[Ask Price]],Table1[[#This Row],[Face value]])</f>
        <v>8.7542010503522921E-2</v>
      </c>
      <c r="AL357" s="27">
        <f>Table1[[#This Row],[IRR]]*Table1[[#This Row],[Coupon Frequency2]]</f>
        <v>8.7542010503522921E-2</v>
      </c>
      <c r="AM357" s="5">
        <f t="shared" si="22"/>
        <v>-4253354.6199749056</v>
      </c>
      <c r="AN357" t="s">
        <v>64</v>
      </c>
      <c r="AO357" t="s">
        <v>62</v>
      </c>
      <c r="AP357">
        <f t="shared" si="23"/>
        <v>1</v>
      </c>
    </row>
    <row r="358" spans="1:42" x14ac:dyDescent="0.35">
      <c r="A358" s="48" t="s">
        <v>887</v>
      </c>
      <c r="B358" s="49" t="s">
        <v>2640</v>
      </c>
      <c r="C358" s="49" t="s">
        <v>2273</v>
      </c>
      <c r="D358" s="50">
        <v>45147</v>
      </c>
      <c r="E358" s="50">
        <v>46974</v>
      </c>
      <c r="F358" s="49">
        <v>1000</v>
      </c>
      <c r="G358" s="49" t="s">
        <v>76</v>
      </c>
      <c r="H358" s="49">
        <v>985</v>
      </c>
      <c r="I358" s="49" t="s">
        <v>76</v>
      </c>
      <c r="J358" s="49">
        <v>98.5</v>
      </c>
      <c r="K358" s="49">
        <v>1000</v>
      </c>
      <c r="L358" s="51">
        <v>8.4000000000000005E-2</v>
      </c>
      <c r="M358" s="49" t="s">
        <v>93</v>
      </c>
      <c r="N358" s="49">
        <v>1057</v>
      </c>
      <c r="O358" s="49">
        <v>8.5279187817258801</v>
      </c>
      <c r="P358" s="49"/>
      <c r="Q358" s="49"/>
      <c r="R358" s="49" t="s">
        <v>2275</v>
      </c>
      <c r="S358">
        <f t="shared" si="20"/>
        <v>5</v>
      </c>
      <c r="T358" s="5" cm="1">
        <f t="array" ref="T3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8">
        <f>Table1[[#This Row],[Term to Maturity (Years)]]*Table1[[#This Row],[Coupon Frequency2]]</f>
        <v>5</v>
      </c>
      <c r="V358">
        <f>Table1[[#This Row],[Face value]]*Table1[[#This Row],[Current coupon %]]</f>
        <v>84</v>
      </c>
      <c r="W358" s="36">
        <f>RATE(Table1[[#This Row],[Total No. of Coupons]],Table1[[#This Row],[Coupon Amount]],-Table1[[#This Row],[Ask Price]],Table1[[#This Row],[Face value]])</f>
        <v>8.7834745456821434E-2</v>
      </c>
      <c r="X358" s="27">
        <f>Table1[[#This Row],[IRR]]*Table1[[#This Row],[Coupon Frequency2]]</f>
        <v>8.7834745456821434E-2</v>
      </c>
      <c r="Y358" s="19" cm="1">
        <f t="array" ref="Y3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8" s="33">
        <f>DURATION(Table1[[#This Row],[Issue date]],Table1[[#This Row],[Maturity date]],Table1[[#This Row],[Current coupon %]],Table1[[#This Row],[Yield (Annualised)]],Table1[[#This Row],[Coupon Frequency2]])</f>
        <v>4.2768478036951132</v>
      </c>
      <c r="AA358" s="33">
        <f>Table1[[#This Row],[Macaulay Duration in Years]]/(1+Table1[[#This Row],[IRR]])</f>
        <v>3.9315234428360801</v>
      </c>
      <c r="AB358" s="58">
        <f>VLOOKUP(Table1[[#This Row],[Yield Cluster]],'Cluster Details'!$B$3:$C$16,2,0)</f>
        <v>7.8548801574189142E-2</v>
      </c>
      <c r="AC358" s="78">
        <f>PRICE(Table1[[#This Row],[Issue date]],Table1[[#This Row],[Maturity date]],Table1[[#This Row],[Current coupon %]],Table1[[#This Row],[Average Cluster Yield]],100,Table1[[#This Row],[Coupon Frequency2]])*Table1[[#This Row],[Face value]]/100</f>
        <v>1021.8485566759502</v>
      </c>
      <c r="AD358" s="58" t="str">
        <f>IF(Table1[[#This Row],[Ask Price]]&gt;Table1[[#This Row],[Calculated Bond Price]],"Rich","Cheap")</f>
        <v>Cheap</v>
      </c>
      <c r="AE3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947.26403973343565</v>
      </c>
      <c r="AF3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1024.7571948947189</v>
      </c>
      <c r="AG358" s="78">
        <f>(Table1[[#This Row],[P (+ shock)]]+Table1[[#This Row],[P (-shock)]]-2*Table1[[#This Row],[Ask Price]])/(2*Table1[[#This Row],[Ask Price]]*($AF$2^2))</f>
        <v>10.260074254591959</v>
      </c>
      <c r="AI358" s="6">
        <f t="shared" si="21"/>
        <v>8.5279187817258878E-2</v>
      </c>
      <c r="AK358" s="47">
        <f>RATE(Table1[[#This Row],[Total No. of Coupons]],Table1[[#This Row],[Coupon Amount]],-Table1[[#This Row],[Ask Price]],Table1[[#This Row],[Face value]])</f>
        <v>8.7834745456821434E-2</v>
      </c>
      <c r="AL358" s="27">
        <f>Table1[[#This Row],[IRR]]*Table1[[#This Row],[Coupon Frequency2]]</f>
        <v>8.7834745456821434E-2</v>
      </c>
      <c r="AM358" s="5">
        <f t="shared" si="22"/>
        <v>-3872.5505911935388</v>
      </c>
      <c r="AN358" t="s">
        <v>69</v>
      </c>
      <c r="AO358" t="s">
        <v>62</v>
      </c>
      <c r="AP358">
        <f t="shared" si="23"/>
        <v>1</v>
      </c>
    </row>
    <row r="359" spans="1:42" x14ac:dyDescent="0.35">
      <c r="A359" s="48" t="s">
        <v>998</v>
      </c>
      <c r="B359" s="49" t="s">
        <v>2641</v>
      </c>
      <c r="C359" s="49" t="s">
        <v>2273</v>
      </c>
      <c r="D359" s="50">
        <v>43187</v>
      </c>
      <c r="E359" s="50">
        <v>46840</v>
      </c>
      <c r="F359" s="49">
        <v>1000000</v>
      </c>
      <c r="G359" s="49" t="s">
        <v>76</v>
      </c>
      <c r="H359" s="49">
        <v>1014000</v>
      </c>
      <c r="I359" s="49" t="s">
        <v>76</v>
      </c>
      <c r="J359" s="49">
        <v>101.4</v>
      </c>
      <c r="K359" s="49">
        <v>1</v>
      </c>
      <c r="L359" s="51">
        <v>0.09</v>
      </c>
      <c r="M359" s="49" t="s">
        <v>93</v>
      </c>
      <c r="N359" s="49">
        <v>923</v>
      </c>
      <c r="O359" s="49">
        <v>8.8757396449704107</v>
      </c>
      <c r="P359" s="49" t="s">
        <v>2285</v>
      </c>
      <c r="Q359" s="49"/>
      <c r="R359" s="49" t="s">
        <v>2275</v>
      </c>
      <c r="S359">
        <f t="shared" si="20"/>
        <v>10</v>
      </c>
      <c r="T359" s="5" cm="1">
        <f t="array" ref="T3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59">
        <f>Table1[[#This Row],[Term to Maturity (Years)]]*Table1[[#This Row],[Coupon Frequency2]]</f>
        <v>10</v>
      </c>
      <c r="V359">
        <f>Table1[[#This Row],[Face value]]*Table1[[#This Row],[Current coupon %]]</f>
        <v>90000</v>
      </c>
      <c r="W359" s="36">
        <f>RATE(Table1[[#This Row],[Total No. of Coupons]],Table1[[#This Row],[Coupon Amount]],-Table1[[#This Row],[Ask Price]],Table1[[#This Row],[Face value]])</f>
        <v>8.7839222527039365E-2</v>
      </c>
      <c r="X359" s="27">
        <f>Table1[[#This Row],[IRR]]*Table1[[#This Row],[Coupon Frequency2]]</f>
        <v>8.7839222527039365E-2</v>
      </c>
      <c r="Y359" s="19" cm="1">
        <f t="array" ref="Y3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59" s="33">
        <f>DURATION(Table1[[#This Row],[Issue date]],Table1[[#This Row],[Maturity date]],Table1[[#This Row],[Current coupon %]],Table1[[#This Row],[Yield (Annualised)]],Table1[[#This Row],[Coupon Frequency2]])</f>
        <v>7.0174187259114769</v>
      </c>
      <c r="AA359" s="33">
        <f>Table1[[#This Row],[Macaulay Duration in Years]]/(1+Table1[[#This Row],[IRR]])</f>
        <v>6.4507866425427141</v>
      </c>
      <c r="AB359" s="58">
        <f>VLOOKUP(Table1[[#This Row],[Yield Cluster]],'Cluster Details'!$B$3:$C$16,2,0)</f>
        <v>7.8548801574189142E-2</v>
      </c>
      <c r="AC359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1077343.9773657171</v>
      </c>
      <c r="AD359" s="58" t="str">
        <f>IF(Table1[[#This Row],[Ask Price]]&gt;Table1[[#This Row],[Calculated Bond Price]],"Rich","Cheap")</f>
        <v>Cheap</v>
      </c>
      <c r="AE3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951380.98243248148</v>
      </c>
      <c r="AF3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1082401.1060876369</v>
      </c>
      <c r="AG359" s="78">
        <f>(Table1[[#This Row],[P (+ shock)]]+Table1[[#This Row],[P (-shock)]]-2*Table1[[#This Row],[Ask Price]])/(2*Table1[[#This Row],[Ask Price]]*($AF$2^2))</f>
        <v>28.51128461596894</v>
      </c>
      <c r="AH359">
        <v>10.5894464473071</v>
      </c>
      <c r="AI359" s="6">
        <f t="shared" si="21"/>
        <v>8.8757396449704137E-2</v>
      </c>
      <c r="AK359" s="47">
        <f>RATE(Table1[[#This Row],[Total No. of Coupons]],Table1[[#This Row],[Coupon Amount]],-Table1[[#This Row],[Ask Price]],Table1[[#This Row],[Face value]])</f>
        <v>8.7839222527039365E-2</v>
      </c>
      <c r="AL359" s="27">
        <f>Table1[[#This Row],[IRR]]*Table1[[#This Row],[Coupon Frequency2]]</f>
        <v>8.7839222527039365E-2</v>
      </c>
      <c r="AM359" s="5">
        <f t="shared" si="22"/>
        <v>-6541097.6555383122</v>
      </c>
      <c r="AN359" t="s">
        <v>64</v>
      </c>
      <c r="AO359" t="s">
        <v>62</v>
      </c>
      <c r="AP359">
        <f t="shared" si="23"/>
        <v>1</v>
      </c>
    </row>
    <row r="360" spans="1:42" x14ac:dyDescent="0.35">
      <c r="A360" s="48" t="s">
        <v>1389</v>
      </c>
      <c r="B360" s="49" t="s">
        <v>2642</v>
      </c>
      <c r="C360" s="49" t="s">
        <v>2273</v>
      </c>
      <c r="D360" s="50">
        <v>40954</v>
      </c>
      <c r="E360" s="50">
        <v>46433</v>
      </c>
      <c r="F360" s="49">
        <v>5000</v>
      </c>
      <c r="G360" s="49" t="s">
        <v>76</v>
      </c>
      <c r="H360" s="49">
        <v>5150</v>
      </c>
      <c r="I360" s="49" t="s">
        <v>76</v>
      </c>
      <c r="J360" s="49">
        <v>103</v>
      </c>
      <c r="K360" s="49">
        <v>4</v>
      </c>
      <c r="L360" s="51">
        <v>9.1600000000000001E-2</v>
      </c>
      <c r="M360" s="49" t="s">
        <v>93</v>
      </c>
      <c r="N360" s="49">
        <v>516</v>
      </c>
      <c r="O360" s="49">
        <v>8.8932038834951399</v>
      </c>
      <c r="P360" s="49"/>
      <c r="Q360" s="49"/>
      <c r="R360" s="49" t="s">
        <v>2275</v>
      </c>
      <c r="S360">
        <f t="shared" si="20"/>
        <v>15</v>
      </c>
      <c r="T360" s="5" cm="1">
        <f t="array" ref="T3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0">
        <f>Table1[[#This Row],[Term to Maturity (Years)]]*Table1[[#This Row],[Coupon Frequency2]]</f>
        <v>15</v>
      </c>
      <c r="V360">
        <f>Table1[[#This Row],[Face value]]*Table1[[#This Row],[Current coupon %]]</f>
        <v>458</v>
      </c>
      <c r="W360" s="36">
        <f>RATE(Table1[[#This Row],[Total No. of Coupons]],Table1[[#This Row],[Coupon Amount]],-Table1[[#This Row],[Ask Price]],Table1[[#This Row],[Face value]])</f>
        <v>8.7923730468522102E-2</v>
      </c>
      <c r="X360" s="27">
        <f>Table1[[#This Row],[IRR]]*Table1[[#This Row],[Coupon Frequency2]]</f>
        <v>8.7923730468522102E-2</v>
      </c>
      <c r="Y360" s="19" cm="1">
        <f t="array" ref="Y3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0" s="33">
        <f>DURATION(Table1[[#This Row],[Issue date]],Table1[[#This Row],[Maturity date]],Table1[[#This Row],[Current coupon %]],Table1[[#This Row],[Yield (Annualised)]],Table1[[#This Row],[Coupon Frequency2]])</f>
        <v>8.807735472504616</v>
      </c>
      <c r="AA360" s="33">
        <f>Table1[[#This Row],[Macaulay Duration in Years]]/(1+Table1[[#This Row],[IRR]])</f>
        <v>8.0959126323235004</v>
      </c>
      <c r="AB360" s="58">
        <f>VLOOKUP(Table1[[#This Row],[Yield Cluster]],'Cluster Details'!$B$3:$C$16,2,0)</f>
        <v>7.8548801574189142E-2</v>
      </c>
      <c r="AC360" s="78">
        <f>PRICE(Table1[[#This Row],[Issue date]],Table1[[#This Row],[Maturity date]],Table1[[#This Row],[Current coupon %]],Table1[[#This Row],[Average Cluster Yield]],100,Table1[[#This Row],[Coupon Frequency2]])*Table1[[#This Row],[Face value]]/100</f>
        <v>5563.5409075418665</v>
      </c>
      <c r="AD360" s="58" t="str">
        <f>IF(Table1[[#This Row],[Ask Price]]&gt;Table1[[#This Row],[Calculated Bond Price]],"Rich","Cheap")</f>
        <v>Cheap</v>
      </c>
      <c r="AE3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4756.6287481189702</v>
      </c>
      <c r="AF3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5592.8027098553812</v>
      </c>
      <c r="AG360" s="78">
        <f>(Table1[[#This Row],[P (+ shock)]]+Table1[[#This Row],[P (-shock)]]-2*Table1[[#This Row],[Ask Price]])/(2*Table1[[#This Row],[Ask Price]]*($AF$2^2))</f>
        <v>47.991706771214915</v>
      </c>
      <c r="AH360">
        <v>15.145602100489301</v>
      </c>
      <c r="AI360" s="6">
        <f t="shared" si="21"/>
        <v>8.893203883495146E-2</v>
      </c>
      <c r="AK360" s="47">
        <f>RATE(Table1[[#This Row],[Total No. of Coupons]],Table1[[#This Row],[Coupon Amount]],-Table1[[#This Row],[Ask Price]],Table1[[#This Row],[Face value]])</f>
        <v>8.7923730468522102E-2</v>
      </c>
      <c r="AL360" s="27">
        <f>Table1[[#This Row],[IRR]]*Table1[[#This Row],[Coupon Frequency2]]</f>
        <v>8.7923730468522102E-2</v>
      </c>
      <c r="AM360" s="5">
        <f t="shared" si="22"/>
        <v>-41693.950056466027</v>
      </c>
      <c r="AN360" t="s">
        <v>64</v>
      </c>
      <c r="AO360" t="s">
        <v>62</v>
      </c>
      <c r="AP360">
        <f t="shared" si="23"/>
        <v>1</v>
      </c>
    </row>
    <row r="361" spans="1:42" x14ac:dyDescent="0.35">
      <c r="A361" s="48" t="s">
        <v>1244</v>
      </c>
      <c r="B361" s="49" t="s">
        <v>2643</v>
      </c>
      <c r="C361" s="49" t="s">
        <v>2273</v>
      </c>
      <c r="D361" s="50">
        <v>42907</v>
      </c>
      <c r="E361" s="50">
        <v>46554</v>
      </c>
      <c r="F361" s="49">
        <v>100000</v>
      </c>
      <c r="G361" s="49" t="s">
        <v>76</v>
      </c>
      <c r="H361" s="49">
        <v>100000</v>
      </c>
      <c r="I361" s="49" t="s">
        <v>76</v>
      </c>
      <c r="J361" s="49">
        <v>100</v>
      </c>
      <c r="K361" s="49">
        <v>10</v>
      </c>
      <c r="L361" s="51">
        <v>8.8000000000000009E-2</v>
      </c>
      <c r="M361" s="49" t="s">
        <v>93</v>
      </c>
      <c r="N361" s="49">
        <v>637</v>
      </c>
      <c r="O361" s="49">
        <v>8.8000000000000007</v>
      </c>
      <c r="P361" s="49"/>
      <c r="Q361" s="49"/>
      <c r="R361" s="49" t="s">
        <v>2275</v>
      </c>
      <c r="S361">
        <f t="shared" si="20"/>
        <v>10</v>
      </c>
      <c r="T361" s="5" cm="1">
        <f t="array" ref="T3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1">
        <f>Table1[[#This Row],[Term to Maturity (Years)]]*Table1[[#This Row],[Coupon Frequency2]]</f>
        <v>10</v>
      </c>
      <c r="V361">
        <f>Table1[[#This Row],[Face value]]*Table1[[#This Row],[Current coupon %]]</f>
        <v>8800</v>
      </c>
      <c r="W361" s="36">
        <f>RATE(Table1[[#This Row],[Total No. of Coupons]],Table1[[#This Row],[Coupon Amount]],-Table1[[#This Row],[Ask Price]],Table1[[#This Row],[Face value]])</f>
        <v>8.8000000000000023E-2</v>
      </c>
      <c r="X361" s="27">
        <f>Table1[[#This Row],[IRR]]*Table1[[#This Row],[Coupon Frequency2]]</f>
        <v>8.8000000000000023E-2</v>
      </c>
      <c r="Y361" s="19" cm="1">
        <f t="array" ref="Y3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1" s="33">
        <f>DURATION(Table1[[#This Row],[Issue date]],Table1[[#This Row],[Maturity date]],Table1[[#This Row],[Current coupon %]],Table1[[#This Row],[Yield (Annualised)]],Table1[[#This Row],[Coupon Frequency2]])</f>
        <v>7.0304133627584031</v>
      </c>
      <c r="AA361" s="33">
        <f>Table1[[#This Row],[Macaulay Duration in Years]]/(1+Table1[[#This Row],[IRR]])</f>
        <v>6.4617769878294142</v>
      </c>
      <c r="AB361" s="58">
        <f>VLOOKUP(Table1[[#This Row],[Yield Cluster]],'Cluster Details'!$B$3:$C$16,2,0)</f>
        <v>7.8548801574189142E-2</v>
      </c>
      <c r="AC361" s="78">
        <f>PRICE(Table1[[#This Row],[Issue date]],Table1[[#This Row],[Maturity date]],Table1[[#This Row],[Current coupon %]],Table1[[#This Row],[Average Cluster Yield]],100,Table1[[#This Row],[Coupon Frequency2]])*Table1[[#This Row],[Face value]]/100</f>
        <v>106373.11610192763</v>
      </c>
      <c r="AD361" s="58" t="str">
        <f>IF(Table1[[#This Row],[Ask Price]]&gt;Table1[[#This Row],[Calculated Bond Price]],"Rich","Cheap")</f>
        <v>Cheap</v>
      </c>
      <c r="AE3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93801.940455317745</v>
      </c>
      <c r="AF3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106760.25148777303</v>
      </c>
      <c r="AG361" s="78">
        <f>(Table1[[#This Row],[P (+ shock)]]+Table1[[#This Row],[P (-shock)]]-2*Table1[[#This Row],[Ask Price]])/(2*Table1[[#This Row],[Ask Price]]*($AF$2^2))</f>
        <v>28.109597154537916</v>
      </c>
      <c r="AI361" s="6">
        <f t="shared" si="21"/>
        <v>8.7999999999999995E-2</v>
      </c>
      <c r="AK361" s="47">
        <f>RATE(Table1[[#This Row],[Total No. of Coupons]],Table1[[#This Row],[Coupon Amount]],-Table1[[#This Row],[Ask Price]],Table1[[#This Row],[Face value]])</f>
        <v>8.8000000000000023E-2</v>
      </c>
      <c r="AL361" s="27">
        <f>Table1[[#This Row],[IRR]]*Table1[[#This Row],[Coupon Frequency2]]</f>
        <v>8.8000000000000023E-2</v>
      </c>
      <c r="AM361" s="5">
        <f t="shared" si="22"/>
        <v>-646177.69878294144</v>
      </c>
      <c r="AN361" t="s">
        <v>64</v>
      </c>
      <c r="AO361" t="s">
        <v>62</v>
      </c>
      <c r="AP361">
        <f t="shared" si="23"/>
        <v>1</v>
      </c>
    </row>
    <row r="362" spans="1:42" x14ac:dyDescent="0.35">
      <c r="A362" s="48" t="s">
        <v>682</v>
      </c>
      <c r="B362" s="49" t="s">
        <v>2644</v>
      </c>
      <c r="C362" s="49" t="s">
        <v>2273</v>
      </c>
      <c r="D362" s="50">
        <v>44686</v>
      </c>
      <c r="E362" s="50">
        <v>47243</v>
      </c>
      <c r="F362" s="49">
        <v>1000</v>
      </c>
      <c r="G362" s="49" t="s">
        <v>76</v>
      </c>
      <c r="H362" s="49">
        <v>921.2</v>
      </c>
      <c r="I362" s="49" t="s">
        <v>76</v>
      </c>
      <c r="J362" s="49">
        <v>92.12</v>
      </c>
      <c r="K362" s="49">
        <v>1</v>
      </c>
      <c r="L362" s="51">
        <v>7.2499999999999995E-2</v>
      </c>
      <c r="M362" s="49" t="s">
        <v>93</v>
      </c>
      <c r="N362" s="49">
        <v>1326</v>
      </c>
      <c r="O362" s="49">
        <v>7.8701693443334699</v>
      </c>
      <c r="P362" s="49" t="s">
        <v>2285</v>
      </c>
      <c r="Q362" s="49"/>
      <c r="R362" s="49" t="s">
        <v>2275</v>
      </c>
      <c r="S362">
        <f t="shared" si="20"/>
        <v>7</v>
      </c>
      <c r="T362" s="5" cm="1">
        <f t="array" ref="T3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2">
        <f>Table1[[#This Row],[Term to Maturity (Years)]]*Table1[[#This Row],[Coupon Frequency2]]</f>
        <v>7</v>
      </c>
      <c r="V362">
        <f>Table1[[#This Row],[Face value]]*Table1[[#This Row],[Current coupon %]]</f>
        <v>72.5</v>
      </c>
      <c r="W362" s="36">
        <f>RATE(Table1[[#This Row],[Total No. of Coupons]],Table1[[#This Row],[Coupon Amount]],-Table1[[#This Row],[Ask Price]],Table1[[#This Row],[Face value]])</f>
        <v>8.8054764124518181E-2</v>
      </c>
      <c r="X362" s="27">
        <f>Table1[[#This Row],[IRR]]*Table1[[#This Row],[Coupon Frequency2]]</f>
        <v>8.8054764124518181E-2</v>
      </c>
      <c r="Y362" s="19" cm="1">
        <f t="array" ref="Y3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2" s="33">
        <f>DURATION(Table1[[#This Row],[Issue date]],Table1[[#This Row],[Maturity date]],Table1[[#This Row],[Current coupon %]],Table1[[#This Row],[Yield (Annualised)]],Table1[[#This Row],[Coupon Frequency2]])</f>
        <v>5.6701027236093857</v>
      </c>
      <c r="AA362" s="33">
        <f>Table1[[#This Row],[Macaulay Duration in Years]]/(1+Table1[[#This Row],[IRR]])</f>
        <v>5.2112291683881571</v>
      </c>
      <c r="AB362" s="58">
        <f>VLOOKUP(Table1[[#This Row],[Yield Cluster]],'Cluster Details'!$B$3:$C$16,2,0)</f>
        <v>7.8548801574189142E-2</v>
      </c>
      <c r="AC362" s="78">
        <f>PRICE(Table1[[#This Row],[Issue date]],Table1[[#This Row],[Maturity date]],Table1[[#This Row],[Current coupon %]],Table1[[#This Row],[Average Cluster Yield]],100,Table1[[#This Row],[Coupon Frequency2]])*Table1[[#This Row],[Face value]]/100</f>
        <v>968.35079152218327</v>
      </c>
      <c r="AD362" s="58" t="str">
        <f>IF(Table1[[#This Row],[Ask Price]]&gt;Table1[[#This Row],[Calculated Bond Price]],"Rich","Cheap")</f>
        <v>Cheap</v>
      </c>
      <c r="AE3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874.78788543712392</v>
      </c>
      <c r="AF3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970.88643909899167</v>
      </c>
      <c r="AG362" s="78">
        <f>(Table1[[#This Row],[P (+ shock)]]+Table1[[#This Row],[P (-shock)]]-2*Table1[[#This Row],[Ask Price]])/(2*Table1[[#This Row],[Ask Price]]*($AF$2^2))</f>
        <v>17.772061094851825</v>
      </c>
      <c r="AH362">
        <v>3.6612831020351901</v>
      </c>
      <c r="AI362" s="6">
        <f t="shared" si="21"/>
        <v>7.8701693443334775E-2</v>
      </c>
      <c r="AK362" s="47">
        <f>RATE(Table1[[#This Row],[Total No. of Coupons]],Table1[[#This Row],[Coupon Amount]],-Table1[[#This Row],[Ask Price]],Table1[[#This Row],[Face value]])</f>
        <v>8.8054764124518181E-2</v>
      </c>
      <c r="AL362" s="27">
        <f>Table1[[#This Row],[IRR]]*Table1[[#This Row],[Coupon Frequency2]]</f>
        <v>8.8054764124518181E-2</v>
      </c>
      <c r="AM362" s="5">
        <f t="shared" si="22"/>
        <v>-4800.5843099191707</v>
      </c>
      <c r="AN362" t="s">
        <v>64</v>
      </c>
      <c r="AO362" t="s">
        <v>62</v>
      </c>
      <c r="AP362">
        <f t="shared" si="23"/>
        <v>1</v>
      </c>
    </row>
    <row r="363" spans="1:42" x14ac:dyDescent="0.35">
      <c r="A363" s="48" t="s">
        <v>383</v>
      </c>
      <c r="B363" s="49" t="s">
        <v>2645</v>
      </c>
      <c r="C363" s="49" t="s">
        <v>2273</v>
      </c>
      <c r="D363" s="50">
        <v>45260</v>
      </c>
      <c r="E363" s="50">
        <v>47878</v>
      </c>
      <c r="F363" s="49">
        <v>100000</v>
      </c>
      <c r="G363" s="49" t="s">
        <v>76</v>
      </c>
      <c r="H363" s="49">
        <v>102974</v>
      </c>
      <c r="I363" s="49" t="s">
        <v>76</v>
      </c>
      <c r="J363" s="49">
        <v>102.974</v>
      </c>
      <c r="K363" s="49">
        <v>5</v>
      </c>
      <c r="L363" s="51">
        <v>9.4E-2</v>
      </c>
      <c r="M363" s="49" t="s">
        <v>93</v>
      </c>
      <c r="N363" s="49">
        <v>1961</v>
      </c>
      <c r="O363" s="49">
        <v>9.1285178782993697</v>
      </c>
      <c r="P363" s="49"/>
      <c r="Q363" s="49"/>
      <c r="R363" s="49" t="s">
        <v>2275</v>
      </c>
      <c r="S363">
        <f t="shared" si="20"/>
        <v>7</v>
      </c>
      <c r="T363" s="5" cm="1">
        <f t="array" ref="T3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3">
        <f>Table1[[#This Row],[Term to Maturity (Years)]]*Table1[[#This Row],[Coupon Frequency2]]</f>
        <v>7</v>
      </c>
      <c r="V363">
        <f>Table1[[#This Row],[Face value]]*Table1[[#This Row],[Current coupon %]]</f>
        <v>9400</v>
      </c>
      <c r="W363" s="36">
        <f>RATE(Table1[[#This Row],[Total No. of Coupons]],Table1[[#This Row],[Coupon Amount]],-Table1[[#This Row],[Ask Price]],Table1[[#This Row],[Face value]])</f>
        <v>8.8128010074716018E-2</v>
      </c>
      <c r="X363" s="27">
        <f>Table1[[#This Row],[IRR]]*Table1[[#This Row],[Coupon Frequency2]]</f>
        <v>8.8128010074716018E-2</v>
      </c>
      <c r="Y363" s="19" cm="1">
        <f t="array" ref="Y3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3" s="33">
        <f>DURATION(Table1[[#This Row],[Issue date]],Table1[[#This Row],[Maturity date]],Table1[[#This Row],[Current coupon %]],Table1[[#This Row],[Yield (Annualised)]],Table1[[#This Row],[Coupon Frequency2]])</f>
        <v>5.1678577984562786</v>
      </c>
      <c r="AA363" s="33">
        <f>Table1[[#This Row],[Macaulay Duration in Years]]/(1+Table1[[#This Row],[IRR]])</f>
        <v>4.7493105136604559</v>
      </c>
      <c r="AB363" s="58">
        <f>VLOOKUP(Table1[[#This Row],[Yield Cluster]],'Cluster Details'!$B$3:$C$16,2,0)</f>
        <v>7.8548801574189142E-2</v>
      </c>
      <c r="AC363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108179.87736818985</v>
      </c>
      <c r="AD363" s="58" t="str">
        <f>IF(Table1[[#This Row],[Ask Price]]&gt;Table1[[#This Row],[Calculated Bond Price]],"Rich","Cheap")</f>
        <v>Cheap</v>
      </c>
      <c r="AE3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97882.313249201907</v>
      </c>
      <c r="AF3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108416.69958318834</v>
      </c>
      <c r="AG363" s="78">
        <f>(Table1[[#This Row],[P (+ shock)]]+Table1[[#This Row],[P (-shock)]]-2*Table1[[#This Row],[Ask Price]])/(2*Table1[[#This Row],[Ask Price]]*($AF$2^2))</f>
        <v>17.043760191420208</v>
      </c>
      <c r="AH363">
        <v>8.4849575357657994</v>
      </c>
      <c r="AI363" s="6">
        <f t="shared" si="21"/>
        <v>9.1285178782993762E-2</v>
      </c>
      <c r="AK363" s="47">
        <f>RATE(Table1[[#This Row],[Total No. of Coupons]],Table1[[#This Row],[Coupon Amount]],-Table1[[#This Row],[Ask Price]],Table1[[#This Row],[Face value]])</f>
        <v>8.8128010074716018E-2</v>
      </c>
      <c r="AL363" s="27">
        <f>Table1[[#This Row],[IRR]]*Table1[[#This Row],[Coupon Frequency2]]</f>
        <v>8.8128010074716018E-2</v>
      </c>
      <c r="AM363" s="5">
        <f t="shared" si="22"/>
        <v>-489055.50083367177</v>
      </c>
      <c r="AN363" t="s">
        <v>64</v>
      </c>
      <c r="AO363" t="s">
        <v>62</v>
      </c>
      <c r="AP363">
        <f t="shared" si="23"/>
        <v>1</v>
      </c>
    </row>
    <row r="364" spans="1:42" x14ac:dyDescent="0.35">
      <c r="A364" s="48" t="s">
        <v>1372</v>
      </c>
      <c r="B364" s="49" t="s">
        <v>2646</v>
      </c>
      <c r="C364" s="49" t="s">
        <v>2273</v>
      </c>
      <c r="D364" s="50">
        <v>45352</v>
      </c>
      <c r="E364" s="50">
        <v>46447</v>
      </c>
      <c r="F364" s="49">
        <v>1000</v>
      </c>
      <c r="G364" s="49" t="s">
        <v>76</v>
      </c>
      <c r="H364" s="49">
        <v>1030.06</v>
      </c>
      <c r="I364" s="49" t="s">
        <v>76</v>
      </c>
      <c r="J364" s="49">
        <v>103.006</v>
      </c>
      <c r="K364" s="49">
        <v>50</v>
      </c>
      <c r="L364" s="51">
        <v>0.1</v>
      </c>
      <c r="M364" s="49" t="s">
        <v>93</v>
      </c>
      <c r="N364" s="49">
        <v>530</v>
      </c>
      <c r="O364" s="49">
        <v>9.7081723394753698</v>
      </c>
      <c r="P364" s="49"/>
      <c r="Q364" s="49"/>
      <c r="R364" s="49" t="s">
        <v>2275</v>
      </c>
      <c r="S364">
        <f t="shared" si="20"/>
        <v>3</v>
      </c>
      <c r="T364" s="5" cm="1">
        <f t="array" ref="T3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4">
        <f>Table1[[#This Row],[Term to Maturity (Years)]]*Table1[[#This Row],[Coupon Frequency2]]</f>
        <v>3</v>
      </c>
      <c r="V364">
        <f>Table1[[#This Row],[Face value]]*Table1[[#This Row],[Current coupon %]]</f>
        <v>100</v>
      </c>
      <c r="W364" s="36">
        <f>RATE(Table1[[#This Row],[Total No. of Coupons]],Table1[[#This Row],[Coupon Amount]],-Table1[[#This Row],[Ask Price]],Table1[[#This Row],[Face value]])</f>
        <v>8.8163502801460625E-2</v>
      </c>
      <c r="X364" s="27">
        <f>Table1[[#This Row],[IRR]]*Table1[[#This Row],[Coupon Frequency2]]</f>
        <v>8.8163502801460625E-2</v>
      </c>
      <c r="Y364" s="19" cm="1">
        <f t="array" ref="Y3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4" s="33">
        <f>DURATION(Table1[[#This Row],[Issue date]],Table1[[#This Row],[Maturity date]],Table1[[#This Row],[Current coupon %]],Table1[[#This Row],[Yield (Annualised)]],Table1[[#This Row],[Coupon Frequency2]])</f>
        <v>2.7395799767300497</v>
      </c>
      <c r="AA364" s="33">
        <f>Table1[[#This Row],[Macaulay Duration in Years]]/(1+Table1[[#This Row],[IRR]])</f>
        <v>2.5176179587691023</v>
      </c>
      <c r="AB364" s="58">
        <f>VLOOKUP(Table1[[#This Row],[Yield Cluster]],'Cluster Details'!$B$3:$C$16,2,0)</f>
        <v>7.8548801574189142E-2</v>
      </c>
      <c r="AC36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1055.4268965673293</v>
      </c>
      <c r="AD364" s="58" t="str">
        <f>IF(Table1[[#This Row],[Ask Price]]&gt;Table1[[#This Row],[Calculated Bond Price]],"Rich","Cheap")</f>
        <v>Cheap</v>
      </c>
      <c r="AE3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1004.5819034051907</v>
      </c>
      <c r="AF3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1056.4617751952521</v>
      </c>
      <c r="AG364" s="78">
        <f>(Table1[[#This Row],[P (+ shock)]]+Table1[[#This Row],[P (-shock)]]-2*Table1[[#This Row],[Ask Price]])/(2*Table1[[#This Row],[Ask Price]]*($AF$2^2))</f>
        <v>4.4836155196932905</v>
      </c>
      <c r="AH364">
        <v>8.6102495805731802</v>
      </c>
      <c r="AI364" s="6">
        <f t="shared" si="21"/>
        <v>9.7081723394753711E-2</v>
      </c>
      <c r="AK364" s="47">
        <f>RATE(Table1[[#This Row],[Total No. of Coupons]],Table1[[#This Row],[Coupon Amount]],-Table1[[#This Row],[Ask Price]],Table1[[#This Row],[Face value]])</f>
        <v>8.8163502801460625E-2</v>
      </c>
      <c r="AL364" s="27">
        <f>Table1[[#This Row],[IRR]]*Table1[[#This Row],[Coupon Frequency2]]</f>
        <v>8.8163502801460625E-2</v>
      </c>
      <c r="AM364" s="5">
        <f t="shared" si="22"/>
        <v>-2593.2975546097014</v>
      </c>
      <c r="AN364" t="s">
        <v>64</v>
      </c>
      <c r="AO364" t="s">
        <v>62</v>
      </c>
      <c r="AP364">
        <f t="shared" si="23"/>
        <v>1</v>
      </c>
    </row>
    <row r="365" spans="1:42" x14ac:dyDescent="0.35">
      <c r="A365" s="48" t="s">
        <v>2647</v>
      </c>
      <c r="B365" s="49" t="s">
        <v>2648</v>
      </c>
      <c r="C365" s="49" t="s">
        <v>2273</v>
      </c>
      <c r="D365" s="50">
        <v>45744</v>
      </c>
      <c r="E365" s="50">
        <v>49396</v>
      </c>
      <c r="F365" s="49">
        <v>100000</v>
      </c>
      <c r="G365" s="49" t="s">
        <v>76</v>
      </c>
      <c r="H365" s="49">
        <v>102395.34</v>
      </c>
      <c r="I365" s="49" t="s">
        <v>76</v>
      </c>
      <c r="J365" s="49">
        <v>102.395339999999</v>
      </c>
      <c r="K365" s="49">
        <v>1</v>
      </c>
      <c r="L365" s="51">
        <v>9.1999999999999998E-2</v>
      </c>
      <c r="M365" s="49" t="s">
        <v>93</v>
      </c>
      <c r="N365" s="49">
        <v>3479</v>
      </c>
      <c r="O365" s="49">
        <v>8.9847838778600604</v>
      </c>
      <c r="P365" s="49"/>
      <c r="Q365" s="49"/>
      <c r="R365" s="49" t="s">
        <v>2275</v>
      </c>
      <c r="S365">
        <f t="shared" si="20"/>
        <v>10</v>
      </c>
      <c r="T365" s="5" cm="1">
        <f t="array" ref="T3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5">
        <f>Table1[[#This Row],[Term to Maturity (Years)]]*Table1[[#This Row],[Coupon Frequency2]]</f>
        <v>10</v>
      </c>
      <c r="V365">
        <f>Table1[[#This Row],[Face value]]*Table1[[#This Row],[Current coupon %]]</f>
        <v>9200</v>
      </c>
      <c r="W365" s="36">
        <f>RATE(Table1[[#This Row],[Total No. of Coupons]],Table1[[#This Row],[Coupon Amount]],-Table1[[#This Row],[Ask Price]],Table1[[#This Row],[Face value]])</f>
        <v>8.8295534274043116E-2</v>
      </c>
      <c r="X365" s="27">
        <f>Table1[[#This Row],[IRR]]*Table1[[#This Row],[Coupon Frequency2]]</f>
        <v>8.8295534274043116E-2</v>
      </c>
      <c r="Y365" s="19" cm="1">
        <f t="array" ref="Y3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5" s="33">
        <f>DURATION(Table1[[#This Row],[Issue date]],Table1[[#This Row],[Maturity date]],Table1[[#This Row],[Current coupon %]],Table1[[#This Row],[Yield (Annualised)]],Table1[[#This Row],[Coupon Frequency2]])</f>
        <v>6.9849226854248476</v>
      </c>
      <c r="AA365" s="33">
        <f>Table1[[#This Row],[Macaulay Duration in Years]]/(1+Table1[[#This Row],[IRR]])</f>
        <v>6.4182223168674497</v>
      </c>
      <c r="AB365" s="58">
        <f>VLOOKUP(Table1[[#This Row],[Yield Cluster]],'Cluster Details'!$B$3:$C$16,2,0)</f>
        <v>7.8548801574189142E-2</v>
      </c>
      <c r="AC365" s="78">
        <f>PRICE(Table1[[#This Row],[Issue date]],Table1[[#This Row],[Maturity date]],Table1[[#This Row],[Current coupon %]],Table1[[#This Row],[Average Cluster Yield]],100,Table1[[#This Row],[Coupon Frequency2]])*Table1[[#This Row],[Face value]]/100</f>
        <v>109085.24285320831</v>
      </c>
      <c r="AD365" s="58" t="str">
        <f>IF(Table1[[#This Row],[Ask Price]]&gt;Table1[[#This Row],[Calculated Bond Price]],"Rich","Cheap")</f>
        <v>Cheap</v>
      </c>
      <c r="AE3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96103.179088197096</v>
      </c>
      <c r="AF3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109266.92632518148</v>
      </c>
      <c r="AG365" s="78">
        <f>(Table1[[#This Row],[P (+ shock)]]+Table1[[#This Row],[P (-shock)]]-2*Table1[[#This Row],[Ask Price]])/(2*Table1[[#This Row],[Ask Price]]*($AF$2^2))</f>
        <v>28.293544089925017</v>
      </c>
      <c r="AH365">
        <v>9.3000000000000007</v>
      </c>
      <c r="AI365" s="6">
        <f t="shared" si="21"/>
        <v>8.9847838778600669E-2</v>
      </c>
      <c r="AK365" s="47">
        <f>RATE(Table1[[#This Row],[Total No. of Coupons]],Table1[[#This Row],[Coupon Amount]],-Table1[[#This Row],[Ask Price]],Table1[[#This Row],[Face value]])</f>
        <v>8.8295534274043116E-2</v>
      </c>
      <c r="AL365" s="27">
        <f>Table1[[#This Row],[IRR]]*Table1[[#This Row],[Coupon Frequency2]]</f>
        <v>8.8295534274043116E-2</v>
      </c>
      <c r="AM365" s="5">
        <f t="shared" si="22"/>
        <v>-657196.05633123021</v>
      </c>
      <c r="AN365" t="s">
        <v>64</v>
      </c>
      <c r="AO365" t="s">
        <v>62</v>
      </c>
      <c r="AP365">
        <f t="shared" si="23"/>
        <v>1</v>
      </c>
    </row>
    <row r="366" spans="1:42" x14ac:dyDescent="0.35">
      <c r="A366" s="48" t="s">
        <v>320</v>
      </c>
      <c r="B366" s="49" t="s">
        <v>2649</v>
      </c>
      <c r="C366" s="49" t="s">
        <v>2273</v>
      </c>
      <c r="D366" s="50">
        <v>44400</v>
      </c>
      <c r="E366" s="50">
        <v>48052</v>
      </c>
      <c r="F366" s="49">
        <v>1000</v>
      </c>
      <c r="G366" s="49" t="s">
        <v>76</v>
      </c>
      <c r="H366" s="49">
        <v>1011</v>
      </c>
      <c r="I366" s="49" t="s">
        <v>76</v>
      </c>
      <c r="J366" s="49">
        <v>101.1</v>
      </c>
      <c r="K366" s="49">
        <v>1000</v>
      </c>
      <c r="L366" s="51">
        <v>0.09</v>
      </c>
      <c r="M366" s="49" t="s">
        <v>93</v>
      </c>
      <c r="N366" s="49">
        <v>2135</v>
      </c>
      <c r="O366" s="49">
        <v>8.9020771513353107</v>
      </c>
      <c r="P366" s="49" t="s">
        <v>2282</v>
      </c>
      <c r="Q366" s="49"/>
      <c r="R366" s="49" t="s">
        <v>2275</v>
      </c>
      <c r="S366">
        <f t="shared" si="20"/>
        <v>10</v>
      </c>
      <c r="T366" s="5" cm="1">
        <f t="array" ref="T3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6">
        <f>Table1[[#This Row],[Term to Maturity (Years)]]*Table1[[#This Row],[Coupon Frequency2]]</f>
        <v>10</v>
      </c>
      <c r="V366">
        <f>Table1[[#This Row],[Face value]]*Table1[[#This Row],[Current coupon %]]</f>
        <v>90</v>
      </c>
      <c r="W366" s="36">
        <f>RATE(Table1[[#This Row],[Total No. of Coupons]],Table1[[#This Row],[Coupon Amount]],-Table1[[#This Row],[Ask Price]],Table1[[#This Row],[Face value]])</f>
        <v>8.8298792247504657E-2</v>
      </c>
      <c r="X366" s="27">
        <f>Table1[[#This Row],[IRR]]*Table1[[#This Row],[Coupon Frequency2]]</f>
        <v>8.8298792247504657E-2</v>
      </c>
      <c r="Y366" s="19" cm="1">
        <f t="array" ref="Y3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6" s="33">
        <f>DURATION(Table1[[#This Row],[Issue date]],Table1[[#This Row],[Maturity date]],Table1[[#This Row],[Current coupon %]],Table1[[#This Row],[Yield (Annualised)]],Table1[[#This Row],[Coupon Frequency2]])</f>
        <v>7.0127063739899329</v>
      </c>
      <c r="AA366" s="33">
        <f>Table1[[#This Row],[Macaulay Duration in Years]]/(1+Table1[[#This Row],[IRR]])</f>
        <v>6.4437325704530224</v>
      </c>
      <c r="AB366" s="58">
        <f>VLOOKUP(Table1[[#This Row],[Yield Cluster]],'Cluster Details'!$B$3:$C$16,2,0)</f>
        <v>7.8548801574189142E-2</v>
      </c>
      <c r="AC366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1077.3439773657171</v>
      </c>
      <c r="AD366" s="58" t="str">
        <f>IF(Table1[[#This Row],[Ask Price]]&gt;Table1[[#This Row],[Calculated Bond Price]],"Rich","Cheap")</f>
        <v>Cheap</v>
      </c>
      <c r="AE3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948.63271124626976</v>
      </c>
      <c r="AF3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1079.1221140880134</v>
      </c>
      <c r="AG366" s="78">
        <f>(Table1[[#This Row],[P (+ shock)]]+Table1[[#This Row],[P (-shock)]]-2*Table1[[#This Row],[Ask Price]])/(2*Table1[[#This Row],[Ask Price]]*($AF$2^2))</f>
        <v>28.461055065693216</v>
      </c>
      <c r="AH366">
        <v>13.0712307066314</v>
      </c>
      <c r="AI366" s="6">
        <f t="shared" si="21"/>
        <v>8.9020771513353122E-2</v>
      </c>
      <c r="AK366" s="47">
        <f>RATE(Table1[[#This Row],[Total No. of Coupons]],Table1[[#This Row],[Coupon Amount]],-Table1[[#This Row],[Ask Price]],Table1[[#This Row],[Face value]])</f>
        <v>8.8298792247504657E-2</v>
      </c>
      <c r="AL366" s="27">
        <f>Table1[[#This Row],[IRR]]*Table1[[#This Row],[Coupon Frequency2]]</f>
        <v>8.8298792247504657E-2</v>
      </c>
      <c r="AM366" s="5">
        <f t="shared" si="22"/>
        <v>-6514.613628728006</v>
      </c>
      <c r="AN366" t="s">
        <v>64</v>
      </c>
      <c r="AO366" t="s">
        <v>62</v>
      </c>
      <c r="AP366">
        <f t="shared" si="23"/>
        <v>1</v>
      </c>
    </row>
    <row r="367" spans="1:42" x14ac:dyDescent="0.35">
      <c r="A367" s="48" t="s">
        <v>1337</v>
      </c>
      <c r="B367" s="49" t="s">
        <v>2650</v>
      </c>
      <c r="C367" s="49" t="s">
        <v>2273</v>
      </c>
      <c r="D367" s="50">
        <v>40998</v>
      </c>
      <c r="E367" s="50">
        <v>46476</v>
      </c>
      <c r="F367" s="49">
        <v>5000</v>
      </c>
      <c r="G367" s="49" t="s">
        <v>76</v>
      </c>
      <c r="H367" s="49">
        <v>5112</v>
      </c>
      <c r="I367" s="49" t="s">
        <v>76</v>
      </c>
      <c r="J367" s="49">
        <v>102.24</v>
      </c>
      <c r="K367" s="49">
        <v>4</v>
      </c>
      <c r="L367" s="51">
        <v>9.1499999999999998E-2</v>
      </c>
      <c r="M367" s="49" t="s">
        <v>93</v>
      </c>
      <c r="N367" s="49">
        <v>559</v>
      </c>
      <c r="O367" s="49">
        <v>8.9495305164319205</v>
      </c>
      <c r="P367" s="49"/>
      <c r="Q367" s="49"/>
      <c r="R367" s="49" t="s">
        <v>2275</v>
      </c>
      <c r="S367">
        <f t="shared" si="20"/>
        <v>15</v>
      </c>
      <c r="T367" s="5" cm="1">
        <f t="array" ref="T3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7">
        <f>Table1[[#This Row],[Term to Maturity (Years)]]*Table1[[#This Row],[Coupon Frequency2]]</f>
        <v>15</v>
      </c>
      <c r="V367">
        <f>Table1[[#This Row],[Face value]]*Table1[[#This Row],[Current coupon %]]</f>
        <v>457.5</v>
      </c>
      <c r="W367" s="36">
        <f>RATE(Table1[[#This Row],[Total No. of Coupons]],Table1[[#This Row],[Coupon Amount]],-Table1[[#This Row],[Ask Price]],Table1[[#This Row],[Face value]])</f>
        <v>8.8741690469293866E-2</v>
      </c>
      <c r="X367" s="27">
        <f>Table1[[#This Row],[IRR]]*Table1[[#This Row],[Coupon Frequency2]]</f>
        <v>8.8741690469293866E-2</v>
      </c>
      <c r="Y367" s="19" cm="1">
        <f t="array" ref="Y3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7" s="33">
        <f>DURATION(Table1[[#This Row],[Issue date]],Table1[[#This Row],[Maturity date]],Table1[[#This Row],[Current coupon %]],Table1[[#This Row],[Yield (Annualised)]],Table1[[#This Row],[Coupon Frequency2]])</f>
        <v>8.7892811034699676</v>
      </c>
      <c r="AA367" s="33">
        <f>Table1[[#This Row],[Macaulay Duration in Years]]/(1+Table1[[#This Row],[IRR]])</f>
        <v>8.0728800783603809</v>
      </c>
      <c r="AB367" s="58">
        <f>VLOOKUP(Table1[[#This Row],[Yield Cluster]],'Cluster Details'!$B$3:$C$16,2,0)</f>
        <v>7.8548801574189142E-2</v>
      </c>
      <c r="AC367" s="78">
        <f>PRICE(Table1[[#This Row],[Issue date]],Table1[[#This Row],[Maturity date]],Table1[[#This Row],[Current coupon %]],Table1[[#This Row],[Average Cluster Yield]],100,Table1[[#This Row],[Coupon Frequency2]])*Table1[[#This Row],[Face value]]/100</f>
        <v>5559.2229829409544</v>
      </c>
      <c r="AD367" s="58" t="str">
        <f>IF(Table1[[#This Row],[Ask Price]]&gt;Table1[[#This Row],[Calculated Bond Price]],"Rich","Cheap")</f>
        <v>Cheap</v>
      </c>
      <c r="AE3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4722.6061840741786</v>
      </c>
      <c r="AF3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5550.2427626419258</v>
      </c>
      <c r="AG367" s="78">
        <f>(Table1[[#This Row],[P (+ shock)]]+Table1[[#This Row],[P (-shock)]]-2*Table1[[#This Row],[Ask Price]])/(2*Table1[[#This Row],[Ask Price]]*($AF$2^2))</f>
        <v>47.778703752059151</v>
      </c>
      <c r="AH367">
        <v>5.3911706032382298</v>
      </c>
      <c r="AI367" s="6">
        <f t="shared" si="21"/>
        <v>8.949530516431925E-2</v>
      </c>
      <c r="AK367" s="47">
        <f>RATE(Table1[[#This Row],[Total No. of Coupons]],Table1[[#This Row],[Coupon Amount]],-Table1[[#This Row],[Ask Price]],Table1[[#This Row],[Face value]])</f>
        <v>8.8741690469293866E-2</v>
      </c>
      <c r="AL367" s="27">
        <f>Table1[[#This Row],[IRR]]*Table1[[#This Row],[Coupon Frequency2]]</f>
        <v>8.8741690469293866E-2</v>
      </c>
      <c r="AM367" s="5">
        <f t="shared" si="22"/>
        <v>-41268.562960578267</v>
      </c>
      <c r="AN367" t="s">
        <v>64</v>
      </c>
      <c r="AO367" t="s">
        <v>62</v>
      </c>
      <c r="AP367">
        <f t="shared" si="23"/>
        <v>1</v>
      </c>
    </row>
    <row r="368" spans="1:42" x14ac:dyDescent="0.35">
      <c r="A368" s="48" t="s">
        <v>2054</v>
      </c>
      <c r="B368" s="49" t="s">
        <v>2651</v>
      </c>
      <c r="C368" s="49" t="s">
        <v>2273</v>
      </c>
      <c r="D368" s="50">
        <v>45455</v>
      </c>
      <c r="E368" s="50">
        <v>46003</v>
      </c>
      <c r="F368" s="49">
        <v>1000</v>
      </c>
      <c r="G368" s="49" t="s">
        <v>76</v>
      </c>
      <c r="H368" s="49">
        <v>1005</v>
      </c>
      <c r="I368" s="49" t="s">
        <v>76</v>
      </c>
      <c r="J368" s="49">
        <v>100.49999999999901</v>
      </c>
      <c r="K368" s="49">
        <v>6</v>
      </c>
      <c r="L368" s="51">
        <v>9.1600000000000001E-2</v>
      </c>
      <c r="M368" s="49" t="s">
        <v>93</v>
      </c>
      <c r="N368" s="49">
        <v>86</v>
      </c>
      <c r="O368" s="49">
        <v>9.1144278606965194</v>
      </c>
      <c r="P368" s="49"/>
      <c r="Q368" s="49"/>
      <c r="R368" s="49" t="s">
        <v>2275</v>
      </c>
      <c r="S368">
        <f t="shared" si="20"/>
        <v>2</v>
      </c>
      <c r="T368" s="5" cm="1">
        <f t="array" ref="T3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8">
        <f>Table1[[#This Row],[Term to Maturity (Years)]]*Table1[[#This Row],[Coupon Frequency2]]</f>
        <v>2</v>
      </c>
      <c r="V368">
        <f>Table1[[#This Row],[Face value]]*Table1[[#This Row],[Current coupon %]]</f>
        <v>91.6</v>
      </c>
      <c r="W368" s="36">
        <f>RATE(Table1[[#This Row],[Total No. of Coupons]],Table1[[#This Row],[Coupon Amount]],-Table1[[#This Row],[Ask Price]],Table1[[#This Row],[Face value]])</f>
        <v>8.8762425928866989E-2</v>
      </c>
      <c r="X368" s="27">
        <f>Table1[[#This Row],[IRR]]*Table1[[#This Row],[Coupon Frequency2]]</f>
        <v>8.8762425928866989E-2</v>
      </c>
      <c r="Y368" s="19" cm="1">
        <f t="array" ref="Y3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8" s="33">
        <f>DURATION(Table1[[#This Row],[Issue date]],Table1[[#This Row],[Maturity date]],Table1[[#This Row],[Current coupon %]],Table1[[#This Row],[Yield (Annualised)]],Table1[[#This Row],[Coupon Frequency2]])</f>
        <v>1.4162863482093384</v>
      </c>
      <c r="AA368" s="33">
        <f>Table1[[#This Row],[Macaulay Duration in Years]]/(1+Table1[[#This Row],[IRR]])</f>
        <v>1.3008222128909781</v>
      </c>
      <c r="AB368" s="58">
        <f>VLOOKUP(Table1[[#This Row],[Yield Cluster]],'Cluster Details'!$B$3:$C$16,2,0)</f>
        <v>7.8548801574189142E-2</v>
      </c>
      <c r="AC368" s="78">
        <f>PRICE(Table1[[#This Row],[Issue date]],Table1[[#This Row],[Maturity date]],Table1[[#This Row],[Current coupon %]],Table1[[#This Row],[Average Cluster Yield]],100,Table1[[#This Row],[Coupon Frequency2]])*Table1[[#This Row],[Face value]]/100</f>
        <v>1016.9507466732089</v>
      </c>
      <c r="AD368" s="58" t="str">
        <f>IF(Table1[[#This Row],[Ask Price]]&gt;Table1[[#This Row],[Calculated Bond Price]],"Rich","Cheap")</f>
        <v>Cheap</v>
      </c>
      <c r="AE3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989.36697254786452</v>
      </c>
      <c r="AF3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1016.6525464480665</v>
      </c>
      <c r="AG368" s="78">
        <f>(Table1[[#This Row],[P (+ shock)]]+Table1[[#This Row],[P (-shock)]]-2*Table1[[#This Row],[Ask Price]])/(2*Table1[[#This Row],[Ask Price]]*($AF$2^2))</f>
        <v>-19.803388079945936</v>
      </c>
      <c r="AH368">
        <v>9.4667346707469093</v>
      </c>
      <c r="AI368" s="6">
        <f t="shared" si="21"/>
        <v>9.1144278606965168E-2</v>
      </c>
      <c r="AK368" s="47">
        <f>RATE(Table1[[#This Row],[Total No. of Coupons]],Table1[[#This Row],[Coupon Amount]],-Table1[[#This Row],[Ask Price]],Table1[[#This Row],[Face value]])</f>
        <v>8.8762425928866989E-2</v>
      </c>
      <c r="AL368" s="27">
        <f>Table1[[#This Row],[IRR]]*Table1[[#This Row],[Coupon Frequency2]]</f>
        <v>8.8762425928866989E-2</v>
      </c>
      <c r="AM368" s="5">
        <f t="shared" si="22"/>
        <v>-1307.3263239554331</v>
      </c>
      <c r="AN368" t="s">
        <v>64</v>
      </c>
      <c r="AO368" t="s">
        <v>62</v>
      </c>
      <c r="AP368">
        <f t="shared" si="23"/>
        <v>1</v>
      </c>
    </row>
    <row r="369" spans="1:42" x14ac:dyDescent="0.35">
      <c r="A369" s="48" t="s">
        <v>467</v>
      </c>
      <c r="B369" s="49" t="s">
        <v>2652</v>
      </c>
      <c r="C369" s="49" t="s">
        <v>2273</v>
      </c>
      <c r="D369" s="50">
        <v>40302</v>
      </c>
      <c r="E369" s="50">
        <v>47607</v>
      </c>
      <c r="F369" s="49">
        <v>1000000</v>
      </c>
      <c r="G369" s="49" t="s">
        <v>76</v>
      </c>
      <c r="H369" s="49">
        <v>1075000</v>
      </c>
      <c r="I369" s="49" t="s">
        <v>76</v>
      </c>
      <c r="J369" s="49">
        <v>107.5</v>
      </c>
      <c r="K369" s="49">
        <v>1</v>
      </c>
      <c r="L369" s="51">
        <v>9.6999999999999989E-2</v>
      </c>
      <c r="M369" s="49" t="s">
        <v>93</v>
      </c>
      <c r="N369" s="49">
        <v>1690</v>
      </c>
      <c r="O369" s="49">
        <v>9.0232558139534795</v>
      </c>
      <c r="P369" s="49"/>
      <c r="Q369" s="49"/>
      <c r="R369" s="49" t="s">
        <v>2275</v>
      </c>
      <c r="S369">
        <f t="shared" si="20"/>
        <v>20</v>
      </c>
      <c r="T369" s="5" cm="1">
        <f t="array" ref="T3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69">
        <f>Table1[[#This Row],[Term to Maturity (Years)]]*Table1[[#This Row],[Coupon Frequency2]]</f>
        <v>20</v>
      </c>
      <c r="V369">
        <f>Table1[[#This Row],[Face value]]*Table1[[#This Row],[Current coupon %]]</f>
        <v>96999.999999999985</v>
      </c>
      <c r="W369" s="36">
        <f>RATE(Table1[[#This Row],[Total No. of Coupons]],Table1[[#This Row],[Coupon Amount]],-Table1[[#This Row],[Ask Price]],Table1[[#This Row],[Face value]])</f>
        <v>8.8851167518305324E-2</v>
      </c>
      <c r="X369" s="27">
        <f>Table1[[#This Row],[IRR]]*Table1[[#This Row],[Coupon Frequency2]]</f>
        <v>8.8851167518305324E-2</v>
      </c>
      <c r="Y369" s="19" cm="1">
        <f t="array" ref="Y3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69" s="33">
        <f>DURATION(Table1[[#This Row],[Issue date]],Table1[[#This Row],[Maturity date]],Table1[[#This Row],[Current coupon %]],Table1[[#This Row],[Yield (Annualised)]],Table1[[#This Row],[Coupon Frequency2]])</f>
        <v>9.8664008324138752</v>
      </c>
      <c r="AA369" s="33">
        <f>Table1[[#This Row],[Macaulay Duration in Years]]/(1+Table1[[#This Row],[IRR]])</f>
        <v>9.0612942583339855</v>
      </c>
      <c r="AB369" s="58">
        <f>VLOOKUP(Table1[[#This Row],[Yield Cluster]],'Cluster Details'!$B$3:$C$16,2,0)</f>
        <v>7.8548801574189142E-2</v>
      </c>
      <c r="AC369" s="78">
        <f>PRICE(Table1[[#This Row],[Issue date]],Table1[[#This Row],[Maturity date]],Table1[[#This Row],[Current coupon %]],Table1[[#This Row],[Average Cluster Yield]],100,Table1[[#This Row],[Coupon Frequency2]])*Table1[[#This Row],[Face value]]/100</f>
        <v>1183129.7892345965</v>
      </c>
      <c r="AD369" s="58" t="str">
        <f>IF(Table1[[#This Row],[Ask Price]]&gt;Table1[[#This Row],[Calculated Bond Price]],"Rich","Cheap")</f>
        <v>Cheap</v>
      </c>
      <c r="AE3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984115.59323102806</v>
      </c>
      <c r="AF3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1179721.6404060742</v>
      </c>
      <c r="AG369" s="78">
        <f>(Table1[[#This Row],[P (+ shock)]]+Table1[[#This Row],[P (-shock)]]-2*Table1[[#This Row],[Ask Price]])/(2*Table1[[#This Row],[Ask Price]]*($AF$2^2))</f>
        <v>64.359226219080995</v>
      </c>
      <c r="AH369">
        <v>11.75</v>
      </c>
      <c r="AI369" s="6">
        <f t="shared" si="21"/>
        <v>9.0232558139534874E-2</v>
      </c>
      <c r="AK369" s="47">
        <f>RATE(Table1[[#This Row],[Total No. of Coupons]],Table1[[#This Row],[Coupon Amount]],-Table1[[#This Row],[Ask Price]],Table1[[#This Row],[Face value]])</f>
        <v>8.8851167518305324E-2</v>
      </c>
      <c r="AL369" s="27">
        <f>Table1[[#This Row],[IRR]]*Table1[[#This Row],[Coupon Frequency2]]</f>
        <v>8.8851167518305324E-2</v>
      </c>
      <c r="AM369" s="5">
        <f t="shared" si="22"/>
        <v>-9740891.3277090341</v>
      </c>
      <c r="AN369" t="s">
        <v>64</v>
      </c>
      <c r="AO369" t="s">
        <v>62</v>
      </c>
      <c r="AP369">
        <f t="shared" si="23"/>
        <v>1</v>
      </c>
    </row>
    <row r="370" spans="1:42" x14ac:dyDescent="0.35">
      <c r="A370" s="48" t="s">
        <v>1779</v>
      </c>
      <c r="B370" s="49" t="s">
        <v>2653</v>
      </c>
      <c r="C370" s="49" t="s">
        <v>2273</v>
      </c>
      <c r="D370" s="50">
        <v>45364</v>
      </c>
      <c r="E370" s="50">
        <v>46186</v>
      </c>
      <c r="F370" s="49">
        <v>1000</v>
      </c>
      <c r="G370" s="49" t="s">
        <v>76</v>
      </c>
      <c r="H370" s="49">
        <v>1035.3499999999999</v>
      </c>
      <c r="I370" s="49" t="s">
        <v>76</v>
      </c>
      <c r="J370" s="49">
        <v>103.535</v>
      </c>
      <c r="K370" s="49">
        <v>25</v>
      </c>
      <c r="L370" s="51">
        <v>0.109</v>
      </c>
      <c r="M370" s="49" t="s">
        <v>93</v>
      </c>
      <c r="N370" s="49">
        <v>269</v>
      </c>
      <c r="O370" s="49">
        <v>10.527840826773501</v>
      </c>
      <c r="P370" s="49"/>
      <c r="Q370" s="49"/>
      <c r="R370" s="49" t="s">
        <v>2275</v>
      </c>
      <c r="S370">
        <f t="shared" si="20"/>
        <v>2</v>
      </c>
      <c r="T370" s="5" cm="1">
        <f t="array" ref="T3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0">
        <f>Table1[[#This Row],[Term to Maturity (Years)]]*Table1[[#This Row],[Coupon Frequency2]]</f>
        <v>2</v>
      </c>
      <c r="V370">
        <f>Table1[[#This Row],[Face value]]*Table1[[#This Row],[Current coupon %]]</f>
        <v>109</v>
      </c>
      <c r="W370" s="36">
        <f>RATE(Table1[[#This Row],[Total No. of Coupons]],Table1[[#This Row],[Coupon Amount]],-Table1[[#This Row],[Ask Price]],Table1[[#This Row],[Face value]])</f>
        <v>8.893368480252041E-2</v>
      </c>
      <c r="X370" s="27">
        <f>Table1[[#This Row],[IRR]]*Table1[[#This Row],[Coupon Frequency2]]</f>
        <v>8.893368480252041E-2</v>
      </c>
      <c r="Y370" s="19" cm="1">
        <f t="array" ref="Y3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0" s="33">
        <f>DURATION(Table1[[#This Row],[Issue date]],Table1[[#This Row],[Maturity date]],Table1[[#This Row],[Current coupon %]],Table1[[#This Row],[Yield (Annualised)]],Table1[[#This Row],[Coupon Frequency2]])</f>
        <v>1.9720274191659619</v>
      </c>
      <c r="AA370" s="33">
        <f>Table1[[#This Row],[Macaulay Duration in Years]]/(1+Table1[[#This Row],[IRR]])</f>
        <v>1.8109710873014198</v>
      </c>
      <c r="AB370" s="58">
        <f>VLOOKUP(Table1[[#This Row],[Yield Cluster]],'Cluster Details'!$B$3:$C$16,2,0)</f>
        <v>7.8548801574189142E-2</v>
      </c>
      <c r="AC370" s="78">
        <f>PRICE(Table1[[#This Row],[Issue date]],Table1[[#This Row],[Maturity date]],Table1[[#This Row],[Current coupon %]],Table1[[#This Row],[Average Cluster Yield]],100,Table1[[#This Row],[Coupon Frequency2]])*Table1[[#This Row],[Face value]]/100</f>
        <v>1059.8741211856423</v>
      </c>
      <c r="AD370" s="58" t="str">
        <f>IF(Table1[[#This Row],[Ask Price]]&gt;Table1[[#This Row],[Calculated Bond Price]],"Rich","Cheap")</f>
        <v>Cheap</v>
      </c>
      <c r="AE3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1018.487867955846</v>
      </c>
      <c r="AF3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1059.0696707014688</v>
      </c>
      <c r="AG370" s="78">
        <f>(Table1[[#This Row],[P (+ shock)]]+Table1[[#This Row],[P (-shock)]]-2*Table1[[#This Row],[Ask Price]])/(2*Table1[[#This Row],[Ask Price]]*($AF$2^2))</f>
        <v>33.117007086080854</v>
      </c>
      <c r="AI370" s="6">
        <f t="shared" si="21"/>
        <v>0.10527840826773556</v>
      </c>
      <c r="AK370" s="47">
        <f>RATE(Table1[[#This Row],[Total No. of Coupons]],Table1[[#This Row],[Coupon Amount]],-Table1[[#This Row],[Ask Price]],Table1[[#This Row],[Face value]])</f>
        <v>8.893368480252041E-2</v>
      </c>
      <c r="AL370" s="27">
        <f>Table1[[#This Row],[IRR]]*Table1[[#This Row],[Coupon Frequency2]]</f>
        <v>8.893368480252041E-2</v>
      </c>
      <c r="AM370" s="5">
        <f t="shared" si="22"/>
        <v>-1874.9889152375247</v>
      </c>
      <c r="AN370" t="s">
        <v>64</v>
      </c>
      <c r="AO370" t="s">
        <v>62</v>
      </c>
      <c r="AP370">
        <f t="shared" si="23"/>
        <v>1</v>
      </c>
    </row>
    <row r="371" spans="1:42" x14ac:dyDescent="0.35">
      <c r="A371" s="48" t="s">
        <v>2654</v>
      </c>
      <c r="B371" s="49" t="s">
        <v>2655</v>
      </c>
      <c r="C371" s="49" t="s">
        <v>2273</v>
      </c>
      <c r="D371" s="50">
        <v>45855</v>
      </c>
      <c r="E371" s="50">
        <v>46951</v>
      </c>
      <c r="F371" s="49">
        <v>1000</v>
      </c>
      <c r="G371" s="49" t="s">
        <v>76</v>
      </c>
      <c r="H371" s="49">
        <v>1005.5</v>
      </c>
      <c r="I371" s="49" t="s">
        <v>76</v>
      </c>
      <c r="J371" s="49">
        <v>100.55</v>
      </c>
      <c r="K371" s="49">
        <v>651</v>
      </c>
      <c r="L371" s="51">
        <v>9.1499999999999998E-2</v>
      </c>
      <c r="M371" s="49" t="s">
        <v>93</v>
      </c>
      <c r="N371" s="49">
        <v>1034</v>
      </c>
      <c r="O371" s="49">
        <v>9.0999502734957698</v>
      </c>
      <c r="P371" s="49"/>
      <c r="Q371" s="49"/>
      <c r="R371" s="49" t="s">
        <v>2275</v>
      </c>
      <c r="S371">
        <f t="shared" si="20"/>
        <v>3</v>
      </c>
      <c r="T371" s="5" cm="1">
        <f t="array" ref="T3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1">
        <f>Table1[[#This Row],[Term to Maturity (Years)]]*Table1[[#This Row],[Coupon Frequency2]]</f>
        <v>3</v>
      </c>
      <c r="V371">
        <f>Table1[[#This Row],[Face value]]*Table1[[#This Row],[Current coupon %]]</f>
        <v>91.5</v>
      </c>
      <c r="W371" s="36">
        <f>RATE(Table1[[#This Row],[Total No. of Coupons]],Table1[[#This Row],[Coupon Amount]],-Table1[[#This Row],[Ask Price]],Table1[[#This Row],[Face value]])</f>
        <v>8.9329793667924262E-2</v>
      </c>
      <c r="X371" s="27">
        <f>Table1[[#This Row],[IRR]]*Table1[[#This Row],[Coupon Frequency2]]</f>
        <v>8.9329793667924262E-2</v>
      </c>
      <c r="Y371" s="19" cm="1">
        <f t="array" ref="Y3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1" s="33">
        <f>DURATION(Table1[[#This Row],[Issue date]],Table1[[#This Row],[Maturity date]],Table1[[#This Row],[Current coupon %]],Table1[[#This Row],[Yield (Annualised)]],Table1[[#This Row],[Coupon Frequency2]])</f>
        <v>2.7562389703525745</v>
      </c>
      <c r="AA371" s="33">
        <f>Table1[[#This Row],[Macaulay Duration in Years]]/(1+Table1[[#This Row],[IRR]])</f>
        <v>2.530215354775101</v>
      </c>
      <c r="AB371" s="58">
        <f>VLOOKUP(Table1[[#This Row],[Yield Cluster]],'Cluster Details'!$B$3:$C$16,2,0)</f>
        <v>7.8548801574189142E-2</v>
      </c>
      <c r="AC371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1033.4640853774697</v>
      </c>
      <c r="AD371" s="58" t="str">
        <f>IF(Table1[[#This Row],[Ask Price]]&gt;Table1[[#This Row],[Calculated Bond Price]],"Rich","Cheap")</f>
        <v>Cheap</v>
      </c>
      <c r="AE3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980.50546455245012</v>
      </c>
      <c r="AF3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1031.4017695368043</v>
      </c>
      <c r="AG371" s="78">
        <f>(Table1[[#This Row],[P (+ shock)]]+Table1[[#This Row],[P (-shock)]]-2*Table1[[#This Row],[Ask Price]])/(2*Table1[[#This Row],[Ask Price]]*($AF$2^2))</f>
        <v>4.5113579773964005</v>
      </c>
      <c r="AI371" s="6">
        <f t="shared" si="21"/>
        <v>9.099950273495773E-2</v>
      </c>
      <c r="AK371" s="47">
        <f>RATE(Table1[[#This Row],[Total No. of Coupons]],Table1[[#This Row],[Coupon Amount]],-Table1[[#This Row],[Ask Price]],Table1[[#This Row],[Face value]])</f>
        <v>8.9329793667924262E-2</v>
      </c>
      <c r="AL371" s="27">
        <f>Table1[[#This Row],[IRR]]*Table1[[#This Row],[Coupon Frequency2]]</f>
        <v>8.9329793667924262E-2</v>
      </c>
      <c r="AM371" s="5">
        <f t="shared" si="22"/>
        <v>-2544.1315392263641</v>
      </c>
      <c r="AN371" t="s">
        <v>64</v>
      </c>
      <c r="AO371" t="s">
        <v>62</v>
      </c>
      <c r="AP371">
        <f t="shared" si="23"/>
        <v>1</v>
      </c>
    </row>
    <row r="372" spans="1:42" x14ac:dyDescent="0.35">
      <c r="A372" s="48" t="s">
        <v>2656</v>
      </c>
      <c r="B372" s="49" t="s">
        <v>2657</v>
      </c>
      <c r="C372" s="49" t="s">
        <v>2273</v>
      </c>
      <c r="D372" s="50">
        <v>42986</v>
      </c>
      <c r="E372" s="50">
        <v>46638</v>
      </c>
      <c r="F372" s="49">
        <v>100000</v>
      </c>
      <c r="G372" s="49" t="s">
        <v>76</v>
      </c>
      <c r="H372" s="49">
        <v>96093.47</v>
      </c>
      <c r="I372" s="49" t="s">
        <v>76</v>
      </c>
      <c r="J372" s="49">
        <v>96.093469999999996</v>
      </c>
      <c r="K372" s="49">
        <v>10</v>
      </c>
      <c r="L372" s="51">
        <v>8.3499999999999991E-2</v>
      </c>
      <c r="M372" s="49" t="s">
        <v>93</v>
      </c>
      <c r="N372" s="49">
        <v>721</v>
      </c>
      <c r="O372" s="49">
        <v>8.6894562138301392</v>
      </c>
      <c r="P372" s="49" t="s">
        <v>2279</v>
      </c>
      <c r="Q372" s="49"/>
      <c r="R372" s="49" t="s">
        <v>2275</v>
      </c>
      <c r="S372">
        <f t="shared" si="20"/>
        <v>10</v>
      </c>
      <c r="T372" s="5" cm="1">
        <f t="array" ref="T3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2">
        <f>Table1[[#This Row],[Term to Maturity (Years)]]*Table1[[#This Row],[Coupon Frequency2]]</f>
        <v>10</v>
      </c>
      <c r="V372">
        <f>Table1[[#This Row],[Face value]]*Table1[[#This Row],[Current coupon %]]</f>
        <v>8349.9999999999982</v>
      </c>
      <c r="W372" s="36">
        <f>RATE(Table1[[#This Row],[Total No. of Coupons]],Table1[[#This Row],[Coupon Amount]],-Table1[[#This Row],[Ask Price]],Table1[[#This Row],[Face value]])</f>
        <v>8.9575797480067929E-2</v>
      </c>
      <c r="X372" s="27">
        <f>Table1[[#This Row],[IRR]]*Table1[[#This Row],[Coupon Frequency2]]</f>
        <v>8.9575797480067929E-2</v>
      </c>
      <c r="Y372" s="19" cm="1">
        <f t="array" ref="Y3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2" s="33">
        <f>DURATION(Table1[[#This Row],[Issue date]],Table1[[#This Row],[Maturity date]],Table1[[#This Row],[Current coupon %]],Table1[[#This Row],[Yield (Annualised)]],Table1[[#This Row],[Coupon Frequency2]])</f>
        <v>7.0952299106712386</v>
      </c>
      <c r="AA372" s="33">
        <f>Table1[[#This Row],[Macaulay Duration in Years]]/(1+Table1[[#This Row],[IRR]])</f>
        <v>6.511919526003453</v>
      </c>
      <c r="AB372" s="58">
        <f>VLOOKUP(Table1[[#This Row],[Yield Cluster]],'Cluster Details'!$B$3:$C$16,2,0)</f>
        <v>7.8548801574189142E-2</v>
      </c>
      <c r="AC37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103344.15110750277</v>
      </c>
      <c r="AD372" s="58" t="str">
        <f>IF(Table1[[#This Row],[Ask Price]]&gt;Table1[[#This Row],[Calculated Bond Price]],"Rich","Cheap")</f>
        <v>Cheap</v>
      </c>
      <c r="AE3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90104.092002566191</v>
      </c>
      <c r="AF3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102638.21747182135</v>
      </c>
      <c r="AG372" s="78">
        <f>(Table1[[#This Row],[P (+ shock)]]+Table1[[#This Row],[P (-shock)]]-2*Table1[[#This Row],[Ask Price]])/(2*Table1[[#This Row],[Ask Price]]*($AF$2^2))</f>
        <v>28.897357665799401</v>
      </c>
      <c r="AI372" s="6">
        <f t="shared" si="21"/>
        <v>8.6894562138301365E-2</v>
      </c>
      <c r="AK372" s="47">
        <f>RATE(Table1[[#This Row],[Total No. of Coupons]],Table1[[#This Row],[Coupon Amount]],-Table1[[#This Row],[Ask Price]],Table1[[#This Row],[Face value]])</f>
        <v>8.9575797480067929E-2</v>
      </c>
      <c r="AL372" s="27">
        <f>Table1[[#This Row],[IRR]]*Table1[[#This Row],[Coupon Frequency2]]</f>
        <v>8.9575797480067929E-2</v>
      </c>
      <c r="AM372" s="5">
        <f t="shared" si="22"/>
        <v>-625752.943614427</v>
      </c>
      <c r="AN372" t="s">
        <v>64</v>
      </c>
      <c r="AO372" t="s">
        <v>62</v>
      </c>
      <c r="AP372">
        <f t="shared" si="23"/>
        <v>1</v>
      </c>
    </row>
    <row r="373" spans="1:42" x14ac:dyDescent="0.35">
      <c r="A373" s="48" t="s">
        <v>1092</v>
      </c>
      <c r="B373" s="49" t="s">
        <v>2658</v>
      </c>
      <c r="C373" s="49" t="s">
        <v>2273</v>
      </c>
      <c r="D373" s="50">
        <v>45644</v>
      </c>
      <c r="E373" s="50">
        <v>46738</v>
      </c>
      <c r="F373" s="49">
        <v>100000</v>
      </c>
      <c r="G373" s="49" t="s">
        <v>76</v>
      </c>
      <c r="H373" s="49">
        <v>102615</v>
      </c>
      <c r="I373" s="49" t="s">
        <v>76</v>
      </c>
      <c r="J373" s="49">
        <v>102.61499999999999</v>
      </c>
      <c r="K373" s="49">
        <v>4900</v>
      </c>
      <c r="L373" s="51">
        <v>0.1</v>
      </c>
      <c r="M373" s="49" t="s">
        <v>93</v>
      </c>
      <c r="N373" s="49">
        <v>821</v>
      </c>
      <c r="O373" s="49">
        <v>9.7451639623836606</v>
      </c>
      <c r="P373" s="49"/>
      <c r="Q373" s="49"/>
      <c r="R373" s="49" t="s">
        <v>2275</v>
      </c>
      <c r="S373">
        <f t="shared" si="20"/>
        <v>3</v>
      </c>
      <c r="T373" s="5" cm="1">
        <f t="array" ref="T3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3">
        <f>Table1[[#This Row],[Term to Maturity (Years)]]*Table1[[#This Row],[Coupon Frequency2]]</f>
        <v>3</v>
      </c>
      <c r="V373">
        <f>Table1[[#This Row],[Face value]]*Table1[[#This Row],[Current coupon %]]</f>
        <v>10000</v>
      </c>
      <c r="W373" s="36">
        <f>RATE(Table1[[#This Row],[Total No. of Coupons]],Table1[[#This Row],[Coupon Amount]],-Table1[[#This Row],[Ask Price]],Table1[[#This Row],[Face value]])</f>
        <v>8.9675295864752494E-2</v>
      </c>
      <c r="X373" s="27">
        <f>Table1[[#This Row],[IRR]]*Table1[[#This Row],[Coupon Frequency2]]</f>
        <v>8.9675295864752494E-2</v>
      </c>
      <c r="Y373" s="19" cm="1">
        <f t="array" ref="Y3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3" s="33">
        <f>DURATION(Table1[[#This Row],[Issue date]],Table1[[#This Row],[Maturity date]],Table1[[#This Row],[Current coupon %]],Table1[[#This Row],[Yield (Annualised)]],Table1[[#This Row],[Coupon Frequency2]])</f>
        <v>2.7362866063850793</v>
      </c>
      <c r="AA373" s="33">
        <f>Table1[[#This Row],[Macaulay Duration in Years]]/(1+Table1[[#This Row],[IRR]])</f>
        <v>2.5111027264443919</v>
      </c>
      <c r="AB373" s="58">
        <f>VLOOKUP(Table1[[#This Row],[Yield Cluster]],'Cluster Details'!$B$3:$C$16,2,0)</f>
        <v>7.8548801574189142E-2</v>
      </c>
      <c r="AC373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105537.08299058297</v>
      </c>
      <c r="AD373" s="58" t="str">
        <f>IF(Table1[[#This Row],[Ask Price]]&gt;Table1[[#This Row],[Calculated Bond Price]],"Rich","Cheap")</f>
        <v>Cheap</v>
      </c>
      <c r="AE37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100079.43536905733</v>
      </c>
      <c r="AF37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105235.57891706366</v>
      </c>
      <c r="AG373" s="78">
        <f>(Table1[[#This Row],[P (+ shock)]]+Table1[[#This Row],[P (-shock)]]-2*Table1[[#This Row],[Ask Price]])/(2*Table1[[#This Row],[Ask Price]]*($AF$2^2))</f>
        <v>4.1423907869709238</v>
      </c>
      <c r="AH373">
        <v>6.0296321918597897</v>
      </c>
      <c r="AI373" s="6">
        <f t="shared" si="21"/>
        <v>9.7451639623836669E-2</v>
      </c>
      <c r="AK373" s="47">
        <f>RATE(Table1[[#This Row],[Total No. of Coupons]],Table1[[#This Row],[Coupon Amount]],-Table1[[#This Row],[Ask Price]],Table1[[#This Row],[Face value]])</f>
        <v>8.9675295864752494E-2</v>
      </c>
      <c r="AL373" s="27">
        <f>Table1[[#This Row],[IRR]]*Table1[[#This Row],[Coupon Frequency2]]</f>
        <v>8.9675295864752494E-2</v>
      </c>
      <c r="AM373" s="5">
        <f t="shared" si="22"/>
        <v>-257676.80627409127</v>
      </c>
      <c r="AN373" t="s">
        <v>64</v>
      </c>
      <c r="AO373" t="s">
        <v>62</v>
      </c>
      <c r="AP373">
        <f t="shared" si="23"/>
        <v>1</v>
      </c>
    </row>
    <row r="374" spans="1:42" x14ac:dyDescent="0.35">
      <c r="A374" s="48" t="s">
        <v>758</v>
      </c>
      <c r="B374" s="49" t="s">
        <v>2659</v>
      </c>
      <c r="C374" s="49" t="s">
        <v>2273</v>
      </c>
      <c r="D374" s="50">
        <v>45320</v>
      </c>
      <c r="E374" s="50">
        <v>47147</v>
      </c>
      <c r="F374" s="49">
        <v>1000</v>
      </c>
      <c r="G374" s="49" t="s">
        <v>76</v>
      </c>
      <c r="H374" s="49">
        <v>1044</v>
      </c>
      <c r="I374" s="49" t="s">
        <v>76</v>
      </c>
      <c r="J374" s="49">
        <v>104.4</v>
      </c>
      <c r="K374" s="49">
        <v>9</v>
      </c>
      <c r="L374" s="51">
        <v>0.10099999999999999</v>
      </c>
      <c r="M374" s="49" t="s">
        <v>93</v>
      </c>
      <c r="N374" s="49">
        <v>1230</v>
      </c>
      <c r="O374" s="49">
        <v>9.6743295019157092</v>
      </c>
      <c r="P374" s="49"/>
      <c r="Q374" s="49"/>
      <c r="R374" s="49" t="s">
        <v>2275</v>
      </c>
      <c r="S374">
        <f t="shared" si="20"/>
        <v>5</v>
      </c>
      <c r="T374" s="5" cm="1">
        <f t="array" ref="T3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4">
        <f>Table1[[#This Row],[Term to Maturity (Years)]]*Table1[[#This Row],[Coupon Frequency2]]</f>
        <v>5</v>
      </c>
      <c r="V374">
        <f>Table1[[#This Row],[Face value]]*Table1[[#This Row],[Current coupon %]]</f>
        <v>100.99999999999999</v>
      </c>
      <c r="W374" s="36">
        <f>RATE(Table1[[#This Row],[Total No. of Coupons]],Table1[[#This Row],[Coupon Amount]],-Table1[[#This Row],[Ask Price]],Table1[[#This Row],[Face value]])</f>
        <v>8.9696828918388927E-2</v>
      </c>
      <c r="X374" s="27">
        <f>Table1[[#This Row],[IRR]]*Table1[[#This Row],[Coupon Frequency2]]</f>
        <v>8.9696828918388927E-2</v>
      </c>
      <c r="Y374" s="19" cm="1">
        <f t="array" ref="Y3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4" s="33">
        <f>DURATION(Table1[[#This Row],[Issue date]],Table1[[#This Row],[Maturity date]],Table1[[#This Row],[Current coupon %]],Table1[[#This Row],[Yield (Annualised)]],Table1[[#This Row],[Coupon Frequency2]])</f>
        <v>4.1823197519815549</v>
      </c>
      <c r="AA374" s="33">
        <f>Table1[[#This Row],[Macaulay Duration in Years]]/(1+Table1[[#This Row],[IRR]])</f>
        <v>3.8380581102845279</v>
      </c>
      <c r="AB374" s="58">
        <f>VLOOKUP(Table1[[#This Row],[Yield Cluster]],'Cluster Details'!$B$3:$C$16,2,0)</f>
        <v>7.8548801574189142E-2</v>
      </c>
      <c r="AC374" s="78">
        <f>PRICE(Table1[[#This Row],[Issue date]],Table1[[#This Row],[Maturity date]],Table1[[#This Row],[Current coupon %]],Table1[[#This Row],[Average Cluster Yield]],100,Table1[[#This Row],[Coupon Frequency2]])*Table1[[#This Row],[Face value]]/100</f>
        <v>1089.9850350203249</v>
      </c>
      <c r="AD374" s="58" t="str">
        <f>IF(Table1[[#This Row],[Ask Price]]&gt;Table1[[#This Row],[Calculated Bond Price]],"Rich","Cheap")</f>
        <v>Cheap</v>
      </c>
      <c r="AE37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1004.9438721345036</v>
      </c>
      <c r="AF37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1085.1253929877719</v>
      </c>
      <c r="AG374" s="78">
        <f>(Table1[[#This Row],[P (+ shock)]]+Table1[[#This Row],[P (-shock)]]-2*Table1[[#This Row],[Ask Price]])/(2*Table1[[#This Row],[Ask Price]]*($AF$2^2))</f>
        <v>9.9102735741153385</v>
      </c>
      <c r="AH374">
        <v>12.075900311391401</v>
      </c>
      <c r="AI374" s="6">
        <f t="shared" si="21"/>
        <v>9.6743295019157072E-2</v>
      </c>
      <c r="AK374" s="47">
        <f>RATE(Table1[[#This Row],[Total No. of Coupons]],Table1[[#This Row],[Coupon Amount]],-Table1[[#This Row],[Ask Price]],Table1[[#This Row],[Face value]])</f>
        <v>8.9696828918388927E-2</v>
      </c>
      <c r="AL374" s="27">
        <f>Table1[[#This Row],[IRR]]*Table1[[#This Row],[Coupon Frequency2]]</f>
        <v>8.9696828918388927E-2</v>
      </c>
      <c r="AM374" s="5">
        <f t="shared" si="22"/>
        <v>-4006.9326671370472</v>
      </c>
      <c r="AN374" t="s">
        <v>64</v>
      </c>
      <c r="AO374" t="s">
        <v>62</v>
      </c>
      <c r="AP374">
        <f t="shared" si="23"/>
        <v>1</v>
      </c>
    </row>
    <row r="375" spans="1:42" x14ac:dyDescent="0.35">
      <c r="A375" s="48" t="s">
        <v>580</v>
      </c>
      <c r="B375" s="49" t="s">
        <v>2660</v>
      </c>
      <c r="C375" s="49" t="s">
        <v>2273</v>
      </c>
      <c r="D375" s="50">
        <v>45589</v>
      </c>
      <c r="E375" s="50">
        <v>47415</v>
      </c>
      <c r="F375" s="49">
        <v>1000</v>
      </c>
      <c r="G375" s="49" t="s">
        <v>76</v>
      </c>
      <c r="H375" s="49">
        <v>1059.5</v>
      </c>
      <c r="I375" s="49" t="s">
        <v>76</v>
      </c>
      <c r="J375" s="49">
        <v>105.95</v>
      </c>
      <c r="K375" s="49">
        <v>610</v>
      </c>
      <c r="L375" s="51">
        <v>0.105</v>
      </c>
      <c r="M375" s="49" t="s">
        <v>93</v>
      </c>
      <c r="N375" s="49">
        <v>1498</v>
      </c>
      <c r="O375" s="49">
        <v>9.9103350637092902</v>
      </c>
      <c r="P375" s="49"/>
      <c r="Q375" s="49"/>
      <c r="R375" s="49" t="s">
        <v>2275</v>
      </c>
      <c r="S375">
        <f t="shared" si="20"/>
        <v>5</v>
      </c>
      <c r="T375" s="5" cm="1">
        <f t="array" ref="T3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5">
        <f>Table1[[#This Row],[Term to Maturity (Years)]]*Table1[[#This Row],[Coupon Frequency2]]</f>
        <v>5</v>
      </c>
      <c r="V375">
        <f>Table1[[#This Row],[Face value]]*Table1[[#This Row],[Current coupon %]]</f>
        <v>105</v>
      </c>
      <c r="W375" s="36">
        <f>RATE(Table1[[#This Row],[Total No. of Coupons]],Table1[[#This Row],[Coupon Amount]],-Table1[[#This Row],[Ask Price]],Table1[[#This Row],[Face value]])</f>
        <v>8.9714335381500032E-2</v>
      </c>
      <c r="X375" s="27">
        <f>Table1[[#This Row],[IRR]]*Table1[[#This Row],[Coupon Frequency2]]</f>
        <v>8.9714335381500032E-2</v>
      </c>
      <c r="Y375" s="19" cm="1">
        <f t="array" ref="Y3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5" s="33">
        <f>DURATION(Table1[[#This Row],[Issue date]],Table1[[#This Row],[Maturity date]],Table1[[#This Row],[Current coupon %]],Table1[[#This Row],[Yield (Annualised)]],Table1[[#This Row],[Coupon Frequency2]])</f>
        <v>4.1623982054239503</v>
      </c>
      <c r="AA375" s="33">
        <f>Table1[[#This Row],[Macaulay Duration in Years]]/(1+Table1[[#This Row],[IRR]])</f>
        <v>3.8197150117941039</v>
      </c>
      <c r="AB375" s="58">
        <f>VLOOKUP(Table1[[#This Row],[Yield Cluster]],'Cluster Details'!$B$3:$C$16,2,0)</f>
        <v>7.8548801574189142E-2</v>
      </c>
      <c r="AC375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375" s="58" t="str">
        <f>IF(Table1[[#This Row],[Ask Price]]&gt;Table1[[#This Row],[Calculated Bond Price]],"Rich","Cheap")</f>
        <v>Cheap</v>
      </c>
      <c r="AE37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1020.0514584725289</v>
      </c>
      <c r="AF37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1101.0343845359544</v>
      </c>
      <c r="AG375" s="78">
        <f>(Table1[[#This Row],[P (+ shock)]]+Table1[[#This Row],[P (-shock)]]-2*Table1[[#This Row],[Ask Price]])/(2*Table1[[#This Row],[Ask Price]]*($AF$2^2))</f>
        <v>9.8435252877921311</v>
      </c>
      <c r="AH375">
        <v>0.10558499796168</v>
      </c>
      <c r="AI375" s="6">
        <f t="shared" si="21"/>
        <v>9.9103350637092968E-2</v>
      </c>
      <c r="AK375" s="47">
        <f>RATE(Table1[[#This Row],[Total No. of Coupons]],Table1[[#This Row],[Coupon Amount]],-Table1[[#This Row],[Ask Price]],Table1[[#This Row],[Face value]])</f>
        <v>8.9714335381500032E-2</v>
      </c>
      <c r="AL375" s="27">
        <f>Table1[[#This Row],[IRR]]*Table1[[#This Row],[Coupon Frequency2]]</f>
        <v>8.9714335381500032E-2</v>
      </c>
      <c r="AM375" s="5">
        <f t="shared" si="22"/>
        <v>-4046.988054995853</v>
      </c>
      <c r="AN375" t="s">
        <v>64</v>
      </c>
      <c r="AO375" t="s">
        <v>62</v>
      </c>
      <c r="AP375">
        <f t="shared" si="23"/>
        <v>1</v>
      </c>
    </row>
    <row r="376" spans="1:42" x14ac:dyDescent="0.35">
      <c r="A376" s="48" t="s">
        <v>1307</v>
      </c>
      <c r="B376" s="49" t="s">
        <v>2661</v>
      </c>
      <c r="C376" s="49" t="s">
        <v>2273</v>
      </c>
      <c r="D376" s="50">
        <v>45771</v>
      </c>
      <c r="E376" s="50">
        <v>46501</v>
      </c>
      <c r="F376" s="49">
        <v>1000</v>
      </c>
      <c r="G376" s="49" t="s">
        <v>76</v>
      </c>
      <c r="H376" s="49">
        <v>1018</v>
      </c>
      <c r="I376" s="49" t="s">
        <v>76</v>
      </c>
      <c r="J376" s="49">
        <v>101.8</v>
      </c>
      <c r="K376" s="49">
        <v>1</v>
      </c>
      <c r="L376" s="51">
        <v>0.1</v>
      </c>
      <c r="M376" s="49" t="s">
        <v>93</v>
      </c>
      <c r="N376" s="49">
        <v>584</v>
      </c>
      <c r="O376" s="49">
        <v>9.8231827111984291</v>
      </c>
      <c r="P376" s="49"/>
      <c r="Q376" s="49"/>
      <c r="R376" s="49" t="s">
        <v>2275</v>
      </c>
      <c r="S376">
        <f t="shared" si="20"/>
        <v>2</v>
      </c>
      <c r="T376" s="5" cm="1">
        <f t="array" ref="T3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6">
        <f>Table1[[#This Row],[Term to Maturity (Years)]]*Table1[[#This Row],[Coupon Frequency2]]</f>
        <v>2</v>
      </c>
      <c r="V376">
        <f>Table1[[#This Row],[Face value]]*Table1[[#This Row],[Current coupon %]]</f>
        <v>100</v>
      </c>
      <c r="W376" s="36">
        <f>RATE(Table1[[#This Row],[Total No. of Coupons]],Table1[[#This Row],[Coupon Amount]],-Table1[[#This Row],[Ask Price]],Table1[[#This Row],[Face value]])</f>
        <v>8.9770741631212639E-2</v>
      </c>
      <c r="X376" s="27">
        <f>Table1[[#This Row],[IRR]]*Table1[[#This Row],[Coupon Frequency2]]</f>
        <v>8.9770741631212639E-2</v>
      </c>
      <c r="Y376" s="19" cm="1">
        <f t="array" ref="Y3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6" s="33">
        <f>DURATION(Table1[[#This Row],[Issue date]],Table1[[#This Row],[Maturity date]],Table1[[#This Row],[Current coupon %]],Table1[[#This Row],[Yield (Annualised)]],Table1[[#This Row],[Coupon Frequency2]])</f>
        <v>1.9098600986800702</v>
      </c>
      <c r="AA376" s="33">
        <f>Table1[[#This Row],[Macaulay Duration in Years]]/(1+Table1[[#This Row],[IRR]])</f>
        <v>1.7525338364483112</v>
      </c>
      <c r="AB376" s="58">
        <f>VLOOKUP(Table1[[#This Row],[Yield Cluster]],'Cluster Details'!$B$3:$C$16,2,0)</f>
        <v>7.8548801574189142E-2</v>
      </c>
      <c r="AC376" s="78">
        <f>PRICE(Table1[[#This Row],[Issue date]],Table1[[#This Row],[Maturity date]],Table1[[#This Row],[Current coupon %]],Table1[[#This Row],[Average Cluster Yield]],100,Table1[[#This Row],[Coupon Frequency2]])*Table1[[#This Row],[Face value]]/100</f>
        <v>1038.3294144418585</v>
      </c>
      <c r="AD376" s="58" t="str">
        <f>IF(Table1[[#This Row],[Ask Price]]&gt;Table1[[#This Row],[Calculated Bond Price]],"Rich","Cheap")</f>
        <v>Cheap</v>
      </c>
      <c r="AE37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1000.3980088737507</v>
      </c>
      <c r="AF37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1036.0854657380814</v>
      </c>
      <c r="AG376" s="78">
        <f>(Table1[[#This Row],[P (+ shock)]]+Table1[[#This Row],[P (-shock)]]-2*Table1[[#This Row],[Ask Price]])/(2*Table1[[#This Row],[Ask Price]]*($AF$2^2))</f>
        <v>2.3746297241267551</v>
      </c>
      <c r="AH376">
        <v>10.6287077242982</v>
      </c>
      <c r="AI376" s="6">
        <f t="shared" si="21"/>
        <v>9.8231827111984277E-2</v>
      </c>
      <c r="AK376" s="47">
        <f>RATE(Table1[[#This Row],[Total No. of Coupons]],Table1[[#This Row],[Coupon Amount]],-Table1[[#This Row],[Ask Price]],Table1[[#This Row],[Face value]])</f>
        <v>8.9770741631212639E-2</v>
      </c>
      <c r="AL376" s="27">
        <f>Table1[[#This Row],[IRR]]*Table1[[#This Row],[Coupon Frequency2]]</f>
        <v>8.9770741631212639E-2</v>
      </c>
      <c r="AM376" s="5">
        <f t="shared" si="22"/>
        <v>-1784.0794455043808</v>
      </c>
      <c r="AN376" t="s">
        <v>64</v>
      </c>
      <c r="AO376" t="s">
        <v>62</v>
      </c>
      <c r="AP376">
        <f t="shared" si="23"/>
        <v>1</v>
      </c>
    </row>
    <row r="377" spans="1:42" x14ac:dyDescent="0.35">
      <c r="A377" s="48" t="s">
        <v>872</v>
      </c>
      <c r="B377" s="49" t="s">
        <v>2662</v>
      </c>
      <c r="C377" s="49" t="s">
        <v>2273</v>
      </c>
      <c r="D377" s="50">
        <v>45184</v>
      </c>
      <c r="E377" s="50">
        <v>47011</v>
      </c>
      <c r="F377" s="49">
        <v>1000</v>
      </c>
      <c r="G377" s="49" t="s">
        <v>76</v>
      </c>
      <c r="H377" s="49">
        <v>1043.5</v>
      </c>
      <c r="I377" s="49" t="s">
        <v>76</v>
      </c>
      <c r="J377" s="49">
        <v>104.35</v>
      </c>
      <c r="K377" s="49">
        <v>300</v>
      </c>
      <c r="L377" s="51">
        <v>0.10099999999999999</v>
      </c>
      <c r="M377" s="49" t="s">
        <v>93</v>
      </c>
      <c r="N377" s="49">
        <v>1094</v>
      </c>
      <c r="O377" s="49">
        <v>9.6789650215620497</v>
      </c>
      <c r="P377" s="49"/>
      <c r="Q377" s="49"/>
      <c r="R377" s="49" t="s">
        <v>2275</v>
      </c>
      <c r="S377">
        <f t="shared" si="20"/>
        <v>5</v>
      </c>
      <c r="T377" s="5" cm="1">
        <f t="array" ref="T3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7">
        <f>Table1[[#This Row],[Term to Maturity (Years)]]*Table1[[#This Row],[Coupon Frequency2]]</f>
        <v>5</v>
      </c>
      <c r="V377">
        <f>Table1[[#This Row],[Face value]]*Table1[[#This Row],[Current coupon %]]</f>
        <v>100.99999999999999</v>
      </c>
      <c r="W377" s="36">
        <f>RATE(Table1[[#This Row],[Total No. of Coupons]],Table1[[#This Row],[Coupon Amount]],-Table1[[#This Row],[Ask Price]],Table1[[#This Row],[Face value]])</f>
        <v>8.9821652853815326E-2</v>
      </c>
      <c r="X377" s="27">
        <f>Table1[[#This Row],[IRR]]*Table1[[#This Row],[Coupon Frequency2]]</f>
        <v>8.9821652853815326E-2</v>
      </c>
      <c r="Y377" s="19" cm="1">
        <f t="array" ref="Y3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7" s="33">
        <f>DURATION(Table1[[#This Row],[Issue date]],Table1[[#This Row],[Maturity date]],Table1[[#This Row],[Current coupon %]],Table1[[#This Row],[Yield (Annualised)]],Table1[[#This Row],[Coupon Frequency2]])</f>
        <v>4.1821075041236879</v>
      </c>
      <c r="AA377" s="33">
        <f>Table1[[#This Row],[Macaulay Duration in Years]]/(1+Table1[[#This Row],[IRR]])</f>
        <v>3.8374237593576792</v>
      </c>
      <c r="AB377" s="58">
        <f>VLOOKUP(Table1[[#This Row],[Yield Cluster]],'Cluster Details'!$B$3:$C$16,2,0)</f>
        <v>7.8548801574189142E-2</v>
      </c>
      <c r="AC377" s="78">
        <f>PRICE(Table1[[#This Row],[Issue date]],Table1[[#This Row],[Maturity date]],Table1[[#This Row],[Current coupon %]],Table1[[#This Row],[Average Cluster Yield]],100,Table1[[#This Row],[Coupon Frequency2]])*Table1[[#This Row],[Face value]]/100</f>
        <v>1089.9850350203249</v>
      </c>
      <c r="AD377" s="58" t="str">
        <f>IF(Table1[[#This Row],[Ask Price]]&gt;Table1[[#This Row],[Calculated Bond Price]],"Rich","Cheap")</f>
        <v>Cheap</v>
      </c>
      <c r="AE37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1004.4688986919775</v>
      </c>
      <c r="AF37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1084.5987615700237</v>
      </c>
      <c r="AG377" s="78">
        <f>(Table1[[#This Row],[P (+ shock)]]+Table1[[#This Row],[P (-shock)]]-2*Table1[[#This Row],[Ask Price]])/(2*Table1[[#This Row],[Ask Price]]*($AF$2^2))</f>
        <v>9.9073323526664208</v>
      </c>
      <c r="AH377">
        <v>4.1692113072996504</v>
      </c>
      <c r="AI377" s="6">
        <f t="shared" si="21"/>
        <v>9.6789650215620499E-2</v>
      </c>
      <c r="AK377" s="47">
        <f>RATE(Table1[[#This Row],[Total No. of Coupons]],Table1[[#This Row],[Coupon Amount]],-Table1[[#This Row],[Ask Price]],Table1[[#This Row],[Face value]])</f>
        <v>8.9821652853815326E-2</v>
      </c>
      <c r="AL377" s="27">
        <f>Table1[[#This Row],[IRR]]*Table1[[#This Row],[Coupon Frequency2]]</f>
        <v>8.9821652853815326E-2</v>
      </c>
      <c r="AM377" s="5">
        <f t="shared" si="22"/>
        <v>-4004.3516928897384</v>
      </c>
      <c r="AN377" t="s">
        <v>64</v>
      </c>
      <c r="AO377" t="s">
        <v>62</v>
      </c>
      <c r="AP377">
        <f t="shared" si="23"/>
        <v>1</v>
      </c>
    </row>
    <row r="378" spans="1:42" x14ac:dyDescent="0.35">
      <c r="A378" s="48" t="s">
        <v>187</v>
      </c>
      <c r="B378" s="49" t="s">
        <v>2663</v>
      </c>
      <c r="C378" s="49" t="s">
        <v>2273</v>
      </c>
      <c r="D378" s="50">
        <v>45348</v>
      </c>
      <c r="E378" s="50">
        <v>48999</v>
      </c>
      <c r="F378" s="49">
        <v>100000</v>
      </c>
      <c r="G378" s="49" t="s">
        <v>76</v>
      </c>
      <c r="H378" s="49">
        <v>103850</v>
      </c>
      <c r="I378" s="49" t="s">
        <v>76</v>
      </c>
      <c r="J378" s="49">
        <v>103.85</v>
      </c>
      <c r="K378" s="49">
        <v>5</v>
      </c>
      <c r="L378" s="51">
        <v>9.6000000000000002E-2</v>
      </c>
      <c r="M378" s="49" t="s">
        <v>93</v>
      </c>
      <c r="N378" s="49">
        <v>3082</v>
      </c>
      <c r="O378" s="49">
        <v>9.2441020702936907</v>
      </c>
      <c r="P378" s="49"/>
      <c r="Q378" s="49"/>
      <c r="R378" s="49" t="s">
        <v>2275</v>
      </c>
      <c r="S378">
        <f t="shared" si="20"/>
        <v>10</v>
      </c>
      <c r="T378" s="5" cm="1">
        <f t="array" ref="T3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8">
        <f>Table1[[#This Row],[Term to Maturity (Years)]]*Table1[[#This Row],[Coupon Frequency2]]</f>
        <v>10</v>
      </c>
      <c r="V378">
        <f>Table1[[#This Row],[Face value]]*Table1[[#This Row],[Current coupon %]]</f>
        <v>9600</v>
      </c>
      <c r="W378" s="36">
        <f>RATE(Table1[[#This Row],[Total No. of Coupons]],Table1[[#This Row],[Coupon Amount]],-Table1[[#This Row],[Ask Price]],Table1[[#This Row],[Face value]])</f>
        <v>9.000090270204443E-2</v>
      </c>
      <c r="X378" s="27">
        <f>Table1[[#This Row],[IRR]]*Table1[[#This Row],[Coupon Frequency2]]</f>
        <v>9.000090270204443E-2</v>
      </c>
      <c r="Y378" s="19" cm="1">
        <f t="array" ref="Y3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8" s="33">
        <f>DURATION(Table1[[#This Row],[Issue date]],Table1[[#This Row],[Maturity date]],Table1[[#This Row],[Current coupon %]],Table1[[#This Row],[Yield (Annualised)]],Table1[[#This Row],[Coupon Frequency2]])</f>
        <v>6.9082034231085512</v>
      </c>
      <c r="AA378" s="33">
        <f>Table1[[#This Row],[Macaulay Duration in Years]]/(1+Table1[[#This Row],[IRR]])</f>
        <v>6.3377960568505438</v>
      </c>
      <c r="AB378" s="58">
        <f>VLOOKUP(Table1[[#This Row],[Yield Cluster]],'Cluster Details'!$B$3:$C$16,2,0)</f>
        <v>7.8548801574189142E-2</v>
      </c>
      <c r="AC378" s="78">
        <f>PRICE(Table1[[#This Row],[Issue date]],Table1[[#This Row],[Maturity date]],Table1[[#This Row],[Current coupon %]],Table1[[#This Row],[Average Cluster Yield]],100,Table1[[#This Row],[Coupon Frequency2]])*Table1[[#This Row],[Face value]]/100</f>
        <v>111780.5703372829</v>
      </c>
      <c r="AD378" s="58" t="str">
        <f>IF(Table1[[#This Row],[Ask Price]]&gt;Table1[[#This Row],[Calculated Bond Price]],"Rich","Cheap")</f>
        <v>Cheap</v>
      </c>
      <c r="AE37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97539.957197129042</v>
      </c>
      <c r="AF37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110729.50432185015</v>
      </c>
      <c r="AG378" s="78">
        <f>(Table1[[#This Row],[P (+ shock)]]+Table1[[#This Row],[P (-shock)]]-2*Table1[[#This Row],[Ask Price]])/(2*Table1[[#This Row],[Ask Price]]*($AF$2^2))</f>
        <v>27.417502117438364</v>
      </c>
      <c r="AH378">
        <v>11.0161639348182</v>
      </c>
      <c r="AI378" s="6">
        <f t="shared" si="21"/>
        <v>9.244102070293693E-2</v>
      </c>
      <c r="AK378" s="47">
        <f>RATE(Table1[[#This Row],[Total No. of Coupons]],Table1[[#This Row],[Coupon Amount]],-Table1[[#This Row],[Ask Price]],Table1[[#This Row],[Face value]])</f>
        <v>9.000090270204443E-2</v>
      </c>
      <c r="AL378" s="27">
        <f>Table1[[#This Row],[IRR]]*Table1[[#This Row],[Coupon Frequency2]]</f>
        <v>9.000090270204443E-2</v>
      </c>
      <c r="AM378" s="5">
        <f t="shared" si="22"/>
        <v>-658180.12050392898</v>
      </c>
      <c r="AN378" t="s">
        <v>64</v>
      </c>
      <c r="AO378" t="s">
        <v>62</v>
      </c>
      <c r="AP378">
        <f t="shared" si="23"/>
        <v>1</v>
      </c>
    </row>
    <row r="379" spans="1:42" x14ac:dyDescent="0.35">
      <c r="A379" s="48" t="s">
        <v>2664</v>
      </c>
      <c r="B379" s="49" t="s">
        <v>2665</v>
      </c>
      <c r="C379" s="49" t="s">
        <v>2273</v>
      </c>
      <c r="D379" s="50">
        <v>45855</v>
      </c>
      <c r="E379" s="50">
        <v>47681</v>
      </c>
      <c r="F379" s="49">
        <v>1000</v>
      </c>
      <c r="G379" s="49" t="s">
        <v>76</v>
      </c>
      <c r="H379" s="49">
        <v>1011.5</v>
      </c>
      <c r="I379" s="49" t="s">
        <v>76</v>
      </c>
      <c r="J379" s="49">
        <v>101.15</v>
      </c>
      <c r="K379" s="49">
        <v>794</v>
      </c>
      <c r="L379" s="51">
        <v>9.3000000000000013E-2</v>
      </c>
      <c r="M379" s="49" t="s">
        <v>93</v>
      </c>
      <c r="N379" s="49">
        <v>1764</v>
      </c>
      <c r="O379" s="49">
        <v>9.1942659416707802</v>
      </c>
      <c r="P379" s="49"/>
      <c r="Q379" s="49"/>
      <c r="R379" s="49" t="s">
        <v>2275</v>
      </c>
      <c r="S379">
        <f t="shared" si="20"/>
        <v>5</v>
      </c>
      <c r="T379" s="5" cm="1">
        <f t="array" ref="T3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79">
        <f>Table1[[#This Row],[Term to Maturity (Years)]]*Table1[[#This Row],[Coupon Frequency2]]</f>
        <v>5</v>
      </c>
      <c r="V379">
        <f>Table1[[#This Row],[Face value]]*Table1[[#This Row],[Current coupon %]]</f>
        <v>93.000000000000014</v>
      </c>
      <c r="W379" s="36">
        <f>RATE(Table1[[#This Row],[Total No. of Coupons]],Table1[[#This Row],[Coupon Amount]],-Table1[[#This Row],[Ask Price]],Table1[[#This Row],[Face value]])</f>
        <v>9.0043106057123429E-2</v>
      </c>
      <c r="X379" s="27">
        <f>Table1[[#This Row],[IRR]]*Table1[[#This Row],[Coupon Frequency2]]</f>
        <v>9.0043106057123429E-2</v>
      </c>
      <c r="Y379" s="19" cm="1">
        <f t="array" ref="Y3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79" s="33">
        <f>DURATION(Table1[[#This Row],[Issue date]],Table1[[#This Row],[Maturity date]],Table1[[#This Row],[Current coupon %]],Table1[[#This Row],[Yield (Annualised)]],Table1[[#This Row],[Coupon Frequency2]])</f>
        <v>4.2233680022607256</v>
      </c>
      <c r="AA379" s="33">
        <f>Table1[[#This Row],[Macaulay Duration in Years]]/(1+Table1[[#This Row],[IRR]])</f>
        <v>3.8744963192670303</v>
      </c>
      <c r="AB379" s="58">
        <f>VLOOKUP(Table1[[#This Row],[Yield Cluster]],'Cluster Details'!$B$3:$C$16,2,0)</f>
        <v>7.8548801574189142E-2</v>
      </c>
      <c r="AC379" s="78">
        <f>PRICE(Table1[[#This Row],[Issue date]],Table1[[#This Row],[Maturity date]],Table1[[#This Row],[Current coupon %]],Table1[[#This Row],[Average Cluster Yield]],100,Table1[[#This Row],[Coupon Frequency2]])*Table1[[#This Row],[Face value]]/100</f>
        <v>1057.9208099170899</v>
      </c>
      <c r="AD379" s="58" t="str">
        <f>IF(Table1[[#This Row],[Ask Price]]&gt;Table1[[#This Row],[Calculated Bond Price]],"Rich","Cheap")</f>
        <v>Cheap</v>
      </c>
      <c r="AE37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973.30402660264906</v>
      </c>
      <c r="AF37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1051.7272435626899</v>
      </c>
      <c r="AG379" s="78">
        <f>(Table1[[#This Row],[P (+ shock)]]+Table1[[#This Row],[P (-shock)]]-2*Table1[[#This Row],[Ask Price]])/(2*Table1[[#This Row],[Ask Price]]*($AF$2^2))</f>
        <v>10.040880698659468</v>
      </c>
      <c r="AH379">
        <v>26.920703486578201</v>
      </c>
      <c r="AI379" s="6">
        <f t="shared" si="21"/>
        <v>9.1942659416707873E-2</v>
      </c>
      <c r="AK379" s="47">
        <f>RATE(Table1[[#This Row],[Total No. of Coupons]],Table1[[#This Row],[Coupon Amount]],-Table1[[#This Row],[Ask Price]],Table1[[#This Row],[Face value]])</f>
        <v>9.0043106057123429E-2</v>
      </c>
      <c r="AL379" s="27">
        <f>Table1[[#This Row],[IRR]]*Table1[[#This Row],[Coupon Frequency2]]</f>
        <v>9.0043106057123429E-2</v>
      </c>
      <c r="AM379" s="5">
        <f t="shared" si="22"/>
        <v>-3919.0530269386013</v>
      </c>
      <c r="AN379" t="s">
        <v>64</v>
      </c>
      <c r="AO379" t="s">
        <v>62</v>
      </c>
      <c r="AP379">
        <f t="shared" si="23"/>
        <v>1</v>
      </c>
    </row>
    <row r="380" spans="1:42" x14ac:dyDescent="0.35">
      <c r="A380" s="48" t="s">
        <v>268</v>
      </c>
      <c r="B380" s="49" t="s">
        <v>2666</v>
      </c>
      <c r="C380" s="49" t="s">
        <v>2273</v>
      </c>
      <c r="D380" s="50">
        <v>44749</v>
      </c>
      <c r="E380" s="50">
        <v>48402</v>
      </c>
      <c r="F380" s="49">
        <v>1000000</v>
      </c>
      <c r="G380" s="49" t="s">
        <v>76</v>
      </c>
      <c r="H380" s="49">
        <v>945009</v>
      </c>
      <c r="I380" s="49" t="s">
        <v>76</v>
      </c>
      <c r="J380" s="49">
        <v>94.500900000000001</v>
      </c>
      <c r="K380" s="49">
        <v>1</v>
      </c>
      <c r="L380" s="51">
        <v>8.1500000000000003E-2</v>
      </c>
      <c r="M380" s="49" t="s">
        <v>93</v>
      </c>
      <c r="N380" s="49">
        <v>2485</v>
      </c>
      <c r="O380" s="49">
        <v>8.6242564885625406</v>
      </c>
      <c r="P380" s="49"/>
      <c r="Q380" s="49"/>
      <c r="R380" s="49" t="s">
        <v>2275</v>
      </c>
      <c r="S380">
        <f t="shared" si="20"/>
        <v>10</v>
      </c>
      <c r="T380" s="5" cm="1">
        <f t="array" ref="T3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0">
        <f>Table1[[#This Row],[Term to Maturity (Years)]]*Table1[[#This Row],[Coupon Frequency2]]</f>
        <v>10</v>
      </c>
      <c r="V380">
        <f>Table1[[#This Row],[Face value]]*Table1[[#This Row],[Current coupon %]]</f>
        <v>81500</v>
      </c>
      <c r="W380" s="36">
        <f>RATE(Table1[[#This Row],[Total No. of Coupons]],Table1[[#This Row],[Coupon Amount]],-Table1[[#This Row],[Ask Price]],Table1[[#This Row],[Face value]])</f>
        <v>9.0071395519837338E-2</v>
      </c>
      <c r="X380" s="27">
        <f>Table1[[#This Row],[IRR]]*Table1[[#This Row],[Coupon Frequency2]]</f>
        <v>9.0071395519837338E-2</v>
      </c>
      <c r="Y380" s="19" cm="1">
        <f t="array" ref="Y3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0" s="33">
        <f>DURATION(Table1[[#This Row],[Issue date]],Table1[[#This Row],[Maturity date]],Table1[[#This Row],[Current coupon %]],Table1[[#This Row],[Yield (Annualised)]],Table1[[#This Row],[Coupon Frequency2]])</f>
        <v>7.1213097054148271</v>
      </c>
      <c r="AA380" s="33">
        <f>Table1[[#This Row],[Macaulay Duration in Years]]/(1+Table1[[#This Row],[IRR]])</f>
        <v>6.5328837493426661</v>
      </c>
      <c r="AB380" s="58">
        <f>VLOOKUP(Table1[[#This Row],[Yield Cluster]],'Cluster Details'!$B$3:$C$16,2,0)</f>
        <v>7.8548801574189142E-2</v>
      </c>
      <c r="AC380" s="78">
        <f>PRICE(Table1[[#This Row],[Issue date]],Table1[[#This Row],[Maturity date]],Table1[[#This Row],[Current coupon %]],Table1[[#This Row],[Average Cluster Yield]],100,Table1[[#This Row],[Coupon Frequency2]])*Table1[[#This Row],[Face value]]/100</f>
        <v>1019933.0599086619</v>
      </c>
      <c r="AD380" s="58" t="str">
        <f>IF(Table1[[#This Row],[Ask Price]]&gt;Table1[[#This Row],[Calculated Bond Price]],"Rich","Cheap")</f>
        <v>Cheap</v>
      </c>
      <c r="AE38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885921.80479544715</v>
      </c>
      <c r="AF38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1009582.9661404239</v>
      </c>
      <c r="AG380" s="78">
        <f>(Table1[[#This Row],[P (+ shock)]]+Table1[[#This Row],[P (-shock)]]-2*Table1[[#This Row],[Ask Price]])/(2*Table1[[#This Row],[Ask Price]]*($AF$2^2))</f>
        <v>29.030257573584869</v>
      </c>
      <c r="AH380">
        <v>11.4417754303996</v>
      </c>
      <c r="AI380" s="6">
        <f t="shared" si="21"/>
        <v>8.6242564885625428E-2</v>
      </c>
      <c r="AK380" s="47">
        <f>RATE(Table1[[#This Row],[Total No. of Coupons]],Table1[[#This Row],[Coupon Amount]],-Table1[[#This Row],[Ask Price]],Table1[[#This Row],[Face value]])</f>
        <v>9.0071395519837338E-2</v>
      </c>
      <c r="AL380" s="27">
        <f>Table1[[#This Row],[IRR]]*Table1[[#This Row],[Coupon Frequency2]]</f>
        <v>9.0071395519837338E-2</v>
      </c>
      <c r="AM380" s="5">
        <f t="shared" si="22"/>
        <v>-6173633.9390825639</v>
      </c>
      <c r="AN380" t="s">
        <v>64</v>
      </c>
      <c r="AO380" t="s">
        <v>62</v>
      </c>
      <c r="AP380">
        <f t="shared" si="23"/>
        <v>1</v>
      </c>
    </row>
    <row r="381" spans="1:42" x14ac:dyDescent="0.35">
      <c r="A381" s="48" t="s">
        <v>1145</v>
      </c>
      <c r="B381" s="49" t="s">
        <v>2667</v>
      </c>
      <c r="C381" s="49" t="s">
        <v>2273</v>
      </c>
      <c r="D381" s="50">
        <v>41186</v>
      </c>
      <c r="E381" s="50">
        <v>46668</v>
      </c>
      <c r="F381" s="49">
        <v>100000</v>
      </c>
      <c r="G381" s="49" t="s">
        <v>76</v>
      </c>
      <c r="H381" s="49">
        <v>108965</v>
      </c>
      <c r="I381" s="49" t="s">
        <v>76</v>
      </c>
      <c r="J381" s="49">
        <v>108.965</v>
      </c>
      <c r="K381" s="49">
        <v>2</v>
      </c>
      <c r="L381" s="51">
        <v>0.1012</v>
      </c>
      <c r="M381" s="49" t="s">
        <v>93</v>
      </c>
      <c r="N381" s="49">
        <v>751</v>
      </c>
      <c r="O381" s="49">
        <v>9.2873858578442601</v>
      </c>
      <c r="P381" s="49"/>
      <c r="Q381" s="49"/>
      <c r="R381" s="49" t="s">
        <v>2275</v>
      </c>
      <c r="S381">
        <f t="shared" si="20"/>
        <v>15</v>
      </c>
      <c r="T381" s="5" cm="1">
        <f t="array" ref="T3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1">
        <f>Table1[[#This Row],[Term to Maturity (Years)]]*Table1[[#This Row],[Coupon Frequency2]]</f>
        <v>15</v>
      </c>
      <c r="V381">
        <f>Table1[[#This Row],[Face value]]*Table1[[#This Row],[Current coupon %]]</f>
        <v>10120</v>
      </c>
      <c r="W381" s="36">
        <f>RATE(Table1[[#This Row],[Total No. of Coupons]],Table1[[#This Row],[Coupon Amount]],-Table1[[#This Row],[Ask Price]],Table1[[#This Row],[Face value]])</f>
        <v>9.0073307628211294E-2</v>
      </c>
      <c r="X381" s="27">
        <f>Table1[[#This Row],[IRR]]*Table1[[#This Row],[Coupon Frequency2]]</f>
        <v>9.0073307628211294E-2</v>
      </c>
      <c r="Y381" s="19" cm="1">
        <f t="array" ref="Y3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1" s="33">
        <f>DURATION(Table1[[#This Row],[Issue date]],Table1[[#This Row],[Maturity date]],Table1[[#This Row],[Current coupon %]],Table1[[#This Row],[Yield (Annualised)]],Table1[[#This Row],[Coupon Frequency2]])</f>
        <v>7.8707920130459064</v>
      </c>
      <c r="AA381" s="33">
        <f>Table1[[#This Row],[Macaulay Duration in Years]]/(1+Table1[[#This Row],[IRR]])</f>
        <v>7.2204244961939565</v>
      </c>
      <c r="AB381" s="58">
        <f>VLOOKUP(Table1[[#This Row],[Yield Cluster]],'Cluster Details'!$B$3:$C$16,2,0)</f>
        <v>7.8548801574189142E-2</v>
      </c>
      <c r="AC381" s="78">
        <f>PRICE(Table1[[#This Row],[Issue date]],Table1[[#This Row],[Maturity date]],Table1[[#This Row],[Current coupon %]],Table1[[#This Row],[Average Cluster Yield]],100,Table1[[#This Row],[Coupon Frequency2]])*Table1[[#This Row],[Face value]]/100</f>
        <v>119564.76766992199</v>
      </c>
      <c r="AD381" s="58" t="str">
        <f>IF(Table1[[#This Row],[Ask Price]]&gt;Table1[[#This Row],[Calculated Bond Price]],"Rich","Cheap")</f>
        <v>Cheap</v>
      </c>
      <c r="AE38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100851.51280730544</v>
      </c>
      <c r="AF38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118078.02777852585</v>
      </c>
      <c r="AG381" s="78">
        <f>(Table1[[#This Row],[P (+ shock)]]+Table1[[#This Row],[P (-shock)]]-2*Table1[[#This Row],[Ask Price]])/(2*Table1[[#This Row],[Ask Price]]*($AF$2^2))</f>
        <v>45.865212950547111</v>
      </c>
      <c r="AI381" s="6">
        <f t="shared" si="21"/>
        <v>9.2873858578442617E-2</v>
      </c>
      <c r="AK381" s="47">
        <f>RATE(Table1[[#This Row],[Total No. of Coupons]],Table1[[#This Row],[Coupon Amount]],-Table1[[#This Row],[Ask Price]],Table1[[#This Row],[Face value]])</f>
        <v>9.0073307628211294E-2</v>
      </c>
      <c r="AL381" s="27">
        <f>Table1[[#This Row],[IRR]]*Table1[[#This Row],[Coupon Frequency2]]</f>
        <v>9.0073307628211294E-2</v>
      </c>
      <c r="AM381" s="5">
        <f t="shared" si="22"/>
        <v>-786773.55522777443</v>
      </c>
      <c r="AN381" t="s">
        <v>64</v>
      </c>
      <c r="AO381" t="s">
        <v>62</v>
      </c>
      <c r="AP381">
        <f t="shared" si="23"/>
        <v>1</v>
      </c>
    </row>
    <row r="382" spans="1:42" x14ac:dyDescent="0.35">
      <c r="A382" s="48" t="s">
        <v>888</v>
      </c>
      <c r="B382" s="49" t="s">
        <v>2668</v>
      </c>
      <c r="C382" s="49" t="s">
        <v>2273</v>
      </c>
      <c r="D382" s="50">
        <v>45785</v>
      </c>
      <c r="E382" s="50">
        <v>46973</v>
      </c>
      <c r="F382" s="49">
        <v>100000</v>
      </c>
      <c r="G382" s="49" t="s">
        <v>76</v>
      </c>
      <c r="H382" s="49">
        <v>100457.62</v>
      </c>
      <c r="I382" s="49" t="s">
        <v>76</v>
      </c>
      <c r="J382" s="49">
        <v>100.45762000000001</v>
      </c>
      <c r="K382" s="49">
        <v>5</v>
      </c>
      <c r="L382" s="51">
        <v>9.1899999999999996E-2</v>
      </c>
      <c r="M382" s="49" t="s">
        <v>93</v>
      </c>
      <c r="N382" s="49">
        <v>1056</v>
      </c>
      <c r="O382" s="49">
        <v>9.1481362986700194</v>
      </c>
      <c r="P382" s="49"/>
      <c r="Q382" s="49"/>
      <c r="R382" s="49" t="s">
        <v>2275</v>
      </c>
      <c r="S382">
        <f t="shared" si="20"/>
        <v>3</v>
      </c>
      <c r="T382" s="5" cm="1">
        <f t="array" ref="T3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2">
        <f>Table1[[#This Row],[Term to Maturity (Years)]]*Table1[[#This Row],[Coupon Frequency2]]</f>
        <v>3</v>
      </c>
      <c r="V382">
        <f>Table1[[#This Row],[Face value]]*Table1[[#This Row],[Current coupon %]]</f>
        <v>9190</v>
      </c>
      <c r="W382" s="36">
        <f>RATE(Table1[[#This Row],[Total No. of Coupons]],Table1[[#This Row],[Coupon Amount]],-Table1[[#This Row],[Ask Price]],Table1[[#This Row],[Face value]])</f>
        <v>9.0091854458362861E-2</v>
      </c>
      <c r="X382" s="27">
        <f>Table1[[#This Row],[IRR]]*Table1[[#This Row],[Coupon Frequency2]]</f>
        <v>9.0091854458362861E-2</v>
      </c>
      <c r="Y382" s="19" cm="1">
        <f t="array" ref="Y3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2" s="33">
        <f>DURATION(Table1[[#This Row],[Issue date]],Table1[[#This Row],[Maturity date]],Table1[[#This Row],[Current coupon %]],Table1[[#This Row],[Yield (Annualised)]],Table1[[#This Row],[Coupon Frequency2]])</f>
        <v>2.7742514148293886</v>
      </c>
      <c r="AA382" s="33">
        <f>Table1[[#This Row],[Macaulay Duration in Years]]/(1+Table1[[#This Row],[IRR]])</f>
        <v>2.5449703192285931</v>
      </c>
      <c r="AB382" s="58">
        <f>VLOOKUP(Table1[[#This Row],[Yield Cluster]],'Cluster Details'!$B$3:$C$16,2,0)</f>
        <v>7.8548801574189142E-2</v>
      </c>
      <c r="AC382" s="78">
        <f>PRICE(Table1[[#This Row],[Issue date]],Table1[[#This Row],[Maturity date]],Table1[[#This Row],[Current coupon %]],Table1[[#This Row],[Average Cluster Yield]],100,Table1[[#This Row],[Coupon Frequency2]])*Table1[[#This Row],[Face value]]/100</f>
        <v>103637.9091502373</v>
      </c>
      <c r="AD382" s="58" t="str">
        <f>IF(Table1[[#This Row],[Ask Price]]&gt;Table1[[#This Row],[Calculated Bond Price]],"Rich","Cheap")</f>
        <v>Cheap</v>
      </c>
      <c r="AE38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97735.434145852138</v>
      </c>
      <c r="AF38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103198.9856960387</v>
      </c>
      <c r="AG382" s="78">
        <f>(Table1[[#This Row],[P (+ shock)]]+Table1[[#This Row],[P (-shock)]]-2*Table1[[#This Row],[Ask Price]])/(2*Table1[[#This Row],[Ask Price]]*($AF$2^2))</f>
        <v>0.95462354626975132</v>
      </c>
      <c r="AH382">
        <v>3.0152165086390901</v>
      </c>
      <c r="AI382" s="6">
        <f t="shared" si="21"/>
        <v>9.148136298670026E-2</v>
      </c>
      <c r="AK382" s="47">
        <f>RATE(Table1[[#This Row],[Total No. of Coupons]],Table1[[#This Row],[Coupon Amount]],-Table1[[#This Row],[Ask Price]],Table1[[#This Row],[Face value]])</f>
        <v>9.0091854458362861E-2</v>
      </c>
      <c r="AL382" s="27">
        <f>Table1[[#This Row],[IRR]]*Table1[[#This Row],[Coupon Frequency2]]</f>
        <v>9.0091854458362861E-2</v>
      </c>
      <c r="AM382" s="5">
        <f t="shared" si="22"/>
        <v>-255661.66124034469</v>
      </c>
      <c r="AN382" t="s">
        <v>64</v>
      </c>
      <c r="AO382" t="s">
        <v>62</v>
      </c>
      <c r="AP382">
        <f t="shared" si="23"/>
        <v>1</v>
      </c>
    </row>
    <row r="383" spans="1:42" x14ac:dyDescent="0.35">
      <c r="A383" s="48" t="s">
        <v>1845</v>
      </c>
      <c r="B383" s="49" t="s">
        <v>2669</v>
      </c>
      <c r="C383" s="49" t="s">
        <v>2273</v>
      </c>
      <c r="D383" s="50">
        <v>44315</v>
      </c>
      <c r="E383" s="50">
        <v>46141</v>
      </c>
      <c r="F383" s="49">
        <v>1000</v>
      </c>
      <c r="G383" s="49" t="s">
        <v>76</v>
      </c>
      <c r="H383" s="49">
        <v>1021</v>
      </c>
      <c r="I383" s="49" t="s">
        <v>76</v>
      </c>
      <c r="J383" s="49">
        <v>102.1</v>
      </c>
      <c r="K383" s="49">
        <v>5</v>
      </c>
      <c r="L383" s="51">
        <v>9.5500000000000002E-2</v>
      </c>
      <c r="M383" s="49" t="s">
        <v>93</v>
      </c>
      <c r="N383" s="49">
        <v>224</v>
      </c>
      <c r="O383" s="49">
        <v>9.3535749265425991</v>
      </c>
      <c r="P383" s="49"/>
      <c r="Q383" s="49"/>
      <c r="R383" s="49" t="s">
        <v>2275</v>
      </c>
      <c r="S383">
        <f t="shared" si="20"/>
        <v>5</v>
      </c>
      <c r="T383" s="5" cm="1">
        <f t="array" ref="T3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3">
        <f>Table1[[#This Row],[Term to Maturity (Years)]]*Table1[[#This Row],[Coupon Frequency2]]</f>
        <v>5</v>
      </c>
      <c r="V383">
        <f>Table1[[#This Row],[Face value]]*Table1[[#This Row],[Current coupon %]]</f>
        <v>95.5</v>
      </c>
      <c r="W383" s="36">
        <f>RATE(Table1[[#This Row],[Total No. of Coupons]],Table1[[#This Row],[Coupon Amount]],-Table1[[#This Row],[Ask Price]],Table1[[#This Row],[Face value]])</f>
        <v>9.0099662213415352E-2</v>
      </c>
      <c r="X383" s="27">
        <f>Table1[[#This Row],[IRR]]*Table1[[#This Row],[Coupon Frequency2]]</f>
        <v>9.0099662213415352E-2</v>
      </c>
      <c r="Y383" s="19" cm="1">
        <f t="array" ref="Y3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3" s="33">
        <f>DURATION(Table1[[#This Row],[Issue date]],Table1[[#This Row],[Maturity date]],Table1[[#This Row],[Current coupon %]],Table1[[#This Row],[Yield (Annualised)]],Table1[[#This Row],[Coupon Frequency2]])</f>
        <v>4.2099898446081863</v>
      </c>
      <c r="AA383" s="33">
        <f>Table1[[#This Row],[Macaulay Duration in Years]]/(1+Table1[[#This Row],[IRR]])</f>
        <v>3.8620228870266096</v>
      </c>
      <c r="AB383" s="58">
        <f>VLOOKUP(Table1[[#This Row],[Yield Cluster]],'Cluster Details'!$B$3:$C$16,2,0)</f>
        <v>7.8548801574189142E-2</v>
      </c>
      <c r="AC383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1067.9408802618509</v>
      </c>
      <c r="AD383" s="58" t="str">
        <f>IF(Table1[[#This Row],[Ask Price]]&gt;Table1[[#This Row],[Calculated Bond Price]],"Rich","Cheap")</f>
        <v>Cheap</v>
      </c>
      <c r="AE38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982.56809977539319</v>
      </c>
      <c r="AF38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1061.4729351856456</v>
      </c>
      <c r="AG383" s="78">
        <f>(Table1[[#This Row],[P (+ shock)]]+Table1[[#This Row],[P (-shock)]]-2*Table1[[#This Row],[Ask Price]])/(2*Table1[[#This Row],[Ask Price]]*($AF$2^2))</f>
        <v>9.995274050141056</v>
      </c>
      <c r="AH383">
        <v>14.403357531760401</v>
      </c>
      <c r="AI383" s="6">
        <f t="shared" si="21"/>
        <v>9.3535749265426057E-2</v>
      </c>
      <c r="AK383" s="47">
        <f>RATE(Table1[[#This Row],[Total No. of Coupons]],Table1[[#This Row],[Coupon Amount]],-Table1[[#This Row],[Ask Price]],Table1[[#This Row],[Face value]])</f>
        <v>9.0099662213415352E-2</v>
      </c>
      <c r="AL383" s="27">
        <f>Table1[[#This Row],[IRR]]*Table1[[#This Row],[Coupon Frequency2]]</f>
        <v>9.0099662213415352E-2</v>
      </c>
      <c r="AM383" s="5">
        <f t="shared" si="22"/>
        <v>-3943.1253676541683</v>
      </c>
      <c r="AN383" t="s">
        <v>64</v>
      </c>
      <c r="AO383" t="s">
        <v>62</v>
      </c>
      <c r="AP383">
        <f t="shared" si="23"/>
        <v>1</v>
      </c>
    </row>
    <row r="384" spans="1:42" x14ac:dyDescent="0.35">
      <c r="A384" s="48" t="s">
        <v>614</v>
      </c>
      <c r="B384" s="49" t="s">
        <v>2670</v>
      </c>
      <c r="C384" s="49" t="s">
        <v>2273</v>
      </c>
      <c r="D384" s="50">
        <v>45532</v>
      </c>
      <c r="E384" s="50">
        <v>47358</v>
      </c>
      <c r="F384" s="49">
        <v>100000</v>
      </c>
      <c r="G384" s="49" t="s">
        <v>76</v>
      </c>
      <c r="H384" s="49">
        <v>93000</v>
      </c>
      <c r="I384" s="49" t="s">
        <v>76</v>
      </c>
      <c r="J384" s="49">
        <v>93</v>
      </c>
      <c r="K384" s="49">
        <v>1</v>
      </c>
      <c r="L384" s="51">
        <v>7.22E-2</v>
      </c>
      <c r="M384" s="49" t="s">
        <v>93</v>
      </c>
      <c r="N384" s="49">
        <v>1441</v>
      </c>
      <c r="O384" s="49">
        <v>7.7634408602150504</v>
      </c>
      <c r="P384" s="49"/>
      <c r="Q384" s="49"/>
      <c r="R384" s="49" t="s">
        <v>2275</v>
      </c>
      <c r="S384">
        <f t="shared" si="20"/>
        <v>5</v>
      </c>
      <c r="T384" s="5" cm="1">
        <f t="array" ref="T3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4">
        <f>Table1[[#This Row],[Term to Maturity (Years)]]*Table1[[#This Row],[Coupon Frequency2]]</f>
        <v>5</v>
      </c>
      <c r="V384">
        <f>Table1[[#This Row],[Face value]]*Table1[[#This Row],[Current coupon %]]</f>
        <v>7220</v>
      </c>
      <c r="W384" s="36">
        <f>RATE(Table1[[#This Row],[Total No. of Coupons]],Table1[[#This Row],[Coupon Amount]],-Table1[[#This Row],[Ask Price]],Table1[[#This Row],[Face value]])</f>
        <v>9.0206096701294022E-2</v>
      </c>
      <c r="X384" s="27">
        <f>Table1[[#This Row],[IRR]]*Table1[[#This Row],[Coupon Frequency2]]</f>
        <v>9.0206096701294022E-2</v>
      </c>
      <c r="Y384" s="19" cm="1">
        <f t="array" ref="Y3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4" s="33">
        <f>DURATION(Table1[[#This Row],[Issue date]],Table1[[#This Row],[Maturity date]],Table1[[#This Row],[Current coupon %]],Table1[[#This Row],[Yield (Annualised)]],Table1[[#This Row],[Coupon Frequency2]])</f>
        <v>4.3444164421540421</v>
      </c>
      <c r="AA384" s="33">
        <f>Table1[[#This Row],[Macaulay Duration in Years]]/(1+Table1[[#This Row],[IRR]])</f>
        <v>3.9849496854761859</v>
      </c>
      <c r="AB384" s="58">
        <f>VLOOKUP(Table1[[#This Row],[Yield Cluster]],'Cluster Details'!$B$3:$C$16,2,0)</f>
        <v>7.8548801574189142E-2</v>
      </c>
      <c r="AC384" s="78">
        <f>PRICE(Table1[[#This Row],[Issue date]],Table1[[#This Row],[Maturity date]],Table1[[#This Row],[Current coupon %]],Table1[[#This Row],[Average Cluster Yield]],100,Table1[[#This Row],[Coupon Frequency2]])*Table1[[#This Row],[Face value]]/100</f>
        <v>97455.382464867871</v>
      </c>
      <c r="AD384" s="58" t="str">
        <f>IF(Table1[[#This Row],[Ask Price]]&gt;Table1[[#This Row],[Calculated Bond Price]],"Rich","Cheap")</f>
        <v>Cheap</v>
      </c>
      <c r="AE38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89389.073222491672</v>
      </c>
      <c r="AF38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96805.133353660218</v>
      </c>
      <c r="AG384" s="78">
        <f>(Table1[[#This Row],[P (+ shock)]]+Table1[[#This Row],[P (-shock)]]-2*Table1[[#This Row],[Ask Price]])/(2*Table1[[#This Row],[Ask Price]]*($AF$2^2))</f>
        <v>10.441213771606975</v>
      </c>
      <c r="AH384">
        <v>5.2623732728933197</v>
      </c>
      <c r="AI384" s="6">
        <f t="shared" si="21"/>
        <v>7.763440860215054E-2</v>
      </c>
      <c r="AK384" s="47">
        <f>RATE(Table1[[#This Row],[Total No. of Coupons]],Table1[[#This Row],[Coupon Amount]],-Table1[[#This Row],[Ask Price]],Table1[[#This Row],[Face value]])</f>
        <v>9.0206096701294022E-2</v>
      </c>
      <c r="AL384" s="27">
        <f>Table1[[#This Row],[IRR]]*Table1[[#This Row],[Coupon Frequency2]]</f>
        <v>9.0206096701294022E-2</v>
      </c>
      <c r="AM384" s="5">
        <f t="shared" si="22"/>
        <v>-370600.32074928528</v>
      </c>
      <c r="AN384" t="s">
        <v>64</v>
      </c>
      <c r="AO384" t="s">
        <v>62</v>
      </c>
      <c r="AP384">
        <f t="shared" si="23"/>
        <v>1</v>
      </c>
    </row>
    <row r="385" spans="1:42" x14ac:dyDescent="0.35">
      <c r="A385" s="48" t="s">
        <v>1040</v>
      </c>
      <c r="B385" s="49" t="s">
        <v>2671</v>
      </c>
      <c r="C385" s="49" t="s">
        <v>2273</v>
      </c>
      <c r="D385" s="50">
        <v>44958</v>
      </c>
      <c r="E385" s="50">
        <v>46784</v>
      </c>
      <c r="F385" s="49">
        <v>1000</v>
      </c>
      <c r="G385" s="49" t="s">
        <v>76</v>
      </c>
      <c r="H385" s="49">
        <v>991</v>
      </c>
      <c r="I385" s="49" t="s">
        <v>76</v>
      </c>
      <c r="J385" s="49">
        <v>99.1</v>
      </c>
      <c r="K385" s="49">
        <v>20</v>
      </c>
      <c r="L385" s="51">
        <v>8.8000000000000009E-2</v>
      </c>
      <c r="M385" s="49" t="s">
        <v>93</v>
      </c>
      <c r="N385" s="49">
        <v>867</v>
      </c>
      <c r="O385" s="49">
        <v>8.8799192734611498</v>
      </c>
      <c r="P385" s="49"/>
      <c r="Q385" s="49"/>
      <c r="R385" s="49" t="s">
        <v>2275</v>
      </c>
      <c r="S385">
        <f t="shared" si="20"/>
        <v>5</v>
      </c>
      <c r="T385" s="5" cm="1">
        <f t="array" ref="T3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5">
        <f>Table1[[#This Row],[Term to Maturity (Years)]]*Table1[[#This Row],[Coupon Frequency2]]</f>
        <v>5</v>
      </c>
      <c r="V385">
        <f>Table1[[#This Row],[Face value]]*Table1[[#This Row],[Current coupon %]]</f>
        <v>88.000000000000014</v>
      </c>
      <c r="W385" s="36">
        <f>RATE(Table1[[#This Row],[Total No. of Coupons]],Table1[[#This Row],[Coupon Amount]],-Table1[[#This Row],[Ask Price]],Table1[[#This Row],[Face value]])</f>
        <v>9.0315727940539686E-2</v>
      </c>
      <c r="X385" s="27">
        <f>Table1[[#This Row],[IRR]]*Table1[[#This Row],[Coupon Frequency2]]</f>
        <v>9.0315727940539686E-2</v>
      </c>
      <c r="Y385" s="19" cm="1">
        <f t="array" ref="Y3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5" s="33">
        <f>DURATION(Table1[[#This Row],[Issue date]],Table1[[#This Row],[Maturity date]],Table1[[#This Row],[Current coupon %]],Table1[[#This Row],[Yield (Annualised)]],Table1[[#This Row],[Coupon Frequency2]])</f>
        <v>4.2502799023498996</v>
      </c>
      <c r="AA385" s="33">
        <f>Table1[[#This Row],[Macaulay Duration in Years]]/(1+Table1[[#This Row],[IRR]])</f>
        <v>3.8982102096042479</v>
      </c>
      <c r="AB385" s="58">
        <f>VLOOKUP(Table1[[#This Row],[Yield Cluster]],'Cluster Details'!$B$3:$C$16,2,0)</f>
        <v>7.8548801574189142E-2</v>
      </c>
      <c r="AC385" s="78">
        <f>PRICE(Table1[[#This Row],[Issue date]],Table1[[#This Row],[Maturity date]],Table1[[#This Row],[Current coupon %]],Table1[[#This Row],[Average Cluster Yield]],100,Table1[[#This Row],[Coupon Frequency2]])*Table1[[#This Row],[Face value]]/100</f>
        <v>1037.880669227568</v>
      </c>
      <c r="AD385" s="58" t="str">
        <f>IF(Table1[[#This Row],[Ask Price]]&gt;Table1[[#This Row],[Calculated Bond Price]],"Rich","Cheap")</f>
        <v>Cheap</v>
      </c>
      <c r="AE38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953.35133320880811</v>
      </c>
      <c r="AF38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1030.6555561971761</v>
      </c>
      <c r="AG385" s="78">
        <f>(Table1[[#This Row],[P (+ shock)]]+Table1[[#This Row],[P (-shock)]]-2*Table1[[#This Row],[Ask Price]])/(2*Table1[[#This Row],[Ask Price]]*($AF$2^2))</f>
        <v>10.125577224945062</v>
      </c>
      <c r="AH385">
        <v>11.544066606861699</v>
      </c>
      <c r="AI385" s="6">
        <f t="shared" si="21"/>
        <v>8.8799192734611523E-2</v>
      </c>
      <c r="AK385" s="47">
        <f>RATE(Table1[[#This Row],[Total No. of Coupons]],Table1[[#This Row],[Coupon Amount]],-Table1[[#This Row],[Ask Price]],Table1[[#This Row],[Face value]])</f>
        <v>9.0315727940539686E-2</v>
      </c>
      <c r="AL385" s="27">
        <f>Table1[[#This Row],[IRR]]*Table1[[#This Row],[Coupon Frequency2]]</f>
        <v>9.0315727940539686E-2</v>
      </c>
      <c r="AM385" s="5">
        <f t="shared" si="22"/>
        <v>-3863.1263177178098</v>
      </c>
      <c r="AN385" t="s">
        <v>64</v>
      </c>
      <c r="AO385" t="s">
        <v>62</v>
      </c>
      <c r="AP385">
        <f t="shared" si="23"/>
        <v>1</v>
      </c>
    </row>
    <row r="386" spans="1:42" x14ac:dyDescent="0.35">
      <c r="A386" s="48" t="s">
        <v>1248</v>
      </c>
      <c r="B386" s="49" t="s">
        <v>2672</v>
      </c>
      <c r="C386" s="49" t="s">
        <v>2273</v>
      </c>
      <c r="D386" s="50">
        <v>45821</v>
      </c>
      <c r="E386" s="50">
        <v>46552</v>
      </c>
      <c r="F386" s="49">
        <v>100000</v>
      </c>
      <c r="G386" s="49" t="s">
        <v>76</v>
      </c>
      <c r="H386" s="49">
        <v>100989.43</v>
      </c>
      <c r="I386" s="49" t="s">
        <v>76</v>
      </c>
      <c r="J386" s="49">
        <v>100.98943</v>
      </c>
      <c r="K386" s="49">
        <v>1</v>
      </c>
      <c r="L386" s="51">
        <v>9.6000000000000002E-2</v>
      </c>
      <c r="M386" s="49" t="s">
        <v>93</v>
      </c>
      <c r="N386" s="49">
        <v>635</v>
      </c>
      <c r="O386" s="49">
        <v>9.5059453251691792</v>
      </c>
      <c r="P386" s="49"/>
      <c r="Q386" s="49"/>
      <c r="R386" s="49" t="s">
        <v>2275</v>
      </c>
      <c r="S386">
        <f t="shared" si="20"/>
        <v>2</v>
      </c>
      <c r="T386" s="5" cm="1">
        <f t="array" ref="T3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6">
        <f>Table1[[#This Row],[Term to Maturity (Years)]]*Table1[[#This Row],[Coupon Frequency2]]</f>
        <v>2</v>
      </c>
      <c r="V386">
        <f>Table1[[#This Row],[Face value]]*Table1[[#This Row],[Current coupon %]]</f>
        <v>9600</v>
      </c>
      <c r="W386" s="36">
        <f>RATE(Table1[[#This Row],[Total No. of Coupons]],Table1[[#This Row],[Coupon Amount]],-Table1[[#This Row],[Ask Price]],Table1[[#This Row],[Face value]])</f>
        <v>9.0372555724879206E-2</v>
      </c>
      <c r="X386" s="27">
        <f>Table1[[#This Row],[IRR]]*Table1[[#This Row],[Coupon Frequency2]]</f>
        <v>9.0372555724879206E-2</v>
      </c>
      <c r="Y386" s="19" cm="1">
        <f t="array" ref="Y3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6" s="33">
        <f>DURATION(Table1[[#This Row],[Issue date]],Table1[[#This Row],[Maturity date]],Table1[[#This Row],[Current coupon %]],Table1[[#This Row],[Yield (Annualised)]],Table1[[#This Row],[Coupon Frequency2]])</f>
        <v>1.7495498682011381</v>
      </c>
      <c r="AA386" s="33">
        <f>Table1[[#This Row],[Macaulay Duration in Years]]/(1+Table1[[#This Row],[IRR]])</f>
        <v>1.6045431985749479</v>
      </c>
      <c r="AB386" s="58">
        <f>VLOOKUP(Table1[[#This Row],[Yield Cluster]],'Cluster Details'!$B$3:$C$16,2,0)</f>
        <v>7.8548801574189142E-2</v>
      </c>
      <c r="AC386" s="78">
        <f>PRICE(Table1[[#This Row],[Issue date]],Table1[[#This Row],[Maturity date]],Table1[[#This Row],[Current coupon %]],Table1[[#This Row],[Average Cluster Yield]],100,Table1[[#This Row],[Coupon Frequency2]])*Table1[[#This Row],[Face value]]/100</f>
        <v>103121.20692334691</v>
      </c>
      <c r="AD386" s="58" t="str">
        <f>IF(Table1[[#This Row],[Ask Price]]&gt;Table1[[#This Row],[Calculated Bond Price]],"Rich","Cheap")</f>
        <v>Cheap</v>
      </c>
      <c r="AE38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99239.258218238989</v>
      </c>
      <c r="AF38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102787.89995925612</v>
      </c>
      <c r="AG386" s="78">
        <f>(Table1[[#This Row],[P (+ shock)]]+Table1[[#This Row],[P (-shock)]]-2*Table1[[#This Row],[Ask Price]])/(2*Table1[[#This Row],[Ask Price]]*($AF$2^2))</f>
        <v>2.3912491384065211</v>
      </c>
      <c r="AH386">
        <v>10.460478607686699</v>
      </c>
      <c r="AI386" s="6">
        <f t="shared" si="21"/>
        <v>9.5059453251691794E-2</v>
      </c>
      <c r="AK386" s="47">
        <f>RATE(Table1[[#This Row],[Total No. of Coupons]],Table1[[#This Row],[Coupon Amount]],-Table1[[#This Row],[Ask Price]],Table1[[#This Row],[Face value]])</f>
        <v>9.0372555724879206E-2</v>
      </c>
      <c r="AL386" s="27">
        <f>Table1[[#This Row],[IRR]]*Table1[[#This Row],[Coupon Frequency2]]</f>
        <v>9.0372555724879206E-2</v>
      </c>
      <c r="AM386" s="5">
        <f t="shared" si="22"/>
        <v>-162041.90303446079</v>
      </c>
      <c r="AN386" t="s">
        <v>64</v>
      </c>
      <c r="AO386" t="s">
        <v>62</v>
      </c>
      <c r="AP386">
        <f t="shared" si="23"/>
        <v>1</v>
      </c>
    </row>
    <row r="387" spans="1:42" x14ac:dyDescent="0.35">
      <c r="A387" s="48" t="s">
        <v>260</v>
      </c>
      <c r="B387" s="49" t="s">
        <v>2673</v>
      </c>
      <c r="C387" s="49" t="s">
        <v>2273</v>
      </c>
      <c r="D387" s="50">
        <v>45538</v>
      </c>
      <c r="E387" s="50">
        <v>48460</v>
      </c>
      <c r="F387" s="49">
        <v>100000</v>
      </c>
      <c r="G387" s="49" t="s">
        <v>76</v>
      </c>
      <c r="H387" s="49">
        <v>101000</v>
      </c>
      <c r="I387" s="49" t="s">
        <v>76</v>
      </c>
      <c r="J387" s="49">
        <v>101</v>
      </c>
      <c r="K387" s="49">
        <v>1</v>
      </c>
      <c r="L387" s="51">
        <v>9.2499999999999999E-2</v>
      </c>
      <c r="M387" s="49" t="s">
        <v>93</v>
      </c>
      <c r="N387" s="49">
        <v>2543</v>
      </c>
      <c r="O387" s="49">
        <v>9.1584158415841497</v>
      </c>
      <c r="P387" s="49"/>
      <c r="Q387" s="49"/>
      <c r="R387" s="49" t="s">
        <v>2275</v>
      </c>
      <c r="S387">
        <f t="shared" si="20"/>
        <v>8</v>
      </c>
      <c r="T387" s="5" cm="1">
        <f t="array" ref="T3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7">
        <f>Table1[[#This Row],[Term to Maturity (Years)]]*Table1[[#This Row],[Coupon Frequency2]]</f>
        <v>8</v>
      </c>
      <c r="V387">
        <f>Table1[[#This Row],[Face value]]*Table1[[#This Row],[Current coupon %]]</f>
        <v>9250</v>
      </c>
      <c r="W387" s="36">
        <f>RATE(Table1[[#This Row],[Total No. of Coupons]],Table1[[#This Row],[Coupon Amount]],-Table1[[#This Row],[Ask Price]],Table1[[#This Row],[Face value]])</f>
        <v>9.0688629423676073E-2</v>
      </c>
      <c r="X387" s="27">
        <f>Table1[[#This Row],[IRR]]*Table1[[#This Row],[Coupon Frequency2]]</f>
        <v>9.0688629423676073E-2</v>
      </c>
      <c r="Y387" s="19" cm="1">
        <f t="array" ref="Y3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7" s="33">
        <f>DURATION(Table1[[#This Row],[Issue date]],Table1[[#This Row],[Maturity date]],Table1[[#This Row],[Current coupon %]],Table1[[#This Row],[Yield (Annualised)]],Table1[[#This Row],[Coupon Frequency2]])</f>
        <v>6.0018057606352295</v>
      </c>
      <c r="AA387" s="33">
        <f>Table1[[#This Row],[Macaulay Duration in Years]]/(1+Table1[[#This Row],[IRR]])</f>
        <v>5.5027673331541056</v>
      </c>
      <c r="AB387" s="58">
        <f>VLOOKUP(Table1[[#This Row],[Yield Cluster]],'Cluster Details'!$B$3:$C$16,2,0)</f>
        <v>7.8548801574189142E-2</v>
      </c>
      <c r="AC387" s="78">
        <f>PRICE(Table1[[#This Row],[Issue date]],Table1[[#This Row],[Maturity date]],Table1[[#This Row],[Current coupon %]],Table1[[#This Row],[Average Cluster Yield]],100,Table1[[#This Row],[Coupon Frequency2]])*Table1[[#This Row],[Face value]]/100</f>
        <v>108061.59178306826</v>
      </c>
      <c r="AD387" s="58" t="str">
        <f>IF(Table1[[#This Row],[Ask Price]]&gt;Table1[[#This Row],[Calculated Bond Price]],"Rich","Cheap")</f>
        <v>Cheap</v>
      </c>
      <c r="AE38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95642.356775400505</v>
      </c>
      <c r="AF38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106769.86613777281</v>
      </c>
      <c r="AG387" s="78">
        <f>(Table1[[#This Row],[P (+ shock)]]+Table1[[#This Row],[P (-shock)]]-2*Table1[[#This Row],[Ask Price]])/(2*Table1[[#This Row],[Ask Price]]*($AF$2^2))</f>
        <v>20.407074909570216</v>
      </c>
      <c r="AI387" s="6">
        <f t="shared" si="21"/>
        <v>9.1584158415841582E-2</v>
      </c>
      <c r="AK387" s="47">
        <f>RATE(Table1[[#This Row],[Total No. of Coupons]],Table1[[#This Row],[Coupon Amount]],-Table1[[#This Row],[Ask Price]],Table1[[#This Row],[Face value]])</f>
        <v>9.0688629423676073E-2</v>
      </c>
      <c r="AL387" s="27">
        <f>Table1[[#This Row],[IRR]]*Table1[[#This Row],[Coupon Frequency2]]</f>
        <v>9.0688629423676073E-2</v>
      </c>
      <c r="AM387" s="5">
        <f t="shared" si="22"/>
        <v>-555779.50064856466</v>
      </c>
      <c r="AN387" t="s">
        <v>64</v>
      </c>
      <c r="AO387" t="s">
        <v>62</v>
      </c>
      <c r="AP387">
        <f t="shared" si="23"/>
        <v>1</v>
      </c>
    </row>
    <row r="388" spans="1:42" x14ac:dyDescent="0.35">
      <c r="A388" s="48" t="s">
        <v>822</v>
      </c>
      <c r="B388" s="49" t="s">
        <v>2674</v>
      </c>
      <c r="C388" s="49" t="s">
        <v>2273</v>
      </c>
      <c r="D388" s="50">
        <v>43419</v>
      </c>
      <c r="E388" s="50">
        <v>47072</v>
      </c>
      <c r="F388" s="49">
        <v>1000000</v>
      </c>
      <c r="G388" s="49" t="s">
        <v>76</v>
      </c>
      <c r="H388" s="49">
        <v>1039795</v>
      </c>
      <c r="I388" s="49" t="s">
        <v>76</v>
      </c>
      <c r="J388" s="49">
        <v>103.9795</v>
      </c>
      <c r="K388" s="49">
        <v>3</v>
      </c>
      <c r="L388" s="51">
        <v>9.6999999999999989E-2</v>
      </c>
      <c r="M388" s="49" t="s">
        <v>93</v>
      </c>
      <c r="N388" s="49">
        <v>1155</v>
      </c>
      <c r="O388" s="49">
        <v>9.3287619194168006</v>
      </c>
      <c r="P388" s="49"/>
      <c r="Q388" s="49"/>
      <c r="R388" s="49" t="s">
        <v>2275</v>
      </c>
      <c r="S388">
        <f t="shared" ref="S388:S451" si="24">ROUND(YEARFRAC(D388,E388),0)</f>
        <v>10</v>
      </c>
      <c r="T388" s="5" cm="1">
        <f t="array" ref="T3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8">
        <f>Table1[[#This Row],[Term to Maturity (Years)]]*Table1[[#This Row],[Coupon Frequency2]]</f>
        <v>10</v>
      </c>
      <c r="V388">
        <f>Table1[[#This Row],[Face value]]*Table1[[#This Row],[Current coupon %]]</f>
        <v>96999.999999999985</v>
      </c>
      <c r="W388" s="36">
        <f>RATE(Table1[[#This Row],[Total No. of Coupons]],Table1[[#This Row],[Coupon Amount]],-Table1[[#This Row],[Ask Price]],Table1[[#This Row],[Face value]])</f>
        <v>9.0777891662285073E-2</v>
      </c>
      <c r="X388" s="27">
        <f>Table1[[#This Row],[IRR]]*Table1[[#This Row],[Coupon Frequency2]]</f>
        <v>9.0777891662285073E-2</v>
      </c>
      <c r="Y388" s="19" cm="1">
        <f t="array" ref="Y3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8" s="33">
        <f>DURATION(Table1[[#This Row],[Issue date]],Table1[[#This Row],[Maturity date]],Table1[[#This Row],[Current coupon %]],Table1[[#This Row],[Yield (Annualised)]],Table1[[#This Row],[Coupon Frequency2]])</f>
        <v>6.892739041899703</v>
      </c>
      <c r="AA388" s="33">
        <f>Table1[[#This Row],[Macaulay Duration in Years]]/(1+Table1[[#This Row],[IRR]])</f>
        <v>6.3191040949643291</v>
      </c>
      <c r="AB388" s="58">
        <f>VLOOKUP(Table1[[#This Row],[Yield Cluster]],'Cluster Details'!$B$3:$C$16,2,0)</f>
        <v>7.8548801574189142E-2</v>
      </c>
      <c r="AC388" s="78">
        <f>PRICE(Table1[[#This Row],[Issue date]],Table1[[#This Row],[Maturity date]],Table1[[#This Row],[Current coupon %]],Table1[[#This Row],[Average Cluster Yield]],100,Table1[[#This Row],[Coupon Frequency2]])*Table1[[#This Row],[Face value]]/100</f>
        <v>1124623.5564479977</v>
      </c>
      <c r="AD388" s="58" t="str">
        <f>IF(Table1[[#This Row],[Ask Price]]&gt;Table1[[#This Row],[Calculated Bond Price]],"Rich","Cheap")</f>
        <v>Cheap</v>
      </c>
      <c r="AE38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976863.86193489924</v>
      </c>
      <c r="AF38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1108470.7751230327</v>
      </c>
      <c r="AG388" s="78">
        <f>(Table1[[#This Row],[P (+ shock)]]+Table1[[#This Row],[P (-shock)]]-2*Table1[[#This Row],[Ask Price]])/(2*Table1[[#This Row],[Ask Price]]*($AF$2^2))</f>
        <v>27.623892488096661</v>
      </c>
      <c r="AH388">
        <v>3.3811984326278299</v>
      </c>
      <c r="AI388" s="6">
        <f t="shared" ref="AI388:AI451" si="25">(L388*F388)/H388</f>
        <v>9.3287619194168073E-2</v>
      </c>
      <c r="AK388" s="47">
        <f>RATE(Table1[[#This Row],[Total No. of Coupons]],Table1[[#This Row],[Coupon Amount]],-Table1[[#This Row],[Ask Price]],Table1[[#This Row],[Face value]])</f>
        <v>9.0777891662285073E-2</v>
      </c>
      <c r="AL388" s="27">
        <f>Table1[[#This Row],[IRR]]*Table1[[#This Row],[Coupon Frequency2]]</f>
        <v>9.0777891662285073E-2</v>
      </c>
      <c r="AM388" s="5">
        <f t="shared" ref="AM388:AM451" si="26">-AA388*H388</f>
        <v>-6570572.8424234344</v>
      </c>
      <c r="AN388" t="s">
        <v>64</v>
      </c>
      <c r="AO388" t="s">
        <v>62</v>
      </c>
      <c r="AP388">
        <f t="shared" ref="AP388:AP451" si="27">_xlfn.SWITCH(PROPER(TRIM(M388)),
   "Annual",1,
   "Semi-Annual",2,
   "Quarterly",4,
   "Monthly",12,
   "")</f>
        <v>1</v>
      </c>
    </row>
    <row r="389" spans="1:42" x14ac:dyDescent="0.35">
      <c r="A389" s="48" t="s">
        <v>1807</v>
      </c>
      <c r="B389" s="49" t="s">
        <v>2675</v>
      </c>
      <c r="C389" s="49" t="s">
        <v>2273</v>
      </c>
      <c r="D389" s="50">
        <v>45443</v>
      </c>
      <c r="E389" s="50">
        <v>46173</v>
      </c>
      <c r="F389" s="49">
        <v>1000</v>
      </c>
      <c r="G389" s="49" t="s">
        <v>76</v>
      </c>
      <c r="H389" s="49">
        <v>1010</v>
      </c>
      <c r="I389" s="49" t="s">
        <v>76</v>
      </c>
      <c r="J389" s="49">
        <v>101</v>
      </c>
      <c r="K389" s="49">
        <v>20</v>
      </c>
      <c r="L389" s="51">
        <v>9.6500000000000002E-2</v>
      </c>
      <c r="M389" s="49" t="s">
        <v>93</v>
      </c>
      <c r="N389" s="49">
        <v>256</v>
      </c>
      <c r="O389" s="49">
        <v>9.5544554455445496</v>
      </c>
      <c r="P389" s="49" t="s">
        <v>2279</v>
      </c>
      <c r="Q389" s="49"/>
      <c r="R389" s="49" t="s">
        <v>2275</v>
      </c>
      <c r="S389">
        <f t="shared" si="24"/>
        <v>2</v>
      </c>
      <c r="T389" s="5" cm="1">
        <f t="array" ref="T3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89">
        <f>Table1[[#This Row],[Term to Maturity (Years)]]*Table1[[#This Row],[Coupon Frequency2]]</f>
        <v>2</v>
      </c>
      <c r="V389">
        <f>Table1[[#This Row],[Face value]]*Table1[[#This Row],[Current coupon %]]</f>
        <v>96.5</v>
      </c>
      <c r="W389" s="36">
        <f>RATE(Table1[[#This Row],[Total No. of Coupons]],Table1[[#This Row],[Coupon Amount]],-Table1[[#This Row],[Ask Price]],Table1[[#This Row],[Face value]])</f>
        <v>9.0809071798248986E-2</v>
      </c>
      <c r="X389" s="27">
        <f>Table1[[#This Row],[IRR]]*Table1[[#This Row],[Coupon Frequency2]]</f>
        <v>9.0809071798248986E-2</v>
      </c>
      <c r="Y389" s="19" cm="1">
        <f t="array" ref="Y3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89" s="33">
        <f>DURATION(Table1[[#This Row],[Issue date]],Table1[[#This Row],[Maturity date]],Table1[[#This Row],[Current coupon %]],Table1[[#This Row],[Yield (Annualised)]],Table1[[#This Row],[Coupon Frequency2]])</f>
        <v>1.9124094610820059</v>
      </c>
      <c r="AA389" s="33">
        <f>Table1[[#This Row],[Macaulay Duration in Years]]/(1+Table1[[#This Row],[IRR]])</f>
        <v>1.7532027469567253</v>
      </c>
      <c r="AB389" s="58">
        <f>VLOOKUP(Table1[[#This Row],[Yield Cluster]],'Cluster Details'!$B$3:$C$16,2,0)</f>
        <v>7.8548801574189142E-2</v>
      </c>
      <c r="AC389" s="78">
        <f>PRICE(Table1[[#This Row],[Issue date]],Table1[[#This Row],[Maturity date]],Table1[[#This Row],[Current coupon %]],Table1[[#This Row],[Average Cluster Yield]],100,Table1[[#This Row],[Coupon Frequency2]])*Table1[[#This Row],[Face value]]/100</f>
        <v>1032.0755470409078</v>
      </c>
      <c r="AD389" s="58" t="str">
        <f>IF(Table1[[#This Row],[Ask Price]]&gt;Table1[[#This Row],[Calculated Bond Price]],"Rich","Cheap")</f>
        <v>Cheap</v>
      </c>
      <c r="AE38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992.52955771778102</v>
      </c>
      <c r="AF38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1027.9500703408523</v>
      </c>
      <c r="AG389" s="78">
        <f>(Table1[[#This Row],[P (+ shock)]]+Table1[[#This Row],[P (-shock)]]-2*Table1[[#This Row],[Ask Price]])/(2*Table1[[#This Row],[Ask Price]]*($AF$2^2))</f>
        <v>2.3743963298680808</v>
      </c>
      <c r="AH389">
        <v>18.003540935146699</v>
      </c>
      <c r="AI389" s="6">
        <f t="shared" si="25"/>
        <v>9.5544554455445546E-2</v>
      </c>
      <c r="AK389" s="47">
        <f>RATE(Table1[[#This Row],[Total No. of Coupons]],Table1[[#This Row],[Coupon Amount]],-Table1[[#This Row],[Ask Price]],Table1[[#This Row],[Face value]])</f>
        <v>9.0809071798248986E-2</v>
      </c>
      <c r="AL389" s="27">
        <f>Table1[[#This Row],[IRR]]*Table1[[#This Row],[Coupon Frequency2]]</f>
        <v>9.0809071798248986E-2</v>
      </c>
      <c r="AM389" s="5">
        <f t="shared" si="26"/>
        <v>-1770.7347744262925</v>
      </c>
      <c r="AN389" t="s">
        <v>64</v>
      </c>
      <c r="AO389" t="s">
        <v>62</v>
      </c>
      <c r="AP389">
        <f t="shared" si="27"/>
        <v>1</v>
      </c>
    </row>
    <row r="390" spans="1:42" x14ac:dyDescent="0.35">
      <c r="A390" s="48" t="s">
        <v>715</v>
      </c>
      <c r="B390" s="49" t="s">
        <v>2676</v>
      </c>
      <c r="C390" s="49" t="s">
        <v>2273</v>
      </c>
      <c r="D390" s="50">
        <v>45365</v>
      </c>
      <c r="E390" s="50">
        <v>47191</v>
      </c>
      <c r="F390" s="49">
        <v>100000</v>
      </c>
      <c r="G390" s="49" t="s">
        <v>76</v>
      </c>
      <c r="H390" s="49">
        <v>103460</v>
      </c>
      <c r="I390" s="49" t="s">
        <v>76</v>
      </c>
      <c r="J390" s="49">
        <v>103.46</v>
      </c>
      <c r="K390" s="49">
        <v>8</v>
      </c>
      <c r="L390" s="51">
        <v>0.1</v>
      </c>
      <c r="M390" s="49" t="s">
        <v>93</v>
      </c>
      <c r="N390" s="49">
        <v>1274</v>
      </c>
      <c r="O390" s="49">
        <v>9.6655712352599998</v>
      </c>
      <c r="P390" s="49"/>
      <c r="Q390" s="49"/>
      <c r="R390" s="49" t="s">
        <v>2275</v>
      </c>
      <c r="S390">
        <f t="shared" si="24"/>
        <v>5</v>
      </c>
      <c r="T390" s="5" cm="1">
        <f t="array" ref="T3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0">
        <f>Table1[[#This Row],[Term to Maturity (Years)]]*Table1[[#This Row],[Coupon Frequency2]]</f>
        <v>5</v>
      </c>
      <c r="V390">
        <f>Table1[[#This Row],[Face value]]*Table1[[#This Row],[Current coupon %]]</f>
        <v>10000</v>
      </c>
      <c r="W390" s="36">
        <f>RATE(Table1[[#This Row],[Total No. of Coupons]],Table1[[#This Row],[Coupon Amount]],-Table1[[#This Row],[Ask Price]],Table1[[#This Row],[Face value]])</f>
        <v>9.1079667618195123E-2</v>
      </c>
      <c r="X390" s="27">
        <f>Table1[[#This Row],[IRR]]*Table1[[#This Row],[Coupon Frequency2]]</f>
        <v>9.1079667618195123E-2</v>
      </c>
      <c r="Y390" s="19" cm="1">
        <f t="array" ref="Y3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0" s="33">
        <f>DURATION(Table1[[#This Row],[Issue date]],Table1[[#This Row],[Maturity date]],Table1[[#This Row],[Current coupon %]],Table1[[#This Row],[Yield (Annualised)]],Table1[[#This Row],[Coupon Frequency2]])</f>
        <v>4.185042452680455</v>
      </c>
      <c r="AA390" s="33">
        <f>Table1[[#This Row],[Macaulay Duration in Years]]/(1+Table1[[#This Row],[IRR]])</f>
        <v>3.8356891589926869</v>
      </c>
      <c r="AB390" s="58">
        <f>VLOOKUP(Table1[[#This Row],[Yield Cluster]],'Cluster Details'!$B$3:$C$16,2,0)</f>
        <v>7.8548801574189142E-2</v>
      </c>
      <c r="AC390" s="78">
        <f>PRICE(Table1[[#This Row],[Issue date]],Table1[[#This Row],[Maturity date]],Table1[[#This Row],[Current coupon %]],Table1[[#This Row],[Average Cluster Yield]],100,Table1[[#This Row],[Coupon Frequency2]])*Table1[[#This Row],[Face value]]/100</f>
        <v>108597.70068824204</v>
      </c>
      <c r="AD390" s="58" t="str">
        <f>IF(Table1[[#This Row],[Ask Price]]&gt;Table1[[#This Row],[Calculated Bond Price]],"Rich","Cheap")</f>
        <v>Cheap</v>
      </c>
      <c r="AE39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99591.847398640704</v>
      </c>
      <c r="AF39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107532.89223025992</v>
      </c>
      <c r="AG390" s="78">
        <f>(Table1[[#This Row],[P (+ shock)]]+Table1[[#This Row],[P (-shock)]]-2*Table1[[#This Row],[Ask Price]])/(2*Table1[[#This Row],[Ask Price]]*($AF$2^2))</f>
        <v>9.8946273390986033</v>
      </c>
      <c r="AH390">
        <v>6.8679610241078501</v>
      </c>
      <c r="AI390" s="6">
        <f t="shared" si="25"/>
        <v>9.6655712352600037E-2</v>
      </c>
      <c r="AK390" s="47">
        <f>RATE(Table1[[#This Row],[Total No. of Coupons]],Table1[[#This Row],[Coupon Amount]],-Table1[[#This Row],[Ask Price]],Table1[[#This Row],[Face value]])</f>
        <v>9.1079667618195123E-2</v>
      </c>
      <c r="AL390" s="27">
        <f>Table1[[#This Row],[IRR]]*Table1[[#This Row],[Coupon Frequency2]]</f>
        <v>9.1079667618195123E-2</v>
      </c>
      <c r="AM390" s="5">
        <f t="shared" si="26"/>
        <v>-396840.40038938337</v>
      </c>
      <c r="AN390" t="s">
        <v>64</v>
      </c>
      <c r="AO390" t="s">
        <v>62</v>
      </c>
      <c r="AP390">
        <f t="shared" si="27"/>
        <v>1</v>
      </c>
    </row>
    <row r="391" spans="1:42" x14ac:dyDescent="0.35">
      <c r="A391" s="48" t="s">
        <v>810</v>
      </c>
      <c r="B391" s="49" t="s">
        <v>2677</v>
      </c>
      <c r="C391" s="49" t="s">
        <v>2273</v>
      </c>
      <c r="D391" s="50">
        <v>43447</v>
      </c>
      <c r="E391" s="50">
        <v>47095</v>
      </c>
      <c r="F391" s="49">
        <v>1000000</v>
      </c>
      <c r="G391" s="49" t="s">
        <v>76</v>
      </c>
      <c r="H391" s="49">
        <v>1050000</v>
      </c>
      <c r="I391" s="49" t="s">
        <v>76</v>
      </c>
      <c r="J391" s="49">
        <v>105</v>
      </c>
      <c r="K391" s="49">
        <v>1</v>
      </c>
      <c r="L391" s="51">
        <v>9.9000000000000005E-2</v>
      </c>
      <c r="M391" s="49" t="s">
        <v>93</v>
      </c>
      <c r="N391" s="49">
        <v>1178</v>
      </c>
      <c r="O391" s="49">
        <v>9.4285714285714199</v>
      </c>
      <c r="P391" s="49"/>
      <c r="Q391" s="49"/>
      <c r="R391" s="49" t="s">
        <v>2275</v>
      </c>
      <c r="S391">
        <f t="shared" si="24"/>
        <v>10</v>
      </c>
      <c r="T391" s="5" cm="1">
        <f t="array" ref="T3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1">
        <f>Table1[[#This Row],[Term to Maturity (Years)]]*Table1[[#This Row],[Coupon Frequency2]]</f>
        <v>10</v>
      </c>
      <c r="V391">
        <f>Table1[[#This Row],[Face value]]*Table1[[#This Row],[Current coupon %]]</f>
        <v>99000</v>
      </c>
      <c r="W391" s="36">
        <f>RATE(Table1[[#This Row],[Total No. of Coupons]],Table1[[#This Row],[Coupon Amount]],-Table1[[#This Row],[Ask Price]],Table1[[#This Row],[Face value]])</f>
        <v>9.1168865573740779E-2</v>
      </c>
      <c r="X391" s="27">
        <f>Table1[[#This Row],[IRR]]*Table1[[#This Row],[Coupon Frequency2]]</f>
        <v>9.1168865573740779E-2</v>
      </c>
      <c r="Y391" s="19" cm="1">
        <f t="array" ref="Y3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1" s="33">
        <f>DURATION(Table1[[#This Row],[Issue date]],Table1[[#This Row],[Maturity date]],Table1[[#This Row],[Current coupon %]],Table1[[#This Row],[Yield (Annualised)]],Table1[[#This Row],[Coupon Frequency2]])</f>
        <v>6.849278646300232</v>
      </c>
      <c r="AA391" s="33">
        <f>Table1[[#This Row],[Macaulay Duration in Years]]/(1+Table1[[#This Row],[IRR]])</f>
        <v>6.2770107014544028</v>
      </c>
      <c r="AB391" s="58">
        <f>VLOOKUP(Table1[[#This Row],[Yield Cluster]],'Cluster Details'!$B$3:$C$16,2,0)</f>
        <v>7.8548801574189142E-2</v>
      </c>
      <c r="AC391" s="78">
        <f>PRICE(Table1[[#This Row],[Issue date]],Table1[[#This Row],[Maturity date]],Table1[[#This Row],[Current coupon %]],Table1[[#This Row],[Average Cluster Yield]],100,Table1[[#This Row],[Coupon Frequency2]])*Table1[[#This Row],[Face value]]/100</f>
        <v>1137952.933909616</v>
      </c>
      <c r="AD391" s="58" t="str">
        <f>IF(Table1[[#This Row],[Ask Price]]&gt;Table1[[#This Row],[Calculated Bond Price]],"Rich","Cheap")</f>
        <v>Cheap</v>
      </c>
      <c r="AE39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986686.55416858871</v>
      </c>
      <c r="AF39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1118858.7109126742</v>
      </c>
      <c r="AG391" s="78">
        <f>(Table1[[#This Row],[P (+ shock)]]+Table1[[#This Row],[P (-shock)]]-2*Table1[[#This Row],[Ask Price]])/(2*Table1[[#This Row],[Ask Price]]*($AF$2^2))</f>
        <v>26.406024196491177</v>
      </c>
      <c r="AH391">
        <v>8.4521835268103906</v>
      </c>
      <c r="AI391" s="6">
        <f t="shared" si="25"/>
        <v>9.4285714285714292E-2</v>
      </c>
      <c r="AK391" s="47">
        <f>RATE(Table1[[#This Row],[Total No. of Coupons]],Table1[[#This Row],[Coupon Amount]],-Table1[[#This Row],[Ask Price]],Table1[[#This Row],[Face value]])</f>
        <v>9.1168865573740779E-2</v>
      </c>
      <c r="AL391" s="27">
        <f>Table1[[#This Row],[IRR]]*Table1[[#This Row],[Coupon Frequency2]]</f>
        <v>9.1168865573740779E-2</v>
      </c>
      <c r="AM391" s="5">
        <f t="shared" si="26"/>
        <v>-6590861.2365271226</v>
      </c>
      <c r="AN391" t="s">
        <v>64</v>
      </c>
      <c r="AO391" t="s">
        <v>62</v>
      </c>
      <c r="AP391">
        <f t="shared" si="27"/>
        <v>1</v>
      </c>
    </row>
    <row r="392" spans="1:42" x14ac:dyDescent="0.35">
      <c r="A392" s="48" t="s">
        <v>555</v>
      </c>
      <c r="B392" s="49" t="s">
        <v>2678</v>
      </c>
      <c r="C392" s="49" t="s">
        <v>2273</v>
      </c>
      <c r="D392" s="50">
        <v>45652</v>
      </c>
      <c r="E392" s="50">
        <v>47478</v>
      </c>
      <c r="F392" s="49">
        <v>1000</v>
      </c>
      <c r="G392" s="49" t="s">
        <v>76</v>
      </c>
      <c r="H392" s="49">
        <v>1004</v>
      </c>
      <c r="I392" s="49" t="s">
        <v>76</v>
      </c>
      <c r="J392" s="49">
        <v>100.4</v>
      </c>
      <c r="K392" s="49">
        <v>52</v>
      </c>
      <c r="L392" s="51">
        <v>9.2499999999999999E-2</v>
      </c>
      <c r="M392" s="49" t="s">
        <v>93</v>
      </c>
      <c r="N392" s="49">
        <v>1561</v>
      </c>
      <c r="O392" s="49">
        <v>9.2131474103585607</v>
      </c>
      <c r="P392" s="49"/>
      <c r="Q392" s="49"/>
      <c r="R392" s="49" t="s">
        <v>2275</v>
      </c>
      <c r="S392">
        <f t="shared" si="24"/>
        <v>5</v>
      </c>
      <c r="T392" s="5" cm="1">
        <f t="array" ref="T3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2">
        <f>Table1[[#This Row],[Term to Maturity (Years)]]*Table1[[#This Row],[Coupon Frequency2]]</f>
        <v>5</v>
      </c>
      <c r="V392">
        <f>Table1[[#This Row],[Face value]]*Table1[[#This Row],[Current coupon %]]</f>
        <v>92.5</v>
      </c>
      <c r="W392" s="36">
        <f>RATE(Table1[[#This Row],[Total No. of Coupons]],Table1[[#This Row],[Coupon Amount]],-Table1[[#This Row],[Ask Price]],Table1[[#This Row],[Face value]])</f>
        <v>9.1467710927811613E-2</v>
      </c>
      <c r="X392" s="27">
        <f>Table1[[#This Row],[IRR]]*Table1[[#This Row],[Coupon Frequency2]]</f>
        <v>9.1467710927811613E-2</v>
      </c>
      <c r="Y392" s="19" cm="1">
        <f t="array" ref="Y3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2" s="33">
        <f>DURATION(Table1[[#This Row],[Issue date]],Table1[[#This Row],[Maturity date]],Table1[[#This Row],[Current coupon %]],Table1[[#This Row],[Yield (Annualised)]],Table1[[#This Row],[Coupon Frequency2]])</f>
        <v>4.2237175937115161</v>
      </c>
      <c r="AA392" s="33">
        <f>Table1[[#This Row],[Macaulay Duration in Years]]/(1+Table1[[#This Row],[IRR]])</f>
        <v>3.8697595461812679</v>
      </c>
      <c r="AB392" s="58">
        <f>VLOOKUP(Table1[[#This Row],[Yield Cluster]],'Cluster Details'!$B$3:$C$16,2,0)</f>
        <v>7.8548801574189142E-2</v>
      </c>
      <c r="AC392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1055.9167958481376</v>
      </c>
      <c r="AD392" s="58" t="str">
        <f>IF(Table1[[#This Row],[Ask Price]]&gt;Table1[[#This Row],[Calculated Bond Price]],"Rich","Cheap")</f>
        <v>Cheap</v>
      </c>
      <c r="AE39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966.13240038619244</v>
      </c>
      <c r="AF39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1043.8788609189357</v>
      </c>
      <c r="AG392" s="78">
        <f>(Table1[[#This Row],[P (+ shock)]]+Table1[[#This Row],[P (-shock)]]-2*Table1[[#This Row],[Ask Price]])/(2*Table1[[#This Row],[Ask Price]]*($AF$2^2))</f>
        <v>10.016241559403888</v>
      </c>
      <c r="AH392">
        <v>10.779910129189201</v>
      </c>
      <c r="AI392" s="6">
        <f t="shared" si="25"/>
        <v>9.2131474103585659E-2</v>
      </c>
      <c r="AK392" s="47">
        <f>RATE(Table1[[#This Row],[Total No. of Coupons]],Table1[[#This Row],[Coupon Amount]],-Table1[[#This Row],[Ask Price]],Table1[[#This Row],[Face value]])</f>
        <v>9.1467710927811613E-2</v>
      </c>
      <c r="AL392" s="27">
        <f>Table1[[#This Row],[IRR]]*Table1[[#This Row],[Coupon Frequency2]]</f>
        <v>9.1467710927811613E-2</v>
      </c>
      <c r="AM392" s="5">
        <f t="shared" si="26"/>
        <v>-3885.2385843659931</v>
      </c>
      <c r="AN392" t="s">
        <v>64</v>
      </c>
      <c r="AO392" t="s">
        <v>62</v>
      </c>
      <c r="AP392">
        <f t="shared" si="27"/>
        <v>1</v>
      </c>
    </row>
    <row r="393" spans="1:42" x14ac:dyDescent="0.35">
      <c r="A393" s="48" t="s">
        <v>806</v>
      </c>
      <c r="B393" s="49" t="s">
        <v>2679</v>
      </c>
      <c r="C393" s="49" t="s">
        <v>2273</v>
      </c>
      <c r="D393" s="50">
        <v>43447</v>
      </c>
      <c r="E393" s="50">
        <v>47100</v>
      </c>
      <c r="F393" s="49">
        <v>1000</v>
      </c>
      <c r="G393" s="49" t="s">
        <v>76</v>
      </c>
      <c r="H393" s="49">
        <v>1070</v>
      </c>
      <c r="I393" s="49" t="s">
        <v>76</v>
      </c>
      <c r="J393" s="49">
        <v>107</v>
      </c>
      <c r="K393" s="49">
        <v>15</v>
      </c>
      <c r="L393" s="51">
        <v>0.10249999999999999</v>
      </c>
      <c r="M393" s="49" t="s">
        <v>93</v>
      </c>
      <c r="N393" s="49">
        <v>1183</v>
      </c>
      <c r="O393" s="49">
        <v>9.5794392523364493</v>
      </c>
      <c r="P393" s="49"/>
      <c r="Q393" s="49"/>
      <c r="R393" s="49" t="s">
        <v>2275</v>
      </c>
      <c r="S393">
        <f t="shared" si="24"/>
        <v>10</v>
      </c>
      <c r="T393" s="5" cm="1">
        <f t="array" ref="T3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3">
        <f>Table1[[#This Row],[Term to Maturity (Years)]]*Table1[[#This Row],[Coupon Frequency2]]</f>
        <v>10</v>
      </c>
      <c r="V393">
        <f>Table1[[#This Row],[Face value]]*Table1[[#This Row],[Current coupon %]]</f>
        <v>102.5</v>
      </c>
      <c r="W393" s="36">
        <f>RATE(Table1[[#This Row],[Total No. of Coupons]],Table1[[#This Row],[Coupon Amount]],-Table1[[#This Row],[Ask Price]],Table1[[#This Row],[Face value]])</f>
        <v>9.1519531860102518E-2</v>
      </c>
      <c r="X393" s="27">
        <f>Table1[[#This Row],[IRR]]*Table1[[#This Row],[Coupon Frequency2]]</f>
        <v>9.1519531860102518E-2</v>
      </c>
      <c r="Y393" s="19" cm="1">
        <f t="array" ref="Y3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3" s="33">
        <f>DURATION(Table1[[#This Row],[Issue date]],Table1[[#This Row],[Maturity date]],Table1[[#This Row],[Current coupon %]],Table1[[#This Row],[Yield (Annualised)]],Table1[[#This Row],[Coupon Frequency2]])</f>
        <v>6.8163157605164084</v>
      </c>
      <c r="AA393" s="33">
        <f>Table1[[#This Row],[Macaulay Duration in Years]]/(1+Table1[[#This Row],[IRR]])</f>
        <v>6.2447950417345712</v>
      </c>
      <c r="AB393" s="58">
        <f>VLOOKUP(Table1[[#This Row],[Yield Cluster]],'Cluster Details'!$B$3:$C$16,2,0)</f>
        <v>7.8548801574189142E-2</v>
      </c>
      <c r="AC393" s="78">
        <f>PRICE(Table1[[#This Row],[Issue date]],Table1[[#This Row],[Maturity date]],Table1[[#This Row],[Current coupon %]],Table1[[#This Row],[Average Cluster Yield]],100,Table1[[#This Row],[Coupon Frequency2]])*Table1[[#This Row],[Face value]]/100</f>
        <v>1161.7717971555044</v>
      </c>
      <c r="AD393" s="58" t="str">
        <f>IF(Table1[[#This Row],[Ask Price]]&gt;Table1[[#This Row],[Calculated Bond Price]],"Rich","Cheap")</f>
        <v>Cheap</v>
      </c>
      <c r="AE39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1005.9854256986705</v>
      </c>
      <c r="AF39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1139.8208439004434</v>
      </c>
      <c r="AG393" s="78">
        <f>(Table1[[#This Row],[P (+ shock)]]+Table1[[#This Row],[P (-shock)]]-2*Table1[[#This Row],[Ask Price]])/(2*Table1[[#This Row],[Ask Price]]*($AF$2^2))</f>
        <v>27.132100930438668</v>
      </c>
      <c r="AH393">
        <v>5.0672785253169401</v>
      </c>
      <c r="AI393" s="6">
        <f t="shared" si="25"/>
        <v>9.5794392523364483E-2</v>
      </c>
      <c r="AK393" s="47">
        <f>RATE(Table1[[#This Row],[Total No. of Coupons]],Table1[[#This Row],[Coupon Amount]],-Table1[[#This Row],[Ask Price]],Table1[[#This Row],[Face value]])</f>
        <v>9.1519531860102518E-2</v>
      </c>
      <c r="AL393" s="27">
        <f>Table1[[#This Row],[IRR]]*Table1[[#This Row],[Coupon Frequency2]]</f>
        <v>9.1519531860102518E-2</v>
      </c>
      <c r="AM393" s="5">
        <f t="shared" si="26"/>
        <v>-6681.9306946559909</v>
      </c>
      <c r="AN393" t="s">
        <v>64</v>
      </c>
      <c r="AO393" t="s">
        <v>62</v>
      </c>
      <c r="AP393">
        <f t="shared" si="27"/>
        <v>1</v>
      </c>
    </row>
    <row r="394" spans="1:42" x14ac:dyDescent="0.35">
      <c r="A394" s="48" t="s">
        <v>1362</v>
      </c>
      <c r="B394" s="49" t="s">
        <v>2680</v>
      </c>
      <c r="C394" s="49" t="s">
        <v>2273</v>
      </c>
      <c r="D394" s="50">
        <v>45365</v>
      </c>
      <c r="E394" s="50">
        <v>46461</v>
      </c>
      <c r="F394" s="49">
        <v>100000</v>
      </c>
      <c r="G394" s="49" t="s">
        <v>76</v>
      </c>
      <c r="H394" s="49">
        <v>102000</v>
      </c>
      <c r="I394" s="49" t="s">
        <v>76</v>
      </c>
      <c r="J394" s="49">
        <v>102</v>
      </c>
      <c r="K394" s="49">
        <v>1</v>
      </c>
      <c r="L394" s="51">
        <v>9.9499999999999991E-2</v>
      </c>
      <c r="M394" s="49" t="s">
        <v>93</v>
      </c>
      <c r="N394" s="49">
        <v>544</v>
      </c>
      <c r="O394" s="49">
        <v>9.7549019607843093</v>
      </c>
      <c r="P394" s="49"/>
      <c r="Q394" s="49"/>
      <c r="R394" s="49" t="s">
        <v>2275</v>
      </c>
      <c r="S394">
        <f t="shared" si="24"/>
        <v>3</v>
      </c>
      <c r="T394" s="5" cm="1">
        <f t="array" ref="T3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4">
        <f>Table1[[#This Row],[Term to Maturity (Years)]]*Table1[[#This Row],[Coupon Frequency2]]</f>
        <v>3</v>
      </c>
      <c r="V394">
        <f>Table1[[#This Row],[Face value]]*Table1[[#This Row],[Current coupon %]]</f>
        <v>9950</v>
      </c>
      <c r="W394" s="36">
        <f>RATE(Table1[[#This Row],[Total No. of Coupons]],Table1[[#This Row],[Coupon Amount]],-Table1[[#This Row],[Ask Price]],Table1[[#This Row],[Face value]])</f>
        <v>9.1576693034972761E-2</v>
      </c>
      <c r="X394" s="27">
        <f>Table1[[#This Row],[IRR]]*Table1[[#This Row],[Coupon Frequency2]]</f>
        <v>9.1576693034972761E-2</v>
      </c>
      <c r="Y394" s="19" cm="1">
        <f t="array" ref="Y3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4" s="33">
        <f>DURATION(Table1[[#This Row],[Issue date]],Table1[[#This Row],[Maturity date]],Table1[[#This Row],[Current coupon %]],Table1[[#This Row],[Yield (Annualised)]],Table1[[#This Row],[Coupon Frequency2]])</f>
        <v>2.4987040806711307</v>
      </c>
      <c r="AA394" s="33">
        <f>Table1[[#This Row],[Macaulay Duration in Years]]/(1+Table1[[#This Row],[IRR]])</f>
        <v>2.2890778967841841</v>
      </c>
      <c r="AB394" s="58">
        <f>VLOOKUP(Table1[[#This Row],[Yield Cluster]],'Cluster Details'!$B$3:$C$16,2,0)</f>
        <v>7.8548801574189142E-2</v>
      </c>
      <c r="AC39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105416.90648225497</v>
      </c>
      <c r="AD394" s="58" t="str">
        <f>IF(Table1[[#This Row],[Ask Price]]&gt;Table1[[#This Row],[Calculated Bond Price]],"Rich","Cheap")</f>
        <v>Cheap</v>
      </c>
      <c r="AE39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99483.22181084672</v>
      </c>
      <c r="AF39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104608.58812380731</v>
      </c>
      <c r="AG394" s="78">
        <f>(Table1[[#This Row],[P (+ shock)]]+Table1[[#This Row],[P (-shock)]]-2*Table1[[#This Row],[Ask Price]])/(2*Table1[[#This Row],[Ask Price]]*($AF$2^2))</f>
        <v>4.5004869928451106</v>
      </c>
      <c r="AH394">
        <v>8.1938866370628993</v>
      </c>
      <c r="AI394" s="6">
        <f t="shared" si="25"/>
        <v>9.7549019607843138E-2</v>
      </c>
      <c r="AK394" s="47">
        <f>RATE(Table1[[#This Row],[Total No. of Coupons]],Table1[[#This Row],[Coupon Amount]],-Table1[[#This Row],[Ask Price]],Table1[[#This Row],[Face value]])</f>
        <v>9.1576693034972761E-2</v>
      </c>
      <c r="AL394" s="27">
        <f>Table1[[#This Row],[IRR]]*Table1[[#This Row],[Coupon Frequency2]]</f>
        <v>9.1576693034972761E-2</v>
      </c>
      <c r="AM394" s="5">
        <f t="shared" si="26"/>
        <v>-233485.94547198678</v>
      </c>
      <c r="AN394" t="s">
        <v>64</v>
      </c>
      <c r="AO394" t="s">
        <v>62</v>
      </c>
      <c r="AP394">
        <f t="shared" si="27"/>
        <v>1</v>
      </c>
    </row>
    <row r="395" spans="1:42" x14ac:dyDescent="0.35">
      <c r="A395" s="48" t="s">
        <v>1250</v>
      </c>
      <c r="B395" s="49" t="s">
        <v>2681</v>
      </c>
      <c r="C395" s="49" t="s">
        <v>2273</v>
      </c>
      <c r="D395" s="50">
        <v>45455</v>
      </c>
      <c r="E395" s="50">
        <v>46550</v>
      </c>
      <c r="F395" s="49">
        <v>1000</v>
      </c>
      <c r="G395" s="49" t="s">
        <v>76</v>
      </c>
      <c r="H395" s="49">
        <v>1009.8</v>
      </c>
      <c r="I395" s="49" t="s">
        <v>76</v>
      </c>
      <c r="J395" s="49">
        <v>100.98</v>
      </c>
      <c r="K395" s="49">
        <v>10</v>
      </c>
      <c r="L395" s="51">
        <v>9.5500000000000002E-2</v>
      </c>
      <c r="M395" s="49" t="s">
        <v>93</v>
      </c>
      <c r="N395" s="49">
        <v>633</v>
      </c>
      <c r="O395" s="49">
        <v>9.4573182808476908</v>
      </c>
      <c r="P395" s="49"/>
      <c r="Q395" s="49"/>
      <c r="R395" s="49" t="s">
        <v>2275</v>
      </c>
      <c r="S395">
        <f t="shared" si="24"/>
        <v>3</v>
      </c>
      <c r="T395" s="5" cm="1">
        <f t="array" ref="T3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5">
        <f>Table1[[#This Row],[Term to Maturity (Years)]]*Table1[[#This Row],[Coupon Frequency2]]</f>
        <v>3</v>
      </c>
      <c r="V395">
        <f>Table1[[#This Row],[Face value]]*Table1[[#This Row],[Current coupon %]]</f>
        <v>95.5</v>
      </c>
      <c r="W395" s="36">
        <f>RATE(Table1[[#This Row],[Total No. of Coupons]],Table1[[#This Row],[Coupon Amount]],-Table1[[#This Row],[Ask Price]],Table1[[#This Row],[Face value]])</f>
        <v>9.1617299161498633E-2</v>
      </c>
      <c r="X395" s="27">
        <f>Table1[[#This Row],[IRR]]*Table1[[#This Row],[Coupon Frequency2]]</f>
        <v>9.1617299161498633E-2</v>
      </c>
      <c r="Y395" s="19" cm="1">
        <f t="array" ref="Y3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5" s="33">
        <f>DURATION(Table1[[#This Row],[Issue date]],Table1[[#This Row],[Maturity date]],Table1[[#This Row],[Current coupon %]],Table1[[#This Row],[Yield (Annualised)]],Table1[[#This Row],[Coupon Frequency2]])</f>
        <v>2.747363653113188</v>
      </c>
      <c r="AA395" s="33">
        <f>Table1[[#This Row],[Macaulay Duration in Years]]/(1+Table1[[#This Row],[IRR]])</f>
        <v>2.5167828095281322</v>
      </c>
      <c r="AB395" s="58">
        <f>VLOOKUP(Table1[[#This Row],[Yield Cluster]],'Cluster Details'!$B$3:$C$16,2,0)</f>
        <v>7.8548801574189142E-2</v>
      </c>
      <c r="AC395" s="78">
        <f>PRICE(Table1[[#This Row],[Issue date]],Table1[[#This Row],[Maturity date]],Table1[[#This Row],[Current coupon %]],Table1[[#This Row],[Average Cluster Yield]],100,Table1[[#This Row],[Coupon Frequency2]])*Table1[[#This Row],[Face value]]/100</f>
        <v>1043.7995259374036</v>
      </c>
      <c r="AD395" s="58" t="str">
        <f>IF(Table1[[#This Row],[Ask Price]]&gt;Table1[[#This Row],[Calculated Bond Price]],"Rich","Cheap")</f>
        <v>Cheap</v>
      </c>
      <c r="AE39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984.83039311467655</v>
      </c>
      <c r="AF39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1035.6729169944424</v>
      </c>
      <c r="AG395" s="78">
        <f>(Table1[[#This Row],[P (+ shock)]]+Table1[[#This Row],[P (-shock)]]-2*Table1[[#This Row],[Ask Price]])/(2*Table1[[#This Row],[Ask Price]]*($AF$2^2))</f>
        <v>4.4727179100764873</v>
      </c>
      <c r="AH395">
        <v>3.5210669384981301</v>
      </c>
      <c r="AI395" s="6">
        <f t="shared" si="25"/>
        <v>9.457318280847693E-2</v>
      </c>
      <c r="AK395" s="47">
        <f>RATE(Table1[[#This Row],[Total No. of Coupons]],Table1[[#This Row],[Coupon Amount]],-Table1[[#This Row],[Ask Price]],Table1[[#This Row],[Face value]])</f>
        <v>9.1617299161498633E-2</v>
      </c>
      <c r="AL395" s="27">
        <f>Table1[[#This Row],[IRR]]*Table1[[#This Row],[Coupon Frequency2]]</f>
        <v>9.1617299161498633E-2</v>
      </c>
      <c r="AM395" s="5">
        <f t="shared" si="26"/>
        <v>-2541.447281061508</v>
      </c>
      <c r="AN395" t="s">
        <v>64</v>
      </c>
      <c r="AO395" t="s">
        <v>62</v>
      </c>
      <c r="AP395">
        <f t="shared" si="27"/>
        <v>1</v>
      </c>
    </row>
    <row r="396" spans="1:42" x14ac:dyDescent="0.35">
      <c r="A396" s="48" t="s">
        <v>1028</v>
      </c>
      <c r="B396" s="49" t="s">
        <v>2682</v>
      </c>
      <c r="C396" s="49" t="s">
        <v>2273</v>
      </c>
      <c r="D396" s="50">
        <v>43154</v>
      </c>
      <c r="E396" s="50">
        <v>46806</v>
      </c>
      <c r="F396" s="49">
        <v>1000000</v>
      </c>
      <c r="G396" s="49" t="s">
        <v>76</v>
      </c>
      <c r="H396" s="49">
        <v>951694.7</v>
      </c>
      <c r="I396" s="49" t="s">
        <v>76</v>
      </c>
      <c r="J396" s="49">
        <v>95.169470000000004</v>
      </c>
      <c r="K396" s="49">
        <v>2</v>
      </c>
      <c r="L396" s="51">
        <v>8.43E-2</v>
      </c>
      <c r="M396" s="49" t="s">
        <v>93</v>
      </c>
      <c r="N396" s="49">
        <v>889</v>
      </c>
      <c r="O396" s="49">
        <v>8.8578826802334802</v>
      </c>
      <c r="P396" s="49" t="s">
        <v>2279</v>
      </c>
      <c r="Q396" s="49"/>
      <c r="R396" s="49" t="s">
        <v>2275</v>
      </c>
      <c r="S396">
        <f t="shared" si="24"/>
        <v>10</v>
      </c>
      <c r="T396" s="5" cm="1">
        <f t="array" ref="T3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6">
        <f>Table1[[#This Row],[Term to Maturity (Years)]]*Table1[[#This Row],[Coupon Frequency2]]</f>
        <v>10</v>
      </c>
      <c r="V396">
        <f>Table1[[#This Row],[Face value]]*Table1[[#This Row],[Current coupon %]]</f>
        <v>84300</v>
      </c>
      <c r="W396" s="36">
        <f>RATE(Table1[[#This Row],[Total No. of Coupons]],Table1[[#This Row],[Coupon Amount]],-Table1[[#This Row],[Ask Price]],Table1[[#This Row],[Face value]])</f>
        <v>9.1889657892577845E-2</v>
      </c>
      <c r="X396" s="27">
        <f>Table1[[#This Row],[IRR]]*Table1[[#This Row],[Coupon Frequency2]]</f>
        <v>9.1889657892577845E-2</v>
      </c>
      <c r="Y396" s="19" cm="1">
        <f t="array" ref="Y3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6" s="33">
        <f>DURATION(Table1[[#This Row],[Issue date]],Table1[[#This Row],[Maturity date]],Table1[[#This Row],[Current coupon %]],Table1[[#This Row],[Yield (Annualised)]],Table1[[#This Row],[Coupon Frequency2]])</f>
        <v>7.0593767687123394</v>
      </c>
      <c r="AA396" s="33">
        <f>Table1[[#This Row],[Macaulay Duration in Years]]/(1+Table1[[#This Row],[IRR]])</f>
        <v>6.4652840309316808</v>
      </c>
      <c r="AB396" s="58">
        <f>VLOOKUP(Table1[[#This Row],[Yield Cluster]],'Cluster Details'!$B$3:$C$16,2,0)</f>
        <v>7.8548801574189142E-2</v>
      </c>
      <c r="AC396" s="78">
        <f>PRICE(Table1[[#This Row],[Issue date]],Table1[[#This Row],[Maturity date]],Table1[[#This Row],[Current coupon %]],Table1[[#This Row],[Average Cluster Yield]],100,Table1[[#This Row],[Coupon Frequency2]])*Table1[[#This Row],[Face value]]/100</f>
        <v>1038844.891541574</v>
      </c>
      <c r="AD396" s="58" t="str">
        <f>IF(Table1[[#This Row],[Ask Price]]&gt;Table1[[#This Row],[Calculated Bond Price]],"Rich","Cheap")</f>
        <v>Cheap</v>
      </c>
      <c r="AE39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892790.99515280989</v>
      </c>
      <c r="AF39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1016036.6414798861</v>
      </c>
      <c r="AG396" s="78">
        <f>(Table1[[#This Row],[P (+ shock)]]+Table1[[#This Row],[P (-shock)]]-2*Table1[[#This Row],[Ask Price]])/(2*Table1[[#This Row],[Ask Price]]*($AF$2^2))</f>
        <v>28.571329821927765</v>
      </c>
      <c r="AH396">
        <v>8.0197132616487394</v>
      </c>
      <c r="AI396" s="6">
        <f t="shared" si="25"/>
        <v>8.8578826802334823E-2</v>
      </c>
      <c r="AK396" s="47">
        <f>RATE(Table1[[#This Row],[Total No. of Coupons]],Table1[[#This Row],[Coupon Amount]],-Table1[[#This Row],[Ask Price]],Table1[[#This Row],[Face value]])</f>
        <v>9.1889657892577845E-2</v>
      </c>
      <c r="AL396" s="27">
        <f>Table1[[#This Row],[IRR]]*Table1[[#This Row],[Coupon Frequency2]]</f>
        <v>9.1889657892577845E-2</v>
      </c>
      <c r="AM396" s="5">
        <f t="shared" si="26"/>
        <v>-6152976.5462323166</v>
      </c>
      <c r="AN396" t="s">
        <v>64</v>
      </c>
      <c r="AO396" t="s">
        <v>62</v>
      </c>
      <c r="AP396">
        <f t="shared" si="27"/>
        <v>1</v>
      </c>
    </row>
    <row r="397" spans="1:42" x14ac:dyDescent="0.35">
      <c r="A397" s="48" t="s">
        <v>990</v>
      </c>
      <c r="B397" s="49" t="s">
        <v>2683</v>
      </c>
      <c r="C397" s="49" t="s">
        <v>2273</v>
      </c>
      <c r="D397" s="50">
        <v>45750</v>
      </c>
      <c r="E397" s="50">
        <v>46846</v>
      </c>
      <c r="F397" s="49">
        <v>1000</v>
      </c>
      <c r="G397" s="49" t="s">
        <v>76</v>
      </c>
      <c r="H397" s="49">
        <v>1020.4</v>
      </c>
      <c r="I397" s="49" t="s">
        <v>76</v>
      </c>
      <c r="J397" s="49">
        <v>102.039999999999</v>
      </c>
      <c r="K397" s="49">
        <v>100</v>
      </c>
      <c r="L397" s="51">
        <v>0.1</v>
      </c>
      <c r="M397" s="49" t="s">
        <v>93</v>
      </c>
      <c r="N397" s="49">
        <v>929</v>
      </c>
      <c r="O397" s="49">
        <v>9.8000784006271999</v>
      </c>
      <c r="P397" s="49"/>
      <c r="Q397" s="49"/>
      <c r="R397" s="49" t="s">
        <v>2275</v>
      </c>
      <c r="S397">
        <f t="shared" si="24"/>
        <v>3</v>
      </c>
      <c r="T397" s="5" cm="1">
        <f t="array" ref="T3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7">
        <f>Table1[[#This Row],[Term to Maturity (Years)]]*Table1[[#This Row],[Coupon Frequency2]]</f>
        <v>3</v>
      </c>
      <c r="V397">
        <f>Table1[[#This Row],[Face value]]*Table1[[#This Row],[Current coupon %]]</f>
        <v>100</v>
      </c>
      <c r="W397" s="36">
        <f>RATE(Table1[[#This Row],[Total No. of Coupons]],Table1[[#This Row],[Coupon Amount]],-Table1[[#This Row],[Ask Price]],Table1[[#This Row],[Face value]])</f>
        <v>9.1913386287083385E-2</v>
      </c>
      <c r="X397" s="27">
        <f>Table1[[#This Row],[IRR]]*Table1[[#This Row],[Coupon Frequency2]]</f>
        <v>9.1913386287083385E-2</v>
      </c>
      <c r="Y397" s="19" cm="1">
        <f t="array" ref="Y3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7" s="33">
        <f>DURATION(Table1[[#This Row],[Issue date]],Table1[[#This Row],[Maturity date]],Table1[[#This Row],[Current coupon %]],Table1[[#This Row],[Yield (Annualised)]],Table1[[#This Row],[Coupon Frequency2]])</f>
        <v>2.7383006765224467</v>
      </c>
      <c r="AA397" s="33">
        <f>Table1[[#This Row],[Macaulay Duration in Years]]/(1+Table1[[#This Row],[IRR]])</f>
        <v>2.5078002622842641</v>
      </c>
      <c r="AB397" s="58">
        <f>VLOOKUP(Table1[[#This Row],[Yield Cluster]],'Cluster Details'!$B$3:$C$16,2,0)</f>
        <v>7.8548801574189142E-2</v>
      </c>
      <c r="AC397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1055.4268965673293</v>
      </c>
      <c r="AD397" s="58" t="str">
        <f>IF(Table1[[#This Row],[Ask Price]]&gt;Table1[[#This Row],[Calculated Bond Price]],"Rich","Cheap")</f>
        <v>Cheap</v>
      </c>
      <c r="AE39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995.25767439619301</v>
      </c>
      <c r="AF39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1046.4505011755091</v>
      </c>
      <c r="AG397" s="78">
        <f>(Table1[[#This Row],[P (+ shock)]]+Table1[[#This Row],[P (-shock)]]-2*Table1[[#This Row],[Ask Price]])/(2*Table1[[#This Row],[Ask Price]]*($AF$2^2))</f>
        <v>4.4500959021082851</v>
      </c>
      <c r="AH397">
        <v>11.5313285440972</v>
      </c>
      <c r="AI397" s="6">
        <f t="shared" si="25"/>
        <v>9.8000784006272046E-2</v>
      </c>
      <c r="AK397" s="47">
        <f>RATE(Table1[[#This Row],[Total No. of Coupons]],Table1[[#This Row],[Coupon Amount]],-Table1[[#This Row],[Ask Price]],Table1[[#This Row],[Face value]])</f>
        <v>9.1913386287083385E-2</v>
      </c>
      <c r="AL397" s="27">
        <f>Table1[[#This Row],[IRR]]*Table1[[#This Row],[Coupon Frequency2]]</f>
        <v>9.1913386287083385E-2</v>
      </c>
      <c r="AM397" s="5">
        <f t="shared" si="26"/>
        <v>-2558.9593876348631</v>
      </c>
      <c r="AN397" t="s">
        <v>64</v>
      </c>
      <c r="AO397" t="s">
        <v>62</v>
      </c>
      <c r="AP397">
        <f t="shared" si="27"/>
        <v>1</v>
      </c>
    </row>
    <row r="398" spans="1:42" x14ac:dyDescent="0.35">
      <c r="A398" s="48" t="s">
        <v>602</v>
      </c>
      <c r="B398" s="49" t="s">
        <v>2684</v>
      </c>
      <c r="C398" s="49" t="s">
        <v>2273</v>
      </c>
      <c r="D398" s="50">
        <v>45547</v>
      </c>
      <c r="E398" s="50">
        <v>47373</v>
      </c>
      <c r="F398" s="49">
        <v>1000</v>
      </c>
      <c r="G398" s="49" t="s">
        <v>76</v>
      </c>
      <c r="H398" s="49">
        <v>1027</v>
      </c>
      <c r="I398" s="49" t="s">
        <v>76</v>
      </c>
      <c r="J398" s="49">
        <v>102.69999999999899</v>
      </c>
      <c r="K398" s="49">
        <v>100</v>
      </c>
      <c r="L398" s="51">
        <v>9.9000000000000005E-2</v>
      </c>
      <c r="M398" s="49" t="s">
        <v>93</v>
      </c>
      <c r="N398" s="49">
        <v>1456</v>
      </c>
      <c r="O398" s="49">
        <v>9.6397273612463401</v>
      </c>
      <c r="P398" s="49"/>
      <c r="Q398" s="49"/>
      <c r="R398" s="49" t="s">
        <v>2275</v>
      </c>
      <c r="S398">
        <f t="shared" si="24"/>
        <v>5</v>
      </c>
      <c r="T398" s="5" cm="1">
        <f t="array" ref="T3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8">
        <f>Table1[[#This Row],[Term to Maturity (Years)]]*Table1[[#This Row],[Coupon Frequency2]]</f>
        <v>5</v>
      </c>
      <c r="V398">
        <f>Table1[[#This Row],[Face value]]*Table1[[#This Row],[Current coupon %]]</f>
        <v>99</v>
      </c>
      <c r="W398" s="36">
        <f>RATE(Table1[[#This Row],[Total No. of Coupons]],Table1[[#This Row],[Coupon Amount]],-Table1[[#This Row],[Ask Price]],Table1[[#This Row],[Face value]])</f>
        <v>9.202204666107984E-2</v>
      </c>
      <c r="X398" s="27">
        <f>Table1[[#This Row],[IRR]]*Table1[[#This Row],[Coupon Frequency2]]</f>
        <v>9.202204666107984E-2</v>
      </c>
      <c r="Y398" s="19" cm="1">
        <f t="array" ref="Y3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8" s="33">
        <f>DURATION(Table1[[#This Row],[Issue date]],Table1[[#This Row],[Maturity date]],Table1[[#This Row],[Current coupon %]],Table1[[#This Row],[Yield (Annualised)]],Table1[[#This Row],[Coupon Frequency2]])</f>
        <v>4.1885639941552668</v>
      </c>
      <c r="AA398" s="33">
        <f>Table1[[#This Row],[Macaulay Duration in Years]]/(1+Table1[[#This Row],[IRR]])</f>
        <v>3.8356038753631774</v>
      </c>
      <c r="AB398" s="58">
        <f>VLOOKUP(Table1[[#This Row],[Yield Cluster]],'Cluster Details'!$B$3:$C$16,2,0)</f>
        <v>7.8548801574189142E-2</v>
      </c>
      <c r="AC398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1081.9689787445161</v>
      </c>
      <c r="AD398" s="58" t="str">
        <f>IF(Table1[[#This Row],[Ask Price]]&gt;Table1[[#This Row],[Calculated Bond Price]],"Rich","Cheap")</f>
        <v>Cheap</v>
      </c>
      <c r="AE39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988.60299814256655</v>
      </c>
      <c r="AF39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1067.4283094766622</v>
      </c>
      <c r="AG398" s="78">
        <f>(Table1[[#This Row],[P (+ shock)]]+Table1[[#This Row],[P (-shock)]]-2*Table1[[#This Row],[Ask Price]])/(2*Table1[[#This Row],[Ask Price]]*($AF$2^2))</f>
        <v>9.8895210283775814</v>
      </c>
      <c r="AH398">
        <v>6.91937720907341</v>
      </c>
      <c r="AI398" s="6">
        <f t="shared" si="25"/>
        <v>9.6397273612463488E-2</v>
      </c>
      <c r="AK398" s="47">
        <f>RATE(Table1[[#This Row],[Total No. of Coupons]],Table1[[#This Row],[Coupon Amount]],-Table1[[#This Row],[Ask Price]],Table1[[#This Row],[Face value]])</f>
        <v>9.202204666107984E-2</v>
      </c>
      <c r="AL398" s="27">
        <f>Table1[[#This Row],[IRR]]*Table1[[#This Row],[Coupon Frequency2]]</f>
        <v>9.202204666107984E-2</v>
      </c>
      <c r="AM398" s="5">
        <f t="shared" si="26"/>
        <v>-3939.1651799979832</v>
      </c>
      <c r="AN398" t="s">
        <v>64</v>
      </c>
      <c r="AO398" t="s">
        <v>62</v>
      </c>
      <c r="AP398">
        <f t="shared" si="27"/>
        <v>1</v>
      </c>
    </row>
    <row r="399" spans="1:42" x14ac:dyDescent="0.35">
      <c r="A399" s="48" t="s">
        <v>392</v>
      </c>
      <c r="B399" s="49" t="s">
        <v>2685</v>
      </c>
      <c r="C399" s="49" t="s">
        <v>2273</v>
      </c>
      <c r="D399" s="50">
        <v>45667</v>
      </c>
      <c r="E399" s="50">
        <v>47858</v>
      </c>
      <c r="F399" s="49">
        <v>1000</v>
      </c>
      <c r="G399" s="49" t="s">
        <v>76</v>
      </c>
      <c r="H399" s="49">
        <v>1040</v>
      </c>
      <c r="I399" s="49" t="s">
        <v>76</v>
      </c>
      <c r="J399" s="49">
        <v>104</v>
      </c>
      <c r="K399" s="49">
        <v>275</v>
      </c>
      <c r="L399" s="51">
        <v>0.10099999999999999</v>
      </c>
      <c r="M399" s="49" t="s">
        <v>93</v>
      </c>
      <c r="N399" s="49">
        <v>1941</v>
      </c>
      <c r="O399" s="49">
        <v>9.7115384615384599</v>
      </c>
      <c r="P399" s="49"/>
      <c r="Q399" s="49"/>
      <c r="R399" s="49" t="s">
        <v>2275</v>
      </c>
      <c r="S399">
        <f t="shared" si="24"/>
        <v>6</v>
      </c>
      <c r="T399" s="5" cm="1">
        <f t="array" ref="T3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399">
        <f>Table1[[#This Row],[Term to Maturity (Years)]]*Table1[[#This Row],[Coupon Frequency2]]</f>
        <v>6</v>
      </c>
      <c r="V399">
        <f>Table1[[#This Row],[Face value]]*Table1[[#This Row],[Current coupon %]]</f>
        <v>100.99999999999999</v>
      </c>
      <c r="W399" s="36">
        <f>RATE(Table1[[#This Row],[Total No. of Coupons]],Table1[[#This Row],[Coupon Amount]],-Table1[[#This Row],[Ask Price]],Table1[[#This Row],[Face value]])</f>
        <v>9.2029193989692712E-2</v>
      </c>
      <c r="X399" s="27">
        <f>Table1[[#This Row],[IRR]]*Table1[[#This Row],[Coupon Frequency2]]</f>
        <v>9.2029193989692712E-2</v>
      </c>
      <c r="Y399" s="19" cm="1">
        <f t="array" ref="Y3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399" s="33">
        <f>DURATION(Table1[[#This Row],[Issue date]],Table1[[#This Row],[Maturity date]],Table1[[#This Row],[Current coupon %]],Table1[[#This Row],[Yield (Annualised)]],Table1[[#This Row],[Coupon Frequency2]])</f>
        <v>4.8067649822321181</v>
      </c>
      <c r="AA399" s="33">
        <f>Table1[[#This Row],[Macaulay Duration in Years]]/(1+Table1[[#This Row],[IRR]])</f>
        <v>4.4016817578573706</v>
      </c>
      <c r="AB399" s="58">
        <f>VLOOKUP(Table1[[#This Row],[Yield Cluster]],'Cluster Details'!$B$3:$C$16,2,0)</f>
        <v>7.8548801574189142E-2</v>
      </c>
      <c r="AC399" s="78">
        <f>PRICE(Table1[[#This Row],[Issue date]],Table1[[#This Row],[Maturity date]],Table1[[#This Row],[Current coupon %]],Table1[[#This Row],[Average Cluster Yield]],100,Table1[[#This Row],[Coupon Frequency2]])*Table1[[#This Row],[Face value]]/100</f>
        <v>1104.2477014318038</v>
      </c>
      <c r="AD399" s="58" t="str">
        <f>IF(Table1[[#This Row],[Ask Price]]&gt;Table1[[#This Row],[Calculated Bond Price]],"Rich","Cheap")</f>
        <v>Cheap</v>
      </c>
      <c r="AE39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995.54412159425624</v>
      </c>
      <c r="AF39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1087.1624895169889</v>
      </c>
      <c r="AG399" s="78">
        <f>(Table1[[#This Row],[P (+ shock)]]+Table1[[#This Row],[P (-shock)]]-2*Table1[[#This Row],[Ask Price]])/(2*Table1[[#This Row],[Ask Price]]*($AF$2^2))</f>
        <v>13.012553419448871</v>
      </c>
      <c r="AH399">
        <v>4.41705868062457</v>
      </c>
      <c r="AI399" s="6">
        <f t="shared" si="25"/>
        <v>9.7115384615384603E-2</v>
      </c>
      <c r="AK399" s="47">
        <f>RATE(Table1[[#This Row],[Total No. of Coupons]],Table1[[#This Row],[Coupon Amount]],-Table1[[#This Row],[Ask Price]],Table1[[#This Row],[Face value]])</f>
        <v>9.2029193989692712E-2</v>
      </c>
      <c r="AL399" s="27">
        <f>Table1[[#This Row],[IRR]]*Table1[[#This Row],[Coupon Frequency2]]</f>
        <v>9.2029193989692712E-2</v>
      </c>
      <c r="AM399" s="5">
        <f t="shared" si="26"/>
        <v>-4577.7490281716655</v>
      </c>
      <c r="AN399" t="s">
        <v>64</v>
      </c>
      <c r="AO399" t="s">
        <v>62</v>
      </c>
      <c r="AP399">
        <f t="shared" si="27"/>
        <v>1</v>
      </c>
    </row>
    <row r="400" spans="1:42" x14ac:dyDescent="0.35">
      <c r="A400" s="48" t="s">
        <v>1700</v>
      </c>
      <c r="B400" s="49" t="s">
        <v>2686</v>
      </c>
      <c r="C400" s="49" t="s">
        <v>2273</v>
      </c>
      <c r="D400" s="50">
        <v>40756</v>
      </c>
      <c r="E400" s="50">
        <v>46235</v>
      </c>
      <c r="F400" s="49">
        <v>1000000</v>
      </c>
      <c r="G400" s="49" t="s">
        <v>76</v>
      </c>
      <c r="H400" s="49">
        <v>1020000</v>
      </c>
      <c r="I400" s="49" t="s">
        <v>76</v>
      </c>
      <c r="J400" s="49">
        <v>102</v>
      </c>
      <c r="K400" s="49">
        <v>4</v>
      </c>
      <c r="L400" s="51">
        <v>9.4600000000000004E-2</v>
      </c>
      <c r="M400" s="49" t="s">
        <v>93</v>
      </c>
      <c r="N400" s="49">
        <v>318</v>
      </c>
      <c r="O400" s="49">
        <v>9.2745098039215694</v>
      </c>
      <c r="P400" s="49" t="s">
        <v>2282</v>
      </c>
      <c r="Q400" s="49"/>
      <c r="R400" s="49" t="s">
        <v>2275</v>
      </c>
      <c r="S400">
        <f t="shared" si="24"/>
        <v>15</v>
      </c>
      <c r="T400" s="5" cm="1">
        <f t="array" ref="T4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0">
        <f>Table1[[#This Row],[Term to Maturity (Years)]]*Table1[[#This Row],[Coupon Frequency2]]</f>
        <v>15</v>
      </c>
      <c r="V400">
        <f>Table1[[#This Row],[Face value]]*Table1[[#This Row],[Current coupon %]]</f>
        <v>94600</v>
      </c>
      <c r="W400" s="36">
        <f>RATE(Table1[[#This Row],[Total No. of Coupons]],Table1[[#This Row],[Coupon Amount]],-Table1[[#This Row],[Ask Price]],Table1[[#This Row],[Face value]])</f>
        <v>9.2088156038545352E-2</v>
      </c>
      <c r="X400" s="27">
        <f>Table1[[#This Row],[IRR]]*Table1[[#This Row],[Coupon Frequency2]]</f>
        <v>9.2088156038545352E-2</v>
      </c>
      <c r="Y400" s="19" cm="1">
        <f t="array" ref="Y4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0" s="33">
        <f>DURATION(Table1[[#This Row],[Issue date]],Table1[[#This Row],[Maturity date]],Table1[[#This Row],[Current coupon %]],Table1[[#This Row],[Yield (Annualised)]],Table1[[#This Row],[Coupon Frequency2]])</f>
        <v>8.650534321814348</v>
      </c>
      <c r="AA400" s="33">
        <f>Table1[[#This Row],[Macaulay Duration in Years]]/(1+Table1[[#This Row],[IRR]])</f>
        <v>7.9210952650502202</v>
      </c>
      <c r="AB400" s="58">
        <f>VLOOKUP(Table1[[#This Row],[Yield Cluster]],'Cluster Details'!$B$3:$C$16,2,0)</f>
        <v>7.8548801574189142E-2</v>
      </c>
      <c r="AC400" s="78">
        <f>PRICE(Table1[[#This Row],[Issue date]],Table1[[#This Row],[Maturity date]],Table1[[#This Row],[Current coupon %]],Table1[[#This Row],[Average Cluster Yield]],100,Table1[[#This Row],[Coupon Frequency2]])*Table1[[#This Row],[Face value]]/100</f>
        <v>1138615.7291138424</v>
      </c>
      <c r="AD400" s="58" t="str">
        <f>IF(Table1[[#This Row],[Ask Price]]&gt;Table1[[#This Row],[Calculated Bond Price]],"Rich","Cheap")</f>
        <v>Cheap</v>
      </c>
      <c r="AE40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943716.99430315779</v>
      </c>
      <c r="AF40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1105742.7907478169</v>
      </c>
      <c r="AG400" s="78">
        <f>(Table1[[#This Row],[P (+ shock)]]+Table1[[#This Row],[P (-shock)]]-2*Table1[[#This Row],[Ask Price]])/(2*Table1[[#This Row],[Ask Price]]*($AF$2^2))</f>
        <v>46.371495347915165</v>
      </c>
      <c r="AH400">
        <v>12.152105294503</v>
      </c>
      <c r="AI400" s="6">
        <f t="shared" si="25"/>
        <v>9.2745098039215684E-2</v>
      </c>
      <c r="AK400" s="47">
        <f>RATE(Table1[[#This Row],[Total No. of Coupons]],Table1[[#This Row],[Coupon Amount]],-Table1[[#This Row],[Ask Price]],Table1[[#This Row],[Face value]])</f>
        <v>9.2088156038545352E-2</v>
      </c>
      <c r="AL400" s="27">
        <f>Table1[[#This Row],[IRR]]*Table1[[#This Row],[Coupon Frequency2]]</f>
        <v>9.2088156038545352E-2</v>
      </c>
      <c r="AM400" s="5">
        <f t="shared" si="26"/>
        <v>-8079517.170351225</v>
      </c>
      <c r="AN400" t="s">
        <v>64</v>
      </c>
      <c r="AO400" t="s">
        <v>62</v>
      </c>
      <c r="AP400">
        <f t="shared" si="27"/>
        <v>1</v>
      </c>
    </row>
    <row r="401" spans="1:42" x14ac:dyDescent="0.35">
      <c r="A401" s="48" t="s">
        <v>2687</v>
      </c>
      <c r="B401" s="49" t="s">
        <v>2688</v>
      </c>
      <c r="C401" s="49" t="s">
        <v>2273</v>
      </c>
      <c r="D401" s="50">
        <v>44501</v>
      </c>
      <c r="E401" s="50">
        <v>46326</v>
      </c>
      <c r="F401" s="49">
        <v>1000</v>
      </c>
      <c r="G401" s="49" t="s">
        <v>76</v>
      </c>
      <c r="H401" s="49">
        <v>1078.92</v>
      </c>
      <c r="I401" s="49" t="s">
        <v>76</v>
      </c>
      <c r="J401" s="49">
        <v>107.892</v>
      </c>
      <c r="K401" s="49">
        <v>200</v>
      </c>
      <c r="L401" s="51">
        <v>0.1125</v>
      </c>
      <c r="M401" s="49" t="s">
        <v>93</v>
      </c>
      <c r="N401" s="49">
        <v>409</v>
      </c>
      <c r="O401" s="49">
        <v>10.427093760427001</v>
      </c>
      <c r="P401" s="49"/>
      <c r="Q401" s="49"/>
      <c r="R401" s="49" t="s">
        <v>2275</v>
      </c>
      <c r="S401">
        <f t="shared" si="24"/>
        <v>5</v>
      </c>
      <c r="T401" s="5" cm="1">
        <f t="array" ref="T4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1">
        <f>Table1[[#This Row],[Term to Maturity (Years)]]*Table1[[#This Row],[Coupon Frequency2]]</f>
        <v>5</v>
      </c>
      <c r="V401">
        <f>Table1[[#This Row],[Face value]]*Table1[[#This Row],[Current coupon %]]</f>
        <v>112.5</v>
      </c>
      <c r="W401" s="36">
        <f>RATE(Table1[[#This Row],[Total No. of Coupons]],Table1[[#This Row],[Coupon Amount]],-Table1[[#This Row],[Ask Price]],Table1[[#This Row],[Face value]])</f>
        <v>9.2099608857505441E-2</v>
      </c>
      <c r="X401" s="27">
        <f>Table1[[#This Row],[IRR]]*Table1[[#This Row],[Coupon Frequency2]]</f>
        <v>9.2099608857505441E-2</v>
      </c>
      <c r="Y401" s="19" cm="1">
        <f t="array" ref="Y4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1" s="33">
        <f>DURATION(Table1[[#This Row],[Issue date]],Table1[[#This Row],[Maturity date]],Table1[[#This Row],[Current coupon %]],Table1[[#This Row],[Yield (Annualised)]],Table1[[#This Row],[Coupon Frequency2]])</f>
        <v>4.1196280023588479</v>
      </c>
      <c r="AA401" s="33">
        <f>Table1[[#This Row],[Macaulay Duration in Years]]/(1+Table1[[#This Row],[IRR]])</f>
        <v>3.7722090264903363</v>
      </c>
      <c r="AB401" s="58">
        <f>VLOOKUP(Table1[[#This Row],[Yield Cluster]],'Cluster Details'!$B$3:$C$16,2,0)</f>
        <v>7.8548801574189142E-2</v>
      </c>
      <c r="AC401" s="78">
        <f>PRICE(Table1[[#This Row],[Issue date]],Table1[[#This Row],[Maturity date]],Table1[[#This Row],[Current coupon %]],Table1[[#This Row],[Average Cluster Yield]],100,Table1[[#This Row],[Coupon Frequency2]])*Table1[[#This Row],[Face value]]/100</f>
        <v>1136.0035117807599</v>
      </c>
      <c r="AD401" s="58" t="str">
        <f>IF(Table1[[#This Row],[Ask Price]]&gt;Table1[[#This Row],[Calculated Bond Price]],"Rich","Cheap")</f>
        <v>Cheap</v>
      </c>
      <c r="AE40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1039.1832771300944</v>
      </c>
      <c r="AF40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1120.6443723957689</v>
      </c>
      <c r="AG401" s="78">
        <f>(Table1[[#This Row],[P (+ shock)]]+Table1[[#This Row],[P (-shock)]]-2*Table1[[#This Row],[Ask Price]])/(2*Table1[[#This Row],[Ask Price]]*($AF$2^2))</f>
        <v>9.2112924306860648</v>
      </c>
      <c r="AI401" s="6">
        <f t="shared" si="25"/>
        <v>0.10427093760427093</v>
      </c>
      <c r="AK401" s="47">
        <f>RATE(Table1[[#This Row],[Total No. of Coupons]],Table1[[#This Row],[Coupon Amount]],-Table1[[#This Row],[Ask Price]],Table1[[#This Row],[Face value]])</f>
        <v>9.2099608857505441E-2</v>
      </c>
      <c r="AL401" s="27">
        <f>Table1[[#This Row],[IRR]]*Table1[[#This Row],[Coupon Frequency2]]</f>
        <v>9.2099608857505441E-2</v>
      </c>
      <c r="AM401" s="5">
        <f t="shared" si="26"/>
        <v>-4069.9117628609538</v>
      </c>
      <c r="AN401" t="s">
        <v>64</v>
      </c>
      <c r="AO401" t="s">
        <v>62</v>
      </c>
      <c r="AP401">
        <f t="shared" si="27"/>
        <v>1</v>
      </c>
    </row>
    <row r="402" spans="1:42" x14ac:dyDescent="0.35">
      <c r="A402" s="48" t="s">
        <v>501</v>
      </c>
      <c r="B402" s="49" t="s">
        <v>2689</v>
      </c>
      <c r="C402" s="49" t="s">
        <v>2273</v>
      </c>
      <c r="D402" s="50">
        <v>43906</v>
      </c>
      <c r="E402" s="50">
        <v>47558</v>
      </c>
      <c r="F402" s="49">
        <v>1000</v>
      </c>
      <c r="G402" s="49" t="s">
        <v>76</v>
      </c>
      <c r="H402" s="49">
        <v>1050</v>
      </c>
      <c r="I402" s="49" t="s">
        <v>76</v>
      </c>
      <c r="J402" s="49">
        <v>105</v>
      </c>
      <c r="K402" s="49">
        <v>20</v>
      </c>
      <c r="L402" s="51">
        <v>0.1</v>
      </c>
      <c r="M402" s="49" t="s">
        <v>93</v>
      </c>
      <c r="N402" s="49">
        <v>1641</v>
      </c>
      <c r="O402" s="49">
        <v>9.5238095238095202</v>
      </c>
      <c r="P402" s="49"/>
      <c r="Q402" s="49"/>
      <c r="R402" s="49" t="s">
        <v>2275</v>
      </c>
      <c r="S402">
        <f t="shared" si="24"/>
        <v>10</v>
      </c>
      <c r="T402" s="5" cm="1">
        <f t="array" ref="T4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2">
        <f>Table1[[#This Row],[Term to Maturity (Years)]]*Table1[[#This Row],[Coupon Frequency2]]</f>
        <v>10</v>
      </c>
      <c r="V402">
        <f>Table1[[#This Row],[Face value]]*Table1[[#This Row],[Current coupon %]]</f>
        <v>100</v>
      </c>
      <c r="W402" s="36">
        <f>RATE(Table1[[#This Row],[Total No. of Coupons]],Table1[[#This Row],[Coupon Amount]],-Table1[[#This Row],[Ask Price]],Table1[[#This Row],[Face value]])</f>
        <v>9.2135605783483163E-2</v>
      </c>
      <c r="X402" s="27">
        <f>Table1[[#This Row],[IRR]]*Table1[[#This Row],[Coupon Frequency2]]</f>
        <v>9.2135605783483163E-2</v>
      </c>
      <c r="Y402" s="19" cm="1">
        <f t="array" ref="Y4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2" s="33">
        <f>DURATION(Table1[[#This Row],[Issue date]],Table1[[#This Row],[Maturity date]],Table1[[#This Row],[Current coupon %]],Table1[[#This Row],[Yield (Annualised)]],Table1[[#This Row],[Coupon Frequency2]])</f>
        <v>6.8406254273592548</v>
      </c>
      <c r="AA402" s="33">
        <f>Table1[[#This Row],[Macaulay Duration in Years]]/(1+Table1[[#This Row],[IRR]])</f>
        <v>6.2635311870927266</v>
      </c>
      <c r="AB402" s="58">
        <f>VLOOKUP(Table1[[#This Row],[Yield Cluster]],'Cluster Details'!$B$3:$C$16,2,0)</f>
        <v>7.8548801574189142E-2</v>
      </c>
      <c r="AC402" s="78">
        <f>PRICE(Table1[[#This Row],[Issue date]],Table1[[#This Row],[Maturity date]],Table1[[#This Row],[Current coupon %]],Table1[[#This Row],[Average Cluster Yield]],100,Table1[[#This Row],[Coupon Frequency2]])*Table1[[#This Row],[Face value]]/100</f>
        <v>1144.8862331975467</v>
      </c>
      <c r="AD402" s="58" t="str">
        <f>IF(Table1[[#This Row],[Ask Price]]&gt;Table1[[#This Row],[Calculated Bond Price]],"Rich","Cheap")</f>
        <v>Cheap</v>
      </c>
      <c r="AE40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986.9971564991472</v>
      </c>
      <c r="AF40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1118.7253919882185</v>
      </c>
      <c r="AG402" s="78">
        <f>(Table1[[#This Row],[P (+ shock)]]+Table1[[#This Row],[P (-shock)]]-2*Table1[[#This Row],[Ask Price]])/(2*Table1[[#This Row],[Ask Price]]*($AF$2^2))</f>
        <v>27.250230892217413</v>
      </c>
      <c r="AH402">
        <v>4.5387250027621198</v>
      </c>
      <c r="AI402" s="6">
        <f t="shared" si="25"/>
        <v>9.5238095238095233E-2</v>
      </c>
      <c r="AK402" s="47">
        <f>RATE(Table1[[#This Row],[Total No. of Coupons]],Table1[[#This Row],[Coupon Amount]],-Table1[[#This Row],[Ask Price]],Table1[[#This Row],[Face value]])</f>
        <v>9.2135605783483163E-2</v>
      </c>
      <c r="AL402" s="27">
        <f>Table1[[#This Row],[IRR]]*Table1[[#This Row],[Coupon Frequency2]]</f>
        <v>9.2135605783483163E-2</v>
      </c>
      <c r="AM402" s="5">
        <f t="shared" si="26"/>
        <v>-6576.7077464473632</v>
      </c>
      <c r="AN402" t="s">
        <v>64</v>
      </c>
      <c r="AO402" t="s">
        <v>62</v>
      </c>
      <c r="AP402">
        <f t="shared" si="27"/>
        <v>1</v>
      </c>
    </row>
    <row r="403" spans="1:42" x14ac:dyDescent="0.35">
      <c r="A403" s="48" t="s">
        <v>2690</v>
      </c>
      <c r="B403" s="49" t="s">
        <v>2691</v>
      </c>
      <c r="C403" s="49" t="s">
        <v>2273</v>
      </c>
      <c r="D403" s="50">
        <v>43153</v>
      </c>
      <c r="E403" s="50">
        <v>46805</v>
      </c>
      <c r="F403" s="49">
        <v>1000000</v>
      </c>
      <c r="G403" s="49" t="s">
        <v>76</v>
      </c>
      <c r="H403" s="49">
        <v>950000</v>
      </c>
      <c r="I403" s="49" t="s">
        <v>76</v>
      </c>
      <c r="J403" s="49">
        <v>95</v>
      </c>
      <c r="K403" s="49">
        <v>3</v>
      </c>
      <c r="L403" s="51">
        <v>8.43E-2</v>
      </c>
      <c r="M403" s="49" t="s">
        <v>93</v>
      </c>
      <c r="N403" s="49">
        <v>888</v>
      </c>
      <c r="O403" s="49">
        <v>8.8736842105263101</v>
      </c>
      <c r="P403" s="49" t="s">
        <v>2279</v>
      </c>
      <c r="Q403" s="49"/>
      <c r="R403" s="49" t="s">
        <v>2275</v>
      </c>
      <c r="S403">
        <f t="shared" si="24"/>
        <v>10</v>
      </c>
      <c r="T403" s="5" cm="1">
        <f t="array" ref="T4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3">
        <f>Table1[[#This Row],[Term to Maturity (Years)]]*Table1[[#This Row],[Coupon Frequency2]]</f>
        <v>10</v>
      </c>
      <c r="V403">
        <f>Table1[[#This Row],[Face value]]*Table1[[#This Row],[Current coupon %]]</f>
        <v>84300</v>
      </c>
      <c r="W403" s="36">
        <f>RATE(Table1[[#This Row],[Total No. of Coupons]],Table1[[#This Row],[Coupon Amount]],-Table1[[#This Row],[Ask Price]],Table1[[#This Row],[Face value]])</f>
        <v>9.2165420977026347E-2</v>
      </c>
      <c r="X403" s="27">
        <f>Table1[[#This Row],[IRR]]*Table1[[#This Row],[Coupon Frequency2]]</f>
        <v>9.2165420977026347E-2</v>
      </c>
      <c r="Y403" s="19" cm="1">
        <f t="array" ref="Y4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3" s="33">
        <f>DURATION(Table1[[#This Row],[Issue date]],Table1[[#This Row],[Maturity date]],Table1[[#This Row],[Current coupon %]],Table1[[#This Row],[Yield (Annualised)]],Table1[[#This Row],[Coupon Frequency2]])</f>
        <v>7.0565563762011294</v>
      </c>
      <c r="AA403" s="33">
        <f>Table1[[#This Row],[Macaulay Duration in Years]]/(1+Table1[[#This Row],[IRR]])</f>
        <v>6.4610692122888258</v>
      </c>
      <c r="AB403" s="58">
        <f>VLOOKUP(Table1[[#This Row],[Yield Cluster]],'Cluster Details'!$B$3:$C$16,2,0)</f>
        <v>7.8548801574189142E-2</v>
      </c>
      <c r="AC403" s="78">
        <f>PRICE(Table1[[#This Row],[Issue date]],Table1[[#This Row],[Maturity date]],Table1[[#This Row],[Current coupon %]],Table1[[#This Row],[Average Cluster Yield]],100,Table1[[#This Row],[Coupon Frequency2]])*Table1[[#This Row],[Face value]]/100</f>
        <v>1038844.891541574</v>
      </c>
      <c r="AD403" s="58" t="str">
        <f>IF(Table1[[#This Row],[Ask Price]]&gt;Table1[[#This Row],[Calculated Bond Price]],"Rich","Cheap")</f>
        <v>Cheap</v>
      </c>
      <c r="AE40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891238.50582123618</v>
      </c>
      <c r="AF40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1014184.3506159426</v>
      </c>
      <c r="AG403" s="78">
        <f>(Table1[[#This Row],[P (+ shock)]]+Table1[[#This Row],[P (-shock)]]-2*Table1[[#This Row],[Ask Price]])/(2*Table1[[#This Row],[Ask Price]]*($AF$2^2))</f>
        <v>28.541349669362074</v>
      </c>
      <c r="AH403">
        <v>10.0713722072385</v>
      </c>
      <c r="AI403" s="6">
        <f t="shared" si="25"/>
        <v>8.8736842105263156E-2</v>
      </c>
      <c r="AK403" s="47">
        <f>RATE(Table1[[#This Row],[Total No. of Coupons]],Table1[[#This Row],[Coupon Amount]],-Table1[[#This Row],[Ask Price]],Table1[[#This Row],[Face value]])</f>
        <v>9.2165420977026347E-2</v>
      </c>
      <c r="AL403" s="27">
        <f>Table1[[#This Row],[IRR]]*Table1[[#This Row],[Coupon Frequency2]]</f>
        <v>9.2165420977026347E-2</v>
      </c>
      <c r="AM403" s="5">
        <f t="shared" si="26"/>
        <v>-6138015.7516743848</v>
      </c>
      <c r="AN403" t="s">
        <v>64</v>
      </c>
      <c r="AO403" t="s">
        <v>62</v>
      </c>
      <c r="AP403">
        <f t="shared" si="27"/>
        <v>1</v>
      </c>
    </row>
    <row r="404" spans="1:42" x14ac:dyDescent="0.35">
      <c r="A404" s="48" t="s">
        <v>1020</v>
      </c>
      <c r="B404" s="49" t="s">
        <v>2692</v>
      </c>
      <c r="C404" s="49" t="s">
        <v>2273</v>
      </c>
      <c r="D404" s="50">
        <v>45726</v>
      </c>
      <c r="E404" s="50">
        <v>46822</v>
      </c>
      <c r="F404" s="49">
        <v>100000</v>
      </c>
      <c r="G404" s="49" t="s">
        <v>76</v>
      </c>
      <c r="H404" s="49">
        <v>102852.66</v>
      </c>
      <c r="I404" s="49" t="s">
        <v>76</v>
      </c>
      <c r="J404" s="49">
        <v>102.85266</v>
      </c>
      <c r="K404" s="49">
        <v>1</v>
      </c>
      <c r="L404" s="51">
        <v>0.10349999999999999</v>
      </c>
      <c r="M404" s="49" t="s">
        <v>93</v>
      </c>
      <c r="N404" s="49">
        <v>905</v>
      </c>
      <c r="O404" s="49">
        <v>10.0629385764062</v>
      </c>
      <c r="P404" s="49"/>
      <c r="Q404" s="49"/>
      <c r="R404" s="49" t="s">
        <v>2275</v>
      </c>
      <c r="S404">
        <f t="shared" si="24"/>
        <v>3</v>
      </c>
      <c r="T404" s="5" cm="1">
        <f t="array" ref="T4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4">
        <f>Table1[[#This Row],[Term to Maturity (Years)]]*Table1[[#This Row],[Coupon Frequency2]]</f>
        <v>3</v>
      </c>
      <c r="V404">
        <f>Table1[[#This Row],[Face value]]*Table1[[#This Row],[Current coupon %]]</f>
        <v>10350</v>
      </c>
      <c r="W404" s="36">
        <f>RATE(Table1[[#This Row],[Total No. of Coupons]],Table1[[#This Row],[Coupon Amount]],-Table1[[#This Row],[Ask Price]],Table1[[#This Row],[Face value]])</f>
        <v>9.2186489232222502E-2</v>
      </c>
      <c r="X404" s="27">
        <f>Table1[[#This Row],[IRR]]*Table1[[#This Row],[Coupon Frequency2]]</f>
        <v>9.2186489232222502E-2</v>
      </c>
      <c r="Y404" s="19" cm="1">
        <f t="array" ref="Y4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4" s="33">
        <f>DURATION(Table1[[#This Row],[Issue date]],Table1[[#This Row],[Maturity date]],Table1[[#This Row],[Current coupon %]],Table1[[#This Row],[Yield (Annualised)]],Table1[[#This Row],[Coupon Frequency2]])</f>
        <v>2.7313696041280284</v>
      </c>
      <c r="AA404" s="33">
        <f>Table1[[#This Row],[Macaulay Duration in Years]]/(1+Table1[[#This Row],[IRR]])</f>
        <v>2.5008271307660168</v>
      </c>
      <c r="AB404" s="58">
        <f>VLOOKUP(Table1[[#This Row],[Yield Cluster]],'Cluster Details'!$B$3:$C$16,2,0)</f>
        <v>7.8548801574189142E-2</v>
      </c>
      <c r="AC404" s="78">
        <f>PRICE(Table1[[#This Row],[Issue date]],Table1[[#This Row],[Maturity date]],Table1[[#This Row],[Current coupon %]],Table1[[#This Row],[Average Cluster Yield]],100,Table1[[#This Row],[Coupon Frequency2]])*Table1[[#This Row],[Face value]]/100</f>
        <v>106447.04070572714</v>
      </c>
      <c r="AD404" s="58" t="str">
        <f>IF(Table1[[#This Row],[Ask Price]]&gt;Table1[[#This Row],[Calculated Bond Price]],"Rich","Cheap")</f>
        <v>Cheap</v>
      </c>
      <c r="AE40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100325.39738771408</v>
      </c>
      <c r="AF40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105471.10013573583</v>
      </c>
      <c r="AG404" s="78">
        <f>(Table1[[#This Row],[P (+ shock)]]+Table1[[#This Row],[P (-shock)]]-2*Table1[[#This Row],[Ask Price]])/(2*Table1[[#This Row],[Ask Price]]*($AF$2^2))</f>
        <v>4.4324339035036777</v>
      </c>
      <c r="AH404">
        <v>5.2532965413798198</v>
      </c>
      <c r="AI404" s="6">
        <f t="shared" si="25"/>
        <v>0.10062938576406288</v>
      </c>
      <c r="AK404" s="47">
        <f>RATE(Table1[[#This Row],[Total No. of Coupons]],Table1[[#This Row],[Coupon Amount]],-Table1[[#This Row],[Ask Price]],Table1[[#This Row],[Face value]])</f>
        <v>9.2186489232222502E-2</v>
      </c>
      <c r="AL404" s="27">
        <f>Table1[[#This Row],[IRR]]*Table1[[#This Row],[Coupon Frequency2]]</f>
        <v>9.2186489232222502E-2</v>
      </c>
      <c r="AM404" s="5">
        <f t="shared" si="26"/>
        <v>-257216.72259945268</v>
      </c>
      <c r="AN404" t="s">
        <v>64</v>
      </c>
      <c r="AO404" t="s">
        <v>62</v>
      </c>
      <c r="AP404">
        <f t="shared" si="27"/>
        <v>1</v>
      </c>
    </row>
    <row r="405" spans="1:42" x14ac:dyDescent="0.35">
      <c r="A405" s="48" t="s">
        <v>158</v>
      </c>
      <c r="B405" s="49" t="s">
        <v>2693</v>
      </c>
      <c r="C405" s="49" t="s">
        <v>2273</v>
      </c>
      <c r="D405" s="50">
        <v>45455</v>
      </c>
      <c r="E405" s="50">
        <v>49107</v>
      </c>
      <c r="F405" s="49">
        <v>1000</v>
      </c>
      <c r="G405" s="49" t="s">
        <v>76</v>
      </c>
      <c r="H405" s="49">
        <v>1040</v>
      </c>
      <c r="I405" s="49" t="s">
        <v>76</v>
      </c>
      <c r="J405" s="49">
        <v>104</v>
      </c>
      <c r="K405" s="49">
        <v>10</v>
      </c>
      <c r="L405" s="51">
        <v>9.849999999999999E-2</v>
      </c>
      <c r="M405" s="49" t="s">
        <v>93</v>
      </c>
      <c r="N405" s="49">
        <v>3190</v>
      </c>
      <c r="O405" s="49">
        <v>9.4711538461538396</v>
      </c>
      <c r="P405" s="49"/>
      <c r="Q405" s="49"/>
      <c r="R405" s="49" t="s">
        <v>2275</v>
      </c>
      <c r="S405">
        <f t="shared" si="24"/>
        <v>10</v>
      </c>
      <c r="T405" s="5" cm="1">
        <f t="array" ref="T4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5">
        <f>Table1[[#This Row],[Term to Maturity (Years)]]*Table1[[#This Row],[Coupon Frequency2]]</f>
        <v>10</v>
      </c>
      <c r="V405">
        <f>Table1[[#This Row],[Face value]]*Table1[[#This Row],[Current coupon %]]</f>
        <v>98.499999999999986</v>
      </c>
      <c r="W405" s="36">
        <f>RATE(Table1[[#This Row],[Total No. of Coupons]],Table1[[#This Row],[Coupon Amount]],-Table1[[#This Row],[Ask Price]],Table1[[#This Row],[Face value]])</f>
        <v>9.2206530574032053E-2</v>
      </c>
      <c r="X405" s="27">
        <f>Table1[[#This Row],[IRR]]*Table1[[#This Row],[Coupon Frequency2]]</f>
        <v>9.2206530574032053E-2</v>
      </c>
      <c r="Y405" s="19" cm="1">
        <f t="array" ref="Y4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5" s="33">
        <f>DURATION(Table1[[#This Row],[Issue date]],Table1[[#This Row],[Maturity date]],Table1[[#This Row],[Current coupon %]],Table1[[#This Row],[Yield (Annualised)]],Table1[[#This Row],[Coupon Frequency2]])</f>
        <v>6.8587584275914928</v>
      </c>
      <c r="AA405" s="33">
        <f>Table1[[#This Row],[Macaulay Duration in Years]]/(1+Table1[[#This Row],[IRR]])</f>
        <v>6.2797266227539659</v>
      </c>
      <c r="AB405" s="58">
        <f>VLOOKUP(Table1[[#This Row],[Yield Cluster]],'Cluster Details'!$B$3:$C$16,2,0)</f>
        <v>7.8548801574189142E-2</v>
      </c>
      <c r="AC405" s="78">
        <f>PRICE(Table1[[#This Row],[Issue date]],Table1[[#This Row],[Maturity date]],Table1[[#This Row],[Current coupon %]],Table1[[#This Row],[Average Cluster Yield]],100,Table1[[#This Row],[Coupon Frequency2]])*Table1[[#This Row],[Face value]]/100</f>
        <v>1134.7548948227723</v>
      </c>
      <c r="AD405" s="58" t="str">
        <f>IF(Table1[[#This Row],[Ask Price]]&gt;Table1[[#This Row],[Calculated Bond Price]],"Rich","Cheap")</f>
        <v>Cheap</v>
      </c>
      <c r="AE40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977.43926697784127</v>
      </c>
      <c r="AF40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1108.2506946006727</v>
      </c>
      <c r="AG405" s="78">
        <f>(Table1[[#This Row],[P (+ shock)]]+Table1[[#This Row],[P (-shock)]]-2*Table1[[#This Row],[Ask Price]])/(2*Table1[[#This Row],[Ask Price]]*($AF$2^2))</f>
        <v>27.355584512087294</v>
      </c>
      <c r="AH405">
        <v>44.233977620959102</v>
      </c>
      <c r="AI405" s="6">
        <f t="shared" si="25"/>
        <v>9.4711538461538444E-2</v>
      </c>
      <c r="AK405" s="47">
        <f>RATE(Table1[[#This Row],[Total No. of Coupons]],Table1[[#This Row],[Coupon Amount]],-Table1[[#This Row],[Ask Price]],Table1[[#This Row],[Face value]])</f>
        <v>9.2206530574032053E-2</v>
      </c>
      <c r="AL405" s="27">
        <f>Table1[[#This Row],[IRR]]*Table1[[#This Row],[Coupon Frequency2]]</f>
        <v>9.2206530574032053E-2</v>
      </c>
      <c r="AM405" s="5">
        <f t="shared" si="26"/>
        <v>-6530.9156876641246</v>
      </c>
      <c r="AN405" t="s">
        <v>64</v>
      </c>
      <c r="AO405" t="s">
        <v>62</v>
      </c>
      <c r="AP405">
        <f t="shared" si="27"/>
        <v>1</v>
      </c>
    </row>
    <row r="406" spans="1:42" x14ac:dyDescent="0.35">
      <c r="A406" s="48" t="s">
        <v>1616</v>
      </c>
      <c r="B406" s="49" t="s">
        <v>2694</v>
      </c>
      <c r="C406" s="49" t="s">
        <v>2273</v>
      </c>
      <c r="D406" s="50">
        <v>44281</v>
      </c>
      <c r="E406" s="50">
        <v>46290</v>
      </c>
      <c r="F406" s="49">
        <v>1000000</v>
      </c>
      <c r="G406" s="49" t="s">
        <v>76</v>
      </c>
      <c r="H406" s="49">
        <v>1020000</v>
      </c>
      <c r="I406" s="49" t="s">
        <v>76</v>
      </c>
      <c r="J406" s="49">
        <v>102</v>
      </c>
      <c r="K406" s="49">
        <v>1</v>
      </c>
      <c r="L406" s="51">
        <v>9.7500000000000003E-2</v>
      </c>
      <c r="M406" s="49" t="s">
        <v>93</v>
      </c>
      <c r="N406" s="49">
        <v>373</v>
      </c>
      <c r="O406" s="49">
        <v>9.5588235294117592</v>
      </c>
      <c r="P406" s="49"/>
      <c r="Q406" s="49"/>
      <c r="R406" s="49" t="s">
        <v>2275</v>
      </c>
      <c r="S406">
        <f t="shared" si="24"/>
        <v>5</v>
      </c>
      <c r="T406" s="5" cm="1">
        <f t="array" ref="T4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6">
        <f>Table1[[#This Row],[Term to Maturity (Years)]]*Table1[[#This Row],[Coupon Frequency2]]</f>
        <v>5</v>
      </c>
      <c r="V406">
        <f>Table1[[#This Row],[Face value]]*Table1[[#This Row],[Current coupon %]]</f>
        <v>97500</v>
      </c>
      <c r="W406" s="36">
        <f>RATE(Table1[[#This Row],[Total No. of Coupons]],Table1[[#This Row],[Coupon Amount]],-Table1[[#This Row],[Ask Price]],Table1[[#This Row],[Face value]])</f>
        <v>9.2327067126397599E-2</v>
      </c>
      <c r="X406" s="27">
        <f>Table1[[#This Row],[IRR]]*Table1[[#This Row],[Coupon Frequency2]]</f>
        <v>9.2327067126397599E-2</v>
      </c>
      <c r="Y406" s="19" cm="1">
        <f t="array" ref="Y4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6" s="33">
        <f>DURATION(Table1[[#This Row],[Issue date]],Table1[[#This Row],[Maturity date]],Table1[[#This Row],[Current coupon %]],Table1[[#This Row],[Yield (Annualised)]],Table1[[#This Row],[Coupon Frequency2]])</f>
        <v>4.3269495621992302</v>
      </c>
      <c r="AA406" s="33">
        <f>Table1[[#This Row],[Macaulay Duration in Years]]/(1+Table1[[#This Row],[IRR]])</f>
        <v>3.9612215905097052</v>
      </c>
      <c r="AB406" s="58">
        <f>VLOOKUP(Table1[[#This Row],[Yield Cluster]],'Cluster Details'!$B$3:$C$16,2,0)</f>
        <v>7.8548801574189142E-2</v>
      </c>
      <c r="AC406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1081135.3822302525</v>
      </c>
      <c r="AD406" s="58" t="str">
        <f>IF(Table1[[#This Row],[Ask Price]]&gt;Table1[[#This Row],[Calculated Bond Price]],"Rich","Cheap")</f>
        <v>Cheap</v>
      </c>
      <c r="AE40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979252.20069633785</v>
      </c>
      <c r="AF40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1064033.7952104118</v>
      </c>
      <c r="AG406" s="78">
        <f>(Table1[[#This Row],[P (+ shock)]]+Table1[[#This Row],[P (-shock)]]-2*Table1[[#This Row],[Ask Price]])/(2*Table1[[#This Row],[Ask Price]]*($AF$2^2))</f>
        <v>16.107823072302647</v>
      </c>
      <c r="AH406">
        <v>45.4823622671422</v>
      </c>
      <c r="AI406" s="6">
        <f t="shared" si="25"/>
        <v>9.5588235294117641E-2</v>
      </c>
      <c r="AK406" s="47">
        <f>RATE(Table1[[#This Row],[Total No. of Coupons]],Table1[[#This Row],[Coupon Amount]],-Table1[[#This Row],[Ask Price]],Table1[[#This Row],[Face value]])</f>
        <v>9.2327067126397599E-2</v>
      </c>
      <c r="AL406" s="27">
        <f>Table1[[#This Row],[IRR]]*Table1[[#This Row],[Coupon Frequency2]]</f>
        <v>9.2327067126397599E-2</v>
      </c>
      <c r="AM406" s="5">
        <f t="shared" si="26"/>
        <v>-4040446.0223198994</v>
      </c>
      <c r="AN406" t="s">
        <v>64</v>
      </c>
      <c r="AO406" t="s">
        <v>62</v>
      </c>
      <c r="AP406">
        <f t="shared" si="27"/>
        <v>1</v>
      </c>
    </row>
    <row r="407" spans="1:42" x14ac:dyDescent="0.35">
      <c r="A407" s="48" t="s">
        <v>1634</v>
      </c>
      <c r="B407" s="49" t="s">
        <v>2695</v>
      </c>
      <c r="C407" s="49" t="s">
        <v>2273</v>
      </c>
      <c r="D407" s="50">
        <v>45547</v>
      </c>
      <c r="E407" s="50">
        <v>46277</v>
      </c>
      <c r="F407" s="49">
        <v>1000</v>
      </c>
      <c r="G407" s="49" t="s">
        <v>76</v>
      </c>
      <c r="H407" s="49">
        <v>1000.13</v>
      </c>
      <c r="I407" s="49" t="s">
        <v>76</v>
      </c>
      <c r="J407" s="49">
        <v>100.012999999999</v>
      </c>
      <c r="K407" s="49">
        <v>11</v>
      </c>
      <c r="L407" s="51">
        <v>9.2499999999999999E-2</v>
      </c>
      <c r="M407" s="49" t="s">
        <v>93</v>
      </c>
      <c r="N407" s="49">
        <v>360</v>
      </c>
      <c r="O407" s="49">
        <v>9.2487976563046796</v>
      </c>
      <c r="P407" s="49"/>
      <c r="Q407" s="49"/>
      <c r="R407" s="49" t="s">
        <v>2275</v>
      </c>
      <c r="S407">
        <f t="shared" si="24"/>
        <v>2</v>
      </c>
      <c r="T407" s="5" cm="1">
        <f t="array" ref="T4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7">
        <f>Table1[[#This Row],[Term to Maturity (Years)]]*Table1[[#This Row],[Coupon Frequency2]]</f>
        <v>2</v>
      </c>
      <c r="V407">
        <f>Table1[[#This Row],[Face value]]*Table1[[#This Row],[Current coupon %]]</f>
        <v>92.5</v>
      </c>
      <c r="W407" s="36">
        <f>RATE(Table1[[#This Row],[Total No. of Coupons]],Table1[[#This Row],[Coupon Amount]],-Table1[[#This Row],[Ask Price]],Table1[[#This Row],[Face value]])</f>
        <v>9.2425855794544168E-2</v>
      </c>
      <c r="X407" s="27">
        <f>Table1[[#This Row],[IRR]]*Table1[[#This Row],[Coupon Frequency2]]</f>
        <v>9.2425855794544168E-2</v>
      </c>
      <c r="Y407" s="19" cm="1">
        <f t="array" ref="Y4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7" s="33">
        <f>DURATION(Table1[[#This Row],[Issue date]],Table1[[#This Row],[Maturity date]],Table1[[#This Row],[Current coupon %]],Table1[[#This Row],[Yield (Annualised)]],Table1[[#This Row],[Coupon Frequency2]])</f>
        <v>1.9153370674334886</v>
      </c>
      <c r="AA407" s="33">
        <f>Table1[[#This Row],[Macaulay Duration in Years]]/(1+Table1[[#This Row],[IRR]])</f>
        <v>1.7532879300448487</v>
      </c>
      <c r="AB407" s="58">
        <f>VLOOKUP(Table1[[#This Row],[Yield Cluster]],'Cluster Details'!$B$3:$C$16,2,0)</f>
        <v>7.8548801574189142E-2</v>
      </c>
      <c r="AC407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1024.9282700112499</v>
      </c>
      <c r="AD407" s="58" t="str">
        <f>IF(Table1[[#This Row],[Ask Price]]&gt;Table1[[#This Row],[Calculated Bond Price]],"Rich","Cheap")</f>
        <v>Cheap</v>
      </c>
      <c r="AE40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982.82922610725961</v>
      </c>
      <c r="AF40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1017.9052914821701</v>
      </c>
      <c r="AG407" s="78">
        <f>(Table1[[#This Row],[P (+ shock)]]+Table1[[#This Row],[P (-shock)]]-2*Table1[[#This Row],[Ask Price]])/(2*Table1[[#This Row],[Ask Price]]*($AF$2^2))</f>
        <v>2.3722795508071539</v>
      </c>
      <c r="AH407">
        <v>10.7585207717065</v>
      </c>
      <c r="AI407" s="6">
        <f t="shared" si="25"/>
        <v>9.2487976563046803E-2</v>
      </c>
      <c r="AK407" s="47">
        <f>RATE(Table1[[#This Row],[Total No. of Coupons]],Table1[[#This Row],[Coupon Amount]],-Table1[[#This Row],[Ask Price]],Table1[[#This Row],[Face value]])</f>
        <v>9.2425855794544168E-2</v>
      </c>
      <c r="AL407" s="27">
        <f>Table1[[#This Row],[IRR]]*Table1[[#This Row],[Coupon Frequency2]]</f>
        <v>9.2425855794544168E-2</v>
      </c>
      <c r="AM407" s="5">
        <f t="shared" si="26"/>
        <v>-1753.5158574757545</v>
      </c>
      <c r="AN407" t="s">
        <v>64</v>
      </c>
      <c r="AO407" t="s">
        <v>62</v>
      </c>
      <c r="AP407">
        <f t="shared" si="27"/>
        <v>1</v>
      </c>
    </row>
    <row r="408" spans="1:42" x14ac:dyDescent="0.35">
      <c r="A408" s="48" t="s">
        <v>1605</v>
      </c>
      <c r="B408" s="49" t="s">
        <v>2696</v>
      </c>
      <c r="C408" s="49" t="s">
        <v>2273</v>
      </c>
      <c r="D408" s="50">
        <v>42639</v>
      </c>
      <c r="E408" s="50">
        <v>46291</v>
      </c>
      <c r="F408" s="49">
        <v>1000</v>
      </c>
      <c r="G408" s="49" t="s">
        <v>76</v>
      </c>
      <c r="H408" s="49">
        <v>975</v>
      </c>
      <c r="I408" s="49" t="s">
        <v>76</v>
      </c>
      <c r="J408" s="49">
        <v>97.5</v>
      </c>
      <c r="K408" s="49">
        <v>15</v>
      </c>
      <c r="L408" s="51">
        <v>8.8499999999999995E-2</v>
      </c>
      <c r="M408" s="49" t="s">
        <v>93</v>
      </c>
      <c r="N408" s="49">
        <v>374</v>
      </c>
      <c r="O408" s="49">
        <v>9.0769230769230695</v>
      </c>
      <c r="P408" s="49" t="s">
        <v>2279</v>
      </c>
      <c r="Q408" s="49"/>
      <c r="R408" s="49" t="s">
        <v>2275</v>
      </c>
      <c r="S408">
        <f t="shared" si="24"/>
        <v>10</v>
      </c>
      <c r="T408" s="5" cm="1">
        <f t="array" ref="T4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8">
        <f>Table1[[#This Row],[Term to Maturity (Years)]]*Table1[[#This Row],[Coupon Frequency2]]</f>
        <v>10</v>
      </c>
      <c r="V408">
        <f>Table1[[#This Row],[Face value]]*Table1[[#This Row],[Current coupon %]]</f>
        <v>88.5</v>
      </c>
      <c r="W408" s="36">
        <f>RATE(Table1[[#This Row],[Total No. of Coupons]],Table1[[#This Row],[Coupon Amount]],-Table1[[#This Row],[Ask Price]],Table1[[#This Row],[Face value]])</f>
        <v>9.243739490608037E-2</v>
      </c>
      <c r="X408" s="27">
        <f>Table1[[#This Row],[IRR]]*Table1[[#This Row],[Coupon Frequency2]]</f>
        <v>9.243739490608037E-2</v>
      </c>
      <c r="Y408" s="19" cm="1">
        <f t="array" ref="Y4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8" s="33">
        <f>DURATION(Table1[[#This Row],[Issue date]],Table1[[#This Row],[Maturity date]],Table1[[#This Row],[Current coupon %]],Table1[[#This Row],[Yield (Annualised)]],Table1[[#This Row],[Coupon Frequency2]])</f>
        <v>6.9915844783678756</v>
      </c>
      <c r="AA408" s="33">
        <f>Table1[[#This Row],[Macaulay Duration in Years]]/(1+Table1[[#This Row],[IRR]])</f>
        <v>6.3999864074306609</v>
      </c>
      <c r="AB408" s="58">
        <f>VLOOKUP(Table1[[#This Row],[Yield Cluster]],'Cluster Details'!$B$3:$C$16,2,0)</f>
        <v>7.8548801574189142E-2</v>
      </c>
      <c r="AC408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1067.2126389909424</v>
      </c>
      <c r="AD408" s="58" t="str">
        <f>IF(Table1[[#This Row],[Ask Price]]&gt;Table1[[#This Row],[Calculated Bond Price]],"Rich","Cheap")</f>
        <v>Cheap</v>
      </c>
      <c r="AE40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915.2501524868469</v>
      </c>
      <c r="AF40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1040.2371053163884</v>
      </c>
      <c r="AG408" s="78">
        <f>(Table1[[#This Row],[P (+ shock)]]+Table1[[#This Row],[P (-shock)]]-2*Table1[[#This Row],[Ask Price]])/(2*Table1[[#This Row],[Ask Price]]*($AF$2^2))</f>
        <v>28.139783606334625</v>
      </c>
      <c r="AI408" s="6">
        <f t="shared" si="25"/>
        <v>9.0769230769230769E-2</v>
      </c>
      <c r="AK408" s="47">
        <f>RATE(Table1[[#This Row],[Total No. of Coupons]],Table1[[#This Row],[Coupon Amount]],-Table1[[#This Row],[Ask Price]],Table1[[#This Row],[Face value]])</f>
        <v>9.243739490608037E-2</v>
      </c>
      <c r="AL408" s="27">
        <f>Table1[[#This Row],[IRR]]*Table1[[#This Row],[Coupon Frequency2]]</f>
        <v>9.243739490608037E-2</v>
      </c>
      <c r="AM408" s="5">
        <f t="shared" si="26"/>
        <v>-6239.9867472448941</v>
      </c>
      <c r="AN408" t="s">
        <v>64</v>
      </c>
      <c r="AO408" t="s">
        <v>62</v>
      </c>
      <c r="AP408">
        <f t="shared" si="27"/>
        <v>1</v>
      </c>
    </row>
    <row r="409" spans="1:42" x14ac:dyDescent="0.35">
      <c r="A409" s="48" t="s">
        <v>2697</v>
      </c>
      <c r="B409" s="49" t="s">
        <v>2698</v>
      </c>
      <c r="C409" s="49" t="s">
        <v>2273</v>
      </c>
      <c r="D409" s="50">
        <v>45279</v>
      </c>
      <c r="E409" s="50">
        <v>46010</v>
      </c>
      <c r="F409" s="49">
        <v>100000</v>
      </c>
      <c r="G409" s="49" t="s">
        <v>76</v>
      </c>
      <c r="H409" s="49">
        <v>100000</v>
      </c>
      <c r="I409" s="49" t="s">
        <v>76</v>
      </c>
      <c r="J409" s="49">
        <v>100</v>
      </c>
      <c r="K409" s="49">
        <v>1</v>
      </c>
      <c r="L409" s="51">
        <v>9.2499999999999999E-2</v>
      </c>
      <c r="M409" s="49" t="s">
        <v>93</v>
      </c>
      <c r="N409" s="49">
        <v>93</v>
      </c>
      <c r="O409" s="49">
        <v>9.25</v>
      </c>
      <c r="P409" s="49" t="s">
        <v>2285</v>
      </c>
      <c r="Q409" s="49"/>
      <c r="R409" s="49" t="s">
        <v>2275</v>
      </c>
      <c r="S409">
        <f t="shared" si="24"/>
        <v>2</v>
      </c>
      <c r="T409" s="5" cm="1">
        <f t="array" ref="T4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09">
        <f>Table1[[#This Row],[Term to Maturity (Years)]]*Table1[[#This Row],[Coupon Frequency2]]</f>
        <v>2</v>
      </c>
      <c r="V409">
        <f>Table1[[#This Row],[Face value]]*Table1[[#This Row],[Current coupon %]]</f>
        <v>9250</v>
      </c>
      <c r="W409" s="36">
        <f>RATE(Table1[[#This Row],[Total No. of Coupons]],Table1[[#This Row],[Coupon Amount]],-Table1[[#This Row],[Ask Price]],Table1[[#This Row],[Face value]])</f>
        <v>9.2499999999999971E-2</v>
      </c>
      <c r="X409" s="27">
        <f>Table1[[#This Row],[IRR]]*Table1[[#This Row],[Coupon Frequency2]]</f>
        <v>9.2499999999999971E-2</v>
      </c>
      <c r="Y409" s="19" cm="1">
        <f t="array" ref="Y4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09" s="33">
        <f>DURATION(Table1[[#This Row],[Issue date]],Table1[[#This Row],[Maturity date]],Table1[[#This Row],[Current coupon %]],Table1[[#This Row],[Yield (Annualised)]],Table1[[#This Row],[Coupon Frequency2]])</f>
        <v>1.9153318077803203</v>
      </c>
      <c r="AA409" s="33">
        <f>Table1[[#This Row],[Macaulay Duration in Years]]/(1+Table1[[#This Row],[IRR]])</f>
        <v>1.7531641261147095</v>
      </c>
      <c r="AB409" s="58">
        <f>VLOOKUP(Table1[[#This Row],[Yield Cluster]],'Cluster Details'!$B$3:$C$16,2,0)</f>
        <v>7.8548801574189142E-2</v>
      </c>
      <c r="AC409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102492.82700112497</v>
      </c>
      <c r="AD409" s="58" t="str">
        <f>IF(Table1[[#This Row],[Ask Price]]&gt;Table1[[#This Row],[Calculated Bond Price]],"Rich","Cheap")</f>
        <v>Cheap</v>
      </c>
      <c r="AE40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98270.268046750047</v>
      </c>
      <c r="AF40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101777.17092736108</v>
      </c>
      <c r="AG409" s="78">
        <f>(Table1[[#This Row],[P (+ shock)]]+Table1[[#This Row],[P (-shock)]]-2*Table1[[#This Row],[Ask Price]])/(2*Table1[[#This Row],[Ask Price]]*($AF$2^2))</f>
        <v>2.3719487055554054</v>
      </c>
      <c r="AH409">
        <v>85.641590541584407</v>
      </c>
      <c r="AI409" s="6">
        <f t="shared" si="25"/>
        <v>9.2499999999999999E-2</v>
      </c>
      <c r="AK409" s="47">
        <f>RATE(Table1[[#This Row],[Total No. of Coupons]],Table1[[#This Row],[Coupon Amount]],-Table1[[#This Row],[Ask Price]],Table1[[#This Row],[Face value]])</f>
        <v>9.2499999999999971E-2</v>
      </c>
      <c r="AL409" s="27">
        <f>Table1[[#This Row],[IRR]]*Table1[[#This Row],[Coupon Frequency2]]</f>
        <v>9.2499999999999971E-2</v>
      </c>
      <c r="AM409" s="5">
        <f t="shared" si="26"/>
        <v>-175316.41261147097</v>
      </c>
      <c r="AN409" t="s">
        <v>64</v>
      </c>
      <c r="AO409" t="s">
        <v>62</v>
      </c>
      <c r="AP409">
        <f t="shared" si="27"/>
        <v>1</v>
      </c>
    </row>
    <row r="410" spans="1:42" x14ac:dyDescent="0.35">
      <c r="A410" s="48" t="s">
        <v>2135</v>
      </c>
      <c r="B410" s="49" t="s">
        <v>2699</v>
      </c>
      <c r="C410" s="49" t="s">
        <v>2273</v>
      </c>
      <c r="D410" s="50">
        <v>42290</v>
      </c>
      <c r="E410" s="50">
        <v>45943</v>
      </c>
      <c r="F410" s="49">
        <v>1000000</v>
      </c>
      <c r="G410" s="49" t="s">
        <v>76</v>
      </c>
      <c r="H410" s="49">
        <v>1000000</v>
      </c>
      <c r="I410" s="49" t="s">
        <v>76</v>
      </c>
      <c r="J410" s="49">
        <v>100</v>
      </c>
      <c r="K410" s="49">
        <v>1</v>
      </c>
      <c r="L410" s="51">
        <v>9.2499999999999999E-2</v>
      </c>
      <c r="M410" s="49" t="s">
        <v>93</v>
      </c>
      <c r="N410" s="49">
        <v>26</v>
      </c>
      <c r="O410" s="49">
        <v>9.25</v>
      </c>
      <c r="P410" s="49"/>
      <c r="Q410" s="49"/>
      <c r="R410" s="49" t="s">
        <v>2275</v>
      </c>
      <c r="S410">
        <f t="shared" si="24"/>
        <v>10</v>
      </c>
      <c r="T410" s="5" cm="1">
        <f t="array" ref="T4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0">
        <f>Table1[[#This Row],[Term to Maturity (Years)]]*Table1[[#This Row],[Coupon Frequency2]]</f>
        <v>10</v>
      </c>
      <c r="V410">
        <f>Table1[[#This Row],[Face value]]*Table1[[#This Row],[Current coupon %]]</f>
        <v>92500</v>
      </c>
      <c r="W410" s="36">
        <f>RATE(Table1[[#This Row],[Total No. of Coupons]],Table1[[#This Row],[Coupon Amount]],-Table1[[#This Row],[Ask Price]],Table1[[#This Row],[Face value]])</f>
        <v>9.2499999999999999E-2</v>
      </c>
      <c r="X410" s="27">
        <f>Table1[[#This Row],[IRR]]*Table1[[#This Row],[Coupon Frequency2]]</f>
        <v>9.2499999999999999E-2</v>
      </c>
      <c r="Y410" s="19" cm="1">
        <f t="array" ref="Y4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0" s="33">
        <f>DURATION(Table1[[#This Row],[Issue date]],Table1[[#This Row],[Maturity date]],Table1[[#This Row],[Current coupon %]],Table1[[#This Row],[Yield (Annualised)]],Table1[[#This Row],[Coupon Frequency2]])</f>
        <v>6.9347933012766525</v>
      </c>
      <c r="AA410" s="33">
        <f>Table1[[#This Row],[Macaulay Duration in Years]]/(1+Table1[[#This Row],[IRR]])</f>
        <v>6.3476368890404142</v>
      </c>
      <c r="AB410" s="58">
        <f>VLOOKUP(Table1[[#This Row],[Yield Cluster]],'Cluster Details'!$B$3:$C$16,2,0)</f>
        <v>7.8548801574189142E-2</v>
      </c>
      <c r="AC410" s="78">
        <f>PRICE(Table1[[#This Row],[Issue date]],Table1[[#This Row],[Maturity date]],Table1[[#This Row],[Current coupon %]],Table1[[#This Row],[Average Cluster Yield]],100,Table1[[#This Row],[Coupon Frequency2]])*Table1[[#This Row],[Face value]]/100</f>
        <v>1094229.5413236746</v>
      </c>
      <c r="AD410" s="58" t="str">
        <f>IF(Table1[[#This Row],[Ask Price]]&gt;Table1[[#This Row],[Calculated Bond Price]],"Rich","Cheap")</f>
        <v>Cheap</v>
      </c>
      <c r="AE4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939208.73003639013</v>
      </c>
      <c r="AF4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1066350.7066737148</v>
      </c>
      <c r="AG410" s="78">
        <f>(Table1[[#This Row],[P (+ shock)]]+Table1[[#This Row],[P (-shock)]]-2*Table1[[#This Row],[Ask Price]])/(2*Table1[[#This Row],[Ask Price]]*($AF$2^2))</f>
        <v>27.797183550524061</v>
      </c>
      <c r="AH410">
        <v>12.2041745278698</v>
      </c>
      <c r="AI410" s="6">
        <f t="shared" si="25"/>
        <v>9.2499999999999999E-2</v>
      </c>
      <c r="AK410" s="47">
        <f>RATE(Table1[[#This Row],[Total No. of Coupons]],Table1[[#This Row],[Coupon Amount]],-Table1[[#This Row],[Ask Price]],Table1[[#This Row],[Face value]])</f>
        <v>9.2499999999999999E-2</v>
      </c>
      <c r="AL410" s="27">
        <f>Table1[[#This Row],[IRR]]*Table1[[#This Row],[Coupon Frequency2]]</f>
        <v>9.2499999999999999E-2</v>
      </c>
      <c r="AM410" s="5">
        <f t="shared" si="26"/>
        <v>-6347636.8890404142</v>
      </c>
      <c r="AN410" t="s">
        <v>64</v>
      </c>
      <c r="AO410" t="s">
        <v>62</v>
      </c>
      <c r="AP410">
        <f t="shared" si="27"/>
        <v>1</v>
      </c>
    </row>
    <row r="411" spans="1:42" x14ac:dyDescent="0.35">
      <c r="A411" s="48" t="s">
        <v>1562</v>
      </c>
      <c r="B411" s="49" t="s">
        <v>2700</v>
      </c>
      <c r="C411" s="49" t="s">
        <v>2273</v>
      </c>
      <c r="D411" s="50">
        <v>45771</v>
      </c>
      <c r="E411" s="50">
        <v>46319</v>
      </c>
      <c r="F411" s="49">
        <v>1000</v>
      </c>
      <c r="G411" s="49" t="s">
        <v>76</v>
      </c>
      <c r="H411" s="49">
        <v>1019.8</v>
      </c>
      <c r="I411" s="49" t="s">
        <v>76</v>
      </c>
      <c r="J411" s="49">
        <v>101.98</v>
      </c>
      <c r="K411" s="49">
        <v>10</v>
      </c>
      <c r="L411" s="51">
        <v>0.10390000000000001</v>
      </c>
      <c r="M411" s="49" t="s">
        <v>93</v>
      </c>
      <c r="N411" s="49">
        <v>402</v>
      </c>
      <c r="O411" s="49">
        <v>10.188272210237299</v>
      </c>
      <c r="P411" s="49"/>
      <c r="Q411" s="49"/>
      <c r="R411" s="49" t="s">
        <v>2275</v>
      </c>
      <c r="S411">
        <f t="shared" si="24"/>
        <v>2</v>
      </c>
      <c r="T411" s="5" cm="1">
        <f t="array" ref="T4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1">
        <f>Table1[[#This Row],[Term to Maturity (Years)]]*Table1[[#This Row],[Coupon Frequency2]]</f>
        <v>2</v>
      </c>
      <c r="V411">
        <f>Table1[[#This Row],[Face value]]*Table1[[#This Row],[Current coupon %]]</f>
        <v>103.9</v>
      </c>
      <c r="W411" s="36">
        <f>RATE(Table1[[#This Row],[Total No. of Coupons]],Table1[[#This Row],[Coupon Amount]],-Table1[[#This Row],[Ask Price]],Table1[[#This Row],[Face value]])</f>
        <v>9.2604537268623235E-2</v>
      </c>
      <c r="X411" s="27">
        <f>Table1[[#This Row],[IRR]]*Table1[[#This Row],[Coupon Frequency2]]</f>
        <v>9.2604537268623235E-2</v>
      </c>
      <c r="Y411" s="19" cm="1">
        <f t="array" ref="Y4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1" s="33">
        <f>DURATION(Table1[[#This Row],[Issue date]],Table1[[#This Row],[Maturity date]],Table1[[#This Row],[Current coupon %]],Table1[[#This Row],[Yield (Annualised)]],Table1[[#This Row],[Coupon Frequency2]])</f>
        <v>1.4067524263105595</v>
      </c>
      <c r="AA411" s="33">
        <f>Table1[[#This Row],[Macaulay Duration in Years]]/(1+Table1[[#This Row],[IRR]])</f>
        <v>1.2875220432703558</v>
      </c>
      <c r="AB411" s="58">
        <f>VLOOKUP(Table1[[#This Row],[Yield Cluster]],'Cluster Details'!$B$3:$C$16,2,0)</f>
        <v>7.8548801574189142E-2</v>
      </c>
      <c r="AC411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1033.6254760066224</v>
      </c>
      <c r="AD411" s="58" t="str">
        <f>IF(Table1[[#This Row],[Ask Price]]&gt;Table1[[#This Row],[Calculated Bond Price]],"Rich","Cheap")</f>
        <v>Cheap</v>
      </c>
      <c r="AE4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1000.452404284778</v>
      </c>
      <c r="AF4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1027.9049881812543</v>
      </c>
      <c r="AG411" s="78">
        <f>(Table1[[#This Row],[P (+ shock)]]+Table1[[#This Row],[P (-shock)]]-2*Table1[[#This Row],[Ask Price]])/(2*Table1[[#This Row],[Ask Price]]*($AF$2^2))</f>
        <v>-55.121629407568427</v>
      </c>
      <c r="AI411" s="6">
        <f t="shared" si="25"/>
        <v>0.10188272210237302</v>
      </c>
      <c r="AK411" s="47">
        <f>RATE(Table1[[#This Row],[Total No. of Coupons]],Table1[[#This Row],[Coupon Amount]],-Table1[[#This Row],[Ask Price]],Table1[[#This Row],[Face value]])</f>
        <v>9.2604537268623235E-2</v>
      </c>
      <c r="AL411" s="27">
        <f>Table1[[#This Row],[IRR]]*Table1[[#This Row],[Coupon Frequency2]]</f>
        <v>9.2604537268623235E-2</v>
      </c>
      <c r="AM411" s="5">
        <f t="shared" si="26"/>
        <v>-1313.0149797271088</v>
      </c>
      <c r="AN411" t="s">
        <v>503</v>
      </c>
      <c r="AO411" t="s">
        <v>62</v>
      </c>
      <c r="AP411">
        <f t="shared" si="27"/>
        <v>1</v>
      </c>
    </row>
    <row r="412" spans="1:42" x14ac:dyDescent="0.35">
      <c r="A412" s="48" t="s">
        <v>1324</v>
      </c>
      <c r="B412" s="49" t="s">
        <v>2701</v>
      </c>
      <c r="C412" s="49" t="s">
        <v>2273</v>
      </c>
      <c r="D412" s="50">
        <v>45135</v>
      </c>
      <c r="E412" s="50">
        <v>46486</v>
      </c>
      <c r="F412" s="49">
        <v>100000</v>
      </c>
      <c r="G412" s="49" t="s">
        <v>76</v>
      </c>
      <c r="H412" s="49">
        <v>103890</v>
      </c>
      <c r="I412" s="49" t="s">
        <v>76</v>
      </c>
      <c r="J412" s="49">
        <v>103.88999999999901</v>
      </c>
      <c r="K412" s="49">
        <v>9</v>
      </c>
      <c r="L412" s="51">
        <v>0.1047</v>
      </c>
      <c r="M412" s="49" t="s">
        <v>93</v>
      </c>
      <c r="N412" s="49">
        <v>569</v>
      </c>
      <c r="O412" s="49">
        <v>10.0779670805659</v>
      </c>
      <c r="P412" s="49"/>
      <c r="Q412" s="49"/>
      <c r="R412" s="49" t="s">
        <v>2275</v>
      </c>
      <c r="S412">
        <f t="shared" si="24"/>
        <v>4</v>
      </c>
      <c r="T412" s="5" cm="1">
        <f t="array" ref="T4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2">
        <f>Table1[[#This Row],[Term to Maturity (Years)]]*Table1[[#This Row],[Coupon Frequency2]]</f>
        <v>4</v>
      </c>
      <c r="V412">
        <f>Table1[[#This Row],[Face value]]*Table1[[#This Row],[Current coupon %]]</f>
        <v>10470</v>
      </c>
      <c r="W412" s="36">
        <f>RATE(Table1[[#This Row],[Total No. of Coupons]],Table1[[#This Row],[Coupon Amount]],-Table1[[#This Row],[Ask Price]],Table1[[#This Row],[Face value]])</f>
        <v>9.2623571410249739E-2</v>
      </c>
      <c r="X412" s="27">
        <f>Table1[[#This Row],[IRR]]*Table1[[#This Row],[Coupon Frequency2]]</f>
        <v>9.2623571410249739E-2</v>
      </c>
      <c r="Y412" s="19" cm="1">
        <f t="array" ref="Y4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2" s="33">
        <f>DURATION(Table1[[#This Row],[Issue date]],Table1[[#This Row],[Maturity date]],Table1[[#This Row],[Current coupon %]],Table1[[#This Row],[Yield (Annualised)]],Table1[[#This Row],[Coupon Frequency2]])</f>
        <v>3.1744171081458648</v>
      </c>
      <c r="AA412" s="33">
        <f>Table1[[#This Row],[Macaulay Duration in Years]]/(1+Table1[[#This Row],[IRR]])</f>
        <v>2.9053163332808603</v>
      </c>
      <c r="AB412" s="58">
        <f>VLOOKUP(Table1[[#This Row],[Yield Cluster]],'Cluster Details'!$B$3:$C$16,2,0)</f>
        <v>7.8548801574189142E-2</v>
      </c>
      <c r="AC412" s="78">
        <f>PRICE(Table1[[#This Row],[Issue date]],Table1[[#This Row],[Maturity date]],Table1[[#This Row],[Current coupon %]],Table1[[#This Row],[Average Cluster Yield]],100,Table1[[#This Row],[Coupon Frequency2]])*Table1[[#This Row],[Face value]]/100</f>
        <v>108036.73028420396</v>
      </c>
      <c r="AD412" s="58" t="str">
        <f>IF(Table1[[#This Row],[Ask Price]]&gt;Table1[[#This Row],[Calculated Bond Price]],"Rich","Cheap")</f>
        <v>Cheap</v>
      </c>
      <c r="AE4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100506.13347611237</v>
      </c>
      <c r="AF4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106709.05663912266</v>
      </c>
      <c r="AG412" s="78">
        <f>(Table1[[#This Row],[P (+ shock)]]+Table1[[#This Row],[P (-shock)]]-2*Table1[[#This Row],[Ask Price]])/(2*Table1[[#This Row],[Ask Price]]*($AF$2^2))</f>
        <v>-27.183072709835042</v>
      </c>
      <c r="AH412">
        <v>7.4285929170949396</v>
      </c>
      <c r="AI412" s="6">
        <f t="shared" si="25"/>
        <v>0.10077967080565983</v>
      </c>
      <c r="AK412" s="47">
        <f>RATE(Table1[[#This Row],[Total No. of Coupons]],Table1[[#This Row],[Coupon Amount]],-Table1[[#This Row],[Ask Price]],Table1[[#This Row],[Face value]])</f>
        <v>9.2623571410249739E-2</v>
      </c>
      <c r="AL412" s="27">
        <f>Table1[[#This Row],[IRR]]*Table1[[#This Row],[Coupon Frequency2]]</f>
        <v>9.2623571410249739E-2</v>
      </c>
      <c r="AM412" s="5">
        <f t="shared" si="26"/>
        <v>-301833.31386454857</v>
      </c>
      <c r="AN412" t="s">
        <v>64</v>
      </c>
      <c r="AO412" t="s">
        <v>62</v>
      </c>
      <c r="AP412">
        <f t="shared" si="27"/>
        <v>1</v>
      </c>
    </row>
    <row r="413" spans="1:42" x14ac:dyDescent="0.35">
      <c r="A413" s="48" t="s">
        <v>795</v>
      </c>
      <c r="B413" s="49" t="s">
        <v>2702</v>
      </c>
      <c r="C413" s="49" t="s">
        <v>2273</v>
      </c>
      <c r="D413" s="50">
        <v>45281</v>
      </c>
      <c r="E413" s="50">
        <v>47108</v>
      </c>
      <c r="F413" s="49">
        <v>1000</v>
      </c>
      <c r="G413" s="49" t="s">
        <v>76</v>
      </c>
      <c r="H413" s="49">
        <v>1047.5</v>
      </c>
      <c r="I413" s="49" t="s">
        <v>76</v>
      </c>
      <c r="J413" s="49">
        <v>104.75</v>
      </c>
      <c r="K413" s="49">
        <v>15</v>
      </c>
      <c r="L413" s="51">
        <v>0.105</v>
      </c>
      <c r="M413" s="49" t="s">
        <v>93</v>
      </c>
      <c r="N413" s="49">
        <v>1191</v>
      </c>
      <c r="O413" s="49">
        <v>10.0238663484486</v>
      </c>
      <c r="P413" s="49"/>
      <c r="Q413" s="49"/>
      <c r="R413" s="49" t="s">
        <v>2275</v>
      </c>
      <c r="S413">
        <f t="shared" si="24"/>
        <v>5</v>
      </c>
      <c r="T413" s="5" cm="1">
        <f t="array" ref="T4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3">
        <f>Table1[[#This Row],[Term to Maturity (Years)]]*Table1[[#This Row],[Coupon Frequency2]]</f>
        <v>5</v>
      </c>
      <c r="V413">
        <f>Table1[[#This Row],[Face value]]*Table1[[#This Row],[Current coupon %]]</f>
        <v>105</v>
      </c>
      <c r="W413" s="36">
        <f>RATE(Table1[[#This Row],[Total No. of Coupons]],Table1[[#This Row],[Coupon Amount]],-Table1[[#This Row],[Ask Price]],Table1[[#This Row],[Face value]])</f>
        <v>9.270236199626232E-2</v>
      </c>
      <c r="X413" s="27">
        <f>Table1[[#This Row],[IRR]]*Table1[[#This Row],[Coupon Frequency2]]</f>
        <v>9.270236199626232E-2</v>
      </c>
      <c r="Y413" s="19" cm="1">
        <f t="array" ref="Y4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3" s="33">
        <f>DURATION(Table1[[#This Row],[Issue date]],Table1[[#This Row],[Maturity date]],Table1[[#This Row],[Current coupon %]],Table1[[#This Row],[Yield (Annualised)]],Table1[[#This Row],[Coupon Frequency2]])</f>
        <v>4.1572338599223775</v>
      </c>
      <c r="AA413" s="33">
        <f>Table1[[#This Row],[Macaulay Duration in Years]]/(1+Table1[[#This Row],[IRR]])</f>
        <v>3.8045436749377113</v>
      </c>
      <c r="AB413" s="58">
        <f>VLOOKUP(Table1[[#This Row],[Yield Cluster]],'Cluster Details'!$B$3:$C$16,2,0)</f>
        <v>7.8548801574189142E-2</v>
      </c>
      <c r="AC413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413" s="58" t="str">
        <f>IF(Table1[[#This Row],[Ask Price]]&gt;Table1[[#This Row],[Calculated Bond Price]],"Rich","Cheap")</f>
        <v>Cheap</v>
      </c>
      <c r="AE4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1008.6500580147535</v>
      </c>
      <c r="AF4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1088.3974965342691</v>
      </c>
      <c r="AG413" s="78">
        <f>(Table1[[#This Row],[P (+ shock)]]+Table1[[#This Row],[P (-shock)]]-2*Table1[[#This Row],[Ask Price]])/(2*Table1[[#This Row],[Ask Price]]*($AF$2^2))</f>
        <v>9.7735300669336826</v>
      </c>
      <c r="AH413">
        <v>12.4869748364926</v>
      </c>
      <c r="AI413" s="6">
        <f t="shared" si="25"/>
        <v>0.10023866348448687</v>
      </c>
      <c r="AK413" s="47">
        <f>RATE(Table1[[#This Row],[Total No. of Coupons]],Table1[[#This Row],[Coupon Amount]],-Table1[[#This Row],[Ask Price]],Table1[[#This Row],[Face value]])</f>
        <v>9.270236199626232E-2</v>
      </c>
      <c r="AL413" s="27">
        <f>Table1[[#This Row],[IRR]]*Table1[[#This Row],[Coupon Frequency2]]</f>
        <v>9.270236199626232E-2</v>
      </c>
      <c r="AM413" s="5">
        <f t="shared" si="26"/>
        <v>-3985.2594994972524</v>
      </c>
      <c r="AN413" t="s">
        <v>64</v>
      </c>
      <c r="AO413" t="s">
        <v>62</v>
      </c>
      <c r="AP413">
        <f t="shared" si="27"/>
        <v>1</v>
      </c>
    </row>
    <row r="414" spans="1:42" x14ac:dyDescent="0.35">
      <c r="A414" s="48" t="s">
        <v>1269</v>
      </c>
      <c r="B414" s="49" t="s">
        <v>2703</v>
      </c>
      <c r="C414" s="49" t="s">
        <v>2273</v>
      </c>
      <c r="D414" s="50">
        <v>45796</v>
      </c>
      <c r="E414" s="50">
        <v>46526</v>
      </c>
      <c r="F414" s="49">
        <v>1000</v>
      </c>
      <c r="G414" s="49" t="s">
        <v>76</v>
      </c>
      <c r="H414" s="49">
        <v>1002</v>
      </c>
      <c r="I414" s="49" t="s">
        <v>76</v>
      </c>
      <c r="J414" s="49">
        <v>100.2</v>
      </c>
      <c r="K414" s="49">
        <v>3</v>
      </c>
      <c r="L414" s="51">
        <v>9.4E-2</v>
      </c>
      <c r="M414" s="49" t="s">
        <v>93</v>
      </c>
      <c r="N414" s="49">
        <v>609</v>
      </c>
      <c r="O414" s="49">
        <v>9.3812375249500999</v>
      </c>
      <c r="P414" s="49"/>
      <c r="Q414" s="49"/>
      <c r="R414" s="49" t="s">
        <v>2275</v>
      </c>
      <c r="S414">
        <f t="shared" si="24"/>
        <v>2</v>
      </c>
      <c r="T414" s="5" cm="1">
        <f t="array" ref="T4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4">
        <f>Table1[[#This Row],[Term to Maturity (Years)]]*Table1[[#This Row],[Coupon Frequency2]]</f>
        <v>2</v>
      </c>
      <c r="V414">
        <f>Table1[[#This Row],[Face value]]*Table1[[#This Row],[Current coupon %]]</f>
        <v>94</v>
      </c>
      <c r="W414" s="36">
        <f>RATE(Table1[[#This Row],[Total No. of Coupons]],Table1[[#This Row],[Coupon Amount]],-Table1[[#This Row],[Ask Price]],Table1[[#This Row],[Face value]])</f>
        <v>9.2858651985802274E-2</v>
      </c>
      <c r="X414" s="27">
        <f>Table1[[#This Row],[IRR]]*Table1[[#This Row],[Coupon Frequency2]]</f>
        <v>9.2858651985802274E-2</v>
      </c>
      <c r="Y414" s="19" cm="1">
        <f t="array" ref="Y4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4" s="33">
        <f>DURATION(Table1[[#This Row],[Issue date]],Table1[[#This Row],[Maturity date]],Table1[[#This Row],[Current coupon %]],Table1[[#This Row],[Yield (Annualised)]],Table1[[#This Row],[Coupon Frequency2]])</f>
        <v>1.9141587294211952</v>
      </c>
      <c r="AA414" s="33">
        <f>Table1[[#This Row],[Macaulay Duration in Years]]/(1+Table1[[#This Row],[IRR]])</f>
        <v>1.7515153729560835</v>
      </c>
      <c r="AB414" s="58">
        <f>VLOOKUP(Table1[[#This Row],[Yield Cluster]],'Cluster Details'!$B$3:$C$16,2,0)</f>
        <v>7.8548801574189142E-2</v>
      </c>
      <c r="AC414" s="78">
        <f>PRICE(Table1[[#This Row],[Issue date]],Table1[[#This Row],[Maturity date]],Table1[[#This Row],[Current coupon %]],Table1[[#This Row],[Average Cluster Yield]],100,Table1[[#This Row],[Coupon Frequency2]])*Table1[[#This Row],[Face value]]/100</f>
        <v>1027.6084988973716</v>
      </c>
      <c r="AD414" s="58" t="str">
        <f>IF(Table1[[#This Row],[Ask Price]]&gt;Table1[[#This Row],[Calculated Bond Price]],"Rich","Cheap")</f>
        <v>Cheap</v>
      </c>
      <c r="AE4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984.68425901383307</v>
      </c>
      <c r="AF4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1019.790373792931</v>
      </c>
      <c r="AG414" s="78">
        <f>(Table1[[#This Row],[P (+ shock)]]+Table1[[#This Row],[P (-shock)]]-2*Table1[[#This Row],[Ask Price]])/(2*Table1[[#This Row],[Ask Price]]*($AF$2^2))</f>
        <v>2.3684271794611806</v>
      </c>
      <c r="AH414">
        <v>10.185789536833401</v>
      </c>
      <c r="AI414" s="6">
        <f t="shared" si="25"/>
        <v>9.3812375249500993E-2</v>
      </c>
      <c r="AK414" s="47">
        <f>RATE(Table1[[#This Row],[Total No. of Coupons]],Table1[[#This Row],[Coupon Amount]],-Table1[[#This Row],[Ask Price]],Table1[[#This Row],[Face value]])</f>
        <v>9.2858651985802274E-2</v>
      </c>
      <c r="AL414" s="27">
        <f>Table1[[#This Row],[IRR]]*Table1[[#This Row],[Coupon Frequency2]]</f>
        <v>9.2858651985802274E-2</v>
      </c>
      <c r="AM414" s="5">
        <f t="shared" si="26"/>
        <v>-1755.0184037019956</v>
      </c>
      <c r="AN414" t="s">
        <v>64</v>
      </c>
      <c r="AO414" t="s">
        <v>62</v>
      </c>
      <c r="AP414">
        <f t="shared" si="27"/>
        <v>1</v>
      </c>
    </row>
    <row r="415" spans="1:42" x14ac:dyDescent="0.35">
      <c r="A415" s="48" t="s">
        <v>1170</v>
      </c>
      <c r="B415" s="49" t="s">
        <v>2704</v>
      </c>
      <c r="C415" s="49" t="s">
        <v>2273</v>
      </c>
      <c r="D415" s="50">
        <v>45547</v>
      </c>
      <c r="E415" s="50">
        <v>46642</v>
      </c>
      <c r="F415" s="49">
        <v>1000</v>
      </c>
      <c r="G415" s="49" t="s">
        <v>76</v>
      </c>
      <c r="H415" s="49">
        <v>1009</v>
      </c>
      <c r="I415" s="49" t="s">
        <v>76</v>
      </c>
      <c r="J415" s="49">
        <v>100.899999999999</v>
      </c>
      <c r="K415" s="49">
        <v>1432</v>
      </c>
      <c r="L415" s="51">
        <v>9.6500000000000002E-2</v>
      </c>
      <c r="M415" s="49" t="s">
        <v>93</v>
      </c>
      <c r="N415" s="49">
        <v>725</v>
      </c>
      <c r="O415" s="49">
        <v>9.5639246778989104</v>
      </c>
      <c r="P415" s="49"/>
      <c r="Q415" s="49"/>
      <c r="R415" s="49" t="s">
        <v>2275</v>
      </c>
      <c r="S415">
        <f t="shared" si="24"/>
        <v>3</v>
      </c>
      <c r="T415" s="5" cm="1">
        <f t="array" ref="T4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5">
        <f>Table1[[#This Row],[Term to Maturity (Years)]]*Table1[[#This Row],[Coupon Frequency2]]</f>
        <v>3</v>
      </c>
      <c r="V415">
        <f>Table1[[#This Row],[Face value]]*Table1[[#This Row],[Current coupon %]]</f>
        <v>96.5</v>
      </c>
      <c r="W415" s="36">
        <f>RATE(Table1[[#This Row],[Total No. of Coupons]],Table1[[#This Row],[Coupon Amount]],-Table1[[#This Row],[Ask Price]],Table1[[#This Row],[Face value]])</f>
        <v>9.2925951472983562E-2</v>
      </c>
      <c r="X415" s="27">
        <f>Table1[[#This Row],[IRR]]*Table1[[#This Row],[Coupon Frequency2]]</f>
        <v>9.2925951472983562E-2</v>
      </c>
      <c r="Y415" s="19" cm="1">
        <f t="array" ref="Y4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5" s="33">
        <f>DURATION(Table1[[#This Row],[Issue date]],Table1[[#This Row],[Maturity date]],Table1[[#This Row],[Current coupon %]],Table1[[#This Row],[Yield (Annualised)]],Table1[[#This Row],[Coupon Frequency2]])</f>
        <v>2.7449177414168373</v>
      </c>
      <c r="AA415" s="33">
        <f>Table1[[#This Row],[Macaulay Duration in Years]]/(1+Table1[[#This Row],[IRR]])</f>
        <v>2.511531305224652</v>
      </c>
      <c r="AB415" s="58">
        <f>VLOOKUP(Table1[[#This Row],[Yield Cluster]],'Cluster Details'!$B$3:$C$16,2,0)</f>
        <v>7.8548801574189142E-2</v>
      </c>
      <c r="AC415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1046.3833860773871</v>
      </c>
      <c r="AD415" s="58" t="str">
        <f>IF(Table1[[#This Row],[Ask Price]]&gt;Table1[[#This Row],[Calculated Bond Price]],"Rich","Cheap")</f>
        <v>Cheap</v>
      </c>
      <c r="AE4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984.10156962372275</v>
      </c>
      <c r="AF4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1034.797771534267</v>
      </c>
      <c r="AG415" s="78">
        <f>(Table1[[#This Row],[P (+ shock)]]+Table1[[#This Row],[P (-shock)]]-2*Table1[[#This Row],[Ask Price]])/(2*Table1[[#This Row],[Ask Price]]*($AF$2^2))</f>
        <v>4.4565964221493477</v>
      </c>
      <c r="AH415">
        <v>7.6124782500621402</v>
      </c>
      <c r="AI415" s="6">
        <f t="shared" si="25"/>
        <v>9.5639246778989093E-2</v>
      </c>
      <c r="AK415" s="47">
        <f>RATE(Table1[[#This Row],[Total No. of Coupons]],Table1[[#This Row],[Coupon Amount]],-Table1[[#This Row],[Ask Price]],Table1[[#This Row],[Face value]])</f>
        <v>9.2925951472983562E-2</v>
      </c>
      <c r="AL415" s="27">
        <f>Table1[[#This Row],[IRR]]*Table1[[#This Row],[Coupon Frequency2]]</f>
        <v>9.2925951472983562E-2</v>
      </c>
      <c r="AM415" s="5">
        <f t="shared" si="26"/>
        <v>-2534.1350869716739</v>
      </c>
      <c r="AN415" t="s">
        <v>64</v>
      </c>
      <c r="AO415" t="s">
        <v>62</v>
      </c>
      <c r="AP415">
        <f t="shared" si="27"/>
        <v>1</v>
      </c>
    </row>
    <row r="416" spans="1:42" x14ac:dyDescent="0.35">
      <c r="A416" s="48" t="s">
        <v>1781</v>
      </c>
      <c r="B416" s="49" t="s">
        <v>2705</v>
      </c>
      <c r="C416" s="49" t="s">
        <v>2273</v>
      </c>
      <c r="D416" s="50">
        <v>45455</v>
      </c>
      <c r="E416" s="50">
        <v>46185</v>
      </c>
      <c r="F416" s="49">
        <v>1000</v>
      </c>
      <c r="G416" s="49" t="s">
        <v>76</v>
      </c>
      <c r="H416" s="49">
        <v>1001</v>
      </c>
      <c r="I416" s="49" t="s">
        <v>76</v>
      </c>
      <c r="J416" s="49">
        <v>100.1</v>
      </c>
      <c r="K416" s="49">
        <v>4</v>
      </c>
      <c r="L416" s="51">
        <v>9.35E-2</v>
      </c>
      <c r="M416" s="49" t="s">
        <v>93</v>
      </c>
      <c r="N416" s="49">
        <v>268</v>
      </c>
      <c r="O416" s="49">
        <v>9.3406593406593394</v>
      </c>
      <c r="P416" s="49"/>
      <c r="Q416" s="49"/>
      <c r="R416" s="49" t="s">
        <v>2275</v>
      </c>
      <c r="S416">
        <f t="shared" si="24"/>
        <v>2</v>
      </c>
      <c r="T416" s="5" cm="1">
        <f t="array" ref="T4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6">
        <f>Table1[[#This Row],[Term to Maturity (Years)]]*Table1[[#This Row],[Coupon Frequency2]]</f>
        <v>2</v>
      </c>
      <c r="V416">
        <f>Table1[[#This Row],[Face value]]*Table1[[#This Row],[Current coupon %]]</f>
        <v>93.5</v>
      </c>
      <c r="W416" s="36">
        <f>RATE(Table1[[#This Row],[Total No. of Coupons]],Table1[[#This Row],[Coupon Amount]],-Table1[[#This Row],[Ask Price]],Table1[[#This Row],[Face value]])</f>
        <v>9.2929271495811788E-2</v>
      </c>
      <c r="X416" s="27">
        <f>Table1[[#This Row],[IRR]]*Table1[[#This Row],[Coupon Frequency2]]</f>
        <v>9.2929271495811788E-2</v>
      </c>
      <c r="Y416" s="19" cm="1">
        <f t="array" ref="Y4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6" s="33">
        <f>DURATION(Table1[[#This Row],[Issue date]],Table1[[#This Row],[Maturity date]],Table1[[#This Row],[Current coupon %]],Table1[[#This Row],[Yield (Annualised)]],Table1[[#This Row],[Coupon Frequency2]])</f>
        <v>1.9145355551885304</v>
      </c>
      <c r="AA416" s="33">
        <f>Table1[[#This Row],[Macaulay Duration in Years]]/(1+Table1[[#This Row],[IRR]])</f>
        <v>1.7517469841101854</v>
      </c>
      <c r="AB416" s="58">
        <f>VLOOKUP(Table1[[#This Row],[Yield Cluster]],'Cluster Details'!$B$3:$C$16,2,0)</f>
        <v>7.8548801574189142E-2</v>
      </c>
      <c r="AC416" s="78">
        <f>PRICE(Table1[[#This Row],[Issue date]],Table1[[#This Row],[Maturity date]],Table1[[#This Row],[Current coupon %]],Table1[[#This Row],[Average Cluster Yield]],100,Table1[[#This Row],[Coupon Frequency2]])*Table1[[#This Row],[Face value]]/100</f>
        <v>1026.7150892686643</v>
      </c>
      <c r="AD416" s="58" t="str">
        <f>IF(Table1[[#This Row],[Ask Price]]&gt;Table1[[#This Row],[Calculated Bond Price]],"Rich","Cheap")</f>
        <v>Cheap</v>
      </c>
      <c r="AE4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983.69925398078908</v>
      </c>
      <c r="AF4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1018.7749701934666</v>
      </c>
      <c r="AG416" s="78">
        <f>(Table1[[#This Row],[P (+ shock)]]+Table1[[#This Row],[P (-shock)]]-2*Table1[[#This Row],[Ask Price]])/(2*Table1[[#This Row],[Ask Price]]*($AF$2^2))</f>
        <v>2.3687521191588217</v>
      </c>
      <c r="AH416">
        <v>10.55</v>
      </c>
      <c r="AI416" s="6">
        <f t="shared" si="25"/>
        <v>9.3406593406593408E-2</v>
      </c>
      <c r="AK416" s="47">
        <f>RATE(Table1[[#This Row],[Total No. of Coupons]],Table1[[#This Row],[Coupon Amount]],-Table1[[#This Row],[Ask Price]],Table1[[#This Row],[Face value]])</f>
        <v>9.2929271495811788E-2</v>
      </c>
      <c r="AL416" s="27">
        <f>Table1[[#This Row],[IRR]]*Table1[[#This Row],[Coupon Frequency2]]</f>
        <v>9.2929271495811788E-2</v>
      </c>
      <c r="AM416" s="5">
        <f t="shared" si="26"/>
        <v>-1753.4987310942956</v>
      </c>
      <c r="AN416" t="s">
        <v>64</v>
      </c>
      <c r="AO416" t="s">
        <v>62</v>
      </c>
      <c r="AP416">
        <f t="shared" si="27"/>
        <v>1</v>
      </c>
    </row>
    <row r="417" spans="1:42" x14ac:dyDescent="0.35">
      <c r="A417" s="48" t="s">
        <v>1544</v>
      </c>
      <c r="B417" s="49" t="s">
        <v>2706</v>
      </c>
      <c r="C417" s="49" t="s">
        <v>2273</v>
      </c>
      <c r="D417" s="50">
        <v>40847</v>
      </c>
      <c r="E417" s="50">
        <v>46326</v>
      </c>
      <c r="F417" s="49">
        <v>10000</v>
      </c>
      <c r="G417" s="49" t="s">
        <v>76</v>
      </c>
      <c r="H417" s="49">
        <v>11150</v>
      </c>
      <c r="I417" s="49" t="s">
        <v>76</v>
      </c>
      <c r="J417" s="49">
        <v>111.5</v>
      </c>
      <c r="K417" s="49">
        <v>10</v>
      </c>
      <c r="L417" s="51">
        <v>0.1075</v>
      </c>
      <c r="M417" s="49" t="s">
        <v>93</v>
      </c>
      <c r="N417" s="49">
        <v>409</v>
      </c>
      <c r="O417" s="49">
        <v>9.6412556053811596</v>
      </c>
      <c r="P417" s="49"/>
      <c r="Q417" s="49"/>
      <c r="R417" s="49" t="s">
        <v>2275</v>
      </c>
      <c r="S417">
        <f t="shared" si="24"/>
        <v>15</v>
      </c>
      <c r="T417" s="5" cm="1">
        <f t="array" ref="T4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7">
        <f>Table1[[#This Row],[Term to Maturity (Years)]]*Table1[[#This Row],[Coupon Frequency2]]</f>
        <v>15</v>
      </c>
      <c r="V417">
        <f>Table1[[#This Row],[Face value]]*Table1[[#This Row],[Current coupon %]]</f>
        <v>1075</v>
      </c>
      <c r="W417" s="36">
        <f>RATE(Table1[[#This Row],[Total No. of Coupons]],Table1[[#This Row],[Coupon Amount]],-Table1[[#This Row],[Ask Price]],Table1[[#This Row],[Face value]])</f>
        <v>9.2981203389260608E-2</v>
      </c>
      <c r="X417" s="27">
        <f>Table1[[#This Row],[IRR]]*Table1[[#This Row],[Coupon Frequency2]]</f>
        <v>9.2981203389260608E-2</v>
      </c>
      <c r="Y417" s="19" cm="1">
        <f t="array" ref="Y4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7" s="33">
        <f>DURATION(Table1[[#This Row],[Issue date]],Table1[[#This Row],[Maturity date]],Table1[[#This Row],[Current coupon %]],Table1[[#This Row],[Yield (Annualised)]],Table1[[#This Row],[Coupon Frequency2]])</f>
        <v>8.4231779357308891</v>
      </c>
      <c r="AA417" s="33">
        <f>Table1[[#This Row],[Macaulay Duration in Years]]/(1+Table1[[#This Row],[IRR]])</f>
        <v>7.7066082285872675</v>
      </c>
      <c r="AB417" s="58">
        <f>VLOOKUP(Table1[[#This Row],[Yield Cluster]],'Cluster Details'!$B$3:$C$16,2,0)</f>
        <v>7.8548801574189142E-2</v>
      </c>
      <c r="AC417" s="78">
        <f>PRICE(Table1[[#This Row],[Issue date]],Table1[[#This Row],[Maturity date]],Table1[[#This Row],[Current coupon %]],Table1[[#This Row],[Average Cluster Yield]],100,Table1[[#This Row],[Coupon Frequency2]])*Table1[[#This Row],[Face value]]/100</f>
        <v>12500.181838173588</v>
      </c>
      <c r="AD417" s="58" t="str">
        <f>IF(Table1[[#This Row],[Ask Price]]&gt;Table1[[#This Row],[Calculated Bond Price]],"Rich","Cheap")</f>
        <v>Cheap</v>
      </c>
      <c r="AE4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10337.932574824525</v>
      </c>
      <c r="AF4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12061.012462374369</v>
      </c>
      <c r="AG417" s="78">
        <f>(Table1[[#This Row],[P (+ shock)]]+Table1[[#This Row],[P (-shock)]]-2*Table1[[#This Row],[Ask Price]])/(2*Table1[[#This Row],[Ask Price]]*($AF$2^2))</f>
        <v>44.369971838068729</v>
      </c>
      <c r="AH417">
        <v>4.6318877991310297</v>
      </c>
      <c r="AI417" s="6">
        <f t="shared" si="25"/>
        <v>9.641255605381166E-2</v>
      </c>
      <c r="AK417" s="47">
        <f>RATE(Table1[[#This Row],[Total No. of Coupons]],Table1[[#This Row],[Coupon Amount]],-Table1[[#This Row],[Ask Price]],Table1[[#This Row],[Face value]])</f>
        <v>9.2981203389260608E-2</v>
      </c>
      <c r="AL417" s="27">
        <f>Table1[[#This Row],[IRR]]*Table1[[#This Row],[Coupon Frequency2]]</f>
        <v>9.2981203389260608E-2</v>
      </c>
      <c r="AM417" s="5">
        <f t="shared" si="26"/>
        <v>-85928.681748748029</v>
      </c>
      <c r="AN417" t="s">
        <v>64</v>
      </c>
      <c r="AO417" t="s">
        <v>62</v>
      </c>
      <c r="AP417">
        <f t="shared" si="27"/>
        <v>1</v>
      </c>
    </row>
    <row r="418" spans="1:42" x14ac:dyDescent="0.35">
      <c r="A418" s="48" t="s">
        <v>263</v>
      </c>
      <c r="B418" s="49" t="s">
        <v>2707</v>
      </c>
      <c r="C418" s="49" t="s">
        <v>2273</v>
      </c>
      <c r="D418" s="50">
        <v>42940</v>
      </c>
      <c r="E418" s="50">
        <v>48419</v>
      </c>
      <c r="F418" s="49">
        <v>1000</v>
      </c>
      <c r="G418" s="49" t="s">
        <v>76</v>
      </c>
      <c r="H418" s="49">
        <v>893.20001000000002</v>
      </c>
      <c r="I418" s="49" t="s">
        <v>76</v>
      </c>
      <c r="J418" s="49">
        <v>89.320001000000005</v>
      </c>
      <c r="K418" s="49">
        <v>400</v>
      </c>
      <c r="L418" s="51">
        <v>7.9500000000000001E-2</v>
      </c>
      <c r="M418" s="49" t="s">
        <v>93</v>
      </c>
      <c r="N418" s="49">
        <v>2502</v>
      </c>
      <c r="O418" s="49">
        <v>8.90058207679599</v>
      </c>
      <c r="P418" s="49"/>
      <c r="Q418" s="49"/>
      <c r="R418" s="49" t="s">
        <v>2275</v>
      </c>
      <c r="S418">
        <f t="shared" si="24"/>
        <v>15</v>
      </c>
      <c r="T418" s="5" cm="1">
        <f t="array" ref="T4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8">
        <f>Table1[[#This Row],[Term to Maturity (Years)]]*Table1[[#This Row],[Coupon Frequency2]]</f>
        <v>15</v>
      </c>
      <c r="V418">
        <f>Table1[[#This Row],[Face value]]*Table1[[#This Row],[Current coupon %]]</f>
        <v>79.5</v>
      </c>
      <c r="W418" s="36">
        <f>RATE(Table1[[#This Row],[Total No. of Coupons]],Table1[[#This Row],[Coupon Amount]],-Table1[[#This Row],[Ask Price]],Table1[[#This Row],[Face value]])</f>
        <v>9.2983742081054407E-2</v>
      </c>
      <c r="X418" s="27">
        <f>Table1[[#This Row],[IRR]]*Table1[[#This Row],[Coupon Frequency2]]</f>
        <v>9.2983742081054407E-2</v>
      </c>
      <c r="Y418" s="19" cm="1">
        <f t="array" ref="Y4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8" s="33">
        <f>DURATION(Table1[[#This Row],[Issue date]],Table1[[#This Row],[Maturity date]],Table1[[#This Row],[Current coupon %]],Table1[[#This Row],[Yield (Annualised)]],Table1[[#This Row],[Coupon Frequency2]])</f>
        <v>8.9284934875749116</v>
      </c>
      <c r="AA418" s="33">
        <f>Table1[[#This Row],[Macaulay Duration in Years]]/(1+Table1[[#This Row],[IRR]])</f>
        <v>8.1689170147901287</v>
      </c>
      <c r="AB418" s="58">
        <f>VLOOKUP(Table1[[#This Row],[Yield Cluster]],'Cluster Details'!$B$3:$C$16,2,0)</f>
        <v>7.8548801574189142E-2</v>
      </c>
      <c r="AC418" s="78">
        <f>PRICE(Table1[[#This Row],[Issue date]],Table1[[#This Row],[Maturity date]],Table1[[#This Row],[Current coupon %]],Table1[[#This Row],[Average Cluster Yield]],100,Table1[[#This Row],[Coupon Frequency2]])*Table1[[#This Row],[Face value]]/100</f>
        <v>1008.2144061663149</v>
      </c>
      <c r="AD418" s="58" t="str">
        <f>IF(Table1[[#This Row],[Ask Price]]&gt;Table1[[#This Row],[Calculated Bond Price]],"Rich","Cheap")</f>
        <v>Cheap</v>
      </c>
      <c r="AE4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824.38228015234779</v>
      </c>
      <c r="AF4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970.71664740987671</v>
      </c>
      <c r="AG418" s="78">
        <f>(Table1[[#This Row],[P (+ shock)]]+Table1[[#This Row],[P (-shock)]]-2*Table1[[#This Row],[Ask Price]])/(2*Table1[[#This Row],[Ask Price]]*($AF$2^2))</f>
        <v>48.695182852856078</v>
      </c>
      <c r="AH418">
        <v>2.9051895868002102</v>
      </c>
      <c r="AI418" s="6">
        <f t="shared" si="25"/>
        <v>8.9005820767959903E-2</v>
      </c>
      <c r="AK418" s="47">
        <f>RATE(Table1[[#This Row],[Total No. of Coupons]],Table1[[#This Row],[Coupon Amount]],-Table1[[#This Row],[Ask Price]],Table1[[#This Row],[Face value]])</f>
        <v>9.2983742081054407E-2</v>
      </c>
      <c r="AL418" s="27">
        <f>Table1[[#This Row],[IRR]]*Table1[[#This Row],[Coupon Frequency2]]</f>
        <v>9.2983742081054407E-2</v>
      </c>
      <c r="AM418" s="5">
        <f t="shared" si="26"/>
        <v>-7296.4767592997132</v>
      </c>
      <c r="AN418" t="s">
        <v>64</v>
      </c>
      <c r="AO418" t="s">
        <v>62</v>
      </c>
      <c r="AP418">
        <f t="shared" si="27"/>
        <v>1</v>
      </c>
    </row>
    <row r="419" spans="1:42" x14ac:dyDescent="0.35">
      <c r="A419" s="48" t="s">
        <v>570</v>
      </c>
      <c r="B419" s="49" t="s">
        <v>2708</v>
      </c>
      <c r="C419" s="49" t="s">
        <v>2273</v>
      </c>
      <c r="D419" s="50">
        <v>43797</v>
      </c>
      <c r="E419" s="50">
        <v>47450</v>
      </c>
      <c r="F419" s="49">
        <v>1000</v>
      </c>
      <c r="G419" s="49" t="s">
        <v>76</v>
      </c>
      <c r="H419" s="49">
        <v>1069</v>
      </c>
      <c r="I419" s="49" t="s">
        <v>76</v>
      </c>
      <c r="J419" s="49">
        <v>106.899999999999</v>
      </c>
      <c r="K419" s="49">
        <v>3</v>
      </c>
      <c r="L419" s="51">
        <v>0.10400000000000001</v>
      </c>
      <c r="M419" s="49" t="s">
        <v>93</v>
      </c>
      <c r="N419" s="49">
        <v>1533</v>
      </c>
      <c r="O419" s="49">
        <v>9.7287184284377908</v>
      </c>
      <c r="P419" s="49"/>
      <c r="Q419" s="49"/>
      <c r="R419" s="49" t="s">
        <v>2275</v>
      </c>
      <c r="S419">
        <f t="shared" si="24"/>
        <v>10</v>
      </c>
      <c r="T419" s="5" cm="1">
        <f t="array" ref="T4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19">
        <f>Table1[[#This Row],[Term to Maturity (Years)]]*Table1[[#This Row],[Coupon Frequency2]]</f>
        <v>10</v>
      </c>
      <c r="V419">
        <f>Table1[[#This Row],[Face value]]*Table1[[#This Row],[Current coupon %]]</f>
        <v>104.00000000000001</v>
      </c>
      <c r="W419" s="36">
        <f>RATE(Table1[[#This Row],[Total No. of Coupons]],Table1[[#This Row],[Coupon Amount]],-Table1[[#This Row],[Ask Price]],Table1[[#This Row],[Face value]])</f>
        <v>9.3101205445977997E-2</v>
      </c>
      <c r="X419" s="27">
        <f>Table1[[#This Row],[IRR]]*Table1[[#This Row],[Coupon Frequency2]]</f>
        <v>9.3101205445977997E-2</v>
      </c>
      <c r="Y419" s="19" cm="1">
        <f t="array" ref="Y4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19" s="33">
        <f>DURATION(Table1[[#This Row],[Issue date]],Table1[[#This Row],[Maturity date]],Table1[[#This Row],[Current coupon %]],Table1[[#This Row],[Yield (Annualised)]],Table1[[#This Row],[Coupon Frequency2]])</f>
        <v>6.7819329440943097</v>
      </c>
      <c r="AA419" s="33">
        <f>Table1[[#This Row],[Macaulay Duration in Years]]/(1+Table1[[#This Row],[IRR]])</f>
        <v>6.2043046977771166</v>
      </c>
      <c r="AB419" s="58">
        <f>VLOOKUP(Table1[[#This Row],[Yield Cluster]],'Cluster Details'!$B$3:$C$16,2,0)</f>
        <v>7.8548801574189142E-2</v>
      </c>
      <c r="AC419" s="78">
        <f>PRICE(Table1[[#This Row],[Issue date]],Table1[[#This Row],[Maturity date]],Table1[[#This Row],[Current coupon %]],Table1[[#This Row],[Average Cluster Yield]],100,Table1[[#This Row],[Coupon Frequency2]])*Table1[[#This Row],[Face value]]/100</f>
        <v>1171.9031355302789</v>
      </c>
      <c r="AD419" s="58" t="str">
        <f>IF(Table1[[#This Row],[Ask Price]]&gt;Table1[[#This Row],[Calculated Bond Price]],"Rich","Cheap")</f>
        <v>Cheap</v>
      </c>
      <c r="AE4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1005.4498880915831</v>
      </c>
      <c r="AF4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1138.2920280382225</v>
      </c>
      <c r="AG419" s="78">
        <f>(Table1[[#This Row],[P (+ shock)]]+Table1[[#This Row],[P (-shock)]]-2*Table1[[#This Row],[Ask Price]])/(2*Table1[[#This Row],[Ask Price]]*($AF$2^2))</f>
        <v>26.856483301243024</v>
      </c>
      <c r="AH419">
        <v>6.5116995073891601</v>
      </c>
      <c r="AI419" s="6">
        <f t="shared" si="25"/>
        <v>9.7287184284377937E-2</v>
      </c>
      <c r="AK419" s="47">
        <f>RATE(Table1[[#This Row],[Total No. of Coupons]],Table1[[#This Row],[Coupon Amount]],-Table1[[#This Row],[Ask Price]],Table1[[#This Row],[Face value]])</f>
        <v>9.3101205445977997E-2</v>
      </c>
      <c r="AL419" s="27">
        <f>Table1[[#This Row],[IRR]]*Table1[[#This Row],[Coupon Frequency2]]</f>
        <v>9.3101205445977997E-2</v>
      </c>
      <c r="AM419" s="5">
        <f t="shared" si="26"/>
        <v>-6632.4017219237376</v>
      </c>
      <c r="AN419" t="s">
        <v>64</v>
      </c>
      <c r="AO419" t="s">
        <v>62</v>
      </c>
      <c r="AP419">
        <f t="shared" si="27"/>
        <v>1</v>
      </c>
    </row>
    <row r="420" spans="1:42" x14ac:dyDescent="0.35">
      <c r="A420" s="48" t="s">
        <v>1061</v>
      </c>
      <c r="B420" s="49" t="s">
        <v>2709</v>
      </c>
      <c r="C420" s="49" t="s">
        <v>2273</v>
      </c>
      <c r="D420" s="50">
        <v>44946</v>
      </c>
      <c r="E420" s="50">
        <v>46772</v>
      </c>
      <c r="F420" s="49">
        <v>1000</v>
      </c>
      <c r="G420" s="49" t="s">
        <v>76</v>
      </c>
      <c r="H420" s="49">
        <v>1030</v>
      </c>
      <c r="I420" s="49" t="s">
        <v>76</v>
      </c>
      <c r="J420" s="49">
        <v>103</v>
      </c>
      <c r="K420" s="49">
        <v>112</v>
      </c>
      <c r="L420" s="51">
        <v>0.10099999999999999</v>
      </c>
      <c r="M420" s="49" t="s">
        <v>93</v>
      </c>
      <c r="N420" s="49">
        <v>855</v>
      </c>
      <c r="O420" s="49">
        <v>9.8058252427184396</v>
      </c>
      <c r="P420" s="49"/>
      <c r="Q420" s="49"/>
      <c r="R420" s="49" t="s">
        <v>2275</v>
      </c>
      <c r="S420">
        <f t="shared" si="24"/>
        <v>5</v>
      </c>
      <c r="T420" s="5" cm="1">
        <f t="array" ref="T4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0">
        <f>Table1[[#This Row],[Term to Maturity (Years)]]*Table1[[#This Row],[Coupon Frequency2]]</f>
        <v>5</v>
      </c>
      <c r="V420">
        <f>Table1[[#This Row],[Face value]]*Table1[[#This Row],[Current coupon %]]</f>
        <v>100.99999999999999</v>
      </c>
      <c r="W420" s="36">
        <f>RATE(Table1[[#This Row],[Total No. of Coupons]],Table1[[#This Row],[Coupon Amount]],-Table1[[#This Row],[Ask Price]],Table1[[#This Row],[Face value]])</f>
        <v>9.3222627277613365E-2</v>
      </c>
      <c r="X420" s="27">
        <f>Table1[[#This Row],[IRR]]*Table1[[#This Row],[Coupon Frequency2]]</f>
        <v>9.3222627277613365E-2</v>
      </c>
      <c r="Y420" s="19" cm="1">
        <f t="array" ref="Y4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0" s="33">
        <f>DURATION(Table1[[#This Row],[Issue date]],Table1[[#This Row],[Maturity date]],Table1[[#This Row],[Current coupon %]],Table1[[#This Row],[Yield (Annualised)]],Table1[[#This Row],[Coupon Frequency2]])</f>
        <v>4.1763164955029302</v>
      </c>
      <c r="AA420" s="33">
        <f>Table1[[#This Row],[Macaulay Duration in Years]]/(1+Table1[[#This Row],[IRR]])</f>
        <v>3.8201884879596393</v>
      </c>
      <c r="AB420" s="58">
        <f>VLOOKUP(Table1[[#This Row],[Yield Cluster]],'Cluster Details'!$B$3:$C$16,2,0)</f>
        <v>7.8548801574189142E-2</v>
      </c>
      <c r="AC420" s="78">
        <f>PRICE(Table1[[#This Row],[Issue date]],Table1[[#This Row],[Maturity date]],Table1[[#This Row],[Current coupon %]],Table1[[#This Row],[Average Cluster Yield]],100,Table1[[#This Row],[Coupon Frequency2]])*Table1[[#This Row],[Face value]]/100</f>
        <v>1089.9850350203249</v>
      </c>
      <c r="AD420" s="58" t="str">
        <f>IF(Table1[[#This Row],[Ask Price]]&gt;Table1[[#This Row],[Calculated Bond Price]],"Rich","Cheap")</f>
        <v>Cheap</v>
      </c>
      <c r="AE4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991.6434027415296</v>
      </c>
      <c r="AF4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1070.3810808113119</v>
      </c>
      <c r="AG420" s="78">
        <f>(Table1[[#This Row],[P (+ shock)]]+Table1[[#This Row],[P (-shock)]]-2*Table1[[#This Row],[Ask Price]])/(2*Table1[[#This Row],[Ask Price]]*($AF$2^2))</f>
        <v>9.8275900623373893</v>
      </c>
      <c r="AH420">
        <v>11.1852302366109</v>
      </c>
      <c r="AI420" s="6">
        <f t="shared" si="25"/>
        <v>9.8058252427184453E-2</v>
      </c>
      <c r="AK420" s="47">
        <f>RATE(Table1[[#This Row],[Total No. of Coupons]],Table1[[#This Row],[Coupon Amount]],-Table1[[#This Row],[Ask Price]],Table1[[#This Row],[Face value]])</f>
        <v>9.3222627277613365E-2</v>
      </c>
      <c r="AL420" s="27">
        <f>Table1[[#This Row],[IRR]]*Table1[[#This Row],[Coupon Frequency2]]</f>
        <v>9.3222627277613365E-2</v>
      </c>
      <c r="AM420" s="5">
        <f t="shared" si="26"/>
        <v>-3934.7941425984286</v>
      </c>
      <c r="AN420" t="s">
        <v>64</v>
      </c>
      <c r="AO420" t="s">
        <v>62</v>
      </c>
      <c r="AP420">
        <f t="shared" si="27"/>
        <v>1</v>
      </c>
    </row>
    <row r="421" spans="1:42" x14ac:dyDescent="0.35">
      <c r="A421" s="48" t="s">
        <v>832</v>
      </c>
      <c r="B421" s="49" t="s">
        <v>2710</v>
      </c>
      <c r="C421" s="49" t="s">
        <v>2273</v>
      </c>
      <c r="D421" s="50">
        <v>43406</v>
      </c>
      <c r="E421" s="50">
        <v>47059</v>
      </c>
      <c r="F421" s="49">
        <v>1000</v>
      </c>
      <c r="G421" s="49" t="s">
        <v>76</v>
      </c>
      <c r="H421" s="49">
        <v>1023.01</v>
      </c>
      <c r="I421" s="49" t="s">
        <v>76</v>
      </c>
      <c r="J421" s="49">
        <v>102.301</v>
      </c>
      <c r="K421" s="49">
        <v>50</v>
      </c>
      <c r="L421" s="51">
        <v>9.6999999999999989E-2</v>
      </c>
      <c r="M421" s="49" t="s">
        <v>93</v>
      </c>
      <c r="N421" s="49">
        <v>1142</v>
      </c>
      <c r="O421" s="49">
        <v>9.4818232470845807</v>
      </c>
      <c r="P421" s="49" t="s">
        <v>2285</v>
      </c>
      <c r="Q421" s="49"/>
      <c r="R421" s="49" t="s">
        <v>2275</v>
      </c>
      <c r="S421">
        <f t="shared" si="24"/>
        <v>10</v>
      </c>
      <c r="T421" s="5" cm="1">
        <f t="array" ref="T4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1">
        <f>Table1[[#This Row],[Term to Maturity (Years)]]*Table1[[#This Row],[Coupon Frequency2]]</f>
        <v>10</v>
      </c>
      <c r="V421">
        <f>Table1[[#This Row],[Face value]]*Table1[[#This Row],[Current coupon %]]</f>
        <v>96.999999999999986</v>
      </c>
      <c r="W421" s="36">
        <f>RATE(Table1[[#This Row],[Total No. of Coupons]],Table1[[#This Row],[Coupon Amount]],-Table1[[#This Row],[Ask Price]],Table1[[#This Row],[Face value]])</f>
        <v>9.3361357383481267E-2</v>
      </c>
      <c r="X421" s="27">
        <f>Table1[[#This Row],[IRR]]*Table1[[#This Row],[Coupon Frequency2]]</f>
        <v>9.3361357383481267E-2</v>
      </c>
      <c r="Y421" s="19" cm="1">
        <f t="array" ref="Y4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1" s="33">
        <f>DURATION(Table1[[#This Row],[Issue date]],Table1[[#This Row],[Maturity date]],Table1[[#This Row],[Current coupon %]],Table1[[#This Row],[Yield (Annualised)]],Table1[[#This Row],[Coupon Frequency2]])</f>
        <v>6.8660308716522076</v>
      </c>
      <c r="AA421" s="33">
        <f>Table1[[#This Row],[Macaulay Duration in Years]]/(1+Table1[[#This Row],[IRR]])</f>
        <v>6.2797453241655425</v>
      </c>
      <c r="AB421" s="58">
        <f>VLOOKUP(Table1[[#This Row],[Yield Cluster]],'Cluster Details'!$B$3:$C$16,2,0)</f>
        <v>7.8548801574189142E-2</v>
      </c>
      <c r="AC421" s="78">
        <f>PRICE(Table1[[#This Row],[Issue date]],Table1[[#This Row],[Maturity date]],Table1[[#This Row],[Current coupon %]],Table1[[#This Row],[Average Cluster Yield]],100,Table1[[#This Row],[Coupon Frequency2]])*Table1[[#This Row],[Face value]]/100</f>
        <v>1124.6235564479978</v>
      </c>
      <c r="AD421" s="58" t="str">
        <f>IF(Table1[[#This Row],[Ask Price]]&gt;Table1[[#This Row],[Calculated Bond Price]],"Rich","Cheap")</f>
        <v>Cheap</v>
      </c>
      <c r="AE4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961.47032236379687</v>
      </c>
      <c r="AF4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1090.1449632542588</v>
      </c>
      <c r="AG421" s="78">
        <f>(Table1[[#This Row],[P (+ shock)]]+Table1[[#This Row],[P (-shock)]]-2*Table1[[#This Row],[Ask Price]])/(2*Table1[[#This Row],[Ask Price]]*($AF$2^2))</f>
        <v>27.347169715132992</v>
      </c>
      <c r="AH421">
        <v>5.0388914141521397</v>
      </c>
      <c r="AI421" s="6">
        <f t="shared" si="25"/>
        <v>9.4818232470845823E-2</v>
      </c>
      <c r="AK421" s="47">
        <f>RATE(Table1[[#This Row],[Total No. of Coupons]],Table1[[#This Row],[Coupon Amount]],-Table1[[#This Row],[Ask Price]],Table1[[#This Row],[Face value]])</f>
        <v>9.3361357383481267E-2</v>
      </c>
      <c r="AL421" s="27">
        <f>Table1[[#This Row],[IRR]]*Table1[[#This Row],[Coupon Frequency2]]</f>
        <v>9.3361357383481267E-2</v>
      </c>
      <c r="AM421" s="5">
        <f t="shared" si="26"/>
        <v>-6424.2422640745917</v>
      </c>
      <c r="AN421" t="s">
        <v>64</v>
      </c>
      <c r="AO421" t="s">
        <v>62</v>
      </c>
      <c r="AP421">
        <f t="shared" si="27"/>
        <v>1</v>
      </c>
    </row>
    <row r="422" spans="1:42" x14ac:dyDescent="0.35">
      <c r="A422" s="48" t="s">
        <v>1292</v>
      </c>
      <c r="B422" s="49" t="s">
        <v>2711</v>
      </c>
      <c r="C422" s="49" t="s">
        <v>2273</v>
      </c>
      <c r="D422" s="50">
        <v>44680</v>
      </c>
      <c r="E422" s="50">
        <v>46506</v>
      </c>
      <c r="F422" s="49">
        <v>1000</v>
      </c>
      <c r="G422" s="49" t="s">
        <v>76</v>
      </c>
      <c r="H422" s="49">
        <v>1007.8</v>
      </c>
      <c r="I422" s="49" t="s">
        <v>76</v>
      </c>
      <c r="J422" s="49">
        <v>100.78</v>
      </c>
      <c r="K422" s="49">
        <v>181</v>
      </c>
      <c r="L422" s="51">
        <v>9.5500000000000002E-2</v>
      </c>
      <c r="M422" s="49" t="s">
        <v>93</v>
      </c>
      <c r="N422" s="49">
        <v>589</v>
      </c>
      <c r="O422" s="49">
        <v>9.4760865251041793</v>
      </c>
      <c r="P422" s="49"/>
      <c r="Q422" s="49"/>
      <c r="R422" s="49" t="s">
        <v>2275</v>
      </c>
      <c r="S422">
        <f t="shared" si="24"/>
        <v>5</v>
      </c>
      <c r="T422" s="5" cm="1">
        <f t="array" ref="T4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2">
        <f>Table1[[#This Row],[Term to Maturity (Years)]]*Table1[[#This Row],[Coupon Frequency2]]</f>
        <v>5</v>
      </c>
      <c r="V422">
        <f>Table1[[#This Row],[Face value]]*Table1[[#This Row],[Current coupon %]]</f>
        <v>95.5</v>
      </c>
      <c r="W422" s="36">
        <f>RATE(Table1[[#This Row],[Total No. of Coupons]],Table1[[#This Row],[Coupon Amount]],-Table1[[#This Row],[Ask Price]],Table1[[#This Row],[Face value]])</f>
        <v>9.3476557288458995E-2</v>
      </c>
      <c r="X422" s="27">
        <f>Table1[[#This Row],[IRR]]*Table1[[#This Row],[Coupon Frequency2]]</f>
        <v>9.3476557288458995E-2</v>
      </c>
      <c r="Y422" s="19" cm="1">
        <f t="array" ref="Y4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2" s="33">
        <f>DURATION(Table1[[#This Row],[Issue date]],Table1[[#This Row],[Maturity date]],Table1[[#This Row],[Current coupon %]],Table1[[#This Row],[Yield (Annualised)]],Table1[[#This Row],[Coupon Frequency2]])</f>
        <v>4.2043679674654548</v>
      </c>
      <c r="AA422" s="33">
        <f>Table1[[#This Row],[Macaulay Duration in Years]]/(1+Table1[[#This Row],[IRR]])</f>
        <v>3.8449548272815353</v>
      </c>
      <c r="AB422" s="58">
        <f>VLOOKUP(Table1[[#This Row],[Yield Cluster]],'Cluster Details'!$B$3:$C$16,2,0)</f>
        <v>7.8548801574189142E-2</v>
      </c>
      <c r="AC422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1067.9408802618509</v>
      </c>
      <c r="AD422" s="58" t="str">
        <f>IF(Table1[[#This Row],[Ask Price]]&gt;Table1[[#This Row],[Calculated Bond Price]],"Rich","Cheap")</f>
        <v>Cheap</v>
      </c>
      <c r="AE4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970.02921987437253</v>
      </c>
      <c r="AF4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1047.5694422039544</v>
      </c>
      <c r="AG422" s="78">
        <f>(Table1[[#This Row],[P (+ shock)]]+Table1[[#This Row],[P (-shock)]]-2*Table1[[#This Row],[Ask Price]])/(2*Table1[[#This Row],[Ask Price]]*($AF$2^2))</f>
        <v>9.9159658579431209</v>
      </c>
      <c r="AH422">
        <v>8.1794946691981902</v>
      </c>
      <c r="AI422" s="6">
        <f t="shared" si="25"/>
        <v>9.4760865251041881E-2</v>
      </c>
      <c r="AK422" s="47">
        <f>RATE(Table1[[#This Row],[Total No. of Coupons]],Table1[[#This Row],[Coupon Amount]],-Table1[[#This Row],[Ask Price]],Table1[[#This Row],[Face value]])</f>
        <v>9.3476557288458995E-2</v>
      </c>
      <c r="AL422" s="27">
        <f>Table1[[#This Row],[IRR]]*Table1[[#This Row],[Coupon Frequency2]]</f>
        <v>9.3476557288458995E-2</v>
      </c>
      <c r="AM422" s="5">
        <f t="shared" si="26"/>
        <v>-3874.9454749343308</v>
      </c>
      <c r="AN422" t="s">
        <v>64</v>
      </c>
      <c r="AO422" t="s">
        <v>62</v>
      </c>
      <c r="AP422">
        <f t="shared" si="27"/>
        <v>1</v>
      </c>
    </row>
    <row r="423" spans="1:42" x14ac:dyDescent="0.35">
      <c r="A423" s="48" t="s">
        <v>584</v>
      </c>
      <c r="B423" s="49" t="s">
        <v>2712</v>
      </c>
      <c r="C423" s="49" t="s">
        <v>2273</v>
      </c>
      <c r="D423" s="50">
        <v>45573</v>
      </c>
      <c r="E423" s="50">
        <v>47399</v>
      </c>
      <c r="F423" s="49">
        <v>1000</v>
      </c>
      <c r="G423" s="49" t="s">
        <v>76</v>
      </c>
      <c r="H423" s="49">
        <v>1044.1500000000001</v>
      </c>
      <c r="I423" s="49" t="s">
        <v>76</v>
      </c>
      <c r="J423" s="49">
        <v>104.41500000000001</v>
      </c>
      <c r="K423" s="49">
        <v>680</v>
      </c>
      <c r="L423" s="51">
        <v>0.105</v>
      </c>
      <c r="M423" s="49" t="s">
        <v>93</v>
      </c>
      <c r="N423" s="49">
        <v>1482</v>
      </c>
      <c r="O423" s="49">
        <v>10.0560264329837</v>
      </c>
      <c r="P423" s="49"/>
      <c r="Q423" s="49"/>
      <c r="R423" s="49" t="s">
        <v>2275</v>
      </c>
      <c r="S423">
        <f t="shared" si="24"/>
        <v>5</v>
      </c>
      <c r="T423" s="5" cm="1">
        <f t="array" ref="T4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3">
        <f>Table1[[#This Row],[Term to Maturity (Years)]]*Table1[[#This Row],[Coupon Frequency2]]</f>
        <v>5</v>
      </c>
      <c r="V423">
        <f>Table1[[#This Row],[Face value]]*Table1[[#This Row],[Current coupon %]]</f>
        <v>105</v>
      </c>
      <c r="W423" s="36">
        <f>RATE(Table1[[#This Row],[Total No. of Coupons]],Table1[[#This Row],[Coupon Amount]],-Table1[[#This Row],[Ask Price]],Table1[[#This Row],[Face value]])</f>
        <v>9.3544778935273812E-2</v>
      </c>
      <c r="X423" s="27">
        <f>Table1[[#This Row],[IRR]]*Table1[[#This Row],[Coupon Frequency2]]</f>
        <v>9.3544778935273812E-2</v>
      </c>
      <c r="Y423" s="19" cm="1">
        <f t="array" ref="Y4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3" s="33">
        <f>DURATION(Table1[[#This Row],[Issue date]],Table1[[#This Row],[Maturity date]],Table1[[#This Row],[Current coupon %]],Table1[[#This Row],[Yield (Annualised)]],Table1[[#This Row],[Coupon Frequency2]])</f>
        <v>4.1557757676135312</v>
      </c>
      <c r="AA423" s="33">
        <f>Table1[[#This Row],[Macaulay Duration in Years]]/(1+Table1[[#This Row],[IRR]])</f>
        <v>3.8002794651534875</v>
      </c>
      <c r="AB423" s="58">
        <f>VLOOKUP(Table1[[#This Row],[Yield Cluster]],'Cluster Details'!$B$3:$C$16,2,0)</f>
        <v>7.8548801574189142E-2</v>
      </c>
      <c r="AC423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423" s="58" t="str">
        <f>IF(Table1[[#This Row],[Ask Price]]&gt;Table1[[#This Row],[Calculated Bond Price]],"Rich","Cheap")</f>
        <v>Cheap</v>
      </c>
      <c r="AE4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1005.4668385868969</v>
      </c>
      <c r="AF4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1084.8700688134411</v>
      </c>
      <c r="AG423" s="78">
        <f>(Table1[[#This Row],[P (+ shock)]]+Table1[[#This Row],[P (-shock)]]-2*Table1[[#This Row],[Ask Price]])/(2*Table1[[#This Row],[Ask Price]]*($AF$2^2))</f>
        <v>9.7539022187324402</v>
      </c>
      <c r="AH423">
        <v>6.37536154015232</v>
      </c>
      <c r="AI423" s="6">
        <f t="shared" si="25"/>
        <v>0.10056026432983765</v>
      </c>
      <c r="AK423" s="47">
        <f>RATE(Table1[[#This Row],[Total No. of Coupons]],Table1[[#This Row],[Coupon Amount]],-Table1[[#This Row],[Ask Price]],Table1[[#This Row],[Face value]])</f>
        <v>9.3544778935273812E-2</v>
      </c>
      <c r="AL423" s="27">
        <f>Table1[[#This Row],[IRR]]*Table1[[#This Row],[Coupon Frequency2]]</f>
        <v>9.3544778935273812E-2</v>
      </c>
      <c r="AM423" s="5">
        <f t="shared" si="26"/>
        <v>-3968.0618035400144</v>
      </c>
      <c r="AN423" t="s">
        <v>64</v>
      </c>
      <c r="AO423" t="s">
        <v>62</v>
      </c>
      <c r="AP423">
        <f t="shared" si="27"/>
        <v>1</v>
      </c>
    </row>
    <row r="424" spans="1:42" x14ac:dyDescent="0.35">
      <c r="A424" s="48" t="s">
        <v>579</v>
      </c>
      <c r="B424" s="49" t="s">
        <v>2660</v>
      </c>
      <c r="C424" s="49" t="s">
        <v>2273</v>
      </c>
      <c r="D424" s="50">
        <v>45589</v>
      </c>
      <c r="E424" s="50">
        <v>47415</v>
      </c>
      <c r="F424" s="49">
        <v>1000</v>
      </c>
      <c r="G424" s="49" t="s">
        <v>76</v>
      </c>
      <c r="H424" s="49">
        <v>1044</v>
      </c>
      <c r="I424" s="49" t="s">
        <v>76</v>
      </c>
      <c r="J424" s="49">
        <v>104.4</v>
      </c>
      <c r="K424" s="49">
        <v>1</v>
      </c>
      <c r="L424" s="51">
        <v>0.105</v>
      </c>
      <c r="M424" s="49" t="s">
        <v>93</v>
      </c>
      <c r="N424" s="49">
        <v>1498</v>
      </c>
      <c r="O424" s="49">
        <v>10.0574712643678</v>
      </c>
      <c r="P424" s="49"/>
      <c r="Q424" s="49"/>
      <c r="R424" s="49" t="s">
        <v>2275</v>
      </c>
      <c r="S424">
        <f t="shared" si="24"/>
        <v>5</v>
      </c>
      <c r="T424" s="5" cm="1">
        <f t="array" ref="T4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4">
        <f>Table1[[#This Row],[Term to Maturity (Years)]]*Table1[[#This Row],[Coupon Frequency2]]</f>
        <v>5</v>
      </c>
      <c r="V424">
        <f>Table1[[#This Row],[Face value]]*Table1[[#This Row],[Current coupon %]]</f>
        <v>105</v>
      </c>
      <c r="W424" s="36">
        <f>RATE(Table1[[#This Row],[Total No. of Coupons]],Table1[[#This Row],[Coupon Amount]],-Table1[[#This Row],[Ask Price]],Table1[[#This Row],[Face value]])</f>
        <v>9.3582584432573099E-2</v>
      </c>
      <c r="X424" s="27">
        <f>Table1[[#This Row],[IRR]]*Table1[[#This Row],[Coupon Frequency2]]</f>
        <v>9.3582584432573099E-2</v>
      </c>
      <c r="Y424" s="19" cm="1">
        <f t="array" ref="Y4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4" s="33">
        <f>DURATION(Table1[[#This Row],[Issue date]],Table1[[#This Row],[Maturity date]],Table1[[#This Row],[Current coupon %]],Table1[[#This Row],[Yield (Annualised)]],Table1[[#This Row],[Coupon Frequency2]])</f>
        <v>4.155710310594718</v>
      </c>
      <c r="AA424" s="33">
        <f>Table1[[#This Row],[Macaulay Duration in Years]]/(1+Table1[[#This Row],[IRR]])</f>
        <v>3.8000882327062575</v>
      </c>
      <c r="AB424" s="58">
        <f>VLOOKUP(Table1[[#This Row],[Yield Cluster]],'Cluster Details'!$B$3:$C$16,2,0)</f>
        <v>7.8548801574189142E-2</v>
      </c>
      <c r="AC424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424" s="58" t="str">
        <f>IF(Table1[[#This Row],[Ask Price]]&gt;Table1[[#This Row],[Calculated Bond Price]],"Rich","Cheap")</f>
        <v>Cheap</v>
      </c>
      <c r="AE4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1005.3243030048922</v>
      </c>
      <c r="AF4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1084.7121280846438</v>
      </c>
      <c r="AG424" s="78">
        <f>(Table1[[#This Row],[P (+ shock)]]+Table1[[#This Row],[P (-shock)]]-2*Table1[[#This Row],[Ask Price]])/(2*Table1[[#This Row],[Ask Price]]*($AF$2^2))</f>
        <v>9.7530224594641215</v>
      </c>
      <c r="AH424">
        <v>3.8157757632593499</v>
      </c>
      <c r="AI424" s="6">
        <f t="shared" si="25"/>
        <v>0.10057471264367816</v>
      </c>
      <c r="AK424" s="47">
        <f>RATE(Table1[[#This Row],[Total No. of Coupons]],Table1[[#This Row],[Coupon Amount]],-Table1[[#This Row],[Ask Price]],Table1[[#This Row],[Face value]])</f>
        <v>9.3582584432573099E-2</v>
      </c>
      <c r="AL424" s="27">
        <f>Table1[[#This Row],[IRR]]*Table1[[#This Row],[Coupon Frequency2]]</f>
        <v>9.3582584432573099E-2</v>
      </c>
      <c r="AM424" s="5">
        <f t="shared" si="26"/>
        <v>-3967.2921149453327</v>
      </c>
      <c r="AN424" t="s">
        <v>64</v>
      </c>
      <c r="AO424" t="s">
        <v>62</v>
      </c>
      <c r="AP424">
        <f t="shared" si="27"/>
        <v>1</v>
      </c>
    </row>
    <row r="425" spans="1:42" x14ac:dyDescent="0.35">
      <c r="A425" s="48" t="s">
        <v>1237</v>
      </c>
      <c r="B425" s="49" t="s">
        <v>2713</v>
      </c>
      <c r="C425" s="49" t="s">
        <v>2273</v>
      </c>
      <c r="D425" s="50">
        <v>45464</v>
      </c>
      <c r="E425" s="50">
        <v>46559</v>
      </c>
      <c r="F425" s="49">
        <v>1000</v>
      </c>
      <c r="G425" s="49" t="s">
        <v>76</v>
      </c>
      <c r="H425" s="49">
        <v>1015.99</v>
      </c>
      <c r="I425" s="49" t="s">
        <v>76</v>
      </c>
      <c r="J425" s="49">
        <v>101.59899999999899</v>
      </c>
      <c r="K425" s="49">
        <v>124</v>
      </c>
      <c r="L425" s="51">
        <v>0.1</v>
      </c>
      <c r="M425" s="49" t="s">
        <v>93</v>
      </c>
      <c r="N425" s="49">
        <v>642</v>
      </c>
      <c r="O425" s="49">
        <v>9.8426165611866203</v>
      </c>
      <c r="P425" s="49"/>
      <c r="Q425" s="49"/>
      <c r="R425" s="49" t="s">
        <v>2275</v>
      </c>
      <c r="S425">
        <f t="shared" si="24"/>
        <v>3</v>
      </c>
      <c r="T425" s="5" cm="1">
        <f t="array" ref="T4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5">
        <f>Table1[[#This Row],[Term to Maturity (Years)]]*Table1[[#This Row],[Coupon Frequency2]]</f>
        <v>3</v>
      </c>
      <c r="V425">
        <f>Table1[[#This Row],[Face value]]*Table1[[#This Row],[Current coupon %]]</f>
        <v>100</v>
      </c>
      <c r="W425" s="36">
        <f>RATE(Table1[[#This Row],[Total No. of Coupons]],Table1[[#This Row],[Coupon Amount]],-Table1[[#This Row],[Ask Price]],Table1[[#This Row],[Face value]])</f>
        <v>9.364203083573501E-2</v>
      </c>
      <c r="X425" s="27">
        <f>Table1[[#This Row],[IRR]]*Table1[[#This Row],[Coupon Frequency2]]</f>
        <v>9.364203083573501E-2</v>
      </c>
      <c r="Y425" s="19" cm="1">
        <f t="array" ref="Y4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5" s="33">
        <f>DURATION(Table1[[#This Row],[Issue date]],Table1[[#This Row],[Maturity date]],Table1[[#This Row],[Current coupon %]],Table1[[#This Row],[Yield (Annualised)]],Table1[[#This Row],[Coupon Frequency2]])</f>
        <v>2.7377104715798</v>
      </c>
      <c r="AA425" s="33">
        <f>Table1[[#This Row],[Macaulay Duration in Years]]/(1+Table1[[#This Row],[IRR]])</f>
        <v>2.5032966861082571</v>
      </c>
      <c r="AB425" s="58">
        <f>VLOOKUP(Table1[[#This Row],[Yield Cluster]],'Cluster Details'!$B$3:$C$16,2,0)</f>
        <v>7.8548801574189142E-2</v>
      </c>
      <c r="AC425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1055.4268965673293</v>
      </c>
      <c r="AD425" s="58" t="str">
        <f>IF(Table1[[#This Row],[Ask Price]]&gt;Table1[[#This Row],[Calculated Bond Price]],"Rich","Cheap")</f>
        <v>Cheap</v>
      </c>
      <c r="AE4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991.00056768251147</v>
      </c>
      <c r="AF4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1041.8805671145662</v>
      </c>
      <c r="AG425" s="78">
        <f>(Table1[[#This Row],[P (+ shock)]]+Table1[[#This Row],[P (-shock)]]-2*Table1[[#This Row],[Ask Price]])/(2*Table1[[#This Row],[Ask Price]]*($AF$2^2))</f>
        <v>4.4347621387892708</v>
      </c>
      <c r="AH425">
        <v>6.7840269431766602</v>
      </c>
      <c r="AI425" s="6">
        <f t="shared" si="25"/>
        <v>9.8426165611866262E-2</v>
      </c>
      <c r="AK425" s="47">
        <f>RATE(Table1[[#This Row],[Total No. of Coupons]],Table1[[#This Row],[Coupon Amount]],-Table1[[#This Row],[Ask Price]],Table1[[#This Row],[Face value]])</f>
        <v>9.364203083573501E-2</v>
      </c>
      <c r="AL425" s="27">
        <f>Table1[[#This Row],[IRR]]*Table1[[#This Row],[Coupon Frequency2]]</f>
        <v>9.364203083573501E-2</v>
      </c>
      <c r="AM425" s="5">
        <f t="shared" si="26"/>
        <v>-2543.3244001191283</v>
      </c>
      <c r="AN425" t="s">
        <v>64</v>
      </c>
      <c r="AO425" t="s">
        <v>62</v>
      </c>
      <c r="AP425">
        <f t="shared" si="27"/>
        <v>1</v>
      </c>
    </row>
    <row r="426" spans="1:42" x14ac:dyDescent="0.35">
      <c r="A426" s="48" t="s">
        <v>790</v>
      </c>
      <c r="B426" s="49" t="s">
        <v>2714</v>
      </c>
      <c r="C426" s="49" t="s">
        <v>2273</v>
      </c>
      <c r="D426" s="50">
        <v>45287</v>
      </c>
      <c r="E426" s="50">
        <v>47114</v>
      </c>
      <c r="F426" s="49">
        <v>1000</v>
      </c>
      <c r="G426" s="49" t="s">
        <v>76</v>
      </c>
      <c r="H426" s="49">
        <v>1030</v>
      </c>
      <c r="I426" s="49" t="s">
        <v>76</v>
      </c>
      <c r="J426" s="49">
        <v>103</v>
      </c>
      <c r="K426" s="49">
        <v>460</v>
      </c>
      <c r="L426" s="51">
        <v>0.10150000000000001</v>
      </c>
      <c r="M426" s="49" t="s">
        <v>93</v>
      </c>
      <c r="N426" s="49">
        <v>1197</v>
      </c>
      <c r="O426" s="49">
        <v>9.8543689320388292</v>
      </c>
      <c r="P426" s="49" t="s">
        <v>2279</v>
      </c>
      <c r="Q426" s="49"/>
      <c r="R426" s="49" t="s">
        <v>2275</v>
      </c>
      <c r="S426">
        <f t="shared" si="24"/>
        <v>5</v>
      </c>
      <c r="T426" s="5" cm="1">
        <f t="array" ref="T4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6">
        <f>Table1[[#This Row],[Term to Maturity (Years)]]*Table1[[#This Row],[Coupon Frequency2]]</f>
        <v>5</v>
      </c>
      <c r="V426">
        <f>Table1[[#This Row],[Face value]]*Table1[[#This Row],[Current coupon %]]</f>
        <v>101.5</v>
      </c>
      <c r="W426" s="36">
        <f>RATE(Table1[[#This Row],[Total No. of Coupons]],Table1[[#This Row],[Coupon Amount]],-Table1[[#This Row],[Ask Price]],Table1[[#This Row],[Face value]])</f>
        <v>9.3712783119008353E-2</v>
      </c>
      <c r="X426" s="27">
        <f>Table1[[#This Row],[IRR]]*Table1[[#This Row],[Coupon Frequency2]]</f>
        <v>9.3712783119008353E-2</v>
      </c>
      <c r="Y426" s="19" cm="1">
        <f t="array" ref="Y4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6" s="33">
        <f>DURATION(Table1[[#This Row],[Issue date]],Table1[[#This Row],[Maturity date]],Table1[[#This Row],[Current coupon %]],Table1[[#This Row],[Yield (Annualised)]],Table1[[#This Row],[Coupon Frequency2]])</f>
        <v>4.1729484177456282</v>
      </c>
      <c r="AA426" s="33">
        <f>Table1[[#This Row],[Macaulay Duration in Years]]/(1+Table1[[#This Row],[IRR]])</f>
        <v>3.8153969507838918</v>
      </c>
      <c r="AB426" s="58">
        <f>VLOOKUP(Table1[[#This Row],[Yield Cluster]],'Cluster Details'!$B$3:$C$16,2,0)</f>
        <v>7.8548801574189142E-2</v>
      </c>
      <c r="AC426" s="78">
        <f>PRICE(Table1[[#This Row],[Issue date]],Table1[[#This Row],[Maturity date]],Table1[[#This Row],[Current coupon %]],Table1[[#This Row],[Average Cluster Yield]],100,Table1[[#This Row],[Coupon Frequency2]])*Table1[[#This Row],[Face value]]/100</f>
        <v>1091.9890490892769</v>
      </c>
      <c r="AD426" s="58" t="str">
        <f>IF(Table1[[#This Row],[Ask Price]]&gt;Table1[[#This Row],[Calculated Bond Price]],"Rich","Cheap")</f>
        <v>Cheap</v>
      </c>
      <c r="AE4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991.69077010727506</v>
      </c>
      <c r="AF4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1070.3296327436321</v>
      </c>
      <c r="AG426" s="78">
        <f>(Table1[[#This Row],[P (+ shock)]]+Table1[[#This Row],[P (-shock)]]-2*Table1[[#This Row],[Ask Price]])/(2*Table1[[#This Row],[Ask Price]]*($AF$2^2))</f>
        <v>9.8077808296455125</v>
      </c>
      <c r="AH426">
        <v>10.4380559388962</v>
      </c>
      <c r="AI426" s="6">
        <f t="shared" si="25"/>
        <v>9.8543689320388345E-2</v>
      </c>
      <c r="AK426" s="47">
        <f>RATE(Table1[[#This Row],[Total No. of Coupons]],Table1[[#This Row],[Coupon Amount]],-Table1[[#This Row],[Ask Price]],Table1[[#This Row],[Face value]])</f>
        <v>9.3712783119008353E-2</v>
      </c>
      <c r="AL426" s="27">
        <f>Table1[[#This Row],[IRR]]*Table1[[#This Row],[Coupon Frequency2]]</f>
        <v>9.3712783119008353E-2</v>
      </c>
      <c r="AM426" s="5">
        <f t="shared" si="26"/>
        <v>-3929.8588593074087</v>
      </c>
      <c r="AN426" t="s">
        <v>64</v>
      </c>
      <c r="AO426" t="s">
        <v>62</v>
      </c>
      <c r="AP426">
        <f t="shared" si="27"/>
        <v>1</v>
      </c>
    </row>
    <row r="427" spans="1:42" x14ac:dyDescent="0.35">
      <c r="A427" s="48" t="s">
        <v>919</v>
      </c>
      <c r="B427" s="49" t="s">
        <v>2715</v>
      </c>
      <c r="C427" s="49" t="s">
        <v>2273</v>
      </c>
      <c r="D427" s="50">
        <v>45105</v>
      </c>
      <c r="E427" s="50">
        <v>46932</v>
      </c>
      <c r="F427" s="49">
        <v>1000</v>
      </c>
      <c r="G427" s="49" t="s">
        <v>76</v>
      </c>
      <c r="H427" s="49">
        <v>985</v>
      </c>
      <c r="I427" s="49" t="s">
        <v>76</v>
      </c>
      <c r="J427" s="49">
        <v>98.5</v>
      </c>
      <c r="K427" s="49">
        <v>294</v>
      </c>
      <c r="L427" s="51">
        <v>0.09</v>
      </c>
      <c r="M427" s="49" t="s">
        <v>93</v>
      </c>
      <c r="N427" s="49">
        <v>1015</v>
      </c>
      <c r="O427" s="49">
        <v>9.1370558375634499</v>
      </c>
      <c r="P427" s="49" t="s">
        <v>2279</v>
      </c>
      <c r="Q427" s="49"/>
      <c r="R427" s="49" t="s">
        <v>2275</v>
      </c>
      <c r="S427">
        <f t="shared" si="24"/>
        <v>5</v>
      </c>
      <c r="T427" s="5" cm="1">
        <f t="array" ref="T4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7">
        <f>Table1[[#This Row],[Term to Maturity (Years)]]*Table1[[#This Row],[Coupon Frequency2]]</f>
        <v>5</v>
      </c>
      <c r="V427">
        <f>Table1[[#This Row],[Face value]]*Table1[[#This Row],[Current coupon %]]</f>
        <v>90</v>
      </c>
      <c r="W427" s="36">
        <f>RATE(Table1[[#This Row],[Total No. of Coupons]],Table1[[#This Row],[Coupon Amount]],-Table1[[#This Row],[Ask Price]],Table1[[#This Row],[Face value]])</f>
        <v>9.3895443321917835E-2</v>
      </c>
      <c r="X427" s="27">
        <f>Table1[[#This Row],[IRR]]*Table1[[#This Row],[Coupon Frequency2]]</f>
        <v>9.3895443321917835E-2</v>
      </c>
      <c r="Y427" s="19" cm="1">
        <f t="array" ref="Y4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7" s="33">
        <f>DURATION(Table1[[#This Row],[Issue date]],Table1[[#This Row],[Maturity date]],Table1[[#This Row],[Current coupon %]],Table1[[#This Row],[Yield (Annualised)]],Table1[[#This Row],[Coupon Frequency2]])</f>
        <v>4.2333955616132277</v>
      </c>
      <c r="AA427" s="33">
        <f>Table1[[#This Row],[Macaulay Duration in Years]]/(1+Table1[[#This Row],[IRR]])</f>
        <v>3.8700184624202696</v>
      </c>
      <c r="AB427" s="58">
        <f>VLOOKUP(Table1[[#This Row],[Yield Cluster]],'Cluster Details'!$B$3:$C$16,2,0)</f>
        <v>7.8548801574189142E-2</v>
      </c>
      <c r="AC427" s="78">
        <f>PRICE(Table1[[#This Row],[Issue date]],Table1[[#This Row],[Maturity date]],Table1[[#This Row],[Current coupon %]],Table1[[#This Row],[Average Cluster Yield]],100,Table1[[#This Row],[Coupon Frequency2]])*Table1[[#This Row],[Face value]]/100</f>
        <v>1045.8967255033767</v>
      </c>
      <c r="AD427" s="58" t="str">
        <f>IF(Table1[[#This Row],[Ask Price]]&gt;Table1[[#This Row],[Calculated Bond Price]],"Rich","Cheap")</f>
        <v>Cheap</v>
      </c>
      <c r="AE4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947.84537055836188</v>
      </c>
      <c r="AF4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1024.1255178634103</v>
      </c>
      <c r="AG427" s="78">
        <f>(Table1[[#This Row],[P (+ shock)]]+Table1[[#This Row],[P (-shock)]]-2*Table1[[#This Row],[Ask Price]])/(2*Table1[[#This Row],[Ask Price]]*($AF$2^2))</f>
        <v>10.004509755188263</v>
      </c>
      <c r="AH427">
        <v>6.14564349141106</v>
      </c>
      <c r="AI427" s="6">
        <f t="shared" si="25"/>
        <v>9.1370558375634514E-2</v>
      </c>
      <c r="AK427" s="47">
        <f>RATE(Table1[[#This Row],[Total No. of Coupons]],Table1[[#This Row],[Coupon Amount]],-Table1[[#This Row],[Ask Price]],Table1[[#This Row],[Face value]])</f>
        <v>9.3895443321917835E-2</v>
      </c>
      <c r="AL427" s="27">
        <f>Table1[[#This Row],[IRR]]*Table1[[#This Row],[Coupon Frequency2]]</f>
        <v>9.3895443321917835E-2</v>
      </c>
      <c r="AM427" s="5">
        <f t="shared" si="26"/>
        <v>-3811.9681854839655</v>
      </c>
      <c r="AN427" t="s">
        <v>64</v>
      </c>
      <c r="AO427" t="s">
        <v>62</v>
      </c>
      <c r="AP427">
        <f t="shared" si="27"/>
        <v>1</v>
      </c>
    </row>
    <row r="428" spans="1:42" x14ac:dyDescent="0.35">
      <c r="A428" s="48" t="s">
        <v>1607</v>
      </c>
      <c r="B428" s="49" t="s">
        <v>2716</v>
      </c>
      <c r="C428" s="49" t="s">
        <v>2273</v>
      </c>
      <c r="D428" s="50">
        <v>42639</v>
      </c>
      <c r="E428" s="50">
        <v>46291</v>
      </c>
      <c r="F428" s="49">
        <v>1000</v>
      </c>
      <c r="G428" s="49" t="s">
        <v>76</v>
      </c>
      <c r="H428" s="49">
        <v>974.99</v>
      </c>
      <c r="I428" s="49" t="s">
        <v>76</v>
      </c>
      <c r="J428" s="49">
        <v>97.498999999999995</v>
      </c>
      <c r="K428" s="49">
        <v>1382</v>
      </c>
      <c r="L428" s="51">
        <v>0.09</v>
      </c>
      <c r="M428" s="49" t="s">
        <v>93</v>
      </c>
      <c r="N428" s="49">
        <v>374</v>
      </c>
      <c r="O428" s="49">
        <v>9.2308639062964701</v>
      </c>
      <c r="P428" s="49" t="s">
        <v>2279</v>
      </c>
      <c r="Q428" s="49"/>
      <c r="R428" s="49" t="s">
        <v>2275</v>
      </c>
      <c r="S428">
        <f t="shared" si="24"/>
        <v>10</v>
      </c>
      <c r="T428" s="5" cm="1">
        <f t="array" ref="T4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8">
        <f>Table1[[#This Row],[Term to Maturity (Years)]]*Table1[[#This Row],[Coupon Frequency2]]</f>
        <v>10</v>
      </c>
      <c r="V428">
        <f>Table1[[#This Row],[Face value]]*Table1[[#This Row],[Current coupon %]]</f>
        <v>90</v>
      </c>
      <c r="W428" s="36">
        <f>RATE(Table1[[#This Row],[Total No. of Coupons]],Table1[[#This Row],[Coupon Amount]],-Table1[[#This Row],[Ask Price]],Table1[[#This Row],[Face value]])</f>
        <v>9.3965343363360626E-2</v>
      </c>
      <c r="X428" s="27">
        <f>Table1[[#This Row],[IRR]]*Table1[[#This Row],[Coupon Frequency2]]</f>
        <v>9.3965343363360626E-2</v>
      </c>
      <c r="Y428" s="19" cm="1">
        <f t="array" ref="Y4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8" s="33">
        <f>DURATION(Table1[[#This Row],[Issue date]],Table1[[#This Row],[Maturity date]],Table1[[#This Row],[Current coupon %]],Table1[[#This Row],[Yield (Annualised)]],Table1[[#This Row],[Coupon Frequency2]])</f>
        <v>6.9544589517552096</v>
      </c>
      <c r="AA428" s="33">
        <f>Table1[[#This Row],[Macaulay Duration in Years]]/(1+Table1[[#This Row],[IRR]])</f>
        <v>6.3571108481132983</v>
      </c>
      <c r="AB428" s="58">
        <f>VLOOKUP(Table1[[#This Row],[Yield Cluster]],'Cluster Details'!$B$3:$C$16,2,0)</f>
        <v>7.8548801574189142E-2</v>
      </c>
      <c r="AC428" s="78">
        <f>PRICE(Table1[[#This Row],[Issue date]],Table1[[#This Row],[Maturity date]],Table1[[#This Row],[Current coupon %]],Table1[[#This Row],[Average Cluster Yield]],100,Table1[[#This Row],[Coupon Frequency2]])*Table1[[#This Row],[Face value]]/100</f>
        <v>1077.3439773657171</v>
      </c>
      <c r="AD428" s="58" t="str">
        <f>IF(Table1[[#This Row],[Ask Price]]&gt;Table1[[#This Row],[Calculated Bond Price]],"Rich","Cheap")</f>
        <v>Cheap</v>
      </c>
      <c r="AE4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915.63150182569666</v>
      </c>
      <c r="AF4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1039.778674144693</v>
      </c>
      <c r="AG428" s="78">
        <f>(Table1[[#This Row],[P (+ shock)]]+Table1[[#This Row],[P (-shock)]]-2*Table1[[#This Row],[Ask Price]])/(2*Table1[[#This Row],[Ask Price]]*($AF$2^2))</f>
        <v>27.847341872171278</v>
      </c>
      <c r="AI428" s="6">
        <f t="shared" si="25"/>
        <v>9.2308639062964742E-2</v>
      </c>
      <c r="AK428" s="47">
        <f>RATE(Table1[[#This Row],[Total No. of Coupons]],Table1[[#This Row],[Coupon Amount]],-Table1[[#This Row],[Ask Price]],Table1[[#This Row],[Face value]])</f>
        <v>9.3965343363360626E-2</v>
      </c>
      <c r="AL428" s="27">
        <f>Table1[[#This Row],[IRR]]*Table1[[#This Row],[Coupon Frequency2]]</f>
        <v>9.3965343363360626E-2</v>
      </c>
      <c r="AM428" s="5">
        <f t="shared" si="26"/>
        <v>-6198.1195058019848</v>
      </c>
      <c r="AN428" t="s">
        <v>64</v>
      </c>
      <c r="AO428" t="s">
        <v>62</v>
      </c>
      <c r="AP428">
        <f t="shared" si="27"/>
        <v>1</v>
      </c>
    </row>
    <row r="429" spans="1:42" x14ac:dyDescent="0.35">
      <c r="A429" s="48" t="s">
        <v>430</v>
      </c>
      <c r="B429" s="49" t="s">
        <v>2717</v>
      </c>
      <c r="C429" s="49" t="s">
        <v>2273</v>
      </c>
      <c r="D429" s="50">
        <v>45551</v>
      </c>
      <c r="E429" s="50">
        <v>47742</v>
      </c>
      <c r="F429" s="49">
        <v>1000</v>
      </c>
      <c r="G429" s="49" t="s">
        <v>76</v>
      </c>
      <c r="H429" s="49">
        <v>1030</v>
      </c>
      <c r="I429" s="49" t="s">
        <v>76</v>
      </c>
      <c r="J429" s="49">
        <v>103</v>
      </c>
      <c r="K429" s="49">
        <v>20</v>
      </c>
      <c r="L429" s="51">
        <v>0.10099999999999999</v>
      </c>
      <c r="M429" s="49" t="s">
        <v>93</v>
      </c>
      <c r="N429" s="49">
        <v>1825</v>
      </c>
      <c r="O429" s="49">
        <v>9.8058252427184396</v>
      </c>
      <c r="P429" s="49"/>
      <c r="Q429" s="49"/>
      <c r="R429" s="49" t="s">
        <v>2275</v>
      </c>
      <c r="S429">
        <f t="shared" si="24"/>
        <v>6</v>
      </c>
      <c r="T429" s="5" cm="1">
        <f t="array" ref="T4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29">
        <f>Table1[[#This Row],[Term to Maturity (Years)]]*Table1[[#This Row],[Coupon Frequency2]]</f>
        <v>6</v>
      </c>
      <c r="V429">
        <f>Table1[[#This Row],[Face value]]*Table1[[#This Row],[Current coupon %]]</f>
        <v>100.99999999999999</v>
      </c>
      <c r="W429" s="36">
        <f>RATE(Table1[[#This Row],[Total No. of Coupons]],Table1[[#This Row],[Coupon Amount]],-Table1[[#This Row],[Ask Price]],Table1[[#This Row],[Face value]])</f>
        <v>9.4227885085038571E-2</v>
      </c>
      <c r="X429" s="27">
        <f>Table1[[#This Row],[IRR]]*Table1[[#This Row],[Coupon Frequency2]]</f>
        <v>9.4227885085038571E-2</v>
      </c>
      <c r="Y429" s="19" cm="1">
        <f t="array" ref="Y4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29" s="33">
        <f>DURATION(Table1[[#This Row],[Issue date]],Table1[[#This Row],[Maturity date]],Table1[[#This Row],[Current coupon %]],Table1[[#This Row],[Yield (Annualised)]],Table1[[#This Row],[Coupon Frequency2]])</f>
        <v>4.8004986216220544</v>
      </c>
      <c r="AA429" s="33">
        <f>Table1[[#This Row],[Macaulay Duration in Years]]/(1+Table1[[#This Row],[IRR]])</f>
        <v>4.3871104795039839</v>
      </c>
      <c r="AB429" s="58">
        <f>VLOOKUP(Table1[[#This Row],[Yield Cluster]],'Cluster Details'!$B$3:$C$16,2,0)</f>
        <v>7.8548801574189142E-2</v>
      </c>
      <c r="AC429" s="78">
        <f>PRICE(Table1[[#This Row],[Issue date]],Table1[[#This Row],[Maturity date]],Table1[[#This Row],[Current coupon %]],Table1[[#This Row],[Average Cluster Yield]],100,Table1[[#This Row],[Coupon Frequency2]])*Table1[[#This Row],[Face value]]/100</f>
        <v>1104.2477014318038</v>
      </c>
      <c r="AD429" s="58" t="str">
        <f>IF(Table1[[#This Row],[Ask Price]]&gt;Table1[[#This Row],[Calculated Bond Price]],"Rich","Cheap")</f>
        <v>Cheap</v>
      </c>
      <c r="AE4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986.11420158361898</v>
      </c>
      <c r="AF4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1076.5509557622263</v>
      </c>
      <c r="AG429" s="78">
        <f>(Table1[[#This Row],[P (+ shock)]]+Table1[[#This Row],[P (-shock)]]-2*Table1[[#This Row],[Ask Price]])/(2*Table1[[#This Row],[Ask Price]]*($AF$2^2))</f>
        <v>12.937657018666373</v>
      </c>
      <c r="AI429" s="6">
        <f t="shared" si="25"/>
        <v>9.8058252427184453E-2</v>
      </c>
      <c r="AK429" s="47">
        <f>RATE(Table1[[#This Row],[Total No. of Coupons]],Table1[[#This Row],[Coupon Amount]],-Table1[[#This Row],[Ask Price]],Table1[[#This Row],[Face value]])</f>
        <v>9.4227885085038571E-2</v>
      </c>
      <c r="AL429" s="27">
        <f>Table1[[#This Row],[IRR]]*Table1[[#This Row],[Coupon Frequency2]]</f>
        <v>9.4227885085038571E-2</v>
      </c>
      <c r="AM429" s="5">
        <f t="shared" si="26"/>
        <v>-4518.723793889103</v>
      </c>
      <c r="AN429" t="s">
        <v>69</v>
      </c>
      <c r="AO429" t="s">
        <v>62</v>
      </c>
      <c r="AP429">
        <f t="shared" si="27"/>
        <v>1</v>
      </c>
    </row>
    <row r="430" spans="1:42" x14ac:dyDescent="0.35">
      <c r="A430" s="48" t="s">
        <v>955</v>
      </c>
      <c r="B430" s="49" t="s">
        <v>2718</v>
      </c>
      <c r="C430" s="49" t="s">
        <v>2273</v>
      </c>
      <c r="D430" s="50">
        <v>45048</v>
      </c>
      <c r="E430" s="50">
        <v>46875</v>
      </c>
      <c r="F430" s="49">
        <v>1000</v>
      </c>
      <c r="G430" s="49" t="s">
        <v>76</v>
      </c>
      <c r="H430" s="49">
        <v>989.5</v>
      </c>
      <c r="I430" s="49" t="s">
        <v>76</v>
      </c>
      <c r="J430" s="49">
        <v>98.95</v>
      </c>
      <c r="K430" s="49">
        <v>20</v>
      </c>
      <c r="L430" s="51">
        <v>9.1499999999999998E-2</v>
      </c>
      <c r="M430" s="49" t="s">
        <v>93</v>
      </c>
      <c r="N430" s="49">
        <v>958</v>
      </c>
      <c r="O430" s="49">
        <v>9.2470944921677596</v>
      </c>
      <c r="P430" s="49"/>
      <c r="Q430" s="49"/>
      <c r="R430" s="49" t="s">
        <v>2275</v>
      </c>
      <c r="S430">
        <f t="shared" si="24"/>
        <v>5</v>
      </c>
      <c r="T430" s="5" cm="1">
        <f t="array" ref="T4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0">
        <f>Table1[[#This Row],[Term to Maturity (Years)]]*Table1[[#This Row],[Coupon Frequency2]]</f>
        <v>5</v>
      </c>
      <c r="V430">
        <f>Table1[[#This Row],[Face value]]*Table1[[#This Row],[Current coupon %]]</f>
        <v>91.5</v>
      </c>
      <c r="W430" s="36">
        <f>RATE(Table1[[#This Row],[Total No. of Coupons]],Table1[[#This Row],[Coupon Amount]],-Table1[[#This Row],[Ask Price]],Table1[[#This Row],[Face value]])</f>
        <v>9.4229157533223515E-2</v>
      </c>
      <c r="X430" s="27">
        <f>Table1[[#This Row],[IRR]]*Table1[[#This Row],[Coupon Frequency2]]</f>
        <v>9.4229157533223515E-2</v>
      </c>
      <c r="Y430" s="19" cm="1">
        <f t="array" ref="Y4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0" s="33">
        <f>DURATION(Table1[[#This Row],[Issue date]],Table1[[#This Row],[Maturity date]],Table1[[#This Row],[Current coupon %]],Table1[[#This Row],[Yield (Annualised)]],Table1[[#This Row],[Coupon Frequency2]])</f>
        <v>4.2246157376223037</v>
      </c>
      <c r="AA430" s="33">
        <f>Table1[[#This Row],[Macaulay Duration in Years]]/(1+Table1[[#This Row],[IRR]])</f>
        <v>3.8608144450711497</v>
      </c>
      <c r="AB430" s="58">
        <f>VLOOKUP(Table1[[#This Row],[Yield Cluster]],'Cluster Details'!$B$3:$C$16,2,0)</f>
        <v>7.8548801574189142E-2</v>
      </c>
      <c r="AC430" s="78">
        <f>PRICE(Table1[[#This Row],[Issue date]],Table1[[#This Row],[Maturity date]],Table1[[#This Row],[Current coupon %]],Table1[[#This Row],[Average Cluster Yield]],100,Table1[[#This Row],[Coupon Frequency2]])*Table1[[#This Row],[Face value]]/100</f>
        <v>1051.9087677102332</v>
      </c>
      <c r="AD430" s="58" t="str">
        <f>IF(Table1[[#This Row],[Ask Price]]&gt;Table1[[#This Row],[Calculated Bond Price]],"Rich","Cheap")</f>
        <v>Cheap</v>
      </c>
      <c r="AE4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952.26332244979653</v>
      </c>
      <c r="AF4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1028.7096365842135</v>
      </c>
      <c r="AG430" s="78">
        <f>(Table1[[#This Row],[P (+ shock)]]+Table1[[#This Row],[P (-shock)]]-2*Table1[[#This Row],[Ask Price]])/(2*Table1[[#This Row],[Ask Price]]*($AF$2^2))</f>
        <v>9.9694746539163503</v>
      </c>
      <c r="AH430">
        <v>7.2500276884388297</v>
      </c>
      <c r="AI430" s="6">
        <f t="shared" si="25"/>
        <v>9.2470944921677609E-2</v>
      </c>
      <c r="AK430" s="47">
        <f>RATE(Table1[[#This Row],[Total No. of Coupons]],Table1[[#This Row],[Coupon Amount]],-Table1[[#This Row],[Ask Price]],Table1[[#This Row],[Face value]])</f>
        <v>9.4229157533223515E-2</v>
      </c>
      <c r="AL430" s="27">
        <f>Table1[[#This Row],[IRR]]*Table1[[#This Row],[Coupon Frequency2]]</f>
        <v>9.4229157533223515E-2</v>
      </c>
      <c r="AM430" s="5">
        <f t="shared" si="26"/>
        <v>-3820.2758933979026</v>
      </c>
      <c r="AN430" t="s">
        <v>64</v>
      </c>
      <c r="AO430" t="s">
        <v>62</v>
      </c>
      <c r="AP430">
        <f t="shared" si="27"/>
        <v>1</v>
      </c>
    </row>
    <row r="431" spans="1:42" x14ac:dyDescent="0.35">
      <c r="A431" s="48" t="s">
        <v>1286</v>
      </c>
      <c r="B431" s="49" t="s">
        <v>2719</v>
      </c>
      <c r="C431" s="49" t="s">
        <v>2273</v>
      </c>
      <c r="D431" s="50">
        <v>45777</v>
      </c>
      <c r="E431" s="50">
        <v>46507</v>
      </c>
      <c r="F431" s="49">
        <v>1000</v>
      </c>
      <c r="G431" s="49" t="s">
        <v>76</v>
      </c>
      <c r="H431" s="49">
        <v>1001.31</v>
      </c>
      <c r="I431" s="49" t="s">
        <v>76</v>
      </c>
      <c r="J431" s="49">
        <v>100.13099999999901</v>
      </c>
      <c r="K431" s="49">
        <v>100</v>
      </c>
      <c r="L431" s="51">
        <v>9.5000000000000001E-2</v>
      </c>
      <c r="M431" s="49" t="s">
        <v>93</v>
      </c>
      <c r="N431" s="49">
        <v>590</v>
      </c>
      <c r="O431" s="49">
        <v>9.4875712816210704</v>
      </c>
      <c r="P431" s="49"/>
      <c r="Q431" s="49"/>
      <c r="R431" s="49" t="s">
        <v>2275</v>
      </c>
      <c r="S431">
        <f t="shared" si="24"/>
        <v>2</v>
      </c>
      <c r="T431" s="5" cm="1">
        <f t="array" ref="T4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1">
        <f>Table1[[#This Row],[Term to Maturity (Years)]]*Table1[[#This Row],[Coupon Frequency2]]</f>
        <v>2</v>
      </c>
      <c r="V431">
        <f>Table1[[#This Row],[Face value]]*Table1[[#This Row],[Current coupon %]]</f>
        <v>95</v>
      </c>
      <c r="W431" s="36">
        <f>RATE(Table1[[#This Row],[Total No. of Coupons]],Table1[[#This Row],[Coupon Amount]],-Table1[[#This Row],[Ask Price]],Table1[[#This Row],[Face value]])</f>
        <v>9.4251009216545903E-2</v>
      </c>
      <c r="X431" s="27">
        <f>Table1[[#This Row],[IRR]]*Table1[[#This Row],[Coupon Frequency2]]</f>
        <v>9.4251009216545903E-2</v>
      </c>
      <c r="Y431" s="19" cm="1">
        <f t="array" ref="Y4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1" s="33">
        <f>DURATION(Table1[[#This Row],[Issue date]],Table1[[#This Row],[Maturity date]],Table1[[#This Row],[Current coupon %]],Table1[[#This Row],[Yield (Annualised)]],Table1[[#This Row],[Coupon Frequency2]])</f>
        <v>1.9132962071616224</v>
      </c>
      <c r="AA431" s="33">
        <f>Table1[[#This Row],[Macaulay Duration in Years]]/(1+Table1[[#This Row],[IRR]])</f>
        <v>1.7484984624610864</v>
      </c>
      <c r="AB431" s="58">
        <f>VLOOKUP(Table1[[#This Row],[Yield Cluster]],'Cluster Details'!$B$3:$C$16,2,0)</f>
        <v>7.8548801574189142E-2</v>
      </c>
      <c r="AC431" s="78">
        <f>PRICE(Table1[[#This Row],[Issue date]],Table1[[#This Row],[Maturity date]],Table1[[#This Row],[Current coupon %]],Table1[[#This Row],[Average Cluster Yield]],100,Table1[[#This Row],[Coupon Frequency2]])*Table1[[#This Row],[Face value]]/100</f>
        <v>1029.3953181547861</v>
      </c>
      <c r="AD431" s="58" t="str">
        <f>IF(Table1[[#This Row],[Ask Price]]&gt;Table1[[#This Row],[Calculated Bond Price]],"Rich","Cheap")</f>
        <v>Cheap</v>
      </c>
      <c r="AE4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984.03565707792961</v>
      </c>
      <c r="AF4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1019.0571538834416</v>
      </c>
      <c r="AG431" s="78">
        <f>(Table1[[#This Row],[P (+ shock)]]+Table1[[#This Row],[P (-shock)]]-2*Table1[[#This Row],[Ask Price]])/(2*Table1[[#This Row],[Ask Price]]*($AF$2^2))</f>
        <v>2.3609619467065714</v>
      </c>
      <c r="AH431">
        <v>10.163316767090301</v>
      </c>
      <c r="AI431" s="6">
        <f t="shared" si="25"/>
        <v>9.4875712816210767E-2</v>
      </c>
      <c r="AK431" s="47">
        <f>RATE(Table1[[#This Row],[Total No. of Coupons]],Table1[[#This Row],[Coupon Amount]],-Table1[[#This Row],[Ask Price]],Table1[[#This Row],[Face value]])</f>
        <v>9.4251009216545903E-2</v>
      </c>
      <c r="AL431" s="27">
        <f>Table1[[#This Row],[IRR]]*Table1[[#This Row],[Coupon Frequency2]]</f>
        <v>9.4251009216545903E-2</v>
      </c>
      <c r="AM431" s="5">
        <f t="shared" si="26"/>
        <v>-1750.7889954469103</v>
      </c>
      <c r="AN431" t="s">
        <v>64</v>
      </c>
      <c r="AO431" t="s">
        <v>62</v>
      </c>
      <c r="AP431">
        <f t="shared" si="27"/>
        <v>1</v>
      </c>
    </row>
    <row r="432" spans="1:42" x14ac:dyDescent="0.35">
      <c r="A432" s="48" t="s">
        <v>1610</v>
      </c>
      <c r="B432" s="49" t="s">
        <v>2720</v>
      </c>
      <c r="C432" s="49" t="s">
        <v>2273</v>
      </c>
      <c r="D432" s="50">
        <v>42639</v>
      </c>
      <c r="E432" s="50">
        <v>46291</v>
      </c>
      <c r="F432" s="49">
        <v>1000</v>
      </c>
      <c r="G432" s="49" t="s">
        <v>76</v>
      </c>
      <c r="H432" s="49">
        <v>982</v>
      </c>
      <c r="I432" s="49" t="s">
        <v>76</v>
      </c>
      <c r="J432" s="49">
        <v>98.2</v>
      </c>
      <c r="K432" s="49">
        <v>310</v>
      </c>
      <c r="L432" s="51">
        <v>9.1499999999999998E-2</v>
      </c>
      <c r="M432" s="49" t="s">
        <v>93</v>
      </c>
      <c r="N432" s="49">
        <v>374</v>
      </c>
      <c r="O432" s="49">
        <v>9.3177189409368602</v>
      </c>
      <c r="P432" s="49" t="s">
        <v>2279</v>
      </c>
      <c r="Q432" s="49"/>
      <c r="R432" s="49" t="s">
        <v>2275</v>
      </c>
      <c r="S432">
        <f t="shared" si="24"/>
        <v>10</v>
      </c>
      <c r="T432" s="5" cm="1">
        <f t="array" ref="T4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2">
        <f>Table1[[#This Row],[Term to Maturity (Years)]]*Table1[[#This Row],[Coupon Frequency2]]</f>
        <v>10</v>
      </c>
      <c r="V432">
        <f>Table1[[#This Row],[Face value]]*Table1[[#This Row],[Current coupon %]]</f>
        <v>91.5</v>
      </c>
      <c r="W432" s="36">
        <f>RATE(Table1[[#This Row],[Total No. of Coupons]],Table1[[#This Row],[Coupon Amount]],-Table1[[#This Row],[Ask Price]],Table1[[#This Row],[Face value]])</f>
        <v>9.4358802575161257E-2</v>
      </c>
      <c r="X432" s="27">
        <f>Table1[[#This Row],[IRR]]*Table1[[#This Row],[Coupon Frequency2]]</f>
        <v>9.4358802575161257E-2</v>
      </c>
      <c r="Y432" s="19" cm="1">
        <f t="array" ref="Y4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2" s="33">
        <f>DURATION(Table1[[#This Row],[Issue date]],Table1[[#This Row],[Maturity date]],Table1[[#This Row],[Current coupon %]],Table1[[#This Row],[Yield (Annualised)]],Table1[[#This Row],[Coupon Frequency2]])</f>
        <v>6.9293971897835505</v>
      </c>
      <c r="AA432" s="33">
        <f>Table1[[#This Row],[Macaulay Duration in Years]]/(1+Table1[[#This Row],[IRR]])</f>
        <v>6.3319243866616919</v>
      </c>
      <c r="AB432" s="58">
        <f>VLOOKUP(Table1[[#This Row],[Yield Cluster]],'Cluster Details'!$B$3:$C$16,2,0)</f>
        <v>7.8548801574189142E-2</v>
      </c>
      <c r="AC432" s="78">
        <f>PRICE(Table1[[#This Row],[Issue date]],Table1[[#This Row],[Maturity date]],Table1[[#This Row],[Current coupon %]],Table1[[#This Row],[Average Cluster Yield]],100,Table1[[#This Row],[Coupon Frequency2]])*Table1[[#This Row],[Face value]]/100</f>
        <v>1087.4753157404916</v>
      </c>
      <c r="AD432" s="58" t="str">
        <f>IF(Table1[[#This Row],[Ask Price]]&gt;Table1[[#This Row],[Calculated Bond Price]],"Rich","Cheap")</f>
        <v>Cheap</v>
      </c>
      <c r="AE4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922.44629877869443</v>
      </c>
      <c r="AF4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1046.9900436519401</v>
      </c>
      <c r="AG432" s="78">
        <f>(Table1[[#This Row],[P (+ shock)]]+Table1[[#This Row],[P (-shock)]]-2*Table1[[#This Row],[Ask Price]])/(2*Table1[[#This Row],[Ask Price]]*($AF$2^2))</f>
        <v>27.679951276143417</v>
      </c>
      <c r="AH432">
        <v>11.5620694474507</v>
      </c>
      <c r="AI432" s="6">
        <f t="shared" si="25"/>
        <v>9.317718940936863E-2</v>
      </c>
      <c r="AK432" s="47">
        <f>RATE(Table1[[#This Row],[Total No. of Coupons]],Table1[[#This Row],[Coupon Amount]],-Table1[[#This Row],[Ask Price]],Table1[[#This Row],[Face value]])</f>
        <v>9.4358802575161257E-2</v>
      </c>
      <c r="AL432" s="27">
        <f>Table1[[#This Row],[IRR]]*Table1[[#This Row],[Coupon Frequency2]]</f>
        <v>9.4358802575161257E-2</v>
      </c>
      <c r="AM432" s="5">
        <f t="shared" si="26"/>
        <v>-6217.9497477017812</v>
      </c>
      <c r="AN432" t="s">
        <v>64</v>
      </c>
      <c r="AO432" t="s">
        <v>62</v>
      </c>
      <c r="AP432">
        <f t="shared" si="27"/>
        <v>1</v>
      </c>
    </row>
    <row r="433" spans="1:42" x14ac:dyDescent="0.35">
      <c r="A433" s="48" t="s">
        <v>868</v>
      </c>
      <c r="B433" s="49" t="s">
        <v>2721</v>
      </c>
      <c r="C433" s="49" t="s">
        <v>2273</v>
      </c>
      <c r="D433" s="50">
        <v>45189</v>
      </c>
      <c r="E433" s="50">
        <v>47016</v>
      </c>
      <c r="F433" s="49">
        <v>1000</v>
      </c>
      <c r="G433" s="49" t="s">
        <v>76</v>
      </c>
      <c r="H433" s="49">
        <v>1000</v>
      </c>
      <c r="I433" s="49" t="s">
        <v>76</v>
      </c>
      <c r="J433" s="49">
        <v>100</v>
      </c>
      <c r="K433" s="49">
        <v>198</v>
      </c>
      <c r="L433" s="51">
        <v>9.4399999999999998E-2</v>
      </c>
      <c r="M433" s="49" t="s">
        <v>93</v>
      </c>
      <c r="N433" s="49">
        <v>1099</v>
      </c>
      <c r="O433" s="49">
        <v>9.44</v>
      </c>
      <c r="P433" s="49"/>
      <c r="Q433" s="49"/>
      <c r="R433" s="49" t="s">
        <v>2275</v>
      </c>
      <c r="S433">
        <f t="shared" si="24"/>
        <v>5</v>
      </c>
      <c r="T433" s="5" cm="1">
        <f t="array" ref="T4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3">
        <f>Table1[[#This Row],[Term to Maturity (Years)]]*Table1[[#This Row],[Coupon Frequency2]]</f>
        <v>5</v>
      </c>
      <c r="V433">
        <f>Table1[[#This Row],[Face value]]*Table1[[#This Row],[Current coupon %]]</f>
        <v>94.399999999999991</v>
      </c>
      <c r="W433" s="36">
        <f>RATE(Table1[[#This Row],[Total No. of Coupons]],Table1[[#This Row],[Coupon Amount]],-Table1[[#This Row],[Ask Price]],Table1[[#This Row],[Face value]])</f>
        <v>9.4400000000000261E-2</v>
      </c>
      <c r="X433" s="27">
        <f>Table1[[#This Row],[IRR]]*Table1[[#This Row],[Coupon Frequency2]]</f>
        <v>9.4400000000000261E-2</v>
      </c>
      <c r="Y433" s="19" cm="1">
        <f t="array" ref="Y4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3" s="33">
        <f>DURATION(Table1[[#This Row],[Issue date]],Table1[[#This Row],[Maturity date]],Table1[[#This Row],[Current coupon %]],Table1[[#This Row],[Yield (Annualised)]],Table1[[#This Row],[Coupon Frequency2]])</f>
        <v>4.208676582723391</v>
      </c>
      <c r="AA433" s="33">
        <f>Table1[[#This Row],[Macaulay Duration in Years]]/(1+Table1[[#This Row],[IRR]])</f>
        <v>3.8456474622837993</v>
      </c>
      <c r="AB433" s="58">
        <f>VLOOKUP(Table1[[#This Row],[Yield Cluster]],'Cluster Details'!$B$3:$C$16,2,0)</f>
        <v>7.8548801574189142E-2</v>
      </c>
      <c r="AC433" s="78">
        <f>PRICE(Table1[[#This Row],[Issue date]],Table1[[#This Row],[Maturity date]],Table1[[#This Row],[Current coupon %]],Table1[[#This Row],[Average Cluster Yield]],100,Table1[[#This Row],[Coupon Frequency2]])*Table1[[#This Row],[Face value]]/100</f>
        <v>1063.532049310156</v>
      </c>
      <c r="AD433" s="58" t="str">
        <f>IF(Table1[[#This Row],[Ask Price]]&gt;Table1[[#This Row],[Calculated Bond Price]],"Rich","Cheap")</f>
        <v>Cheap</v>
      </c>
      <c r="AE4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962.51441933899036</v>
      </c>
      <c r="AF4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1039.4683278313837</v>
      </c>
      <c r="AG433" s="78">
        <f>(Table1[[#This Row],[P (+ shock)]]+Table1[[#This Row],[P (-shock)]]-2*Table1[[#This Row],[Ask Price]])/(2*Table1[[#This Row],[Ask Price]]*($AF$2^2))</f>
        <v>9.9137358518703422</v>
      </c>
      <c r="AH433">
        <v>9.0377014290057804</v>
      </c>
      <c r="AI433" s="6">
        <f t="shared" si="25"/>
        <v>9.4399999999999998E-2</v>
      </c>
      <c r="AK433" s="47">
        <f>RATE(Table1[[#This Row],[Total No. of Coupons]],Table1[[#This Row],[Coupon Amount]],-Table1[[#This Row],[Ask Price]],Table1[[#This Row],[Face value]])</f>
        <v>9.4400000000000261E-2</v>
      </c>
      <c r="AL433" s="27">
        <f>Table1[[#This Row],[IRR]]*Table1[[#This Row],[Coupon Frequency2]]</f>
        <v>9.4400000000000261E-2</v>
      </c>
      <c r="AM433" s="5">
        <f t="shared" si="26"/>
        <v>-3845.6474622837991</v>
      </c>
      <c r="AN433" t="s">
        <v>64</v>
      </c>
      <c r="AO433" t="s">
        <v>62</v>
      </c>
      <c r="AP433">
        <f t="shared" si="27"/>
        <v>1</v>
      </c>
    </row>
    <row r="434" spans="1:42" x14ac:dyDescent="0.35">
      <c r="A434" s="48" t="s">
        <v>1343</v>
      </c>
      <c r="B434" s="49" t="s">
        <v>2722</v>
      </c>
      <c r="C434" s="49" t="s">
        <v>2273</v>
      </c>
      <c r="D434" s="50">
        <v>45320</v>
      </c>
      <c r="E434" s="50">
        <v>46471</v>
      </c>
      <c r="F434" s="49">
        <v>100000</v>
      </c>
      <c r="G434" s="49" t="s">
        <v>76</v>
      </c>
      <c r="H434" s="49">
        <v>97000</v>
      </c>
      <c r="I434" s="49" t="s">
        <v>76</v>
      </c>
      <c r="J434" s="49">
        <v>97</v>
      </c>
      <c r="K434" s="49">
        <v>1</v>
      </c>
      <c r="L434" s="51">
        <v>8.2500000000000004E-2</v>
      </c>
      <c r="M434" s="49" t="s">
        <v>93</v>
      </c>
      <c r="N434" s="49">
        <v>554</v>
      </c>
      <c r="O434" s="49">
        <v>8.5051546391752506</v>
      </c>
      <c r="P434" s="49"/>
      <c r="Q434" s="49"/>
      <c r="R434" s="49" t="s">
        <v>2275</v>
      </c>
      <c r="S434">
        <f t="shared" si="24"/>
        <v>3</v>
      </c>
      <c r="T434" s="5" cm="1">
        <f t="array" ref="T4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4">
        <f>Table1[[#This Row],[Term to Maturity (Years)]]*Table1[[#This Row],[Coupon Frequency2]]</f>
        <v>3</v>
      </c>
      <c r="V434">
        <f>Table1[[#This Row],[Face value]]*Table1[[#This Row],[Current coupon %]]</f>
        <v>8250</v>
      </c>
      <c r="W434" s="36">
        <f>RATE(Table1[[#This Row],[Total No. of Coupons]],Table1[[#This Row],[Coupon Amount]],-Table1[[#This Row],[Ask Price]],Table1[[#This Row],[Face value]])</f>
        <v>9.4445659734052723E-2</v>
      </c>
      <c r="X434" s="27">
        <f>Table1[[#This Row],[IRR]]*Table1[[#This Row],[Coupon Frequency2]]</f>
        <v>9.4445659734052723E-2</v>
      </c>
      <c r="Y434" s="19" cm="1">
        <f t="array" ref="Y4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4" s="33">
        <f>DURATION(Table1[[#This Row],[Issue date]],Table1[[#This Row],[Maturity date]],Table1[[#This Row],[Current coupon %]],Table1[[#This Row],[Yield (Annualised)]],Table1[[#This Row],[Coupon Frequency2]])</f>
        <v>2.7117200427878347</v>
      </c>
      <c r="AA434" s="33">
        <f>Table1[[#This Row],[Macaulay Duration in Years]]/(1+Table1[[#This Row],[IRR]])</f>
        <v>2.4777109933870776</v>
      </c>
      <c r="AB434" s="58">
        <f>VLOOKUP(Table1[[#This Row],[Yield Cluster]],'Cluster Details'!$B$3:$C$16,2,0)</f>
        <v>7.8548801574189142E-2</v>
      </c>
      <c r="AC434" s="78">
        <f>PRICE(Table1[[#This Row],[Issue date]],Table1[[#This Row],[Maturity date]],Table1[[#This Row],[Current coupon %]],Table1[[#This Row],[Average Cluster Yield]],100,Table1[[#This Row],[Coupon Frequency2]])*Table1[[#This Row],[Face value]]/100</f>
        <v>101026.49188182491</v>
      </c>
      <c r="AD434" s="58" t="str">
        <f>IF(Table1[[#This Row],[Ask Price]]&gt;Table1[[#This Row],[Calculated Bond Price]],"Rich","Cheap")</f>
        <v>Cheap</v>
      </c>
      <c r="AE4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94291.268792840841</v>
      </c>
      <c r="AF4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99435.607048034406</v>
      </c>
      <c r="AG434" s="78">
        <f>(Table1[[#This Row],[P (+ shock)]]+Table1[[#This Row],[P (-shock)]]-2*Table1[[#This Row],[Ask Price]])/(2*Table1[[#This Row],[Ask Price]]*($AF$2^2))</f>
        <v>-14.078564903337012</v>
      </c>
      <c r="AH434">
        <v>11.694209817603101</v>
      </c>
      <c r="AI434" s="6">
        <f t="shared" si="25"/>
        <v>8.505154639175258E-2</v>
      </c>
      <c r="AK434" s="47">
        <f>RATE(Table1[[#This Row],[Total No. of Coupons]],Table1[[#This Row],[Coupon Amount]],-Table1[[#This Row],[Ask Price]],Table1[[#This Row],[Face value]])</f>
        <v>9.4445659734052723E-2</v>
      </c>
      <c r="AL434" s="27">
        <f>Table1[[#This Row],[IRR]]*Table1[[#This Row],[Coupon Frequency2]]</f>
        <v>9.4445659734052723E-2</v>
      </c>
      <c r="AM434" s="5">
        <f t="shared" si="26"/>
        <v>-240337.96635854652</v>
      </c>
      <c r="AN434" t="s">
        <v>64</v>
      </c>
      <c r="AO434" t="s">
        <v>62</v>
      </c>
      <c r="AP434">
        <f t="shared" si="27"/>
        <v>1</v>
      </c>
    </row>
    <row r="435" spans="1:42" x14ac:dyDescent="0.35">
      <c r="A435" s="48" t="s">
        <v>975</v>
      </c>
      <c r="B435" s="49" t="s">
        <v>2723</v>
      </c>
      <c r="C435" s="49" t="s">
        <v>2273</v>
      </c>
      <c r="D435" s="50">
        <v>45771</v>
      </c>
      <c r="E435" s="50">
        <v>46867</v>
      </c>
      <c r="F435" s="49">
        <v>1000</v>
      </c>
      <c r="G435" s="49" t="s">
        <v>76</v>
      </c>
      <c r="H435" s="49">
        <v>1020</v>
      </c>
      <c r="I435" s="49" t="s">
        <v>76</v>
      </c>
      <c r="J435" s="49">
        <v>102</v>
      </c>
      <c r="K435" s="49">
        <v>10</v>
      </c>
      <c r="L435" s="51">
        <v>0.10249999999999999</v>
      </c>
      <c r="M435" s="49" t="s">
        <v>93</v>
      </c>
      <c r="N435" s="49">
        <v>950</v>
      </c>
      <c r="O435" s="49">
        <v>10.0490196078431</v>
      </c>
      <c r="P435" s="49"/>
      <c r="Q435" s="49"/>
      <c r="R435" s="49" t="s">
        <v>2275</v>
      </c>
      <c r="S435">
        <f t="shared" si="24"/>
        <v>3</v>
      </c>
      <c r="T435" s="5" cm="1">
        <f t="array" ref="T4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5">
        <f>Table1[[#This Row],[Term to Maturity (Years)]]*Table1[[#This Row],[Coupon Frequency2]]</f>
        <v>3</v>
      </c>
      <c r="V435">
        <f>Table1[[#This Row],[Face value]]*Table1[[#This Row],[Current coupon %]]</f>
        <v>102.5</v>
      </c>
      <c r="W435" s="36">
        <f>RATE(Table1[[#This Row],[Total No. of Coupons]],Table1[[#This Row],[Coupon Amount]],-Table1[[#This Row],[Ask Price]],Table1[[#This Row],[Face value]])</f>
        <v>9.4534966175120846E-2</v>
      </c>
      <c r="X435" s="27">
        <f>Table1[[#This Row],[IRR]]*Table1[[#This Row],[Coupon Frequency2]]</f>
        <v>9.4534966175120846E-2</v>
      </c>
      <c r="Y435" s="19" cm="1">
        <f t="array" ref="Y4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5" s="33">
        <f>DURATION(Table1[[#This Row],[Issue date]],Table1[[#This Row],[Maturity date]],Table1[[#This Row],[Current coupon %]],Table1[[#This Row],[Yield (Annualised)]],Table1[[#This Row],[Coupon Frequency2]])</f>
        <v>2.732497123637708</v>
      </c>
      <c r="AA435" s="33">
        <f>Table1[[#This Row],[Macaulay Duration in Years]]/(1+Table1[[#This Row],[IRR]])</f>
        <v>2.4964913941365308</v>
      </c>
      <c r="AB435" s="58">
        <f>VLOOKUP(Table1[[#This Row],[Yield Cluster]],'Cluster Details'!$B$3:$C$16,2,0)</f>
        <v>7.8548801574189142E-2</v>
      </c>
      <c r="AC435" s="78">
        <f>PRICE(Table1[[#This Row],[Issue date]],Table1[[#This Row],[Maturity date]],Table1[[#This Row],[Current coupon %]],Table1[[#This Row],[Average Cluster Yield]],100,Table1[[#This Row],[Coupon Frequency2]])*Table1[[#This Row],[Face value]]/100</f>
        <v>1061.8865469172881</v>
      </c>
      <c r="AD435" s="58" t="str">
        <f>IF(Table1[[#This Row],[Ask Price]]&gt;Table1[[#This Row],[Calculated Bond Price]],"Rich","Cheap")</f>
        <v>Cheap</v>
      </c>
      <c r="AE4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994.97947232216814</v>
      </c>
      <c r="AF4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1045.9213881314117</v>
      </c>
      <c r="AG435" s="78">
        <f>(Table1[[#This Row],[P (+ shock)]]+Table1[[#This Row],[P (-shock)]]-2*Table1[[#This Row],[Ask Price]])/(2*Table1[[#This Row],[Ask Price]]*($AF$2^2))</f>
        <v>4.4159826155870245</v>
      </c>
      <c r="AH435">
        <v>5.8806301689904599</v>
      </c>
      <c r="AI435" s="6">
        <f t="shared" si="25"/>
        <v>0.10049019607843138</v>
      </c>
      <c r="AK435" s="47">
        <f>RATE(Table1[[#This Row],[Total No. of Coupons]],Table1[[#This Row],[Coupon Amount]],-Table1[[#This Row],[Ask Price]],Table1[[#This Row],[Face value]])</f>
        <v>9.4534966175120846E-2</v>
      </c>
      <c r="AL435" s="27">
        <f>Table1[[#This Row],[IRR]]*Table1[[#This Row],[Coupon Frequency2]]</f>
        <v>9.4534966175120846E-2</v>
      </c>
      <c r="AM435" s="5">
        <f t="shared" si="26"/>
        <v>-2546.4212220192612</v>
      </c>
      <c r="AN435" t="s">
        <v>64</v>
      </c>
      <c r="AO435" t="s">
        <v>62</v>
      </c>
      <c r="AP435">
        <f t="shared" si="27"/>
        <v>1</v>
      </c>
    </row>
    <row r="436" spans="1:42" x14ac:dyDescent="0.35">
      <c r="A436" s="48" t="s">
        <v>968</v>
      </c>
      <c r="B436" s="49" t="s">
        <v>2724</v>
      </c>
      <c r="C436" s="49" t="s">
        <v>2273</v>
      </c>
      <c r="D436" s="50">
        <v>41390</v>
      </c>
      <c r="E436" s="50">
        <v>46869</v>
      </c>
      <c r="F436" s="49">
        <v>1000000</v>
      </c>
      <c r="G436" s="49" t="s">
        <v>76</v>
      </c>
      <c r="H436" s="49">
        <v>1022000</v>
      </c>
      <c r="I436" s="49" t="s">
        <v>76</v>
      </c>
      <c r="J436" s="49">
        <v>102.2</v>
      </c>
      <c r="K436" s="49">
        <v>1</v>
      </c>
      <c r="L436" s="51">
        <v>9.7500000000000003E-2</v>
      </c>
      <c r="M436" s="49" t="s">
        <v>93</v>
      </c>
      <c r="N436" s="49">
        <v>952</v>
      </c>
      <c r="O436" s="49">
        <v>9.5401174168297391</v>
      </c>
      <c r="P436" s="49"/>
      <c r="Q436" s="49"/>
      <c r="R436" s="49" t="s">
        <v>2275</v>
      </c>
      <c r="S436">
        <f t="shared" si="24"/>
        <v>15</v>
      </c>
      <c r="T436" s="5" cm="1">
        <f t="array" ref="T4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6">
        <f>Table1[[#This Row],[Term to Maturity (Years)]]*Table1[[#This Row],[Coupon Frequency2]]</f>
        <v>15</v>
      </c>
      <c r="V436">
        <f>Table1[[#This Row],[Face value]]*Table1[[#This Row],[Current coupon %]]</f>
        <v>97500</v>
      </c>
      <c r="W436" s="36">
        <f>RATE(Table1[[#This Row],[Total No. of Coupons]],Table1[[#This Row],[Coupon Amount]],-Table1[[#This Row],[Ask Price]],Table1[[#This Row],[Face value]])</f>
        <v>9.4694618717003951E-2</v>
      </c>
      <c r="X436" s="27">
        <f>Table1[[#This Row],[IRR]]*Table1[[#This Row],[Coupon Frequency2]]</f>
        <v>9.4694618717003951E-2</v>
      </c>
      <c r="Y436" s="19" cm="1">
        <f t="array" ref="Y4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6" s="33">
        <f>DURATION(Table1[[#This Row],[Issue date]],Table1[[#This Row],[Maturity date]],Table1[[#This Row],[Current coupon %]],Table1[[#This Row],[Yield (Annualised)]],Table1[[#This Row],[Coupon Frequency2]])</f>
        <v>8.5368058457190017</v>
      </c>
      <c r="AA436" s="33">
        <f>Table1[[#This Row],[Macaulay Duration in Years]]/(1+Table1[[#This Row],[IRR]])</f>
        <v>7.7983445791706254</v>
      </c>
      <c r="AB436" s="58">
        <f>VLOOKUP(Table1[[#This Row],[Yield Cluster]],'Cluster Details'!$B$3:$C$16,2,0)</f>
        <v>7.8548801574189142E-2</v>
      </c>
      <c r="AC436" s="78">
        <f>PRICE(Table1[[#This Row],[Issue date]],Table1[[#This Row],[Maturity date]],Table1[[#This Row],[Current coupon %]],Table1[[#This Row],[Average Cluster Yield]],100,Table1[[#This Row],[Coupon Frequency2]])*Table1[[#This Row],[Face value]]/100</f>
        <v>1163659.6917991289</v>
      </c>
      <c r="AD436" s="58" t="str">
        <f>IF(Table1[[#This Row],[Ask Price]]&gt;Table1[[#This Row],[Calculated Bond Price]],"Rich","Cheap")</f>
        <v>Cheap</v>
      </c>
      <c r="AE4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946712.93874335149</v>
      </c>
      <c r="AF4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1106534.1594473538</v>
      </c>
      <c r="AG436" s="78">
        <f>(Table1[[#This Row],[P (+ shock)]]+Table1[[#This Row],[P (-shock)]]-2*Table1[[#This Row],[Ask Price]])/(2*Table1[[#This Row],[Ask Price]]*($AF$2^2))</f>
        <v>45.240206412452501</v>
      </c>
      <c r="AH436">
        <v>13.062543108694699</v>
      </c>
      <c r="AI436" s="6">
        <f t="shared" si="25"/>
        <v>9.5401174168297451E-2</v>
      </c>
      <c r="AK436" s="47">
        <f>RATE(Table1[[#This Row],[Total No. of Coupons]],Table1[[#This Row],[Coupon Amount]],-Table1[[#This Row],[Ask Price]],Table1[[#This Row],[Face value]])</f>
        <v>9.4694618717003951E-2</v>
      </c>
      <c r="AL436" s="27">
        <f>Table1[[#This Row],[IRR]]*Table1[[#This Row],[Coupon Frequency2]]</f>
        <v>9.4694618717003951E-2</v>
      </c>
      <c r="AM436" s="5">
        <f t="shared" si="26"/>
        <v>-7969908.1599123795</v>
      </c>
      <c r="AN436" t="s">
        <v>64</v>
      </c>
      <c r="AO436" t="s">
        <v>62</v>
      </c>
      <c r="AP436">
        <f t="shared" si="27"/>
        <v>1</v>
      </c>
    </row>
    <row r="437" spans="1:42" x14ac:dyDescent="0.35">
      <c r="A437" s="48" t="s">
        <v>1189</v>
      </c>
      <c r="B437" s="49" t="s">
        <v>2725</v>
      </c>
      <c r="C437" s="49" t="s">
        <v>2273</v>
      </c>
      <c r="D437" s="50">
        <v>45511</v>
      </c>
      <c r="E437" s="50">
        <v>46606</v>
      </c>
      <c r="F437" s="49">
        <v>1000</v>
      </c>
      <c r="G437" s="49" t="s">
        <v>76</v>
      </c>
      <c r="H437" s="49">
        <v>1017.7</v>
      </c>
      <c r="I437" s="49" t="s">
        <v>76</v>
      </c>
      <c r="J437" s="49">
        <v>101.77</v>
      </c>
      <c r="K437" s="49">
        <v>100</v>
      </c>
      <c r="L437" s="51">
        <v>0.10199999999999999</v>
      </c>
      <c r="M437" s="49" t="s">
        <v>93</v>
      </c>
      <c r="N437" s="49">
        <v>689</v>
      </c>
      <c r="O437" s="49">
        <v>10.022599980347801</v>
      </c>
      <c r="P437" s="49"/>
      <c r="Q437" s="49"/>
      <c r="R437" s="49" t="s">
        <v>2275</v>
      </c>
      <c r="S437">
        <f t="shared" si="24"/>
        <v>3</v>
      </c>
      <c r="T437" s="5" cm="1">
        <f t="array" ref="T4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7">
        <f>Table1[[#This Row],[Term to Maturity (Years)]]*Table1[[#This Row],[Coupon Frequency2]]</f>
        <v>3</v>
      </c>
      <c r="V437">
        <f>Table1[[#This Row],[Face value]]*Table1[[#This Row],[Current coupon %]]</f>
        <v>102</v>
      </c>
      <c r="W437" s="36">
        <f>RATE(Table1[[#This Row],[Total No. of Coupons]],Table1[[#This Row],[Coupon Amount]],-Table1[[#This Row],[Ask Price]],Table1[[#This Row],[Face value]])</f>
        <v>9.4945811732574756E-2</v>
      </c>
      <c r="X437" s="27">
        <f>Table1[[#This Row],[IRR]]*Table1[[#This Row],[Coupon Frequency2]]</f>
        <v>9.4945811732574756E-2</v>
      </c>
      <c r="Y437" s="19" cm="1">
        <f t="array" ref="Y4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7" s="33">
        <f>DURATION(Table1[[#This Row],[Issue date]],Table1[[#This Row],[Maturity date]],Table1[[#This Row],[Current coupon %]],Table1[[#This Row],[Yield (Annualised)]],Table1[[#This Row],[Coupon Frequency2]])</f>
        <v>2.7333318966975959</v>
      </c>
      <c r="AA437" s="33">
        <f>Table1[[#This Row],[Macaulay Duration in Years]]/(1+Table1[[#This Row],[IRR]])</f>
        <v>2.4963170482131347</v>
      </c>
      <c r="AB437" s="58">
        <f>VLOOKUP(Table1[[#This Row],[Yield Cluster]],'Cluster Details'!$B$3:$C$16,2,0)</f>
        <v>7.8548801574189142E-2</v>
      </c>
      <c r="AC437" s="78">
        <f>PRICE(Table1[[#This Row],[Issue date]],Table1[[#This Row],[Maturity date]],Table1[[#This Row],[Current coupon %]],Table1[[#This Row],[Average Cluster Yield]],100,Table1[[#This Row],[Coupon Frequency2]])*Table1[[#This Row],[Face value]]/100</f>
        <v>1060.594616847296</v>
      </c>
      <c r="AD437" s="58" t="str">
        <f>IF(Table1[[#This Row],[Ask Price]]&gt;Table1[[#This Row],[Calculated Bond Price]],"Rich","Cheap")</f>
        <v>Cheap</v>
      </c>
      <c r="AE4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992.73752176787684</v>
      </c>
      <c r="AF4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1043.5610112504185</v>
      </c>
      <c r="AG437" s="78">
        <f>(Table1[[#This Row],[P (+ shock)]]+Table1[[#This Row],[P (-shock)]]-2*Table1[[#This Row],[Ask Price]])/(2*Table1[[#This Row],[Ask Price]]*($AF$2^2))</f>
        <v>4.4145279468173877</v>
      </c>
      <c r="AH437">
        <v>13.3289890545365</v>
      </c>
      <c r="AI437" s="6">
        <f t="shared" si="25"/>
        <v>0.10022599980347843</v>
      </c>
      <c r="AK437" s="47">
        <f>RATE(Table1[[#This Row],[Total No. of Coupons]],Table1[[#This Row],[Coupon Amount]],-Table1[[#This Row],[Ask Price]],Table1[[#This Row],[Face value]])</f>
        <v>9.4945811732574756E-2</v>
      </c>
      <c r="AL437" s="27">
        <f>Table1[[#This Row],[IRR]]*Table1[[#This Row],[Coupon Frequency2]]</f>
        <v>9.4945811732574756E-2</v>
      </c>
      <c r="AM437" s="5">
        <f t="shared" si="26"/>
        <v>-2540.5018599665073</v>
      </c>
      <c r="AN437" t="s">
        <v>64</v>
      </c>
      <c r="AO437" t="s">
        <v>62</v>
      </c>
      <c r="AP437">
        <f t="shared" si="27"/>
        <v>1</v>
      </c>
    </row>
    <row r="438" spans="1:42" x14ac:dyDescent="0.35">
      <c r="A438" s="48" t="s">
        <v>1361</v>
      </c>
      <c r="B438" s="49" t="s">
        <v>2726</v>
      </c>
      <c r="C438" s="49" t="s">
        <v>2273</v>
      </c>
      <c r="D438" s="50">
        <v>44270</v>
      </c>
      <c r="E438" s="50">
        <v>46461</v>
      </c>
      <c r="F438" s="49">
        <v>1000</v>
      </c>
      <c r="G438" s="49" t="s">
        <v>76</v>
      </c>
      <c r="H438" s="49">
        <v>995.06</v>
      </c>
      <c r="I438" s="49" t="s">
        <v>76</v>
      </c>
      <c r="J438" s="49">
        <v>99.506</v>
      </c>
      <c r="K438" s="49">
        <v>580</v>
      </c>
      <c r="L438" s="51">
        <v>9.4E-2</v>
      </c>
      <c r="M438" s="49" t="s">
        <v>93</v>
      </c>
      <c r="N438" s="49">
        <v>544</v>
      </c>
      <c r="O438" s="49">
        <v>9.4466665326713901</v>
      </c>
      <c r="P438" s="49"/>
      <c r="Q438" s="49"/>
      <c r="R438" s="49" t="s">
        <v>2275</v>
      </c>
      <c r="S438">
        <f t="shared" si="24"/>
        <v>6</v>
      </c>
      <c r="T438" s="5" cm="1">
        <f t="array" ref="T4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8">
        <f>Table1[[#This Row],[Term to Maturity (Years)]]*Table1[[#This Row],[Coupon Frequency2]]</f>
        <v>6</v>
      </c>
      <c r="V438">
        <f>Table1[[#This Row],[Face value]]*Table1[[#This Row],[Current coupon %]]</f>
        <v>94</v>
      </c>
      <c r="W438" s="36">
        <f>RATE(Table1[[#This Row],[Total No. of Coupons]],Table1[[#This Row],[Coupon Amount]],-Table1[[#This Row],[Ask Price]],Table1[[#This Row],[Face value]])</f>
        <v>9.5118081350735698E-2</v>
      </c>
      <c r="X438" s="27">
        <f>Table1[[#This Row],[IRR]]*Table1[[#This Row],[Coupon Frequency2]]</f>
        <v>9.5118081350735698E-2</v>
      </c>
      <c r="Y438" s="19" cm="1">
        <f t="array" ref="Y4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8" s="33">
        <f>DURATION(Table1[[#This Row],[Issue date]],Table1[[#This Row],[Maturity date]],Table1[[#This Row],[Current coupon %]],Table1[[#This Row],[Yield (Annualised)]],Table1[[#This Row],[Coupon Frequency2]])</f>
        <v>4.84649601840818</v>
      </c>
      <c r="AA438" s="33">
        <f>Table1[[#This Row],[Macaulay Duration in Years]]/(1+Table1[[#This Row],[IRR]])</f>
        <v>4.4255465241067302</v>
      </c>
      <c r="AB438" s="58">
        <f>VLOOKUP(Table1[[#This Row],[Yield Cluster]],'Cluster Details'!$B$3:$C$16,2,0)</f>
        <v>7.8548801574189142E-2</v>
      </c>
      <c r="AC438" s="78">
        <f>PRICE(Table1[[#This Row],[Issue date]],Table1[[#This Row],[Maturity date]],Table1[[#This Row],[Current coupon %]],Table1[[#This Row],[Average Cluster Yield]],100,Table1[[#This Row],[Coupon Frequency2]])*Table1[[#This Row],[Face value]]/100</f>
        <v>1071.7445852870687</v>
      </c>
      <c r="AD438" s="58" t="str">
        <f>IF(Table1[[#This Row],[Ask Price]]&gt;Table1[[#This Row],[Calculated Bond Price]],"Rich","Cheap")</f>
        <v>Cheap</v>
      </c>
      <c r="AE4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952.29556814888247</v>
      </c>
      <c r="AF4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1040.4302322252076</v>
      </c>
      <c r="AG438" s="78">
        <f>(Table1[[#This Row],[P (+ shock)]]+Table1[[#This Row],[P (-shock)]]-2*Table1[[#This Row],[Ask Price]])/(2*Table1[[#This Row],[Ask Price]]*($AF$2^2))</f>
        <v>13.093684672734419</v>
      </c>
      <c r="AH438">
        <v>41.000837491671597</v>
      </c>
      <c r="AI438" s="6">
        <f t="shared" si="25"/>
        <v>9.4466665326713967E-2</v>
      </c>
      <c r="AK438" s="47">
        <f>RATE(Table1[[#This Row],[Total No. of Coupons]],Table1[[#This Row],[Coupon Amount]],-Table1[[#This Row],[Ask Price]],Table1[[#This Row],[Face value]])</f>
        <v>9.5118081350735698E-2</v>
      </c>
      <c r="AL438" s="27">
        <f>Table1[[#This Row],[IRR]]*Table1[[#This Row],[Coupon Frequency2]]</f>
        <v>9.5118081350735698E-2</v>
      </c>
      <c r="AM438" s="5">
        <f t="shared" si="26"/>
        <v>-4403.6843242776431</v>
      </c>
      <c r="AN438" t="s">
        <v>64</v>
      </c>
      <c r="AO438" t="s">
        <v>62</v>
      </c>
      <c r="AP438">
        <f t="shared" si="27"/>
        <v>1</v>
      </c>
    </row>
    <row r="439" spans="1:42" x14ac:dyDescent="0.35">
      <c r="A439" s="48" t="s">
        <v>1515</v>
      </c>
      <c r="B439" s="49" t="s">
        <v>2727</v>
      </c>
      <c r="C439" s="49" t="s">
        <v>2273</v>
      </c>
      <c r="D439" s="50">
        <v>44494</v>
      </c>
      <c r="E439" s="50">
        <v>46350</v>
      </c>
      <c r="F439" s="49">
        <v>1000</v>
      </c>
      <c r="G439" s="49" t="s">
        <v>76</v>
      </c>
      <c r="H439" s="49">
        <v>1095.3</v>
      </c>
      <c r="I439" s="49" t="s">
        <v>76</v>
      </c>
      <c r="J439" s="49">
        <v>109.53</v>
      </c>
      <c r="K439" s="49">
        <v>100</v>
      </c>
      <c r="L439" s="51">
        <v>0.12</v>
      </c>
      <c r="M439" s="49" t="s">
        <v>93</v>
      </c>
      <c r="N439" s="49">
        <v>433</v>
      </c>
      <c r="O439" s="49">
        <v>10.9559024924678</v>
      </c>
      <c r="P439" s="49"/>
      <c r="Q439" s="49"/>
      <c r="R439" s="49" t="s">
        <v>2275</v>
      </c>
      <c r="S439">
        <f t="shared" si="24"/>
        <v>5</v>
      </c>
      <c r="T439" s="5" cm="1">
        <f t="array" ref="T4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39">
        <f>Table1[[#This Row],[Term to Maturity (Years)]]*Table1[[#This Row],[Coupon Frequency2]]</f>
        <v>5</v>
      </c>
      <c r="V439">
        <f>Table1[[#This Row],[Face value]]*Table1[[#This Row],[Current coupon %]]</f>
        <v>120</v>
      </c>
      <c r="W439" s="36">
        <f>RATE(Table1[[#This Row],[Total No. of Coupons]],Table1[[#This Row],[Coupon Amount]],-Table1[[#This Row],[Ask Price]],Table1[[#This Row],[Face value]])</f>
        <v>9.5169572890659096E-2</v>
      </c>
      <c r="X439" s="27">
        <f>Table1[[#This Row],[IRR]]*Table1[[#This Row],[Coupon Frequency2]]</f>
        <v>9.5169572890659096E-2</v>
      </c>
      <c r="Y439" s="19" cm="1">
        <f t="array" ref="Y4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39" s="33">
        <f>DURATION(Table1[[#This Row],[Issue date]],Table1[[#This Row],[Maturity date]],Table1[[#This Row],[Current coupon %]],Table1[[#This Row],[Yield (Annualised)]],Table1[[#This Row],[Coupon Frequency2]])</f>
        <v>3.7602490260630832</v>
      </c>
      <c r="AA439" s="33">
        <f>Table1[[#This Row],[Macaulay Duration in Years]]/(1+Table1[[#This Row],[IRR]])</f>
        <v>3.433485662077012</v>
      </c>
      <c r="AB439" s="58">
        <f>VLOOKUP(Table1[[#This Row],[Yield Cluster]],'Cluster Details'!$B$3:$C$16,2,0)</f>
        <v>7.8548801574189142E-2</v>
      </c>
      <c r="AC439" s="78">
        <f>PRICE(Table1[[#This Row],[Issue date]],Table1[[#This Row],[Maturity date]],Table1[[#This Row],[Current coupon %]],Table1[[#This Row],[Average Cluster Yield]],100,Table1[[#This Row],[Coupon Frequency2]])*Table1[[#This Row],[Face value]]/100</f>
        <v>1167.993767915558</v>
      </c>
      <c r="AD439" s="58" t="str">
        <f>IF(Table1[[#This Row],[Ask Price]]&gt;Table1[[#This Row],[Calculated Bond Price]],"Rich","Cheap")</f>
        <v>Cheap</v>
      </c>
      <c r="AE4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1055.7199724185134</v>
      </c>
      <c r="AF4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1138.6095118415947</v>
      </c>
      <c r="AG439" s="78">
        <f>(Table1[[#This Row],[P (+ shock)]]+Table1[[#This Row],[P (-shock)]]-2*Table1[[#This Row],[Ask Price]])/(2*Table1[[#This Row],[Ask Price]]*($AF$2^2))</f>
        <v>17.024944125391059</v>
      </c>
      <c r="AH439">
        <v>9.54541194726621</v>
      </c>
      <c r="AI439" s="6">
        <f t="shared" si="25"/>
        <v>0.10955902492467817</v>
      </c>
      <c r="AK439" s="47">
        <f>RATE(Table1[[#This Row],[Total No. of Coupons]],Table1[[#This Row],[Coupon Amount]],-Table1[[#This Row],[Ask Price]],Table1[[#This Row],[Face value]])</f>
        <v>9.5169572890659096E-2</v>
      </c>
      <c r="AL439" s="27">
        <f>Table1[[#This Row],[IRR]]*Table1[[#This Row],[Coupon Frequency2]]</f>
        <v>9.5169572890659096E-2</v>
      </c>
      <c r="AM439" s="5">
        <f t="shared" si="26"/>
        <v>-3760.696845672951</v>
      </c>
      <c r="AN439" t="s">
        <v>64</v>
      </c>
      <c r="AO439" t="s">
        <v>62</v>
      </c>
      <c r="AP439">
        <f t="shared" si="27"/>
        <v>1</v>
      </c>
    </row>
    <row r="440" spans="1:42" x14ac:dyDescent="0.35">
      <c r="A440" s="48" t="s">
        <v>1754</v>
      </c>
      <c r="B440" s="49" t="s">
        <v>2728</v>
      </c>
      <c r="C440" s="49" t="s">
        <v>2273</v>
      </c>
      <c r="D440" s="50">
        <v>42550</v>
      </c>
      <c r="E440" s="50">
        <v>46202</v>
      </c>
      <c r="F440" s="49">
        <v>100000</v>
      </c>
      <c r="G440" s="49" t="s">
        <v>76</v>
      </c>
      <c r="H440" s="49">
        <v>98600</v>
      </c>
      <c r="I440" s="49" t="s">
        <v>76</v>
      </c>
      <c r="J440" s="49">
        <v>98.6</v>
      </c>
      <c r="K440" s="49">
        <v>40</v>
      </c>
      <c r="L440" s="51">
        <v>9.3000000000000013E-2</v>
      </c>
      <c r="M440" s="49" t="s">
        <v>93</v>
      </c>
      <c r="N440" s="49">
        <v>285</v>
      </c>
      <c r="O440" s="49">
        <v>9.4320486815415805</v>
      </c>
      <c r="P440" s="49" t="s">
        <v>2279</v>
      </c>
      <c r="Q440" s="49"/>
      <c r="R440" s="49" t="s">
        <v>2275</v>
      </c>
      <c r="S440">
        <f t="shared" si="24"/>
        <v>10</v>
      </c>
      <c r="T440" s="5" cm="1">
        <f t="array" ref="T4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0">
        <f>Table1[[#This Row],[Term to Maturity (Years)]]*Table1[[#This Row],[Coupon Frequency2]]</f>
        <v>10</v>
      </c>
      <c r="V440">
        <f>Table1[[#This Row],[Face value]]*Table1[[#This Row],[Current coupon %]]</f>
        <v>9300.0000000000018</v>
      </c>
      <c r="W440" s="36">
        <f>RATE(Table1[[#This Row],[Total No. of Coupons]],Table1[[#This Row],[Coupon Amount]],-Table1[[#This Row],[Ask Price]],Table1[[#This Row],[Face value]])</f>
        <v>9.5231975781263259E-2</v>
      </c>
      <c r="X440" s="27">
        <f>Table1[[#This Row],[IRR]]*Table1[[#This Row],[Coupon Frequency2]]</f>
        <v>9.5231975781263259E-2</v>
      </c>
      <c r="Y440" s="19" cm="1">
        <f t="array" ref="Y4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0" s="33">
        <f>DURATION(Table1[[#This Row],[Issue date]],Table1[[#This Row],[Maturity date]],Table1[[#This Row],[Current coupon %]],Table1[[#This Row],[Yield (Annualised)]],Table1[[#This Row],[Coupon Frequency2]])</f>
        <v>6.8997689937785109</v>
      </c>
      <c r="AA440" s="33">
        <f>Table1[[#This Row],[Macaulay Duration in Years]]/(1+Table1[[#This Row],[IRR]])</f>
        <v>6.29982428047418</v>
      </c>
      <c r="AB440" s="58">
        <f>VLOOKUP(Table1[[#This Row],[Yield Cluster]],'Cluster Details'!$B$3:$C$16,2,0)</f>
        <v>7.8548801574189142E-2</v>
      </c>
      <c r="AC440" s="78">
        <f>PRICE(Table1[[#This Row],[Issue date]],Table1[[#This Row],[Maturity date]],Table1[[#This Row],[Current coupon %]],Table1[[#This Row],[Average Cluster Yield]],100,Table1[[#This Row],[Coupon Frequency2]])*Table1[[#This Row],[Face value]]/100</f>
        <v>109760.6654115266</v>
      </c>
      <c r="AD440" s="58" t="str">
        <f>IF(Table1[[#This Row],[Ask Price]]&gt;Table1[[#This Row],[Calculated Bond Price]],"Rich","Cheap")</f>
        <v>Cheap</v>
      </c>
      <c r="AE4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92649.982457642021</v>
      </c>
      <c r="AF4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105091.60712635767</v>
      </c>
      <c r="AG440" s="78">
        <f>(Table1[[#This Row],[P (+ shock)]]+Table1[[#This Row],[P (-shock)]]-2*Table1[[#This Row],[Ask Price]])/(2*Table1[[#This Row],[Ask Price]]*($AF$2^2))</f>
        <v>27.463974847855482</v>
      </c>
      <c r="AH440">
        <v>10.2447191718542</v>
      </c>
      <c r="AI440" s="6">
        <f t="shared" si="25"/>
        <v>9.4320486815415841E-2</v>
      </c>
      <c r="AK440" s="47">
        <f>RATE(Table1[[#This Row],[Total No. of Coupons]],Table1[[#This Row],[Coupon Amount]],-Table1[[#This Row],[Ask Price]],Table1[[#This Row],[Face value]])</f>
        <v>9.5231975781263259E-2</v>
      </c>
      <c r="AL440" s="27">
        <f>Table1[[#This Row],[IRR]]*Table1[[#This Row],[Coupon Frequency2]]</f>
        <v>9.5231975781263259E-2</v>
      </c>
      <c r="AM440" s="5">
        <f t="shared" si="26"/>
        <v>-621162.6740547542</v>
      </c>
      <c r="AN440" t="s">
        <v>64</v>
      </c>
      <c r="AO440" t="s">
        <v>62</v>
      </c>
      <c r="AP440">
        <f t="shared" si="27"/>
        <v>1</v>
      </c>
    </row>
    <row r="441" spans="1:42" x14ac:dyDescent="0.35">
      <c r="A441" s="48" t="s">
        <v>780</v>
      </c>
      <c r="B441" s="49" t="s">
        <v>2729</v>
      </c>
      <c r="C441" s="49" t="s">
        <v>2273</v>
      </c>
      <c r="D441" s="50">
        <v>44564</v>
      </c>
      <c r="E441" s="50">
        <v>47121</v>
      </c>
      <c r="F441" s="49">
        <v>1000</v>
      </c>
      <c r="G441" s="49" t="s">
        <v>76</v>
      </c>
      <c r="H441" s="49">
        <v>961.3</v>
      </c>
      <c r="I441" s="49" t="s">
        <v>76</v>
      </c>
      <c r="J441" s="49">
        <v>96.13</v>
      </c>
      <c r="K441" s="49">
        <v>100</v>
      </c>
      <c r="L441" s="51">
        <v>8.7499999999999994E-2</v>
      </c>
      <c r="M441" s="49" t="s">
        <v>93</v>
      </c>
      <c r="N441" s="49">
        <v>1204</v>
      </c>
      <c r="O441" s="49">
        <v>9.1022573598252308</v>
      </c>
      <c r="P441" s="49"/>
      <c r="Q441" s="49"/>
      <c r="R441" s="49" t="s">
        <v>2275</v>
      </c>
      <c r="S441">
        <f t="shared" si="24"/>
        <v>7</v>
      </c>
      <c r="T441" s="5" cm="1">
        <f t="array" ref="T4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1">
        <f>Table1[[#This Row],[Term to Maturity (Years)]]*Table1[[#This Row],[Coupon Frequency2]]</f>
        <v>7</v>
      </c>
      <c r="V441">
        <f>Table1[[#This Row],[Face value]]*Table1[[#This Row],[Current coupon %]]</f>
        <v>87.5</v>
      </c>
      <c r="W441" s="36">
        <f>RATE(Table1[[#This Row],[Total No. of Coupons]],Table1[[#This Row],[Coupon Amount]],-Table1[[#This Row],[Ask Price]],Table1[[#This Row],[Face value]])</f>
        <v>9.5327302033571579E-2</v>
      </c>
      <c r="X441" s="27">
        <f>Table1[[#This Row],[IRR]]*Table1[[#This Row],[Coupon Frequency2]]</f>
        <v>9.5327302033571579E-2</v>
      </c>
      <c r="Y441" s="19" cm="1">
        <f t="array" ref="Y4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1" s="33">
        <f>DURATION(Table1[[#This Row],[Issue date]],Table1[[#This Row],[Maturity date]],Table1[[#This Row],[Current coupon %]],Table1[[#This Row],[Yield (Annualised)]],Table1[[#This Row],[Coupon Frequency2]])</f>
        <v>5.4871021339305441</v>
      </c>
      <c r="AA441" s="33">
        <f>Table1[[#This Row],[Macaulay Duration in Years]]/(1+Table1[[#This Row],[IRR]])</f>
        <v>5.0095547912877327</v>
      </c>
      <c r="AB441" s="58">
        <f>VLOOKUP(Table1[[#This Row],[Yield Cluster]],'Cluster Details'!$B$3:$C$16,2,0)</f>
        <v>7.8548801574189142E-2</v>
      </c>
      <c r="AC441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1046.8354502342518</v>
      </c>
      <c r="AD441" s="58" t="str">
        <f>IF(Table1[[#This Row],[Ask Price]]&gt;Table1[[#This Row],[Calculated Bond Price]],"Rich","Cheap")</f>
        <v>Cheap</v>
      </c>
      <c r="AE4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914.71072072316713</v>
      </c>
      <c r="AF4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1011.1086642350269</v>
      </c>
      <c r="AG441" s="78">
        <f>(Table1[[#This Row],[P (+ shock)]]+Table1[[#This Row],[P (-shock)]]-2*Table1[[#This Row],[Ask Price]])/(2*Table1[[#This Row],[Ask Price]]*($AF$2^2))</f>
        <v>16.744954531332787</v>
      </c>
      <c r="AH441">
        <v>11.518370017742001</v>
      </c>
      <c r="AI441" s="6">
        <f t="shared" si="25"/>
        <v>9.1022573598252374E-2</v>
      </c>
      <c r="AK441" s="47">
        <f>RATE(Table1[[#This Row],[Total No. of Coupons]],Table1[[#This Row],[Coupon Amount]],-Table1[[#This Row],[Ask Price]],Table1[[#This Row],[Face value]])</f>
        <v>9.5327302033571579E-2</v>
      </c>
      <c r="AL441" s="27">
        <f>Table1[[#This Row],[IRR]]*Table1[[#This Row],[Coupon Frequency2]]</f>
        <v>9.5327302033571579E-2</v>
      </c>
      <c r="AM441" s="5">
        <f t="shared" si="26"/>
        <v>-4815.6850208648975</v>
      </c>
      <c r="AN441" t="s">
        <v>64</v>
      </c>
      <c r="AO441" t="s">
        <v>62</v>
      </c>
      <c r="AP441">
        <f t="shared" si="27"/>
        <v>1</v>
      </c>
    </row>
    <row r="442" spans="1:42" x14ac:dyDescent="0.35">
      <c r="A442" s="48" t="s">
        <v>1207</v>
      </c>
      <c r="B442" s="49" t="s">
        <v>2730</v>
      </c>
      <c r="C442" s="49" t="s">
        <v>2273</v>
      </c>
      <c r="D442" s="50">
        <v>44757</v>
      </c>
      <c r="E442" s="50">
        <v>46583</v>
      </c>
      <c r="F442" s="49">
        <v>1000</v>
      </c>
      <c r="G442" s="49" t="s">
        <v>76</v>
      </c>
      <c r="H442" s="49">
        <v>1000</v>
      </c>
      <c r="I442" s="49" t="s">
        <v>76</v>
      </c>
      <c r="J442" s="49">
        <v>100</v>
      </c>
      <c r="K442" s="49">
        <v>798</v>
      </c>
      <c r="L442" s="51">
        <v>9.5500000000000002E-2</v>
      </c>
      <c r="M442" s="49" t="s">
        <v>93</v>
      </c>
      <c r="N442" s="49">
        <v>666</v>
      </c>
      <c r="O442" s="49">
        <v>9.5500000000000007</v>
      </c>
      <c r="P442" s="49"/>
      <c r="Q442" s="49"/>
      <c r="R442" s="49" t="s">
        <v>2275</v>
      </c>
      <c r="S442">
        <f t="shared" si="24"/>
        <v>5</v>
      </c>
      <c r="T442" s="5" cm="1">
        <f t="array" ref="T4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2">
        <f>Table1[[#This Row],[Term to Maturity (Years)]]*Table1[[#This Row],[Coupon Frequency2]]</f>
        <v>5</v>
      </c>
      <c r="V442">
        <f>Table1[[#This Row],[Face value]]*Table1[[#This Row],[Current coupon %]]</f>
        <v>95.5</v>
      </c>
      <c r="W442" s="36">
        <f>RATE(Table1[[#This Row],[Total No. of Coupons]],Table1[[#This Row],[Coupon Amount]],-Table1[[#This Row],[Ask Price]],Table1[[#This Row],[Face value]])</f>
        <v>9.5500000000000043E-2</v>
      </c>
      <c r="X442" s="27">
        <f>Table1[[#This Row],[IRR]]*Table1[[#This Row],[Coupon Frequency2]]</f>
        <v>9.5500000000000043E-2</v>
      </c>
      <c r="Y442" s="19" cm="1">
        <f t="array" ref="Y4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2" s="33">
        <f>DURATION(Table1[[#This Row],[Issue date]],Table1[[#This Row],[Maturity date]],Table1[[#This Row],[Current coupon %]],Table1[[#This Row],[Yield (Annualised)]],Table1[[#This Row],[Coupon Frequency2]])</f>
        <v>4.2009917578938412</v>
      </c>
      <c r="AA442" s="33">
        <f>Table1[[#This Row],[Macaulay Duration in Years]]/(1+Table1[[#This Row],[IRR]])</f>
        <v>3.8347711162883074</v>
      </c>
      <c r="AB442" s="58">
        <f>VLOOKUP(Table1[[#This Row],[Yield Cluster]],'Cluster Details'!$B$3:$C$16,2,0)</f>
        <v>7.8548801574189142E-2</v>
      </c>
      <c r="AC442" s="78">
        <f>PRICE(Table1[[#This Row],[Issue date]],Table1[[#This Row],[Maturity date]],Table1[[#This Row],[Current coupon %]],Table1[[#This Row],[Average Cluster Yield]],100,Table1[[#This Row],[Coupon Frequency2]])*Table1[[#This Row],[Face value]]/100</f>
        <v>1067.9408802618509</v>
      </c>
      <c r="AD442" s="58" t="str">
        <f>IF(Table1[[#This Row],[Ask Price]]&gt;Table1[[#This Row],[Calculated Bond Price]],"Rich","Cheap")</f>
        <v>Cheap</v>
      </c>
      <c r="AE4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962.61881003515361</v>
      </c>
      <c r="AF4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1039.3549500865552</v>
      </c>
      <c r="AG442" s="78">
        <f>(Table1[[#This Row],[P (+ shock)]]+Table1[[#This Row],[P (-shock)]]-2*Table1[[#This Row],[Ask Price]])/(2*Table1[[#This Row],[Ask Price]]*($AF$2^2))</f>
        <v>9.8688006085444613</v>
      </c>
      <c r="AH442">
        <v>5.5858476196649001</v>
      </c>
      <c r="AI442" s="6">
        <f t="shared" si="25"/>
        <v>9.5500000000000002E-2</v>
      </c>
      <c r="AK442" s="47">
        <f>RATE(Table1[[#This Row],[Total No. of Coupons]],Table1[[#This Row],[Coupon Amount]],-Table1[[#This Row],[Ask Price]],Table1[[#This Row],[Face value]])</f>
        <v>9.5500000000000043E-2</v>
      </c>
      <c r="AL442" s="27">
        <f>Table1[[#This Row],[IRR]]*Table1[[#This Row],[Coupon Frequency2]]</f>
        <v>9.5500000000000043E-2</v>
      </c>
      <c r="AM442" s="5">
        <f t="shared" si="26"/>
        <v>-3834.7711162883074</v>
      </c>
      <c r="AN442" t="s">
        <v>64</v>
      </c>
      <c r="AO442" t="s">
        <v>62</v>
      </c>
      <c r="AP442">
        <f t="shared" si="27"/>
        <v>1</v>
      </c>
    </row>
    <row r="443" spans="1:42" x14ac:dyDescent="0.35">
      <c r="A443" s="48" t="s">
        <v>1010</v>
      </c>
      <c r="B443" s="49" t="s">
        <v>2731</v>
      </c>
      <c r="C443" s="49" t="s">
        <v>2273</v>
      </c>
      <c r="D443" s="50">
        <v>43181</v>
      </c>
      <c r="E443" s="50">
        <v>46834</v>
      </c>
      <c r="F443" s="49">
        <v>1000</v>
      </c>
      <c r="G443" s="49" t="s">
        <v>76</v>
      </c>
      <c r="H443" s="49">
        <v>981.2</v>
      </c>
      <c r="I443" s="49" t="s">
        <v>76</v>
      </c>
      <c r="J443" s="49">
        <v>98.12</v>
      </c>
      <c r="K443" s="49">
        <v>340</v>
      </c>
      <c r="L443" s="51">
        <v>9.2499999999999999E-2</v>
      </c>
      <c r="M443" s="49" t="s">
        <v>93</v>
      </c>
      <c r="N443" s="49">
        <v>917</v>
      </c>
      <c r="O443" s="49">
        <v>9.4272319608642405</v>
      </c>
      <c r="P443" s="49"/>
      <c r="Q443" s="49"/>
      <c r="R443" s="49" t="s">
        <v>2275</v>
      </c>
      <c r="S443">
        <f t="shared" si="24"/>
        <v>10</v>
      </c>
      <c r="T443" s="5" cm="1">
        <f t="array" ref="T4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3">
        <f>Table1[[#This Row],[Term to Maturity (Years)]]*Table1[[#This Row],[Coupon Frequency2]]</f>
        <v>10</v>
      </c>
      <c r="V443">
        <f>Table1[[#This Row],[Face value]]*Table1[[#This Row],[Current coupon %]]</f>
        <v>92.5</v>
      </c>
      <c r="W443" s="36">
        <f>RATE(Table1[[#This Row],[Total No. of Coupons]],Table1[[#This Row],[Coupon Amount]],-Table1[[#This Row],[Ask Price]],Table1[[#This Row],[Face value]])</f>
        <v>9.5500726175109629E-2</v>
      </c>
      <c r="X443" s="27">
        <f>Table1[[#This Row],[IRR]]*Table1[[#This Row],[Coupon Frequency2]]</f>
        <v>9.5500726175109629E-2</v>
      </c>
      <c r="Y443" s="19" cm="1">
        <f t="array" ref="Y4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3" s="33">
        <f>DURATION(Table1[[#This Row],[Issue date]],Table1[[#This Row],[Maturity date]],Table1[[#This Row],[Current coupon %]],Table1[[#This Row],[Yield (Annualised)]],Table1[[#This Row],[Coupon Frequency2]])</f>
        <v>6.9038209906154142</v>
      </c>
      <c r="AA443" s="33">
        <f>Table1[[#This Row],[Macaulay Duration in Years]]/(1+Table1[[#This Row],[IRR]])</f>
        <v>6.3019775575318757</v>
      </c>
      <c r="AB443" s="58">
        <f>VLOOKUP(Table1[[#This Row],[Yield Cluster]],'Cluster Details'!$B$3:$C$16,2,0)</f>
        <v>7.8548801574189142E-2</v>
      </c>
      <c r="AC443" s="78">
        <f>PRICE(Table1[[#This Row],[Issue date]],Table1[[#This Row],[Maturity date]],Table1[[#This Row],[Current coupon %]],Table1[[#This Row],[Average Cluster Yield]],100,Table1[[#This Row],[Coupon Frequency2]])*Table1[[#This Row],[Face value]]/100</f>
        <v>1094.2295413236745</v>
      </c>
      <c r="AD443" s="58" t="str">
        <f>IF(Table1[[#This Row],[Ask Price]]&gt;Table1[[#This Row],[Calculated Bond Price]],"Rich","Cheap")</f>
        <v>Cheap</v>
      </c>
      <c r="AE4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921.96948914136578</v>
      </c>
      <c r="AF4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1045.8223875522497</v>
      </c>
      <c r="AG443" s="78">
        <f>(Table1[[#This Row],[P (+ shock)]]+Table1[[#This Row],[P (-shock)]]-2*Table1[[#This Row],[Ask Price]])/(2*Table1[[#This Row],[Ask Price]]*($AF$2^2))</f>
        <v>27.475930970318785</v>
      </c>
      <c r="AH443">
        <v>136.85025172338899</v>
      </c>
      <c r="AI443" s="6">
        <f t="shared" si="25"/>
        <v>9.4272319608642477E-2</v>
      </c>
      <c r="AK443" s="47">
        <f>RATE(Table1[[#This Row],[Total No. of Coupons]],Table1[[#This Row],[Coupon Amount]],-Table1[[#This Row],[Ask Price]],Table1[[#This Row],[Face value]])</f>
        <v>9.5500726175109629E-2</v>
      </c>
      <c r="AL443" s="27">
        <f>Table1[[#This Row],[IRR]]*Table1[[#This Row],[Coupon Frequency2]]</f>
        <v>9.5500726175109629E-2</v>
      </c>
      <c r="AM443" s="5">
        <f t="shared" si="26"/>
        <v>-6183.5003794502763</v>
      </c>
      <c r="AN443" t="s">
        <v>64</v>
      </c>
      <c r="AO443" t="s">
        <v>62</v>
      </c>
      <c r="AP443">
        <f t="shared" si="27"/>
        <v>1</v>
      </c>
    </row>
    <row r="444" spans="1:42" x14ac:dyDescent="0.35">
      <c r="A444" s="48" t="s">
        <v>657</v>
      </c>
      <c r="B444" s="49" t="s">
        <v>2732</v>
      </c>
      <c r="C444" s="49" t="s">
        <v>2273</v>
      </c>
      <c r="D444" s="50">
        <v>45455</v>
      </c>
      <c r="E444" s="50">
        <v>47281</v>
      </c>
      <c r="F444" s="49">
        <v>1000</v>
      </c>
      <c r="G444" s="49" t="s">
        <v>76</v>
      </c>
      <c r="H444" s="49">
        <v>1001.9</v>
      </c>
      <c r="I444" s="49" t="s">
        <v>76</v>
      </c>
      <c r="J444" s="49">
        <v>100.19</v>
      </c>
      <c r="K444" s="49">
        <v>23</v>
      </c>
      <c r="L444" s="51">
        <v>9.6000000000000002E-2</v>
      </c>
      <c r="M444" s="49" t="s">
        <v>93</v>
      </c>
      <c r="N444" s="49">
        <v>1364</v>
      </c>
      <c r="O444" s="49">
        <v>9.58179459027847</v>
      </c>
      <c r="P444" s="49"/>
      <c r="Q444" s="49"/>
      <c r="R444" s="49" t="s">
        <v>2275</v>
      </c>
      <c r="S444">
        <f t="shared" si="24"/>
        <v>5</v>
      </c>
      <c r="T444" s="5" cm="1">
        <f t="array" ref="T4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4">
        <f>Table1[[#This Row],[Term to Maturity (Years)]]*Table1[[#This Row],[Coupon Frequency2]]</f>
        <v>5</v>
      </c>
      <c r="V444">
        <f>Table1[[#This Row],[Face value]]*Table1[[#This Row],[Current coupon %]]</f>
        <v>96</v>
      </c>
      <c r="W444" s="36">
        <f>RATE(Table1[[#This Row],[Total No. of Coupons]],Table1[[#This Row],[Coupon Amount]],-Table1[[#This Row],[Ask Price]],Table1[[#This Row],[Face value]])</f>
        <v>9.5504527891210181E-2</v>
      </c>
      <c r="X444" s="27">
        <f>Table1[[#This Row],[IRR]]*Table1[[#This Row],[Coupon Frequency2]]</f>
        <v>9.5504527891210181E-2</v>
      </c>
      <c r="Y444" s="19" cm="1">
        <f t="array" ref="Y4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4" s="33">
        <f>DURATION(Table1[[#This Row],[Issue date]],Table1[[#This Row],[Maturity date]],Table1[[#This Row],[Current coupon %]],Table1[[#This Row],[Yield (Annualised)]],Table1[[#This Row],[Coupon Frequency2]])</f>
        <v>4.1983379717337668</v>
      </c>
      <c r="AA444" s="33">
        <f>Table1[[#This Row],[Macaulay Duration in Years]]/(1+Table1[[#This Row],[IRR]])</f>
        <v>3.8323328337267135</v>
      </c>
      <c r="AB444" s="58">
        <f>VLOOKUP(Table1[[#This Row],[Yield Cluster]],'Cluster Details'!$B$3:$C$16,2,0)</f>
        <v>7.8548801574189142E-2</v>
      </c>
      <c r="AC444" s="78">
        <f>PRICE(Table1[[#This Row],[Issue date]],Table1[[#This Row],[Maturity date]],Table1[[#This Row],[Current coupon %]],Table1[[#This Row],[Average Cluster Yield]],100,Table1[[#This Row],[Coupon Frequency2]])*Table1[[#This Row],[Face value]]/100</f>
        <v>1069.944894330803</v>
      </c>
      <c r="AD444" s="58" t="str">
        <f>IF(Table1[[#This Row],[Ask Price]]&gt;Table1[[#This Row],[Calculated Bond Price]],"Rich","Cheap")</f>
        <v>Cheap</v>
      </c>
      <c r="AE4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964.47135122766213</v>
      </c>
      <c r="AF4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1041.3043894113541</v>
      </c>
      <c r="AG444" s="78">
        <f>(Table1[[#This Row],[P (+ shock)]]+Table1[[#This Row],[P (-shock)]]-2*Table1[[#This Row],[Ask Price]])/(2*Table1[[#This Row],[Ask Price]]*($AF$2^2))</f>
        <v>9.8599692534998216</v>
      </c>
      <c r="AI444" s="6">
        <f t="shared" si="25"/>
        <v>9.581794590278471E-2</v>
      </c>
      <c r="AK444" s="47">
        <f>RATE(Table1[[#This Row],[Total No. of Coupons]],Table1[[#This Row],[Coupon Amount]],-Table1[[#This Row],[Ask Price]],Table1[[#This Row],[Face value]])</f>
        <v>9.5504527891210181E-2</v>
      </c>
      <c r="AL444" s="27">
        <f>Table1[[#This Row],[IRR]]*Table1[[#This Row],[Coupon Frequency2]]</f>
        <v>9.5504527891210181E-2</v>
      </c>
      <c r="AM444" s="5">
        <f t="shared" si="26"/>
        <v>-3839.6142661107942</v>
      </c>
      <c r="AN444" t="s">
        <v>64</v>
      </c>
      <c r="AO444" t="s">
        <v>62</v>
      </c>
      <c r="AP444">
        <f t="shared" si="27"/>
        <v>1</v>
      </c>
    </row>
    <row r="445" spans="1:42" x14ac:dyDescent="0.35">
      <c r="A445" s="48" t="s">
        <v>774</v>
      </c>
      <c r="B445" s="49" t="s">
        <v>2733</v>
      </c>
      <c r="C445" s="49" t="s">
        <v>2273</v>
      </c>
      <c r="D445" s="50">
        <v>43473</v>
      </c>
      <c r="E445" s="50">
        <v>47126</v>
      </c>
      <c r="F445" s="49">
        <v>1000000</v>
      </c>
      <c r="G445" s="49" t="s">
        <v>76</v>
      </c>
      <c r="H445" s="49">
        <v>927400</v>
      </c>
      <c r="I445" s="49" t="s">
        <v>76</v>
      </c>
      <c r="J445" s="49">
        <v>92.74</v>
      </c>
      <c r="K445" s="49">
        <v>2</v>
      </c>
      <c r="L445" s="51">
        <v>8.4000000000000005E-2</v>
      </c>
      <c r="M445" s="49" t="s">
        <v>93</v>
      </c>
      <c r="N445" s="49">
        <v>1209</v>
      </c>
      <c r="O445" s="49">
        <v>9.0575803321112698</v>
      </c>
      <c r="P445" s="49" t="s">
        <v>2274</v>
      </c>
      <c r="Q445" s="49"/>
      <c r="R445" s="49" t="s">
        <v>2275</v>
      </c>
      <c r="S445">
        <f t="shared" si="24"/>
        <v>10</v>
      </c>
      <c r="T445" s="5" cm="1">
        <f t="array" ref="T4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5">
        <f>Table1[[#This Row],[Term to Maturity (Years)]]*Table1[[#This Row],[Coupon Frequency2]]</f>
        <v>10</v>
      </c>
      <c r="V445">
        <f>Table1[[#This Row],[Face value]]*Table1[[#This Row],[Current coupon %]]</f>
        <v>84000</v>
      </c>
      <c r="W445" s="36">
        <f>RATE(Table1[[#This Row],[Total No. of Coupons]],Table1[[#This Row],[Coupon Amount]],-Table1[[#This Row],[Ask Price]],Table1[[#This Row],[Face value]])</f>
        <v>9.5592531351441246E-2</v>
      </c>
      <c r="X445" s="27">
        <f>Table1[[#This Row],[IRR]]*Table1[[#This Row],[Coupon Frequency2]]</f>
        <v>9.5592531351441246E-2</v>
      </c>
      <c r="Y445" s="19" cm="1">
        <f t="array" ref="Y4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5" s="33">
        <f>DURATION(Table1[[#This Row],[Issue date]],Table1[[#This Row],[Maturity date]],Table1[[#This Row],[Current coupon %]],Table1[[#This Row],[Yield (Annualised)]],Table1[[#This Row],[Coupon Frequency2]])</f>
        <v>7.0260349359121248</v>
      </c>
      <c r="AA445" s="33">
        <f>Table1[[#This Row],[Macaulay Duration in Years]]/(1+Table1[[#This Row],[IRR]])</f>
        <v>6.4130000295322684</v>
      </c>
      <c r="AB445" s="58">
        <f>VLOOKUP(Table1[[#This Row],[Yield Cluster]],'Cluster Details'!$B$3:$C$16,2,0)</f>
        <v>7.8548801574189142E-2</v>
      </c>
      <c r="AC445" s="78">
        <f>PRICE(Table1[[#This Row],[Issue date]],Table1[[#This Row],[Maturity date]],Table1[[#This Row],[Current coupon %]],Table1[[#This Row],[Average Cluster Yield]],100,Table1[[#This Row],[Coupon Frequency2]])*Table1[[#This Row],[Face value]]/100</f>
        <v>1036818.6238666192</v>
      </c>
      <c r="AD445" s="58" t="str">
        <f>IF(Table1[[#This Row],[Ask Price]]&gt;Table1[[#This Row],[Calculated Bond Price]],"Rich","Cheap")</f>
        <v>Cheap</v>
      </c>
      <c r="AE4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870451.79331397382</v>
      </c>
      <c r="AF4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989578.37820040167</v>
      </c>
      <c r="AG445" s="78">
        <f>(Table1[[#This Row],[P (+ shock)]]+Table1[[#This Row],[P (-shock)]]-2*Table1[[#This Row],[Ask Price]])/(2*Table1[[#This Row],[Ask Price]]*($AF$2^2))</f>
        <v>28.198034906057799</v>
      </c>
      <c r="AH445">
        <v>4.0747673799304396</v>
      </c>
      <c r="AI445" s="6">
        <f t="shared" si="25"/>
        <v>9.0575803321112786E-2</v>
      </c>
      <c r="AK445" s="47">
        <f>RATE(Table1[[#This Row],[Total No. of Coupons]],Table1[[#This Row],[Coupon Amount]],-Table1[[#This Row],[Ask Price]],Table1[[#This Row],[Face value]])</f>
        <v>9.5592531351441246E-2</v>
      </c>
      <c r="AL445" s="27">
        <f>Table1[[#This Row],[IRR]]*Table1[[#This Row],[Coupon Frequency2]]</f>
        <v>9.5592531351441246E-2</v>
      </c>
      <c r="AM445" s="5">
        <f t="shared" si="26"/>
        <v>-5947416.2273882255</v>
      </c>
      <c r="AN445" t="s">
        <v>69</v>
      </c>
      <c r="AO445" t="s">
        <v>62</v>
      </c>
      <c r="AP445">
        <f t="shared" si="27"/>
        <v>1</v>
      </c>
    </row>
    <row r="446" spans="1:42" x14ac:dyDescent="0.35">
      <c r="A446" s="48" t="s">
        <v>581</v>
      </c>
      <c r="B446" s="49" t="s">
        <v>2734</v>
      </c>
      <c r="C446" s="49" t="s">
        <v>2273</v>
      </c>
      <c r="D446" s="50">
        <v>45586</v>
      </c>
      <c r="E446" s="50">
        <v>47411</v>
      </c>
      <c r="F446" s="49">
        <v>100000</v>
      </c>
      <c r="G446" s="49" t="s">
        <v>76</v>
      </c>
      <c r="H446" s="49">
        <v>100725.15</v>
      </c>
      <c r="I446" s="49" t="s">
        <v>76</v>
      </c>
      <c r="J446" s="49">
        <v>100.72515</v>
      </c>
      <c r="K446" s="49">
        <v>5</v>
      </c>
      <c r="L446" s="51">
        <v>9.7500000000000003E-2</v>
      </c>
      <c r="M446" s="49" t="s">
        <v>93</v>
      </c>
      <c r="N446" s="49">
        <v>1494</v>
      </c>
      <c r="O446" s="49">
        <v>9.6798068804067299</v>
      </c>
      <c r="P446" s="49" t="s">
        <v>2279</v>
      </c>
      <c r="Q446" s="49"/>
      <c r="R446" s="49" t="s">
        <v>2275</v>
      </c>
      <c r="S446">
        <f t="shared" si="24"/>
        <v>5</v>
      </c>
      <c r="T446" s="5" cm="1">
        <f t="array" ref="T4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6">
        <f>Table1[[#This Row],[Term to Maturity (Years)]]*Table1[[#This Row],[Coupon Frequency2]]</f>
        <v>5</v>
      </c>
      <c r="V446">
        <f>Table1[[#This Row],[Face value]]*Table1[[#This Row],[Current coupon %]]</f>
        <v>9750</v>
      </c>
      <c r="W446" s="36">
        <f>RATE(Table1[[#This Row],[Total No. of Coupons]],Table1[[#This Row],[Coupon Amount]],-Table1[[#This Row],[Ask Price]],Table1[[#This Row],[Face value]])</f>
        <v>9.5608485831007506E-2</v>
      </c>
      <c r="X446" s="27">
        <f>Table1[[#This Row],[IRR]]*Table1[[#This Row],[Coupon Frequency2]]</f>
        <v>9.5608485831007506E-2</v>
      </c>
      <c r="Y446" s="19" cm="1">
        <f t="array" ref="Y4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6" s="33">
        <f>DURATION(Table1[[#This Row],[Issue date]],Table1[[#This Row],[Maturity date]],Table1[[#This Row],[Current coupon %]],Table1[[#This Row],[Yield (Annualised)]],Table1[[#This Row],[Coupon Frequency2]])</f>
        <v>4.1875068525692392</v>
      </c>
      <c r="AA446" s="33">
        <f>Table1[[#This Row],[Macaulay Duration in Years]]/(1+Table1[[#This Row],[IRR]])</f>
        <v>3.8220832594163956</v>
      </c>
      <c r="AB446" s="58">
        <f>VLOOKUP(Table1[[#This Row],[Yield Cluster]],'Cluster Details'!$B$3:$C$16,2,0)</f>
        <v>7.8548801574189142E-2</v>
      </c>
      <c r="AC446" s="78">
        <f>PRICE(Table1[[#This Row],[Issue date]],Table1[[#This Row],[Maturity date]],Table1[[#This Row],[Current coupon %]],Table1[[#This Row],[Average Cluster Yield]],100,Table1[[#This Row],[Coupon Frequency2]])*Table1[[#This Row],[Face value]]/100</f>
        <v>107591.21270191851</v>
      </c>
      <c r="AD446" s="58" t="str">
        <f>IF(Table1[[#This Row],[Ask Price]]&gt;Table1[[#This Row],[Calculated Bond Price]],"Rich","Cheap")</f>
        <v>Cheap</v>
      </c>
      <c r="AE4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96969.747367681892</v>
      </c>
      <c r="AF4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104675.37688729451</v>
      </c>
      <c r="AG446" s="78">
        <f>(Table1[[#This Row],[P (+ shock)]]+Table1[[#This Row],[P (-shock)]]-2*Table1[[#This Row],[Ask Price]])/(2*Table1[[#This Row],[Ask Price]]*($AF$2^2))</f>
        <v>9.6710828912347555</v>
      </c>
      <c r="AH446">
        <v>11.088748322790799</v>
      </c>
      <c r="AI446" s="6">
        <f t="shared" si="25"/>
        <v>9.6798068804067314E-2</v>
      </c>
      <c r="AK446" s="47">
        <f>RATE(Table1[[#This Row],[Total No. of Coupons]],Table1[[#This Row],[Coupon Amount]],-Table1[[#This Row],[Ask Price]],Table1[[#This Row],[Face value]])</f>
        <v>9.5608485831007506E-2</v>
      </c>
      <c r="AL446" s="27">
        <f>Table1[[#This Row],[IRR]]*Table1[[#This Row],[Coupon Frequency2]]</f>
        <v>9.5608485831007506E-2</v>
      </c>
      <c r="AM446" s="5">
        <f t="shared" si="26"/>
        <v>-384979.90961720533</v>
      </c>
      <c r="AN446" t="s">
        <v>64</v>
      </c>
      <c r="AO446" t="s">
        <v>62</v>
      </c>
      <c r="AP446">
        <f t="shared" si="27"/>
        <v>1</v>
      </c>
    </row>
    <row r="447" spans="1:42" x14ac:dyDescent="0.35">
      <c r="A447" s="48" t="s">
        <v>530</v>
      </c>
      <c r="B447" s="49" t="s">
        <v>2735</v>
      </c>
      <c r="C447" s="49" t="s">
        <v>2273</v>
      </c>
      <c r="D447" s="50">
        <v>45681</v>
      </c>
      <c r="E447" s="50">
        <v>47507</v>
      </c>
      <c r="F447" s="49">
        <v>1000</v>
      </c>
      <c r="G447" s="49" t="s">
        <v>76</v>
      </c>
      <c r="H447" s="49">
        <v>1036</v>
      </c>
      <c r="I447" s="49" t="s">
        <v>76</v>
      </c>
      <c r="J447" s="49">
        <v>103.6</v>
      </c>
      <c r="K447" s="49">
        <v>318</v>
      </c>
      <c r="L447" s="51">
        <v>0.105</v>
      </c>
      <c r="M447" s="49" t="s">
        <v>93</v>
      </c>
      <c r="N447" s="49">
        <v>1590</v>
      </c>
      <c r="O447" s="49">
        <v>10.1351351351351</v>
      </c>
      <c r="P447" s="49"/>
      <c r="Q447" s="49"/>
      <c r="R447" s="49" t="s">
        <v>2275</v>
      </c>
      <c r="S447">
        <f t="shared" si="24"/>
        <v>5</v>
      </c>
      <c r="T447" s="5" cm="1">
        <f t="array" ref="T4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7">
        <f>Table1[[#This Row],[Term to Maturity (Years)]]*Table1[[#This Row],[Coupon Frequency2]]</f>
        <v>5</v>
      </c>
      <c r="V447">
        <f>Table1[[#This Row],[Face value]]*Table1[[#This Row],[Current coupon %]]</f>
        <v>105</v>
      </c>
      <c r="W447" s="36">
        <f>RATE(Table1[[#This Row],[Total No. of Coupons]],Table1[[#This Row],[Coupon Amount]],-Table1[[#This Row],[Ask Price]],Table1[[#This Row],[Face value]])</f>
        <v>9.5609570427101054E-2</v>
      </c>
      <c r="X447" s="27">
        <f>Table1[[#This Row],[IRR]]*Table1[[#This Row],[Coupon Frequency2]]</f>
        <v>9.5609570427101054E-2</v>
      </c>
      <c r="Y447" s="19" cm="1">
        <f t="array" ref="Y4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7" s="33">
        <f>DURATION(Table1[[#This Row],[Issue date]],Table1[[#This Row],[Maturity date]],Table1[[#This Row],[Current coupon %]],Table1[[#This Row],[Yield (Annualised)]],Table1[[#This Row],[Coupon Frequency2]])</f>
        <v>4.1521980483281054</v>
      </c>
      <c r="AA447" s="33">
        <f>Table1[[#This Row],[Macaulay Duration in Years]]/(1+Table1[[#This Row],[IRR]])</f>
        <v>3.7898519330288938</v>
      </c>
      <c r="AB447" s="58">
        <f>VLOOKUP(Table1[[#This Row],[Yield Cluster]],'Cluster Details'!$B$3:$C$16,2,0)</f>
        <v>7.8548801574189142E-2</v>
      </c>
      <c r="AC447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447" s="58" t="str">
        <f>IF(Table1[[#This Row],[Ask Price]]&gt;Table1[[#This Row],[Calculated Bond Price]],"Rich","Cheap")</f>
        <v>Cheap</v>
      </c>
      <c r="AE4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997.72198549507607</v>
      </c>
      <c r="AF4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1076.2890955291496</v>
      </c>
      <c r="AG447" s="78">
        <f>(Table1[[#This Row],[P (+ shock)]]+Table1[[#This Row],[P (-shock)]]-2*Table1[[#This Row],[Ask Price]])/(2*Table1[[#This Row],[Ask Price]]*($AF$2^2))</f>
        <v>9.7059894991595517</v>
      </c>
      <c r="AH447">
        <v>9.6614914103730296</v>
      </c>
      <c r="AI447" s="6">
        <f t="shared" si="25"/>
        <v>0.10135135135135136</v>
      </c>
      <c r="AK447" s="47">
        <f>RATE(Table1[[#This Row],[Total No. of Coupons]],Table1[[#This Row],[Coupon Amount]],-Table1[[#This Row],[Ask Price]],Table1[[#This Row],[Face value]])</f>
        <v>9.5609570427101054E-2</v>
      </c>
      <c r="AL447" s="27">
        <f>Table1[[#This Row],[IRR]]*Table1[[#This Row],[Coupon Frequency2]]</f>
        <v>9.5609570427101054E-2</v>
      </c>
      <c r="AM447" s="5">
        <f t="shared" si="26"/>
        <v>-3926.286602617934</v>
      </c>
      <c r="AN447" t="s">
        <v>64</v>
      </c>
      <c r="AO447" t="s">
        <v>62</v>
      </c>
      <c r="AP447">
        <f t="shared" si="27"/>
        <v>1</v>
      </c>
    </row>
    <row r="448" spans="1:42" x14ac:dyDescent="0.35">
      <c r="A448" s="48" t="s">
        <v>226</v>
      </c>
      <c r="B448" s="49" t="s">
        <v>2736</v>
      </c>
      <c r="C448" s="49" t="s">
        <v>2273</v>
      </c>
      <c r="D448" s="50">
        <v>45161</v>
      </c>
      <c r="E448" s="50">
        <v>48814</v>
      </c>
      <c r="F448" s="49">
        <v>100000</v>
      </c>
      <c r="G448" s="49" t="s">
        <v>76</v>
      </c>
      <c r="H448" s="49">
        <v>99000</v>
      </c>
      <c r="I448" s="49" t="s">
        <v>76</v>
      </c>
      <c r="J448" s="49">
        <v>99</v>
      </c>
      <c r="K448" s="49">
        <v>2</v>
      </c>
      <c r="L448" s="51">
        <v>9.4499999999999987E-2</v>
      </c>
      <c r="M448" s="49" t="s">
        <v>93</v>
      </c>
      <c r="N448" s="49">
        <v>2897</v>
      </c>
      <c r="O448" s="49">
        <v>9.5454545454545396</v>
      </c>
      <c r="P448" s="49"/>
      <c r="Q448" s="49"/>
      <c r="R448" s="49" t="s">
        <v>2275</v>
      </c>
      <c r="S448">
        <f t="shared" si="24"/>
        <v>10</v>
      </c>
      <c r="T448" s="5" cm="1">
        <f t="array" ref="T4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8">
        <f>Table1[[#This Row],[Term to Maturity (Years)]]*Table1[[#This Row],[Coupon Frequency2]]</f>
        <v>10</v>
      </c>
      <c r="V448">
        <f>Table1[[#This Row],[Face value]]*Table1[[#This Row],[Current coupon %]]</f>
        <v>9449.9999999999982</v>
      </c>
      <c r="W448" s="36">
        <f>RATE(Table1[[#This Row],[Total No. of Coupons]],Table1[[#This Row],[Coupon Amount]],-Table1[[#This Row],[Ask Price]],Table1[[#This Row],[Face value]])</f>
        <v>9.6100289565223249E-2</v>
      </c>
      <c r="X448" s="27">
        <f>Table1[[#This Row],[IRR]]*Table1[[#This Row],[Coupon Frequency2]]</f>
        <v>9.6100289565223249E-2</v>
      </c>
      <c r="Y448" s="19" cm="1">
        <f t="array" ref="Y4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8" s="33">
        <f>DURATION(Table1[[#This Row],[Issue date]],Table1[[#This Row],[Maturity date]],Table1[[#This Row],[Current coupon %]],Table1[[#This Row],[Yield (Annualised)]],Table1[[#This Row],[Coupon Frequency2]])</f>
        <v>6.8705577036632972</v>
      </c>
      <c r="AA448" s="33">
        <f>Table1[[#This Row],[Macaulay Duration in Years]]/(1+Table1[[#This Row],[IRR]])</f>
        <v>6.2681834582751161</v>
      </c>
      <c r="AB448" s="58">
        <f>VLOOKUP(Table1[[#This Row],[Yield Cluster]],'Cluster Details'!$B$3:$C$16,2,0)</f>
        <v>7.8548801574189142E-2</v>
      </c>
      <c r="AC448" s="78">
        <f>PRICE(Table1[[#This Row],[Issue date]],Table1[[#This Row],[Maturity date]],Table1[[#This Row],[Current coupon %]],Table1[[#This Row],[Average Cluster Yield]],100,Table1[[#This Row],[Coupon Frequency2]])*Table1[[#This Row],[Face value]]/100</f>
        <v>110773.79924900405</v>
      </c>
      <c r="AD448" s="58" t="str">
        <f>IF(Table1[[#This Row],[Ask Price]]&gt;Table1[[#This Row],[Calculated Bond Price]],"Rich","Cheap")</f>
        <v>Cheap</v>
      </c>
      <c r="AE4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93055.152923026501</v>
      </c>
      <c r="AF4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105484.425171226</v>
      </c>
      <c r="AG448" s="78">
        <f>(Table1[[#This Row],[P (+ shock)]]+Table1[[#This Row],[P (-shock)]]-2*Table1[[#This Row],[Ask Price]])/(2*Table1[[#This Row],[Ask Price]]*($AF$2^2))</f>
        <v>27.251418901641493</v>
      </c>
      <c r="AH448">
        <v>8.2428167459929593</v>
      </c>
      <c r="AI448" s="6">
        <f t="shared" si="25"/>
        <v>9.5454545454545431E-2</v>
      </c>
      <c r="AK448" s="47">
        <f>RATE(Table1[[#This Row],[Total No. of Coupons]],Table1[[#This Row],[Coupon Amount]],-Table1[[#This Row],[Ask Price]],Table1[[#This Row],[Face value]])</f>
        <v>9.6100289565223249E-2</v>
      </c>
      <c r="AL448" s="27">
        <f>Table1[[#This Row],[IRR]]*Table1[[#This Row],[Coupon Frequency2]]</f>
        <v>9.6100289565223249E-2</v>
      </c>
      <c r="AM448" s="5">
        <f t="shared" si="26"/>
        <v>-620550.16236923647</v>
      </c>
      <c r="AN448" t="s">
        <v>64</v>
      </c>
      <c r="AO448" t="s">
        <v>62</v>
      </c>
      <c r="AP448">
        <f t="shared" si="27"/>
        <v>1</v>
      </c>
    </row>
    <row r="449" spans="1:42" x14ac:dyDescent="0.35">
      <c r="A449" s="48" t="s">
        <v>340</v>
      </c>
      <c r="B449" s="49" t="s">
        <v>2737</v>
      </c>
      <c r="C449" s="49" t="s">
        <v>2273</v>
      </c>
      <c r="D449" s="50">
        <v>45796</v>
      </c>
      <c r="E449" s="50">
        <v>47987</v>
      </c>
      <c r="F449" s="49">
        <v>1000</v>
      </c>
      <c r="G449" s="49" t="s">
        <v>76</v>
      </c>
      <c r="H449" s="49">
        <v>1017</v>
      </c>
      <c r="I449" s="49" t="s">
        <v>76</v>
      </c>
      <c r="J449" s="49">
        <v>101.69999999999899</v>
      </c>
      <c r="K449" s="49">
        <v>50</v>
      </c>
      <c r="L449" s="51">
        <v>0.1</v>
      </c>
      <c r="M449" s="49" t="s">
        <v>93</v>
      </c>
      <c r="N449" s="49">
        <v>2070</v>
      </c>
      <c r="O449" s="49">
        <v>9.8328416912487704</v>
      </c>
      <c r="P449" s="49"/>
      <c r="Q449" s="49"/>
      <c r="R449" s="49" t="s">
        <v>2275</v>
      </c>
      <c r="S449">
        <f t="shared" si="24"/>
        <v>6</v>
      </c>
      <c r="T449" s="5" cm="1">
        <f t="array" ref="T4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49">
        <f>Table1[[#This Row],[Term to Maturity (Years)]]*Table1[[#This Row],[Coupon Frequency2]]</f>
        <v>6</v>
      </c>
      <c r="V449">
        <f>Table1[[#This Row],[Face value]]*Table1[[#This Row],[Current coupon %]]</f>
        <v>100</v>
      </c>
      <c r="W449" s="36">
        <f>RATE(Table1[[#This Row],[Total No. of Coupons]],Table1[[#This Row],[Coupon Amount]],-Table1[[#This Row],[Ask Price]],Table1[[#This Row],[Face value]])</f>
        <v>9.6140716252123518E-2</v>
      </c>
      <c r="X449" s="27">
        <f>Table1[[#This Row],[IRR]]*Table1[[#This Row],[Coupon Frequency2]]</f>
        <v>9.6140716252123518E-2</v>
      </c>
      <c r="Y449" s="19" cm="1">
        <f t="array" ref="Y4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49" s="33">
        <f>DURATION(Table1[[#This Row],[Issue date]],Table1[[#This Row],[Maturity date]],Table1[[#This Row],[Current coupon %]],Table1[[#This Row],[Yield (Annualised)]],Table1[[#This Row],[Coupon Frequency2]])</f>
        <v>4.8018000471503157</v>
      </c>
      <c r="AA449" s="33">
        <f>Table1[[#This Row],[Macaulay Duration in Years]]/(1+Table1[[#This Row],[IRR]])</f>
        <v>4.380641988711468</v>
      </c>
      <c r="AB449" s="58">
        <f>VLOOKUP(Table1[[#This Row],[Yield Cluster]],'Cluster Details'!$B$3:$C$16,2,0)</f>
        <v>7.8548801574189142E-2</v>
      </c>
      <c r="AC449" s="78">
        <f>PRICE(Table1[[#This Row],[Issue date]],Table1[[#This Row],[Maturity date]],Table1[[#This Row],[Current coupon %]],Table1[[#This Row],[Average Cluster Yield]],100,Table1[[#This Row],[Coupon Frequency2]])*Table1[[#This Row],[Face value]]/100</f>
        <v>1099.6043991254128</v>
      </c>
      <c r="AD449" s="58" t="str">
        <f>IF(Table1[[#This Row],[Ask Price]]&gt;Table1[[#This Row],[Calculated Bond Price]],"Rich","Cheap")</f>
        <v>Cheap</v>
      </c>
      <c r="AE4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973.73007077236218</v>
      </c>
      <c r="AF4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1062.8935382667951</v>
      </c>
      <c r="AG449" s="78">
        <f>(Table1[[#This Row],[P (+ shock)]]+Table1[[#This Row],[P (-shock)]]-2*Table1[[#This Row],[Ask Price]])/(2*Table1[[#This Row],[Ask Price]]*($AF$2^2))</f>
        <v>12.898766170880753</v>
      </c>
      <c r="AH449">
        <v>20.057079435547799</v>
      </c>
      <c r="AI449" s="6">
        <f t="shared" si="25"/>
        <v>9.8328416912487712E-2</v>
      </c>
      <c r="AK449" s="47">
        <f>RATE(Table1[[#This Row],[Total No. of Coupons]],Table1[[#This Row],[Coupon Amount]],-Table1[[#This Row],[Ask Price]],Table1[[#This Row],[Face value]])</f>
        <v>9.6140716252123518E-2</v>
      </c>
      <c r="AL449" s="27">
        <f>Table1[[#This Row],[IRR]]*Table1[[#This Row],[Coupon Frequency2]]</f>
        <v>9.6140716252123518E-2</v>
      </c>
      <c r="AM449" s="5">
        <f t="shared" si="26"/>
        <v>-4455.1129025195632</v>
      </c>
      <c r="AN449" t="s">
        <v>64</v>
      </c>
      <c r="AO449" t="s">
        <v>62</v>
      </c>
      <c r="AP449">
        <f t="shared" si="27"/>
        <v>1</v>
      </c>
    </row>
    <row r="450" spans="1:42" x14ac:dyDescent="0.35">
      <c r="A450" s="48" t="s">
        <v>1667</v>
      </c>
      <c r="B450" s="49" t="s">
        <v>2738</v>
      </c>
      <c r="C450" s="49" t="s">
        <v>2273</v>
      </c>
      <c r="D450" s="50">
        <v>43699</v>
      </c>
      <c r="E450" s="50">
        <v>46256</v>
      </c>
      <c r="F450" s="49">
        <v>1000</v>
      </c>
      <c r="G450" s="49" t="s">
        <v>76</v>
      </c>
      <c r="H450" s="49">
        <v>1004.2</v>
      </c>
      <c r="I450" s="49" t="s">
        <v>76</v>
      </c>
      <c r="J450" s="49">
        <v>100.42</v>
      </c>
      <c r="K450" s="49">
        <v>464</v>
      </c>
      <c r="L450" s="51">
        <v>9.6999999999999989E-2</v>
      </c>
      <c r="M450" s="49" t="s">
        <v>93</v>
      </c>
      <c r="N450" s="49">
        <v>339</v>
      </c>
      <c r="O450" s="49">
        <v>9.6594303923521192</v>
      </c>
      <c r="P450" s="49" t="s">
        <v>2285</v>
      </c>
      <c r="Q450" s="49"/>
      <c r="R450" s="49" t="s">
        <v>2275</v>
      </c>
      <c r="S450">
        <f t="shared" si="24"/>
        <v>7</v>
      </c>
      <c r="T450" s="5" cm="1">
        <f t="array" ref="T4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0">
        <f>Table1[[#This Row],[Term to Maturity (Years)]]*Table1[[#This Row],[Coupon Frequency2]]</f>
        <v>7</v>
      </c>
      <c r="V450">
        <f>Table1[[#This Row],[Face value]]*Table1[[#This Row],[Current coupon %]]</f>
        <v>96.999999999999986</v>
      </c>
      <c r="W450" s="36">
        <f>RATE(Table1[[#This Row],[Total No. of Coupons]],Table1[[#This Row],[Coupon Amount]],-Table1[[#This Row],[Ask Price]],Table1[[#This Row],[Face value]])</f>
        <v>9.6148207701052826E-2</v>
      </c>
      <c r="X450" s="27">
        <f>Table1[[#This Row],[IRR]]*Table1[[#This Row],[Coupon Frequency2]]</f>
        <v>9.6148207701052826E-2</v>
      </c>
      <c r="Y450" s="19" cm="1">
        <f t="array" ref="Y4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0" s="33">
        <f>DURATION(Table1[[#This Row],[Issue date]],Table1[[#This Row],[Maturity date]],Table1[[#This Row],[Current coupon %]],Table1[[#This Row],[Yield (Annualised)]],Table1[[#This Row],[Coupon Frequency2]])</f>
        <v>5.3974641999270743</v>
      </c>
      <c r="AA450" s="33">
        <f>Table1[[#This Row],[Macaulay Duration in Years]]/(1+Table1[[#This Row],[IRR]])</f>
        <v>4.92402775647205</v>
      </c>
      <c r="AB450" s="58">
        <f>VLOOKUP(Table1[[#This Row],[Yield Cluster]],'Cluster Details'!$B$3:$C$16,2,0)</f>
        <v>7.8548801574189142E-2</v>
      </c>
      <c r="AC450" s="78">
        <f>PRICE(Table1[[#This Row],[Issue date]],Table1[[#This Row],[Maturity date]],Table1[[#This Row],[Current coupon %]],Table1[[#This Row],[Average Cluster Yield]],100,Table1[[#This Row],[Coupon Frequency2]])*Table1[[#This Row],[Face value]]/100</f>
        <v>1096.5424007518952</v>
      </c>
      <c r="AD450" s="58" t="str">
        <f>IF(Table1[[#This Row],[Ask Price]]&gt;Table1[[#This Row],[Calculated Bond Price]],"Rich","Cheap")</f>
        <v>Cheap</v>
      </c>
      <c r="AE4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956.35005512318753</v>
      </c>
      <c r="AF4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1055.3296530767327</v>
      </c>
      <c r="AG450" s="78">
        <f>(Table1[[#This Row],[P (+ shock)]]+Table1[[#This Row],[P (-shock)]]-2*Table1[[#This Row],[Ask Price]])/(2*Table1[[#This Row],[Ask Price]]*($AF$2^2))</f>
        <v>16.329955187811944</v>
      </c>
      <c r="AH450">
        <v>9.8758943203165597</v>
      </c>
      <c r="AI450" s="6">
        <f t="shared" si="25"/>
        <v>9.6594303923521196E-2</v>
      </c>
      <c r="AK450" s="47">
        <f>RATE(Table1[[#This Row],[Total No. of Coupons]],Table1[[#This Row],[Coupon Amount]],-Table1[[#This Row],[Ask Price]],Table1[[#This Row],[Face value]])</f>
        <v>9.6148207701052826E-2</v>
      </c>
      <c r="AL450" s="27">
        <f>Table1[[#This Row],[IRR]]*Table1[[#This Row],[Coupon Frequency2]]</f>
        <v>9.6148207701052826E-2</v>
      </c>
      <c r="AM450" s="5">
        <f t="shared" si="26"/>
        <v>-4944.7086730492329</v>
      </c>
      <c r="AN450" t="s">
        <v>64</v>
      </c>
      <c r="AO450" t="s">
        <v>62</v>
      </c>
      <c r="AP450">
        <f t="shared" si="27"/>
        <v>1</v>
      </c>
    </row>
    <row r="451" spans="1:42" x14ac:dyDescent="0.35">
      <c r="A451" s="48" t="s">
        <v>1204</v>
      </c>
      <c r="B451" s="49" t="s">
        <v>2739</v>
      </c>
      <c r="C451" s="49" t="s">
        <v>2273</v>
      </c>
      <c r="D451" s="50">
        <v>42940</v>
      </c>
      <c r="E451" s="50">
        <v>46592</v>
      </c>
      <c r="F451" s="49">
        <v>1000</v>
      </c>
      <c r="G451" s="49" t="s">
        <v>76</v>
      </c>
      <c r="H451" s="49">
        <v>892.40002000000004</v>
      </c>
      <c r="I451" s="49" t="s">
        <v>76</v>
      </c>
      <c r="J451" s="49">
        <v>89.240002000000004</v>
      </c>
      <c r="K451" s="49">
        <v>1500</v>
      </c>
      <c r="L451" s="51">
        <v>7.9000000000000001E-2</v>
      </c>
      <c r="M451" s="49" t="s">
        <v>93</v>
      </c>
      <c r="N451" s="49">
        <v>675</v>
      </c>
      <c r="O451" s="49">
        <v>8.8525322982399697</v>
      </c>
      <c r="P451" s="49"/>
      <c r="Q451" s="49"/>
      <c r="R451" s="49" t="s">
        <v>2275</v>
      </c>
      <c r="S451">
        <f t="shared" si="24"/>
        <v>10</v>
      </c>
      <c r="T451" s="5" cm="1">
        <f t="array" ref="T4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1">
        <f>Table1[[#This Row],[Term to Maturity (Years)]]*Table1[[#This Row],[Coupon Frequency2]]</f>
        <v>10</v>
      </c>
      <c r="V451">
        <f>Table1[[#This Row],[Face value]]*Table1[[#This Row],[Current coupon %]]</f>
        <v>79</v>
      </c>
      <c r="W451" s="36">
        <f>RATE(Table1[[#This Row],[Total No. of Coupons]],Table1[[#This Row],[Coupon Amount]],-Table1[[#This Row],[Ask Price]],Table1[[#This Row],[Face value]])</f>
        <v>9.6228702955415468E-2</v>
      </c>
      <c r="X451" s="27">
        <f>Table1[[#This Row],[IRR]]*Table1[[#This Row],[Coupon Frequency2]]</f>
        <v>9.6228702955415468E-2</v>
      </c>
      <c r="Y451" s="19" cm="1">
        <f t="array" ref="Y4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1" s="33">
        <f>DURATION(Table1[[#This Row],[Issue date]],Table1[[#This Row],[Maturity date]],Table1[[#This Row],[Current coupon %]],Table1[[#This Row],[Yield (Annualised)]],Table1[[#This Row],[Coupon Frequency2]])</f>
        <v>7.0988329569993409</v>
      </c>
      <c r="AA451" s="33">
        <f>Table1[[#This Row],[Macaulay Duration in Years]]/(1+Table1[[#This Row],[IRR]])</f>
        <v>6.4756860843553889</v>
      </c>
      <c r="AB451" s="58">
        <f>VLOOKUP(Table1[[#This Row],[Yield Cluster]],'Cluster Details'!$B$3:$C$16,2,0)</f>
        <v>7.8548801574189142E-2</v>
      </c>
      <c r="AC451" s="78">
        <f>PRICE(Table1[[#This Row],[Issue date]],Table1[[#This Row],[Maturity date]],Table1[[#This Row],[Current coupon %]],Table1[[#This Row],[Average Cluster Yield]],100,Table1[[#This Row],[Coupon Frequency2]])*Table1[[#This Row],[Face value]]/100</f>
        <v>1003.0474959507043</v>
      </c>
      <c r="AD451" s="58" t="str">
        <f>IF(Table1[[#This Row],[Ask Price]]&gt;Table1[[#This Row],[Calculated Bond Price]],"Rich","Cheap")</f>
        <v>Cheap</v>
      </c>
      <c r="AE4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837.07610492820834</v>
      </c>
      <c r="AF4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952.82853147706192</v>
      </c>
      <c r="AG451" s="78">
        <f>(Table1[[#This Row],[P (+ shock)]]+Table1[[#This Row],[P (-shock)]]-2*Table1[[#This Row],[Ask Price]])/(2*Table1[[#This Row],[Ask Price]]*($AF$2^2))</f>
        <v>28.600382624767633</v>
      </c>
      <c r="AH451">
        <v>2.9937656780286201</v>
      </c>
      <c r="AI451" s="6">
        <f t="shared" si="25"/>
        <v>8.8525322982399748E-2</v>
      </c>
      <c r="AK451" s="47">
        <f>RATE(Table1[[#This Row],[Total No. of Coupons]],Table1[[#This Row],[Coupon Amount]],-Table1[[#This Row],[Ask Price]],Table1[[#This Row],[Face value]])</f>
        <v>9.6228702955415468E-2</v>
      </c>
      <c r="AL451" s="27">
        <f>Table1[[#This Row],[IRR]]*Table1[[#This Row],[Coupon Frequency2]]</f>
        <v>9.6228702955415468E-2</v>
      </c>
      <c r="AM451" s="5">
        <f t="shared" si="26"/>
        <v>-5778.9023911924714</v>
      </c>
      <c r="AN451" t="s">
        <v>64</v>
      </c>
      <c r="AO451" t="s">
        <v>62</v>
      </c>
      <c r="AP451">
        <f t="shared" si="27"/>
        <v>1</v>
      </c>
    </row>
    <row r="452" spans="1:42" x14ac:dyDescent="0.35">
      <c r="A452" s="48" t="s">
        <v>508</v>
      </c>
      <c r="B452" s="49" t="s">
        <v>2740</v>
      </c>
      <c r="C452" s="49" t="s">
        <v>2273</v>
      </c>
      <c r="D452" s="50">
        <v>45712</v>
      </c>
      <c r="E452" s="50">
        <v>47538</v>
      </c>
      <c r="F452" s="49">
        <v>1000</v>
      </c>
      <c r="G452" s="49" t="s">
        <v>76</v>
      </c>
      <c r="H452" s="49">
        <v>1010</v>
      </c>
      <c r="I452" s="49" t="s">
        <v>76</v>
      </c>
      <c r="J452" s="49">
        <v>101</v>
      </c>
      <c r="K452" s="49">
        <v>300</v>
      </c>
      <c r="L452" s="51">
        <v>9.9000000000000005E-2</v>
      </c>
      <c r="M452" s="49" t="s">
        <v>93</v>
      </c>
      <c r="N452" s="49">
        <v>1621</v>
      </c>
      <c r="O452" s="49">
        <v>9.8019801980198</v>
      </c>
      <c r="P452" s="49"/>
      <c r="Q452" s="49"/>
      <c r="R452" s="49" t="s">
        <v>2275</v>
      </c>
      <c r="S452">
        <f t="shared" ref="S452:S515" si="28">ROUND(YEARFRAC(D452,E452),0)</f>
        <v>5</v>
      </c>
      <c r="T452" s="5" cm="1">
        <f t="array" ref="T4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2">
        <f>Table1[[#This Row],[Term to Maturity (Years)]]*Table1[[#This Row],[Coupon Frequency2]]</f>
        <v>5</v>
      </c>
      <c r="V452">
        <f>Table1[[#This Row],[Face value]]*Table1[[#This Row],[Current coupon %]]</f>
        <v>99</v>
      </c>
      <c r="W452" s="36">
        <f>RATE(Table1[[#This Row],[Total No. of Coupons]],Table1[[#This Row],[Coupon Amount]],-Table1[[#This Row],[Ask Price]],Table1[[#This Row],[Face value]])</f>
        <v>9.6386333786461706E-2</v>
      </c>
      <c r="X452" s="27">
        <f>Table1[[#This Row],[IRR]]*Table1[[#This Row],[Coupon Frequency2]]</f>
        <v>9.6386333786461706E-2</v>
      </c>
      <c r="Y452" s="19" cm="1">
        <f t="array" ref="Y4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2" s="33">
        <f>DURATION(Table1[[#This Row],[Issue date]],Table1[[#This Row],[Maturity date]],Table1[[#This Row],[Current coupon %]],Table1[[#This Row],[Yield (Annualised)]],Table1[[#This Row],[Coupon Frequency2]])</f>
        <v>4.1811761081985566</v>
      </c>
      <c r="AA452" s="33">
        <f>Table1[[#This Row],[Macaulay Duration in Years]]/(1+Table1[[#This Row],[IRR]])</f>
        <v>3.8135974330859415</v>
      </c>
      <c r="AB452" s="58">
        <f>VLOOKUP(Table1[[#This Row],[Yield Cluster]],'Cluster Details'!$B$3:$C$16,2,0)</f>
        <v>7.8548801574189142E-2</v>
      </c>
      <c r="AC452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1081.9689787445161</v>
      </c>
      <c r="AD452" s="58" t="str">
        <f>IF(Table1[[#This Row],[Ask Price]]&gt;Table1[[#This Row],[Calculated Bond Price]],"Rich","Cheap")</f>
        <v>Cheap</v>
      </c>
      <c r="AE4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972.45088350168226</v>
      </c>
      <c r="AF4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1049.5262655024305</v>
      </c>
      <c r="AG452" s="78">
        <f>(Table1[[#This Row],[P (+ shock)]]+Table1[[#This Row],[P (-shock)]]-2*Table1[[#This Row],[Ask Price]])/(2*Table1[[#This Row],[Ask Price]]*($AF$2^2))</f>
        <v>9.7878663569940052</v>
      </c>
      <c r="AH452">
        <v>1.03365332255721</v>
      </c>
      <c r="AI452" s="6">
        <f t="shared" ref="AI452:AI515" si="29">(L452*F452)/H452</f>
        <v>9.8019801980198024E-2</v>
      </c>
      <c r="AK452" s="47">
        <f>RATE(Table1[[#This Row],[Total No. of Coupons]],Table1[[#This Row],[Coupon Amount]],-Table1[[#This Row],[Ask Price]],Table1[[#This Row],[Face value]])</f>
        <v>9.6386333786461706E-2</v>
      </c>
      <c r="AL452" s="27">
        <f>Table1[[#This Row],[IRR]]*Table1[[#This Row],[Coupon Frequency2]]</f>
        <v>9.6386333786461706E-2</v>
      </c>
      <c r="AM452" s="5">
        <f t="shared" ref="AM452:AM515" si="30">-AA452*H452</f>
        <v>-3851.7334074168007</v>
      </c>
      <c r="AN452" t="s">
        <v>64</v>
      </c>
      <c r="AO452" t="s">
        <v>62</v>
      </c>
      <c r="AP452">
        <f t="shared" ref="AP452:AP515" si="31">_xlfn.SWITCH(PROPER(TRIM(M452)),
   "Annual",1,
   "Semi-Annual",2,
   "Quarterly",4,
   "Monthly",12,
   "")</f>
        <v>1</v>
      </c>
    </row>
    <row r="453" spans="1:42" x14ac:dyDescent="0.35">
      <c r="A453" s="48" t="s">
        <v>1301</v>
      </c>
      <c r="B453" s="49" t="s">
        <v>2741</v>
      </c>
      <c r="C453" s="49" t="s">
        <v>2273</v>
      </c>
      <c r="D453" s="50">
        <v>44679</v>
      </c>
      <c r="E453" s="50">
        <v>46505</v>
      </c>
      <c r="F453" s="49">
        <v>1000</v>
      </c>
      <c r="G453" s="49" t="s">
        <v>76</v>
      </c>
      <c r="H453" s="49">
        <v>985</v>
      </c>
      <c r="I453" s="49" t="s">
        <v>76</v>
      </c>
      <c r="J453" s="49">
        <v>98.5</v>
      </c>
      <c r="K453" s="49">
        <v>137</v>
      </c>
      <c r="L453" s="51">
        <v>9.2499999999999999E-2</v>
      </c>
      <c r="M453" s="49" t="s">
        <v>93</v>
      </c>
      <c r="N453" s="49">
        <v>588</v>
      </c>
      <c r="O453" s="49">
        <v>9.3908629441624303</v>
      </c>
      <c r="P453" s="49" t="s">
        <v>2279</v>
      </c>
      <c r="Q453" s="49"/>
      <c r="R453" s="49" t="s">
        <v>2275</v>
      </c>
      <c r="S453">
        <f t="shared" si="28"/>
        <v>5</v>
      </c>
      <c r="T453" s="5" cm="1">
        <f t="array" ref="T4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3">
        <f>Table1[[#This Row],[Term to Maturity (Years)]]*Table1[[#This Row],[Coupon Frequency2]]</f>
        <v>5</v>
      </c>
      <c r="V453">
        <f>Table1[[#This Row],[Face value]]*Table1[[#This Row],[Current coupon %]]</f>
        <v>92.5</v>
      </c>
      <c r="W453" s="36">
        <f>RATE(Table1[[#This Row],[Total No. of Coupons]],Table1[[#This Row],[Coupon Amount]],-Table1[[#This Row],[Ask Price]],Table1[[#This Row],[Face value]])</f>
        <v>9.6420846936660379E-2</v>
      </c>
      <c r="X453" s="27">
        <f>Table1[[#This Row],[IRR]]*Table1[[#This Row],[Coupon Frequency2]]</f>
        <v>9.6420846936660379E-2</v>
      </c>
      <c r="Y453" s="19" cm="1">
        <f t="array" ref="Y4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3" s="33">
        <f>DURATION(Table1[[#This Row],[Issue date]],Table1[[#This Row],[Maturity date]],Table1[[#This Row],[Current coupon %]],Table1[[#This Row],[Yield (Annualised)]],Table1[[#This Row],[Coupon Frequency2]])</f>
        <v>4.2155666165849137</v>
      </c>
      <c r="AA453" s="33">
        <f>Table1[[#This Row],[Macaulay Duration in Years]]/(1+Table1[[#This Row],[IRR]])</f>
        <v>3.8448435455810381</v>
      </c>
      <c r="AB453" s="58">
        <f>VLOOKUP(Table1[[#This Row],[Yield Cluster]],'Cluster Details'!$B$3:$C$16,2,0)</f>
        <v>7.8548801574189142E-2</v>
      </c>
      <c r="AC453" s="78">
        <f>PRICE(Table1[[#This Row],[Issue date]],Table1[[#This Row],[Maturity date]],Table1[[#This Row],[Current coupon %]],Table1[[#This Row],[Average Cluster Yield]],100,Table1[[#This Row],[Coupon Frequency2]])*Table1[[#This Row],[Face value]]/100</f>
        <v>1055.9167958481376</v>
      </c>
      <c r="AD453" s="58" t="str">
        <f>IF(Table1[[#This Row],[Ask Price]]&gt;Table1[[#This Row],[Calculated Bond Price]],"Rich","Cheap")</f>
        <v>Cheap</v>
      </c>
      <c r="AE4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948.08337047165969</v>
      </c>
      <c r="AF4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1023.867020993918</v>
      </c>
      <c r="AG453" s="78">
        <f>(Table1[[#This Row],[P (+ shock)]]+Table1[[#This Row],[P (-shock)]]-2*Table1[[#This Row],[Ask Price]])/(2*Table1[[#This Row],[Ask Price]]*($AF$2^2))</f>
        <v>9.9004642922725647</v>
      </c>
      <c r="AH453">
        <v>36.7824028356019</v>
      </c>
      <c r="AI453" s="6">
        <f t="shared" si="29"/>
        <v>9.3908629441624369E-2</v>
      </c>
      <c r="AK453" s="47">
        <f>RATE(Table1[[#This Row],[Total No. of Coupons]],Table1[[#This Row],[Coupon Amount]],-Table1[[#This Row],[Ask Price]],Table1[[#This Row],[Face value]])</f>
        <v>9.6420846936660379E-2</v>
      </c>
      <c r="AL453" s="27">
        <f>Table1[[#This Row],[IRR]]*Table1[[#This Row],[Coupon Frequency2]]</f>
        <v>9.6420846936660379E-2</v>
      </c>
      <c r="AM453" s="5">
        <f t="shared" si="30"/>
        <v>-3787.1708923973224</v>
      </c>
      <c r="AN453" t="s">
        <v>64</v>
      </c>
      <c r="AO453" t="s">
        <v>62</v>
      </c>
      <c r="AP453">
        <f t="shared" si="31"/>
        <v>1</v>
      </c>
    </row>
    <row r="454" spans="1:42" x14ac:dyDescent="0.35">
      <c r="A454" s="48" t="s">
        <v>1026</v>
      </c>
      <c r="B454" s="49" t="s">
        <v>2742</v>
      </c>
      <c r="C454" s="49" t="s">
        <v>2273</v>
      </c>
      <c r="D454" s="50">
        <v>45712</v>
      </c>
      <c r="E454" s="50">
        <v>46807</v>
      </c>
      <c r="F454" s="49">
        <v>1000</v>
      </c>
      <c r="G454" s="49" t="s">
        <v>76</v>
      </c>
      <c r="H454" s="49">
        <v>1000</v>
      </c>
      <c r="I454" s="49" t="s">
        <v>76</v>
      </c>
      <c r="J454" s="49">
        <v>100</v>
      </c>
      <c r="K454" s="49">
        <v>10</v>
      </c>
      <c r="L454" s="51">
        <v>9.6500000000000002E-2</v>
      </c>
      <c r="M454" s="49" t="s">
        <v>93</v>
      </c>
      <c r="N454" s="49">
        <v>890</v>
      </c>
      <c r="O454" s="49">
        <v>9.65</v>
      </c>
      <c r="P454" s="49"/>
      <c r="Q454" s="49"/>
      <c r="R454" s="49" t="s">
        <v>2275</v>
      </c>
      <c r="S454">
        <f t="shared" si="28"/>
        <v>3</v>
      </c>
      <c r="T454" s="5" cm="1">
        <f t="array" ref="T4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4">
        <f>Table1[[#This Row],[Term to Maturity (Years)]]*Table1[[#This Row],[Coupon Frequency2]]</f>
        <v>3</v>
      </c>
      <c r="V454">
        <f>Table1[[#This Row],[Face value]]*Table1[[#This Row],[Current coupon %]]</f>
        <v>96.5</v>
      </c>
      <c r="W454" s="36">
        <f>RATE(Table1[[#This Row],[Total No. of Coupons]],Table1[[#This Row],[Coupon Amount]],-Table1[[#This Row],[Ask Price]],Table1[[#This Row],[Face value]])</f>
        <v>9.6500000000966715E-2</v>
      </c>
      <c r="X454" s="27">
        <f>Table1[[#This Row],[IRR]]*Table1[[#This Row],[Coupon Frequency2]]</f>
        <v>9.6500000000966715E-2</v>
      </c>
      <c r="Y454" s="19" cm="1">
        <f t="array" ref="Y4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4" s="33">
        <f>DURATION(Table1[[#This Row],[Issue date]],Table1[[#This Row],[Maturity date]],Table1[[#This Row],[Current coupon %]],Table1[[#This Row],[Yield (Annualised)]],Table1[[#This Row],[Coupon Frequency2]])</f>
        <v>2.743723396313738</v>
      </c>
      <c r="AA454" s="33">
        <f>Table1[[#This Row],[Macaulay Duration in Years]]/(1+Table1[[#This Row],[IRR]])</f>
        <v>2.5022557193901678</v>
      </c>
      <c r="AB454" s="58">
        <f>VLOOKUP(Table1[[#This Row],[Yield Cluster]],'Cluster Details'!$B$3:$C$16,2,0)</f>
        <v>7.8548801574189142E-2</v>
      </c>
      <c r="AC454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1046.3833860773871</v>
      </c>
      <c r="AD454" s="58" t="str">
        <f>IF(Table1[[#This Row],[Ask Price]]&gt;Table1[[#This Row],[Calculated Bond Price]],"Rich","Cheap")</f>
        <v>Cheap</v>
      </c>
      <c r="AE4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975.4133244594799</v>
      </c>
      <c r="AF4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1025.4716795789202</v>
      </c>
      <c r="AG454" s="78">
        <f>(Table1[[#This Row],[P (+ shock)]]+Table1[[#This Row],[P (-shock)]]-2*Table1[[#This Row],[Ask Price]])/(2*Table1[[#This Row],[Ask Price]]*($AF$2^2))</f>
        <v>4.4250201919999199</v>
      </c>
      <c r="AH454">
        <v>9.7072937896420903</v>
      </c>
      <c r="AI454" s="6">
        <f t="shared" si="29"/>
        <v>9.6500000000000002E-2</v>
      </c>
      <c r="AK454" s="47">
        <f>RATE(Table1[[#This Row],[Total No. of Coupons]],Table1[[#This Row],[Coupon Amount]],-Table1[[#This Row],[Ask Price]],Table1[[#This Row],[Face value]])</f>
        <v>9.6500000000966715E-2</v>
      </c>
      <c r="AL454" s="27">
        <f>Table1[[#This Row],[IRR]]*Table1[[#This Row],[Coupon Frequency2]]</f>
        <v>9.6500000000966715E-2</v>
      </c>
      <c r="AM454" s="5">
        <f t="shared" si="30"/>
        <v>-2502.255719390168</v>
      </c>
      <c r="AN454" t="s">
        <v>64</v>
      </c>
      <c r="AO454" t="s">
        <v>62</v>
      </c>
      <c r="AP454">
        <f t="shared" si="31"/>
        <v>1</v>
      </c>
    </row>
    <row r="455" spans="1:42" x14ac:dyDescent="0.35">
      <c r="A455" s="48" t="s">
        <v>1070</v>
      </c>
      <c r="B455" s="49" t="s">
        <v>2743</v>
      </c>
      <c r="C455" s="49" t="s">
        <v>2273</v>
      </c>
      <c r="D455" s="50">
        <v>45667</v>
      </c>
      <c r="E455" s="50">
        <v>46762</v>
      </c>
      <c r="F455" s="49">
        <v>1000</v>
      </c>
      <c r="G455" s="49" t="s">
        <v>76</v>
      </c>
      <c r="H455" s="49">
        <v>1000</v>
      </c>
      <c r="I455" s="49" t="s">
        <v>76</v>
      </c>
      <c r="J455" s="49">
        <v>100</v>
      </c>
      <c r="K455" s="49">
        <v>10</v>
      </c>
      <c r="L455" s="51">
        <v>9.6500000000000002E-2</v>
      </c>
      <c r="M455" s="49" t="s">
        <v>93</v>
      </c>
      <c r="N455" s="49">
        <v>845</v>
      </c>
      <c r="O455" s="49">
        <v>9.65</v>
      </c>
      <c r="P455" s="49"/>
      <c r="Q455" s="49"/>
      <c r="R455" s="49" t="s">
        <v>2275</v>
      </c>
      <c r="S455">
        <f t="shared" si="28"/>
        <v>3</v>
      </c>
      <c r="T455" s="5" cm="1">
        <f t="array" ref="T4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5">
        <f>Table1[[#This Row],[Term to Maturity (Years)]]*Table1[[#This Row],[Coupon Frequency2]]</f>
        <v>3</v>
      </c>
      <c r="V455">
        <f>Table1[[#This Row],[Face value]]*Table1[[#This Row],[Current coupon %]]</f>
        <v>96.5</v>
      </c>
      <c r="W455" s="36">
        <f>RATE(Table1[[#This Row],[Total No. of Coupons]],Table1[[#This Row],[Coupon Amount]],-Table1[[#This Row],[Ask Price]],Table1[[#This Row],[Face value]])</f>
        <v>9.6500000000966715E-2</v>
      </c>
      <c r="X455" s="27">
        <f>Table1[[#This Row],[IRR]]*Table1[[#This Row],[Coupon Frequency2]]</f>
        <v>9.6500000000966715E-2</v>
      </c>
      <c r="Y455" s="19" cm="1">
        <f t="array" ref="Y4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5" s="33">
        <f>DURATION(Table1[[#This Row],[Issue date]],Table1[[#This Row],[Maturity date]],Table1[[#This Row],[Current coupon %]],Table1[[#This Row],[Yield (Annualised)]],Table1[[#This Row],[Coupon Frequency2]])</f>
        <v>2.743723396313738</v>
      </c>
      <c r="AA455" s="33">
        <f>Table1[[#This Row],[Macaulay Duration in Years]]/(1+Table1[[#This Row],[IRR]])</f>
        <v>2.5022557193901678</v>
      </c>
      <c r="AB455" s="58">
        <f>VLOOKUP(Table1[[#This Row],[Yield Cluster]],'Cluster Details'!$B$3:$C$16,2,0)</f>
        <v>7.8548801574189142E-2</v>
      </c>
      <c r="AC455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1046.3833860773871</v>
      </c>
      <c r="AD455" s="58" t="str">
        <f>IF(Table1[[#This Row],[Ask Price]]&gt;Table1[[#This Row],[Calculated Bond Price]],"Rich","Cheap")</f>
        <v>Cheap</v>
      </c>
      <c r="AE4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975.4133244594799</v>
      </c>
      <c r="AF4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1025.4716795789202</v>
      </c>
      <c r="AG455" s="78">
        <f>(Table1[[#This Row],[P (+ shock)]]+Table1[[#This Row],[P (-shock)]]-2*Table1[[#This Row],[Ask Price]])/(2*Table1[[#This Row],[Ask Price]]*($AF$2^2))</f>
        <v>4.4250201919999199</v>
      </c>
      <c r="AH455">
        <v>11.676752041310699</v>
      </c>
      <c r="AI455" s="6">
        <f t="shared" si="29"/>
        <v>9.6500000000000002E-2</v>
      </c>
      <c r="AK455" s="47">
        <f>RATE(Table1[[#This Row],[Total No. of Coupons]],Table1[[#This Row],[Coupon Amount]],-Table1[[#This Row],[Ask Price]],Table1[[#This Row],[Face value]])</f>
        <v>9.6500000000966715E-2</v>
      </c>
      <c r="AL455" s="27">
        <f>Table1[[#This Row],[IRR]]*Table1[[#This Row],[Coupon Frequency2]]</f>
        <v>9.6500000000966715E-2</v>
      </c>
      <c r="AM455" s="5">
        <f t="shared" si="30"/>
        <v>-2502.255719390168</v>
      </c>
      <c r="AN455" t="s">
        <v>64</v>
      </c>
      <c r="AO455" t="s">
        <v>62</v>
      </c>
      <c r="AP455">
        <f t="shared" si="31"/>
        <v>1</v>
      </c>
    </row>
    <row r="456" spans="1:42" x14ac:dyDescent="0.35">
      <c r="A456" s="48" t="s">
        <v>943</v>
      </c>
      <c r="B456" s="49" t="s">
        <v>2744</v>
      </c>
      <c r="C456" s="49" t="s">
        <v>2273</v>
      </c>
      <c r="D456" s="50">
        <v>45796</v>
      </c>
      <c r="E456" s="50">
        <v>46892</v>
      </c>
      <c r="F456" s="49">
        <v>1000</v>
      </c>
      <c r="G456" s="49" t="s">
        <v>76</v>
      </c>
      <c r="H456" s="49">
        <v>1000</v>
      </c>
      <c r="I456" s="49" t="s">
        <v>76</v>
      </c>
      <c r="J456" s="49">
        <v>100</v>
      </c>
      <c r="K456" s="49">
        <v>511</v>
      </c>
      <c r="L456" s="51">
        <v>9.6500000000000002E-2</v>
      </c>
      <c r="M456" s="49" t="s">
        <v>93</v>
      </c>
      <c r="N456" s="49">
        <v>975</v>
      </c>
      <c r="O456" s="49">
        <v>9.65</v>
      </c>
      <c r="P456" s="49"/>
      <c r="Q456" s="49"/>
      <c r="R456" s="49" t="s">
        <v>2275</v>
      </c>
      <c r="S456">
        <f t="shared" si="28"/>
        <v>3</v>
      </c>
      <c r="T456" s="5" cm="1">
        <f t="array" ref="T4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6">
        <f>Table1[[#This Row],[Term to Maturity (Years)]]*Table1[[#This Row],[Coupon Frequency2]]</f>
        <v>3</v>
      </c>
      <c r="V456">
        <f>Table1[[#This Row],[Face value]]*Table1[[#This Row],[Current coupon %]]</f>
        <v>96.5</v>
      </c>
      <c r="W456" s="36">
        <f>RATE(Table1[[#This Row],[Total No. of Coupons]],Table1[[#This Row],[Coupon Amount]],-Table1[[#This Row],[Ask Price]],Table1[[#This Row],[Face value]])</f>
        <v>9.6500000000966715E-2</v>
      </c>
      <c r="X456" s="27">
        <f>Table1[[#This Row],[IRR]]*Table1[[#This Row],[Coupon Frequency2]]</f>
        <v>9.6500000000966715E-2</v>
      </c>
      <c r="Y456" s="19" cm="1">
        <f t="array" ref="Y4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6" s="33">
        <f>DURATION(Table1[[#This Row],[Issue date]],Table1[[#This Row],[Maturity date]],Table1[[#This Row],[Current coupon %]],Table1[[#This Row],[Yield (Annualised)]],Table1[[#This Row],[Coupon Frequency2]])</f>
        <v>2.743723396313738</v>
      </c>
      <c r="AA456" s="33">
        <f>Table1[[#This Row],[Macaulay Duration in Years]]/(1+Table1[[#This Row],[IRR]])</f>
        <v>2.5022557193901678</v>
      </c>
      <c r="AB456" s="58">
        <f>VLOOKUP(Table1[[#This Row],[Yield Cluster]],'Cluster Details'!$B$3:$C$16,2,0)</f>
        <v>7.8548801574189142E-2</v>
      </c>
      <c r="AC456" s="78">
        <f>PRICE(Table1[[#This Row],[Issue date]],Table1[[#This Row],[Maturity date]],Table1[[#This Row],[Current coupon %]],Table1[[#This Row],[Average Cluster Yield]],100,Table1[[#This Row],[Coupon Frequency2]])*Table1[[#This Row],[Face value]]/100</f>
        <v>1046.3833860773871</v>
      </c>
      <c r="AD456" s="58" t="str">
        <f>IF(Table1[[#This Row],[Ask Price]]&gt;Table1[[#This Row],[Calculated Bond Price]],"Rich","Cheap")</f>
        <v>Cheap</v>
      </c>
      <c r="AE4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975.4133244594799</v>
      </c>
      <c r="AF4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1025.4716795789202</v>
      </c>
      <c r="AG456" s="78">
        <f>(Table1[[#This Row],[P (+ shock)]]+Table1[[#This Row],[P (-shock)]]-2*Table1[[#This Row],[Ask Price]])/(2*Table1[[#This Row],[Ask Price]]*($AF$2^2))</f>
        <v>4.4250201919999199</v>
      </c>
      <c r="AH456">
        <v>43.958262916817198</v>
      </c>
      <c r="AI456" s="6">
        <f t="shared" si="29"/>
        <v>9.6500000000000002E-2</v>
      </c>
      <c r="AK456" s="47">
        <f>RATE(Table1[[#This Row],[Total No. of Coupons]],Table1[[#This Row],[Coupon Amount]],-Table1[[#This Row],[Ask Price]],Table1[[#This Row],[Face value]])</f>
        <v>9.6500000000966715E-2</v>
      </c>
      <c r="AL456" s="27">
        <f>Table1[[#This Row],[IRR]]*Table1[[#This Row],[Coupon Frequency2]]</f>
        <v>9.6500000000966715E-2</v>
      </c>
      <c r="AM456" s="5">
        <f t="shared" si="30"/>
        <v>-2502.255719390168</v>
      </c>
      <c r="AN456" t="s">
        <v>64</v>
      </c>
      <c r="AO456" t="s">
        <v>62</v>
      </c>
      <c r="AP456">
        <f t="shared" si="31"/>
        <v>1</v>
      </c>
    </row>
    <row r="457" spans="1:42" x14ac:dyDescent="0.35">
      <c r="A457" s="48" t="s">
        <v>1256</v>
      </c>
      <c r="B457" s="49" t="s">
        <v>2745</v>
      </c>
      <c r="C457" s="49" t="s">
        <v>2273</v>
      </c>
      <c r="D457" s="50">
        <v>45811</v>
      </c>
      <c r="E457" s="50">
        <v>46541</v>
      </c>
      <c r="F457" s="49">
        <v>100000</v>
      </c>
      <c r="G457" s="49" t="s">
        <v>76</v>
      </c>
      <c r="H457" s="49">
        <v>100560.45</v>
      </c>
      <c r="I457" s="49" t="s">
        <v>76</v>
      </c>
      <c r="J457" s="49">
        <v>100.56045</v>
      </c>
      <c r="K457" s="49">
        <v>1</v>
      </c>
      <c r="L457" s="51">
        <v>0.1</v>
      </c>
      <c r="M457" s="49" t="s">
        <v>93</v>
      </c>
      <c r="N457" s="49">
        <v>624</v>
      </c>
      <c r="O457" s="49">
        <v>9.9442673536166506</v>
      </c>
      <c r="P457" s="49"/>
      <c r="Q457" s="49"/>
      <c r="R457" s="49" t="s">
        <v>2275</v>
      </c>
      <c r="S457">
        <f t="shared" si="28"/>
        <v>2</v>
      </c>
      <c r="T457" s="5" cm="1">
        <f t="array" ref="T4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7">
        <f>Table1[[#This Row],[Term to Maturity (Years)]]*Table1[[#This Row],[Coupon Frequency2]]</f>
        <v>2</v>
      </c>
      <c r="V457">
        <f>Table1[[#This Row],[Face value]]*Table1[[#This Row],[Current coupon %]]</f>
        <v>10000</v>
      </c>
      <c r="W457" s="36">
        <f>RATE(Table1[[#This Row],[Total No. of Coupons]],Table1[[#This Row],[Coupon Amount]],-Table1[[#This Row],[Ask Price]],Table1[[#This Row],[Face value]])</f>
        <v>9.6784668294844806E-2</v>
      </c>
      <c r="X457" s="27">
        <f>Table1[[#This Row],[IRR]]*Table1[[#This Row],[Coupon Frequency2]]</f>
        <v>9.6784668294844806E-2</v>
      </c>
      <c r="Y457" s="19" cm="1">
        <f t="array" ref="Y4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7" s="33">
        <f>DURATION(Table1[[#This Row],[Issue date]],Table1[[#This Row],[Maturity date]],Table1[[#This Row],[Current coupon %]],Table1[[#This Row],[Yield (Annualised)]],Table1[[#This Row],[Coupon Frequency2]])</f>
        <v>1.9093325459310297</v>
      </c>
      <c r="AA457" s="33">
        <f>Table1[[#This Row],[Macaulay Duration in Years]]/(1+Table1[[#This Row],[IRR]])</f>
        <v>1.7408454012212273</v>
      </c>
      <c r="AB457" s="58">
        <f>VLOOKUP(Table1[[#This Row],[Yield Cluster]],'Cluster Details'!$B$3:$C$16,2,0)</f>
        <v>7.8548801574189142E-2</v>
      </c>
      <c r="AC457" s="78">
        <f>PRICE(Table1[[#This Row],[Issue date]],Table1[[#This Row],[Maturity date]],Table1[[#This Row],[Current coupon %]],Table1[[#This Row],[Average Cluster Yield]],100,Table1[[#This Row],[Coupon Frequency2]])*Table1[[#This Row],[Face value]]/100</f>
        <v>103832.94144418584</v>
      </c>
      <c r="AD457" s="58" t="str">
        <f>IF(Table1[[#This Row],[Ask Price]]&gt;Table1[[#This Row],[Calculated Bond Price]],"Rich","Cheap")</f>
        <v>Cheap</v>
      </c>
      <c r="AE4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98833.129931180621</v>
      </c>
      <c r="AF4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102334.90222832719</v>
      </c>
      <c r="AG457" s="78">
        <f>(Table1[[#This Row],[P (+ shock)]]+Table1[[#This Row],[P (-shock)]]-2*Table1[[#This Row],[Ask Price]])/(2*Table1[[#This Row],[Ask Price]]*($AF$2^2))</f>
        <v>2.3434739754945566</v>
      </c>
      <c r="AH457">
        <v>13.2483083660654</v>
      </c>
      <c r="AI457" s="6">
        <f t="shared" si="29"/>
        <v>9.9442673536166551E-2</v>
      </c>
      <c r="AK457" s="47">
        <f>RATE(Table1[[#This Row],[Total No. of Coupons]],Table1[[#This Row],[Coupon Amount]],-Table1[[#This Row],[Ask Price]],Table1[[#This Row],[Face value]])</f>
        <v>9.6784668294844806E-2</v>
      </c>
      <c r="AL457" s="27">
        <f>Table1[[#This Row],[IRR]]*Table1[[#This Row],[Coupon Frequency2]]</f>
        <v>9.6784668294844806E-2</v>
      </c>
      <c r="AM457" s="5">
        <f t="shared" si="30"/>
        <v>-175060.19692723718</v>
      </c>
      <c r="AN457" t="s">
        <v>64</v>
      </c>
      <c r="AO457" t="s">
        <v>62</v>
      </c>
      <c r="AP457">
        <f t="shared" si="31"/>
        <v>1</v>
      </c>
    </row>
    <row r="458" spans="1:42" x14ac:dyDescent="0.35">
      <c r="A458" s="48" t="s">
        <v>926</v>
      </c>
      <c r="B458" s="49" t="s">
        <v>2746</v>
      </c>
      <c r="C458" s="49" t="s">
        <v>2273</v>
      </c>
      <c r="D458" s="50">
        <v>44279</v>
      </c>
      <c r="E458" s="50">
        <v>46928</v>
      </c>
      <c r="F458" s="49">
        <v>1000</v>
      </c>
      <c r="G458" s="49" t="s">
        <v>76</v>
      </c>
      <c r="H458" s="49">
        <v>1015</v>
      </c>
      <c r="I458" s="49" t="s">
        <v>76</v>
      </c>
      <c r="J458" s="49">
        <v>101.49999999999901</v>
      </c>
      <c r="K458" s="49">
        <v>10</v>
      </c>
      <c r="L458" s="51">
        <v>0.1</v>
      </c>
      <c r="M458" s="49" t="s">
        <v>93</v>
      </c>
      <c r="N458" s="49">
        <v>1011</v>
      </c>
      <c r="O458" s="49">
        <v>9.8522167487684698</v>
      </c>
      <c r="P458" s="49" t="s">
        <v>2279</v>
      </c>
      <c r="Q458" s="49"/>
      <c r="R458" s="49" t="s">
        <v>2275</v>
      </c>
      <c r="S458">
        <f t="shared" si="28"/>
        <v>7</v>
      </c>
      <c r="T458" s="5" cm="1">
        <f t="array" ref="T4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8">
        <f>Table1[[#This Row],[Term to Maturity (Years)]]*Table1[[#This Row],[Coupon Frequency2]]</f>
        <v>7</v>
      </c>
      <c r="V458">
        <f>Table1[[#This Row],[Face value]]*Table1[[#This Row],[Current coupon %]]</f>
        <v>100</v>
      </c>
      <c r="W458" s="36">
        <f>RATE(Table1[[#This Row],[Total No. of Coupons]],Table1[[#This Row],[Coupon Amount]],-Table1[[#This Row],[Ask Price]],Table1[[#This Row],[Face value]])</f>
        <v>9.6949792779834176E-2</v>
      </c>
      <c r="X458" s="27">
        <f>Table1[[#This Row],[IRR]]*Table1[[#This Row],[Coupon Frequency2]]</f>
        <v>9.6949792779834176E-2</v>
      </c>
      <c r="Y458" s="19" cm="1">
        <f t="array" ref="Y4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8" s="33">
        <f>DURATION(Table1[[#This Row],[Issue date]],Table1[[#This Row],[Maturity date]],Table1[[#This Row],[Current coupon %]],Table1[[#This Row],[Yield (Annualised)]],Table1[[#This Row],[Coupon Frequency2]])</f>
        <v>5.1369558382768323</v>
      </c>
      <c r="AA458" s="33">
        <f>Table1[[#This Row],[Macaulay Duration in Years]]/(1+Table1[[#This Row],[IRR]])</f>
        <v>4.6829452652149381</v>
      </c>
      <c r="AB458" s="58">
        <f>VLOOKUP(Table1[[#This Row],[Yield Cluster]],'Cluster Details'!$B$3:$C$16,2,0)</f>
        <v>7.8548801574189142E-2</v>
      </c>
      <c r="AC458" s="78">
        <f>PRICE(Table1[[#This Row],[Issue date]],Table1[[#This Row],[Maturity date]],Table1[[#This Row],[Current coupon %]],Table1[[#This Row],[Average Cluster Yield]],100,Table1[[#This Row],[Coupon Frequency2]])*Table1[[#This Row],[Face value]]/100</f>
        <v>1114.5382758928415</v>
      </c>
      <c r="AD458" s="58" t="str">
        <f>IF(Table1[[#This Row],[Ask Price]]&gt;Table1[[#This Row],[Calculated Bond Price]],"Rich","Cheap")</f>
        <v>Cheap</v>
      </c>
      <c r="AE4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965.16514035924581</v>
      </c>
      <c r="AF4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1067.2989406657919</v>
      </c>
      <c r="AG458" s="78">
        <f>(Table1[[#This Row],[P (+ shock)]]+Table1[[#This Row],[P (-shock)]]-2*Table1[[#This Row],[Ask Price]])/(2*Table1[[#This Row],[Ask Price]]*($AF$2^2))</f>
        <v>12.138330172598806</v>
      </c>
      <c r="AH458">
        <v>11.8411841184118</v>
      </c>
      <c r="AI458" s="6">
        <f t="shared" si="29"/>
        <v>9.8522167487684734E-2</v>
      </c>
      <c r="AK458" s="47">
        <f>RATE(Table1[[#This Row],[Total No. of Coupons]],Table1[[#This Row],[Coupon Amount]],-Table1[[#This Row],[Ask Price]],Table1[[#This Row],[Face value]])</f>
        <v>9.6949792779834176E-2</v>
      </c>
      <c r="AL458" s="27">
        <f>Table1[[#This Row],[IRR]]*Table1[[#This Row],[Coupon Frequency2]]</f>
        <v>9.6949792779834176E-2</v>
      </c>
      <c r="AM458" s="5">
        <f t="shared" si="30"/>
        <v>-4753.1894441931627</v>
      </c>
      <c r="AN458" t="s">
        <v>64</v>
      </c>
      <c r="AO458" t="s">
        <v>62</v>
      </c>
      <c r="AP458">
        <f t="shared" si="31"/>
        <v>1</v>
      </c>
    </row>
    <row r="459" spans="1:42" x14ac:dyDescent="0.35">
      <c r="A459" s="48" t="s">
        <v>196</v>
      </c>
      <c r="B459" s="49" t="s">
        <v>2747</v>
      </c>
      <c r="C459" s="49" t="s">
        <v>2273</v>
      </c>
      <c r="D459" s="50">
        <v>45288</v>
      </c>
      <c r="E459" s="50">
        <v>48941</v>
      </c>
      <c r="F459" s="49">
        <v>100000</v>
      </c>
      <c r="G459" s="49" t="s">
        <v>76</v>
      </c>
      <c r="H459" s="49">
        <v>100000</v>
      </c>
      <c r="I459" s="49" t="s">
        <v>76</v>
      </c>
      <c r="J459" s="49">
        <v>100</v>
      </c>
      <c r="K459" s="49">
        <v>2</v>
      </c>
      <c r="L459" s="51">
        <v>9.6999999999999989E-2</v>
      </c>
      <c r="M459" s="49" t="s">
        <v>93</v>
      </c>
      <c r="N459" s="49">
        <v>3024</v>
      </c>
      <c r="O459" s="49">
        <v>9.6999999999999993</v>
      </c>
      <c r="P459" s="49"/>
      <c r="Q459" s="49"/>
      <c r="R459" s="49" t="s">
        <v>2275</v>
      </c>
      <c r="S459">
        <f t="shared" si="28"/>
        <v>10</v>
      </c>
      <c r="T459" s="5" cm="1">
        <f t="array" ref="T4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59">
        <f>Table1[[#This Row],[Term to Maturity (Years)]]*Table1[[#This Row],[Coupon Frequency2]]</f>
        <v>10</v>
      </c>
      <c r="V459">
        <f>Table1[[#This Row],[Face value]]*Table1[[#This Row],[Current coupon %]]</f>
        <v>9699.9999999999982</v>
      </c>
      <c r="W459" s="36">
        <f>RATE(Table1[[#This Row],[Total No. of Coupons]],Table1[[#This Row],[Coupon Amount]],-Table1[[#This Row],[Ask Price]],Table1[[#This Row],[Face value]])</f>
        <v>9.7000000000001474E-2</v>
      </c>
      <c r="X459" s="27">
        <f>Table1[[#This Row],[IRR]]*Table1[[#This Row],[Coupon Frequency2]]</f>
        <v>9.7000000000001474E-2</v>
      </c>
      <c r="Y459" s="19" cm="1">
        <f t="array" ref="Y4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59" s="33">
        <f>DURATION(Table1[[#This Row],[Issue date]],Table1[[#This Row],[Maturity date]],Table1[[#This Row],[Current coupon %]],Table1[[#This Row],[Yield (Annualised)]],Table1[[#This Row],[Coupon Frequency2]])</f>
        <v>6.8283436246016329</v>
      </c>
      <c r="AA459" s="33">
        <f>Table1[[#This Row],[Macaulay Duration in Years]]/(1+Table1[[#This Row],[IRR]])</f>
        <v>6.2245611892448709</v>
      </c>
      <c r="AB459" s="58">
        <f>VLOOKUP(Table1[[#This Row],[Yield Cluster]],'Cluster Details'!$B$3:$C$16,2,0)</f>
        <v>7.8548801574189142E-2</v>
      </c>
      <c r="AC459" s="78">
        <f>PRICE(Table1[[#This Row],[Issue date]],Table1[[#This Row],[Maturity date]],Table1[[#This Row],[Current coupon %]],Table1[[#This Row],[Average Cluster Yield]],100,Table1[[#This Row],[Coupon Frequency2]])*Table1[[#This Row],[Face value]]/100</f>
        <v>112462.35564479977</v>
      </c>
      <c r="AD459" s="58" t="str">
        <f>IF(Table1[[#This Row],[Ask Price]]&gt;Table1[[#This Row],[Calculated Bond Price]],"Rich","Cheap")</f>
        <v>Cheap</v>
      </c>
      <c r="AE4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94035.944042817078</v>
      </c>
      <c r="AF4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106503.27888434367</v>
      </c>
      <c r="AG459" s="78">
        <f>(Table1[[#This Row],[P (+ shock)]]+Table1[[#This Row],[P (-shock)]]-2*Table1[[#This Row],[Ask Price]])/(2*Table1[[#This Row],[Ask Price]]*($AF$2^2))</f>
        <v>26.961146358036785</v>
      </c>
      <c r="AH459">
        <v>8.19792291674095</v>
      </c>
      <c r="AI459" s="6">
        <f t="shared" si="29"/>
        <v>9.6999999999999975E-2</v>
      </c>
      <c r="AK459" s="47">
        <f>RATE(Table1[[#This Row],[Total No. of Coupons]],Table1[[#This Row],[Coupon Amount]],-Table1[[#This Row],[Ask Price]],Table1[[#This Row],[Face value]])</f>
        <v>9.7000000000001474E-2</v>
      </c>
      <c r="AL459" s="27">
        <f>Table1[[#This Row],[IRR]]*Table1[[#This Row],[Coupon Frequency2]]</f>
        <v>9.7000000000001474E-2</v>
      </c>
      <c r="AM459" s="5">
        <f t="shared" si="30"/>
        <v>-622456.11892448703</v>
      </c>
      <c r="AN459" t="s">
        <v>64</v>
      </c>
      <c r="AO459" t="s">
        <v>62</v>
      </c>
      <c r="AP459">
        <f t="shared" si="31"/>
        <v>1</v>
      </c>
    </row>
    <row r="460" spans="1:42" x14ac:dyDescent="0.35">
      <c r="A460" s="48" t="s">
        <v>533</v>
      </c>
      <c r="B460" s="49" t="s">
        <v>2735</v>
      </c>
      <c r="C460" s="49" t="s">
        <v>2273</v>
      </c>
      <c r="D460" s="50">
        <v>45681</v>
      </c>
      <c r="E460" s="50">
        <v>47507</v>
      </c>
      <c r="F460" s="49">
        <v>1000</v>
      </c>
      <c r="G460" s="49" t="s">
        <v>76</v>
      </c>
      <c r="H460" s="49">
        <v>1030</v>
      </c>
      <c r="I460" s="49" t="s">
        <v>76</v>
      </c>
      <c r="J460" s="49">
        <v>103</v>
      </c>
      <c r="K460" s="49">
        <v>7</v>
      </c>
      <c r="L460" s="51">
        <v>0.105</v>
      </c>
      <c r="M460" s="49" t="s">
        <v>93</v>
      </c>
      <c r="N460" s="49">
        <v>1590</v>
      </c>
      <c r="O460" s="49">
        <v>10.1941747572815</v>
      </c>
      <c r="P460" s="49"/>
      <c r="Q460" s="49"/>
      <c r="R460" s="49" t="s">
        <v>2275</v>
      </c>
      <c r="S460">
        <f t="shared" si="28"/>
        <v>5</v>
      </c>
      <c r="T460" s="5" cm="1">
        <f t="array" ref="T4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0">
        <f>Table1[[#This Row],[Term to Maturity (Years)]]*Table1[[#This Row],[Coupon Frequency2]]</f>
        <v>5</v>
      </c>
      <c r="V460">
        <f>Table1[[#This Row],[Face value]]*Table1[[#This Row],[Current coupon %]]</f>
        <v>105</v>
      </c>
      <c r="W460" s="36">
        <f>RATE(Table1[[#This Row],[Total No. of Coupons]],Table1[[#This Row],[Coupon Amount]],-Table1[[#This Row],[Ask Price]],Table1[[#This Row],[Face value]])</f>
        <v>9.7143738598965024E-2</v>
      </c>
      <c r="X460" s="27">
        <f>Table1[[#This Row],[IRR]]*Table1[[#This Row],[Coupon Frequency2]]</f>
        <v>9.7143738598965024E-2</v>
      </c>
      <c r="Y460" s="19" cm="1">
        <f t="array" ref="Y4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0" s="33">
        <f>DURATION(Table1[[#This Row],[Issue date]],Table1[[#This Row],[Maturity date]],Table1[[#This Row],[Current coupon %]],Table1[[#This Row],[Yield (Annualised)]],Table1[[#This Row],[Coupon Frequency2]])</f>
        <v>4.1495361970607325</v>
      </c>
      <c r="AA460" s="33">
        <f>Table1[[#This Row],[Macaulay Duration in Years]]/(1+Table1[[#This Row],[IRR]])</f>
        <v>3.7821263076792686</v>
      </c>
      <c r="AB460" s="58">
        <f>VLOOKUP(Table1[[#This Row],[Yield Cluster]],'Cluster Details'!$B$3:$C$16,2,0)</f>
        <v>7.8548801574189142E-2</v>
      </c>
      <c r="AC460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460" s="58" t="str">
        <f>IF(Table1[[#This Row],[Ask Price]]&gt;Table1[[#This Row],[Calculated Bond Price]],"Rich","Cheap")</f>
        <v>Cheap</v>
      </c>
      <c r="AE4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992.01970422982743</v>
      </c>
      <c r="AF4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1069.9724329535159</v>
      </c>
      <c r="AG460" s="78">
        <f>(Table1[[#This Row],[P (+ shock)]]+Table1[[#This Row],[P (-shock)]]-2*Table1[[#This Row],[Ask Price]])/(2*Table1[[#This Row],[Ask Price]]*($AF$2^2))</f>
        <v>9.6705688511815637</v>
      </c>
      <c r="AH460">
        <v>12.531410406515301</v>
      </c>
      <c r="AI460" s="6">
        <f t="shared" si="29"/>
        <v>0.10194174757281553</v>
      </c>
      <c r="AK460" s="47">
        <f>RATE(Table1[[#This Row],[Total No. of Coupons]],Table1[[#This Row],[Coupon Amount]],-Table1[[#This Row],[Ask Price]],Table1[[#This Row],[Face value]])</f>
        <v>9.7143738598965024E-2</v>
      </c>
      <c r="AL460" s="27">
        <f>Table1[[#This Row],[IRR]]*Table1[[#This Row],[Coupon Frequency2]]</f>
        <v>9.7143738598965024E-2</v>
      </c>
      <c r="AM460" s="5">
        <f t="shared" si="30"/>
        <v>-3895.5900969096465</v>
      </c>
      <c r="AN460" t="s">
        <v>64</v>
      </c>
      <c r="AO460" t="s">
        <v>62</v>
      </c>
      <c r="AP460">
        <f t="shared" si="31"/>
        <v>1</v>
      </c>
    </row>
    <row r="461" spans="1:42" x14ac:dyDescent="0.35">
      <c r="A461" s="48" t="s">
        <v>140</v>
      </c>
      <c r="B461" s="49" t="s">
        <v>2748</v>
      </c>
      <c r="C461" s="49" t="s">
        <v>2273</v>
      </c>
      <c r="D461" s="50">
        <v>45589</v>
      </c>
      <c r="E461" s="50">
        <v>49241</v>
      </c>
      <c r="F461" s="49">
        <v>1000</v>
      </c>
      <c r="G461" s="49" t="s">
        <v>76</v>
      </c>
      <c r="H461" s="49">
        <v>1079.81</v>
      </c>
      <c r="I461" s="49" t="s">
        <v>76</v>
      </c>
      <c r="J461" s="49">
        <v>107.98099999999999</v>
      </c>
      <c r="K461" s="49">
        <v>9</v>
      </c>
      <c r="L461" s="51">
        <v>0.11</v>
      </c>
      <c r="M461" s="49" t="s">
        <v>93</v>
      </c>
      <c r="N461" s="49">
        <v>3324</v>
      </c>
      <c r="O461" s="49">
        <v>10.1869773386058</v>
      </c>
      <c r="P461" s="49"/>
      <c r="Q461" s="49"/>
      <c r="R461" s="49" t="s">
        <v>2275</v>
      </c>
      <c r="S461">
        <f t="shared" si="28"/>
        <v>10</v>
      </c>
      <c r="T461" s="5" cm="1">
        <f t="array" ref="T4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1">
        <f>Table1[[#This Row],[Term to Maturity (Years)]]*Table1[[#This Row],[Coupon Frequency2]]</f>
        <v>10</v>
      </c>
      <c r="V461">
        <f>Table1[[#This Row],[Face value]]*Table1[[#This Row],[Current coupon %]]</f>
        <v>110</v>
      </c>
      <c r="W461" s="36">
        <f>RATE(Table1[[#This Row],[Total No. of Coupons]],Table1[[#This Row],[Coupon Amount]],-Table1[[#This Row],[Ask Price]],Table1[[#This Row],[Face value]])</f>
        <v>9.716884314329903E-2</v>
      </c>
      <c r="X461" s="27">
        <f>Table1[[#This Row],[IRR]]*Table1[[#This Row],[Coupon Frequency2]]</f>
        <v>9.716884314329903E-2</v>
      </c>
      <c r="Y461" s="19" cm="1">
        <f t="array" ref="Y4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1" s="33">
        <f>DURATION(Table1[[#This Row],[Issue date]],Table1[[#This Row],[Maturity date]],Table1[[#This Row],[Current coupon %]],Table1[[#This Row],[Yield (Annualised)]],Table1[[#This Row],[Coupon Frequency2]])</f>
        <v>6.6707757369767977</v>
      </c>
      <c r="AA461" s="33">
        <f>Table1[[#This Row],[Macaulay Duration in Years]]/(1+Table1[[#This Row],[IRR]])</f>
        <v>6.0799901297466397</v>
      </c>
      <c r="AB461" s="58">
        <f>VLOOKUP(Table1[[#This Row],[Yield Cluster]],'Cluster Details'!$B$3:$C$16,2,0)</f>
        <v>7.8548801574189142E-2</v>
      </c>
      <c r="AC461" s="78">
        <f>PRICE(Table1[[#This Row],[Issue date]],Table1[[#This Row],[Maturity date]],Table1[[#This Row],[Current coupon %]],Table1[[#This Row],[Average Cluster Yield]],100,Table1[[#This Row],[Coupon Frequency2]])*Table1[[#This Row],[Face value]]/100</f>
        <v>1212.4284890293766</v>
      </c>
      <c r="AD461" s="58" t="str">
        <f>IF(Table1[[#This Row],[Ask Price]]&gt;Table1[[#This Row],[Calculated Bond Price]],"Rich","Cheap")</f>
        <v>Cheap</v>
      </c>
      <c r="AE4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1016.8731432263806</v>
      </c>
      <c r="AF4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1148.3662883831441</v>
      </c>
      <c r="AG461" s="78">
        <f>(Table1[[#This Row],[P (+ shock)]]+Table1[[#This Row],[P (-shock)]]-2*Table1[[#This Row],[Ask Price]])/(2*Table1[[#This Row],[Ask Price]]*($AF$2^2))</f>
        <v>26.02046475548838</v>
      </c>
      <c r="AH461">
        <v>16.821808510638299</v>
      </c>
      <c r="AI461" s="6">
        <f t="shared" si="29"/>
        <v>0.10186977338605867</v>
      </c>
      <c r="AK461" s="47">
        <f>RATE(Table1[[#This Row],[Total No. of Coupons]],Table1[[#This Row],[Coupon Amount]],-Table1[[#This Row],[Ask Price]],Table1[[#This Row],[Face value]])</f>
        <v>9.716884314329903E-2</v>
      </c>
      <c r="AL461" s="27">
        <f>Table1[[#This Row],[IRR]]*Table1[[#This Row],[Coupon Frequency2]]</f>
        <v>9.716884314329903E-2</v>
      </c>
      <c r="AM461" s="5">
        <f t="shared" si="30"/>
        <v>-6565.2341420017183</v>
      </c>
      <c r="AN461" t="s">
        <v>64</v>
      </c>
      <c r="AO461" t="s">
        <v>62</v>
      </c>
      <c r="AP461">
        <f t="shared" si="31"/>
        <v>1</v>
      </c>
    </row>
    <row r="462" spans="1:42" x14ac:dyDescent="0.35">
      <c r="A462" s="48" t="s">
        <v>418</v>
      </c>
      <c r="B462" s="49" t="s">
        <v>2749</v>
      </c>
      <c r="C462" s="49" t="s">
        <v>2273</v>
      </c>
      <c r="D462" s="50">
        <v>40480</v>
      </c>
      <c r="E462" s="50">
        <v>47785</v>
      </c>
      <c r="F462" s="49">
        <v>1000000</v>
      </c>
      <c r="G462" s="49" t="s">
        <v>76</v>
      </c>
      <c r="H462" s="49">
        <v>1021700</v>
      </c>
      <c r="I462" s="49" t="s">
        <v>76</v>
      </c>
      <c r="J462" s="49">
        <v>102.17</v>
      </c>
      <c r="K462" s="49">
        <v>1</v>
      </c>
      <c r="L462" s="51">
        <v>9.98E-2</v>
      </c>
      <c r="M462" s="49" t="s">
        <v>93</v>
      </c>
      <c r="N462" s="49">
        <v>1868</v>
      </c>
      <c r="O462" s="49">
        <v>9.7680336693745708</v>
      </c>
      <c r="P462" s="49"/>
      <c r="Q462" s="49"/>
      <c r="R462" s="49" t="s">
        <v>2275</v>
      </c>
      <c r="S462">
        <f t="shared" si="28"/>
        <v>20</v>
      </c>
      <c r="T462" s="5" cm="1">
        <f t="array" ref="T4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2">
        <f>Table1[[#This Row],[Term to Maturity (Years)]]*Table1[[#This Row],[Coupon Frequency2]]</f>
        <v>20</v>
      </c>
      <c r="V462">
        <f>Table1[[#This Row],[Face value]]*Table1[[#This Row],[Current coupon %]]</f>
        <v>99800</v>
      </c>
      <c r="W462" s="36">
        <f>RATE(Table1[[#This Row],[Total No. of Coupons]],Table1[[#This Row],[Coupon Amount]],-Table1[[#This Row],[Ask Price]],Table1[[#This Row],[Face value]])</f>
        <v>9.7297972568966995E-2</v>
      </c>
      <c r="X462" s="27">
        <f>Table1[[#This Row],[IRR]]*Table1[[#This Row],[Coupon Frequency2]]</f>
        <v>9.7297972568966995E-2</v>
      </c>
      <c r="Y462" s="19" cm="1">
        <f t="array" ref="Y4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2" s="33">
        <f>DURATION(Table1[[#This Row],[Issue date]],Table1[[#This Row],[Maturity date]],Table1[[#This Row],[Current coupon %]],Table1[[#This Row],[Yield (Annualised)]],Table1[[#This Row],[Coupon Frequency2]])</f>
        <v>9.4756314742355787</v>
      </c>
      <c r="AA462" s="33">
        <f>Table1[[#This Row],[Macaulay Duration in Years]]/(1+Table1[[#This Row],[IRR]])</f>
        <v>8.6354223839960849</v>
      </c>
      <c r="AB462" s="58">
        <f>VLOOKUP(Table1[[#This Row],[Yield Cluster]],'Cluster Details'!$B$3:$C$16,2,0)</f>
        <v>7.8548801574189142E-2</v>
      </c>
      <c r="AC462" s="78">
        <f>PRICE(Table1[[#This Row],[Issue date]],Table1[[#This Row],[Maturity date]],Table1[[#This Row],[Current coupon %]],Table1[[#This Row],[Average Cluster Yield]],100,Table1[[#This Row],[Coupon Frequency2]])*Table1[[#This Row],[Face value]]/100</f>
        <v>1210920.0388445936</v>
      </c>
      <c r="AD462" s="58" t="str">
        <f>IF(Table1[[#This Row],[Ask Price]]&gt;Table1[[#This Row],[Calculated Bond Price]],"Rich","Cheap")</f>
        <v>Cheap</v>
      </c>
      <c r="AE4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939220.52767937689</v>
      </c>
      <c r="AF4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1116357.2345148716</v>
      </c>
      <c r="AG462" s="78">
        <f>(Table1[[#This Row],[P (+ shock)]]+Table1[[#This Row],[P (-shock)]]-2*Table1[[#This Row],[Ask Price]])/(2*Table1[[#This Row],[Ask Price]]*($AF$2^2))</f>
        <v>59.595586739005491</v>
      </c>
      <c r="AI462" s="6">
        <f t="shared" si="29"/>
        <v>9.768033669374572E-2</v>
      </c>
      <c r="AK462" s="47">
        <f>RATE(Table1[[#This Row],[Total No. of Coupons]],Table1[[#This Row],[Coupon Amount]],-Table1[[#This Row],[Ask Price]],Table1[[#This Row],[Face value]])</f>
        <v>9.7297972568966995E-2</v>
      </c>
      <c r="AL462" s="27">
        <f>Table1[[#This Row],[IRR]]*Table1[[#This Row],[Coupon Frequency2]]</f>
        <v>9.7297972568966995E-2</v>
      </c>
      <c r="AM462" s="5">
        <f t="shared" si="30"/>
        <v>-8822811.0497287996</v>
      </c>
      <c r="AN462" t="s">
        <v>69</v>
      </c>
      <c r="AO462" t="s">
        <v>62</v>
      </c>
      <c r="AP462">
        <f t="shared" si="31"/>
        <v>1</v>
      </c>
    </row>
    <row r="463" spans="1:42" x14ac:dyDescent="0.35">
      <c r="A463" s="48" t="s">
        <v>726</v>
      </c>
      <c r="B463" s="49" t="s">
        <v>2750</v>
      </c>
      <c r="C463" s="49" t="s">
        <v>2273</v>
      </c>
      <c r="D463" s="50">
        <v>45352</v>
      </c>
      <c r="E463" s="50">
        <v>47178</v>
      </c>
      <c r="F463" s="49">
        <v>1000</v>
      </c>
      <c r="G463" s="49" t="s">
        <v>76</v>
      </c>
      <c r="H463" s="49">
        <v>1029</v>
      </c>
      <c r="I463" s="49" t="s">
        <v>76</v>
      </c>
      <c r="J463" s="49">
        <v>102.899999999999</v>
      </c>
      <c r="K463" s="49">
        <v>24</v>
      </c>
      <c r="L463" s="51">
        <v>0.105</v>
      </c>
      <c r="M463" s="49" t="s">
        <v>93</v>
      </c>
      <c r="N463" s="49">
        <v>1261</v>
      </c>
      <c r="O463" s="49">
        <v>10.204081632653001</v>
      </c>
      <c r="P463" s="49"/>
      <c r="Q463" s="49"/>
      <c r="R463" s="49" t="s">
        <v>2275</v>
      </c>
      <c r="S463">
        <f t="shared" si="28"/>
        <v>5</v>
      </c>
      <c r="T463" s="5" cm="1">
        <f t="array" ref="T4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3">
        <f>Table1[[#This Row],[Term to Maturity (Years)]]*Table1[[#This Row],[Coupon Frequency2]]</f>
        <v>5</v>
      </c>
      <c r="V463">
        <f>Table1[[#This Row],[Face value]]*Table1[[#This Row],[Current coupon %]]</f>
        <v>105</v>
      </c>
      <c r="W463" s="36">
        <f>RATE(Table1[[#This Row],[Total No. of Coupons]],Table1[[#This Row],[Coupon Amount]],-Table1[[#This Row],[Ask Price]],Table1[[#This Row],[Face value]])</f>
        <v>9.7400607676749712E-2</v>
      </c>
      <c r="X463" s="27">
        <f>Table1[[#This Row],[IRR]]*Table1[[#This Row],[Coupon Frequency2]]</f>
        <v>9.7400607676749712E-2</v>
      </c>
      <c r="Y463" s="19" cm="1">
        <f t="array" ref="Y4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3" s="33">
        <f>DURATION(Table1[[#This Row],[Issue date]],Table1[[#This Row],[Maturity date]],Table1[[#This Row],[Current coupon %]],Table1[[#This Row],[Yield (Annualised)]],Table1[[#This Row],[Coupon Frequency2]])</f>
        <v>4.1490902225167208</v>
      </c>
      <c r="AA463" s="33">
        <f>Table1[[#This Row],[Macaulay Duration in Years]]/(1+Table1[[#This Row],[IRR]])</f>
        <v>3.7808346318492987</v>
      </c>
      <c r="AB463" s="58">
        <f>VLOOKUP(Table1[[#This Row],[Yield Cluster]],'Cluster Details'!$B$3:$C$16,2,0)</f>
        <v>7.8548801574189142E-2</v>
      </c>
      <c r="AC463" s="78">
        <f>PRICE(Table1[[#This Row],[Issue date]],Table1[[#This Row],[Maturity date]],Table1[[#This Row],[Current coupon %]],Table1[[#This Row],[Average Cluster Yield]],100,Table1[[#This Row],[Coupon Frequency2]])*Table1[[#This Row],[Face value]]/100</f>
        <v>1106.0171475719424</v>
      </c>
      <c r="AD463" s="58" t="str">
        <f>IF(Table1[[#This Row],[Ask Price]]&gt;Table1[[#This Row],[Calculated Bond Price]],"Rich","Cheap")</f>
        <v>Cheap</v>
      </c>
      <c r="AE4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991.06927855476488</v>
      </c>
      <c r="AF4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1068.9197070649684</v>
      </c>
      <c r="AG463" s="78">
        <f>(Table1[[#This Row],[P (+ shock)]]+Table1[[#This Row],[P (-shock)]]-2*Table1[[#This Row],[Ask Price]])/(2*Table1[[#This Row],[Ask Price]]*($AF$2^2))</f>
        <v>9.6646531571102265</v>
      </c>
      <c r="AI463" s="6">
        <f t="shared" si="29"/>
        <v>0.10204081632653061</v>
      </c>
      <c r="AK463" s="47">
        <f>RATE(Table1[[#This Row],[Total No. of Coupons]],Table1[[#This Row],[Coupon Amount]],-Table1[[#This Row],[Ask Price]],Table1[[#This Row],[Face value]])</f>
        <v>9.7400607676749712E-2</v>
      </c>
      <c r="AL463" s="27">
        <f>Table1[[#This Row],[IRR]]*Table1[[#This Row],[Coupon Frequency2]]</f>
        <v>9.7400607676749712E-2</v>
      </c>
      <c r="AM463" s="5">
        <f t="shared" si="30"/>
        <v>-3890.4788361729284</v>
      </c>
      <c r="AN463" t="s">
        <v>69</v>
      </c>
      <c r="AO463" t="s">
        <v>62</v>
      </c>
      <c r="AP463">
        <f t="shared" si="31"/>
        <v>1</v>
      </c>
    </row>
    <row r="464" spans="1:42" x14ac:dyDescent="0.35">
      <c r="A464" s="48" t="s">
        <v>255</v>
      </c>
      <c r="B464" s="49" t="s">
        <v>2751</v>
      </c>
      <c r="C464" s="49" t="s">
        <v>2273</v>
      </c>
      <c r="D464" s="50">
        <v>44854</v>
      </c>
      <c r="E464" s="50">
        <v>48507</v>
      </c>
      <c r="F464" s="49">
        <v>1000</v>
      </c>
      <c r="G464" s="49" t="s">
        <v>76</v>
      </c>
      <c r="H464" s="49">
        <v>1022</v>
      </c>
      <c r="I464" s="49" t="s">
        <v>76</v>
      </c>
      <c r="J464" s="49">
        <v>102.2</v>
      </c>
      <c r="K464" s="49">
        <v>100</v>
      </c>
      <c r="L464" s="51">
        <v>0.10099999999999999</v>
      </c>
      <c r="M464" s="49" t="s">
        <v>93</v>
      </c>
      <c r="N464" s="49">
        <v>2590</v>
      </c>
      <c r="O464" s="49">
        <v>9.8825831702543994</v>
      </c>
      <c r="P464" s="49"/>
      <c r="Q464" s="49"/>
      <c r="R464" s="49" t="s">
        <v>2275</v>
      </c>
      <c r="S464">
        <f t="shared" si="28"/>
        <v>10</v>
      </c>
      <c r="T464" s="5" cm="1">
        <f t="array" ref="T4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4">
        <f>Table1[[#This Row],[Term to Maturity (Years)]]*Table1[[#This Row],[Coupon Frequency2]]</f>
        <v>10</v>
      </c>
      <c r="V464">
        <f>Table1[[#This Row],[Face value]]*Table1[[#This Row],[Current coupon %]]</f>
        <v>100.99999999999999</v>
      </c>
      <c r="W464" s="36">
        <f>RATE(Table1[[#This Row],[Total No. of Coupons]],Table1[[#This Row],[Coupon Amount]],-Table1[[#This Row],[Ask Price]],Table1[[#This Row],[Face value]])</f>
        <v>9.7458597351045603E-2</v>
      </c>
      <c r="X464" s="27">
        <f>Table1[[#This Row],[IRR]]*Table1[[#This Row],[Coupon Frequency2]]</f>
        <v>9.7458597351045603E-2</v>
      </c>
      <c r="Y464" s="19" cm="1">
        <f t="array" ref="Y4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4" s="33">
        <f>DURATION(Table1[[#This Row],[Issue date]],Table1[[#This Row],[Maturity date]],Table1[[#This Row],[Current coupon %]],Table1[[#This Row],[Yield (Annualised)]],Table1[[#This Row],[Coupon Frequency2]])</f>
        <v>6.7730182054674266</v>
      </c>
      <c r="AA464" s="33">
        <f>Table1[[#This Row],[Macaulay Duration in Years]]/(1+Table1[[#This Row],[IRR]])</f>
        <v>6.171547812205012</v>
      </c>
      <c r="AB464" s="58">
        <f>VLOOKUP(Table1[[#This Row],[Yield Cluster]],'Cluster Details'!$B$3:$C$16,2,0)</f>
        <v>7.8548801574189142E-2</v>
      </c>
      <c r="AC464" s="78">
        <f>PRICE(Table1[[#This Row],[Issue date]],Table1[[#This Row],[Maturity date]],Table1[[#This Row],[Current coupon %]],Table1[[#This Row],[Average Cluster Yield]],100,Table1[[#This Row],[Coupon Frequency2]])*Table1[[#This Row],[Face value]]/100</f>
        <v>1151.6404587807299</v>
      </c>
      <c r="AD464" s="58" t="str">
        <f>IF(Table1[[#This Row],[Ask Price]]&gt;Table1[[#This Row],[Calculated Bond Price]],"Rich","Cheap")</f>
        <v>Cheap</v>
      </c>
      <c r="AE4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961.55506116164452</v>
      </c>
      <c r="AF4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1087.8847316968554</v>
      </c>
      <c r="AG464" s="78">
        <f>(Table1[[#This Row],[P (+ shock)]]+Table1[[#This Row],[P (-shock)]]-2*Table1[[#This Row],[Ask Price]])/(2*Table1[[#This Row],[Ask Price]]*($AF$2^2))</f>
        <v>26.613467996574919</v>
      </c>
      <c r="AI464" s="6">
        <f t="shared" si="29"/>
        <v>9.8825831702544012E-2</v>
      </c>
      <c r="AK464" s="47">
        <f>RATE(Table1[[#This Row],[Total No. of Coupons]],Table1[[#This Row],[Coupon Amount]],-Table1[[#This Row],[Ask Price]],Table1[[#This Row],[Face value]])</f>
        <v>9.7458597351045603E-2</v>
      </c>
      <c r="AL464" s="27">
        <f>Table1[[#This Row],[IRR]]*Table1[[#This Row],[Coupon Frequency2]]</f>
        <v>9.7458597351045603E-2</v>
      </c>
      <c r="AM464" s="5">
        <f t="shared" si="30"/>
        <v>-6307.3218640735222</v>
      </c>
      <c r="AN464" t="s">
        <v>69</v>
      </c>
      <c r="AO464" t="s">
        <v>62</v>
      </c>
      <c r="AP464">
        <f t="shared" si="31"/>
        <v>1</v>
      </c>
    </row>
    <row r="465" spans="1:42" x14ac:dyDescent="0.35">
      <c r="A465" s="48" t="s">
        <v>440</v>
      </c>
      <c r="B465" s="49" t="s">
        <v>2752</v>
      </c>
      <c r="C465" s="49" t="s">
        <v>2273</v>
      </c>
      <c r="D465" s="50">
        <v>40372</v>
      </c>
      <c r="E465" s="50">
        <v>47677</v>
      </c>
      <c r="F465" s="49">
        <v>1000000</v>
      </c>
      <c r="G465" s="49" t="s">
        <v>76</v>
      </c>
      <c r="H465" s="49">
        <v>1000010.05</v>
      </c>
      <c r="I465" s="49" t="s">
        <v>76</v>
      </c>
      <c r="J465" s="49">
        <v>100.001004999999</v>
      </c>
      <c r="K465" s="49">
        <v>2</v>
      </c>
      <c r="L465" s="51">
        <v>9.7500000000000003E-2</v>
      </c>
      <c r="M465" s="49" t="s">
        <v>93</v>
      </c>
      <c r="N465" s="49">
        <v>1760</v>
      </c>
      <c r="O465" s="49">
        <v>9.7499020134847605</v>
      </c>
      <c r="P465" s="49"/>
      <c r="Q465" s="49"/>
      <c r="R465" s="49" t="s">
        <v>2275</v>
      </c>
      <c r="S465">
        <f t="shared" si="28"/>
        <v>20</v>
      </c>
      <c r="T465" s="5" cm="1">
        <f t="array" ref="T4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5">
        <f>Table1[[#This Row],[Term to Maturity (Years)]]*Table1[[#This Row],[Coupon Frequency2]]</f>
        <v>20</v>
      </c>
      <c r="V465">
        <f>Table1[[#This Row],[Face value]]*Table1[[#This Row],[Current coupon %]]</f>
        <v>97500</v>
      </c>
      <c r="W465" s="36">
        <f>RATE(Table1[[#This Row],[Total No. of Coupons]],Table1[[#This Row],[Coupon Amount]],-Table1[[#This Row],[Ask Price]],Table1[[#This Row],[Face value]])</f>
        <v>9.7498839619238886E-2</v>
      </c>
      <c r="X465" s="27">
        <f>Table1[[#This Row],[IRR]]*Table1[[#This Row],[Coupon Frequency2]]</f>
        <v>9.7498839619238886E-2</v>
      </c>
      <c r="Y465" s="19" cm="1">
        <f t="array" ref="Y4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5" s="33">
        <f>DURATION(Table1[[#This Row],[Issue date]],Table1[[#This Row],[Maturity date]],Table1[[#This Row],[Current coupon %]],Table1[[#This Row],[Yield (Annualised)]],Table1[[#This Row],[Coupon Frequency2]])</f>
        <v>9.5053633781706388</v>
      </c>
      <c r="AA465" s="33">
        <f>Table1[[#This Row],[Macaulay Duration in Years]]/(1+Table1[[#This Row],[IRR]])</f>
        <v>8.6609325085650077</v>
      </c>
      <c r="AB465" s="58">
        <f>VLOOKUP(Table1[[#This Row],[Yield Cluster]],'Cluster Details'!$B$3:$C$16,2,0)</f>
        <v>7.8548801574189142E-2</v>
      </c>
      <c r="AC465" s="78">
        <f>PRICE(Table1[[#This Row],[Issue date]],Table1[[#This Row],[Maturity date]],Table1[[#This Row],[Current coupon %]],Table1[[#This Row],[Average Cluster Yield]],100,Table1[[#This Row],[Coupon Frequency2]])*Table1[[#This Row],[Face value]]/100</f>
        <v>1188092.3338078102</v>
      </c>
      <c r="AD465" s="58" t="str">
        <f>IF(Table1[[#This Row],[Ask Price]]&gt;Table1[[#This Row],[Calculated Bond Price]],"Rich","Cheap")</f>
        <v>Cheap</v>
      </c>
      <c r="AE4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919055.78290105273</v>
      </c>
      <c r="AF4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1092946.8448420872</v>
      </c>
      <c r="AG465" s="78">
        <f>(Table1[[#This Row],[P (+ shock)]]+Table1[[#This Row],[P (-shock)]]-2*Table1[[#This Row],[Ask Price]])/(2*Table1[[#This Row],[Ask Price]]*($AF$2^2))</f>
        <v>59.912036599731017</v>
      </c>
      <c r="AI465" s="6">
        <f t="shared" si="29"/>
        <v>9.7499020134847639E-2</v>
      </c>
      <c r="AK465" s="47">
        <f>RATE(Table1[[#This Row],[Total No. of Coupons]],Table1[[#This Row],[Coupon Amount]],-Table1[[#This Row],[Ask Price]],Table1[[#This Row],[Face value]])</f>
        <v>9.7498839619238886E-2</v>
      </c>
      <c r="AL465" s="27">
        <f>Table1[[#This Row],[IRR]]*Table1[[#This Row],[Coupon Frequency2]]</f>
        <v>9.7498839619238886E-2</v>
      </c>
      <c r="AM465" s="5">
        <f t="shared" si="30"/>
        <v>-8661019.5509367194</v>
      </c>
      <c r="AN465" t="s">
        <v>69</v>
      </c>
      <c r="AO465" t="s">
        <v>62</v>
      </c>
      <c r="AP465">
        <f t="shared" si="31"/>
        <v>1</v>
      </c>
    </row>
    <row r="466" spans="1:42" x14ac:dyDescent="0.35">
      <c r="A466" s="48" t="s">
        <v>976</v>
      </c>
      <c r="B466" s="49" t="s">
        <v>2753</v>
      </c>
      <c r="C466" s="49" t="s">
        <v>2273</v>
      </c>
      <c r="D466" s="50">
        <v>44308</v>
      </c>
      <c r="E466" s="50">
        <v>46864</v>
      </c>
      <c r="F466" s="49">
        <v>1000000</v>
      </c>
      <c r="G466" s="49" t="s">
        <v>76</v>
      </c>
      <c r="H466" s="49">
        <v>1000000</v>
      </c>
      <c r="I466" s="49" t="s">
        <v>76</v>
      </c>
      <c r="J466" s="49">
        <v>100</v>
      </c>
      <c r="K466" s="49">
        <v>2</v>
      </c>
      <c r="L466" s="51">
        <v>9.7500000000000003E-2</v>
      </c>
      <c r="M466" s="49" t="s">
        <v>93</v>
      </c>
      <c r="N466" s="49">
        <v>947</v>
      </c>
      <c r="O466" s="49">
        <v>9.75</v>
      </c>
      <c r="P466" s="49"/>
      <c r="Q466" s="49"/>
      <c r="R466" s="49" t="s">
        <v>2275</v>
      </c>
      <c r="S466">
        <f t="shared" si="28"/>
        <v>7</v>
      </c>
      <c r="T466" s="5" cm="1">
        <f t="array" ref="T4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6">
        <f>Table1[[#This Row],[Term to Maturity (Years)]]*Table1[[#This Row],[Coupon Frequency2]]</f>
        <v>7</v>
      </c>
      <c r="V466">
        <f>Table1[[#This Row],[Face value]]*Table1[[#This Row],[Current coupon %]]</f>
        <v>97500</v>
      </c>
      <c r="W466" s="36">
        <f>RATE(Table1[[#This Row],[Total No. of Coupons]],Table1[[#This Row],[Coupon Amount]],-Table1[[#This Row],[Ask Price]],Table1[[#This Row],[Face value]])</f>
        <v>9.7500000000000017E-2</v>
      </c>
      <c r="X466" s="27">
        <f>Table1[[#This Row],[IRR]]*Table1[[#This Row],[Coupon Frequency2]]</f>
        <v>9.7500000000000017E-2</v>
      </c>
      <c r="Y466" s="19" cm="1">
        <f t="array" ref="Y4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6" s="33">
        <f>DURATION(Table1[[#This Row],[Issue date]],Table1[[#This Row],[Maturity date]],Table1[[#This Row],[Current coupon %]],Table1[[#This Row],[Yield (Annualised)]],Table1[[#This Row],[Coupon Frequency2]])</f>
        <v>5.3845770538882327</v>
      </c>
      <c r="AA466" s="33">
        <f>Table1[[#This Row],[Macaulay Duration in Years]]/(1+Table1[[#This Row],[IRR]])</f>
        <v>4.9062205502398477</v>
      </c>
      <c r="AB466" s="58">
        <f>VLOOKUP(Table1[[#This Row],[Yield Cluster]],'Cluster Details'!$B$3:$C$16,2,0)</f>
        <v>7.8548801574189142E-2</v>
      </c>
      <c r="AC466" s="78">
        <f>PRICE(Table1[[#This Row],[Issue date]],Table1[[#This Row],[Maturity date]],Table1[[#This Row],[Current coupon %]],Table1[[#This Row],[Average Cluster Yield]],100,Table1[[#This Row],[Coupon Frequency2]])*Table1[[#This Row],[Face value]]/100</f>
        <v>1099118.6204350116</v>
      </c>
      <c r="AD466" s="58" t="str">
        <f>IF(Table1[[#This Row],[Ask Price]]&gt;Table1[[#This Row],[Calculated Bond Price]],"Rich","Cheap")</f>
        <v>Cheap</v>
      </c>
      <c r="AE4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952494.33382117981</v>
      </c>
      <c r="AF4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1050728.5353576613</v>
      </c>
      <c r="AG466" s="78">
        <f>(Table1[[#This Row],[P (+ shock)]]+Table1[[#This Row],[P (-shock)]]-2*Table1[[#This Row],[Ask Price]])/(2*Table1[[#This Row],[Ask Price]]*($AF$2^2))</f>
        <v>16.114345894205616</v>
      </c>
      <c r="AH466">
        <v>10.7210138393833</v>
      </c>
      <c r="AI466" s="6">
        <f t="shared" si="29"/>
        <v>9.7500000000000003E-2</v>
      </c>
      <c r="AK466" s="47">
        <f>RATE(Table1[[#This Row],[Total No. of Coupons]],Table1[[#This Row],[Coupon Amount]],-Table1[[#This Row],[Ask Price]],Table1[[#This Row],[Face value]])</f>
        <v>9.7500000000000017E-2</v>
      </c>
      <c r="AL466" s="27">
        <f>Table1[[#This Row],[IRR]]*Table1[[#This Row],[Coupon Frequency2]]</f>
        <v>9.7500000000000017E-2</v>
      </c>
      <c r="AM466" s="5">
        <f t="shared" si="30"/>
        <v>-4906220.550239848</v>
      </c>
      <c r="AN466" t="s">
        <v>64</v>
      </c>
      <c r="AO466" t="s">
        <v>62</v>
      </c>
      <c r="AP466">
        <f t="shared" si="31"/>
        <v>1</v>
      </c>
    </row>
    <row r="467" spans="1:42" x14ac:dyDescent="0.35">
      <c r="A467" s="48" t="s">
        <v>930</v>
      </c>
      <c r="B467" s="49" t="s">
        <v>2754</v>
      </c>
      <c r="C467" s="49" t="s">
        <v>2273</v>
      </c>
      <c r="D467" s="50">
        <v>45821</v>
      </c>
      <c r="E467" s="50">
        <v>46917</v>
      </c>
      <c r="F467" s="49">
        <v>100000</v>
      </c>
      <c r="G467" s="49" t="s">
        <v>76</v>
      </c>
      <c r="H467" s="49">
        <v>99873.09</v>
      </c>
      <c r="I467" s="49" t="s">
        <v>76</v>
      </c>
      <c r="J467" s="49">
        <v>99.873089999999905</v>
      </c>
      <c r="K467" s="49">
        <v>1</v>
      </c>
      <c r="L467" s="51">
        <v>9.6999999999999989E-2</v>
      </c>
      <c r="M467" s="49" t="s">
        <v>93</v>
      </c>
      <c r="N467" s="49">
        <v>1000</v>
      </c>
      <c r="O467" s="49">
        <v>9.7123259128159507</v>
      </c>
      <c r="P467" s="49"/>
      <c r="Q467" s="49"/>
      <c r="R467" s="49" t="s">
        <v>2275</v>
      </c>
      <c r="S467">
        <f t="shared" si="28"/>
        <v>3</v>
      </c>
      <c r="T467" s="5" cm="1">
        <f t="array" ref="T4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7">
        <f>Table1[[#This Row],[Term to Maturity (Years)]]*Table1[[#This Row],[Coupon Frequency2]]</f>
        <v>3</v>
      </c>
      <c r="V467">
        <f>Table1[[#This Row],[Face value]]*Table1[[#This Row],[Current coupon %]]</f>
        <v>9699.9999999999982</v>
      </c>
      <c r="W467" s="36">
        <f>RATE(Table1[[#This Row],[Total No. of Coupons]],Table1[[#This Row],[Coupon Amount]],-Table1[[#This Row],[Ask Price]],Table1[[#This Row],[Face value]])</f>
        <v>9.7508086600700747E-2</v>
      </c>
      <c r="X467" s="27">
        <f>Table1[[#This Row],[IRR]]*Table1[[#This Row],[Coupon Frequency2]]</f>
        <v>9.7508086600700747E-2</v>
      </c>
      <c r="Y467" s="19" cm="1">
        <f t="array" ref="Y4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7" s="33">
        <f>DURATION(Table1[[#This Row],[Issue date]],Table1[[#This Row],[Maturity date]],Table1[[#This Row],[Current coupon %]],Table1[[#This Row],[Yield (Annualised)]],Table1[[#This Row],[Coupon Frequency2]])</f>
        <v>2.7423792438597965</v>
      </c>
      <c r="AA467" s="33">
        <f>Table1[[#This Row],[Macaulay Duration in Years]]/(1+Table1[[#This Row],[IRR]])</f>
        <v>2.4987326082978907</v>
      </c>
      <c r="AB467" s="58">
        <f>VLOOKUP(Table1[[#This Row],[Yield Cluster]],'Cluster Details'!$B$3:$C$16,2,0)</f>
        <v>7.8548801574189142E-2</v>
      </c>
      <c r="AC467" s="78">
        <f>PRICE(Table1[[#This Row],[Issue date]],Table1[[#This Row],[Maturity date]],Table1[[#This Row],[Current coupon %]],Table1[[#This Row],[Average Cluster Yield]],100,Table1[[#This Row],[Coupon Frequency2]])*Table1[[#This Row],[Face value]]/100</f>
        <v>104767.53161473788</v>
      </c>
      <c r="AD467" s="58" t="str">
        <f>IF(Table1[[#This Row],[Ask Price]]&gt;Table1[[#This Row],[Calculated Bond Price]],"Rich","Cheap")</f>
        <v>Cheap</v>
      </c>
      <c r="AE4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97420.953130905735</v>
      </c>
      <c r="AF4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102413.39381817119</v>
      </c>
      <c r="AG467" s="78">
        <f>(Table1[[#This Row],[P (+ shock)]]+Table1[[#This Row],[P (-shock)]]-2*Table1[[#This Row],[Ask Price]])/(2*Table1[[#This Row],[Ask Price]]*($AF$2^2))</f>
        <v>4.4139491967719868</v>
      </c>
      <c r="AH467">
        <v>4.0554532903819602</v>
      </c>
      <c r="AI467" s="6">
        <f t="shared" si="29"/>
        <v>9.7123259128159528E-2</v>
      </c>
      <c r="AK467" s="47">
        <f>RATE(Table1[[#This Row],[Total No. of Coupons]],Table1[[#This Row],[Coupon Amount]],-Table1[[#This Row],[Ask Price]],Table1[[#This Row],[Face value]])</f>
        <v>9.7508086600700747E-2</v>
      </c>
      <c r="AL467" s="27">
        <f>Table1[[#This Row],[IRR]]*Table1[[#This Row],[Coupon Frequency2]]</f>
        <v>9.7508086600700747E-2</v>
      </c>
      <c r="AM467" s="5">
        <f t="shared" si="30"/>
        <v>-249556.14667446999</v>
      </c>
      <c r="AN467" t="s">
        <v>79</v>
      </c>
      <c r="AO467" t="s">
        <v>62</v>
      </c>
      <c r="AP467">
        <f t="shared" si="31"/>
        <v>1</v>
      </c>
    </row>
    <row r="468" spans="1:42" x14ac:dyDescent="0.35">
      <c r="A468" s="48" t="s">
        <v>680</v>
      </c>
      <c r="B468" s="49" t="s">
        <v>2755</v>
      </c>
      <c r="C468" s="49" t="s">
        <v>2273</v>
      </c>
      <c r="D468" s="50">
        <v>43591</v>
      </c>
      <c r="E468" s="50">
        <v>47244</v>
      </c>
      <c r="F468" s="49">
        <v>1000</v>
      </c>
      <c r="G468" s="49" t="s">
        <v>76</v>
      </c>
      <c r="H468" s="49">
        <v>1061.99</v>
      </c>
      <c r="I468" s="49" t="s">
        <v>76</v>
      </c>
      <c r="J468" s="49">
        <v>106.199</v>
      </c>
      <c r="K468" s="49">
        <v>100</v>
      </c>
      <c r="L468" s="51">
        <v>0.1075</v>
      </c>
      <c r="M468" s="49" t="s">
        <v>93</v>
      </c>
      <c r="N468" s="49">
        <v>1327</v>
      </c>
      <c r="O468" s="49">
        <v>10.1225058616371</v>
      </c>
      <c r="P468" s="49"/>
      <c r="Q468" s="49"/>
      <c r="R468" s="49" t="s">
        <v>2275</v>
      </c>
      <c r="S468">
        <f t="shared" si="28"/>
        <v>10</v>
      </c>
      <c r="T468" s="5" cm="1">
        <f t="array" ref="T4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8">
        <f>Table1[[#This Row],[Term to Maturity (Years)]]*Table1[[#This Row],[Coupon Frequency2]]</f>
        <v>10</v>
      </c>
      <c r="V468">
        <f>Table1[[#This Row],[Face value]]*Table1[[#This Row],[Current coupon %]]</f>
        <v>107.5</v>
      </c>
      <c r="W468" s="36">
        <f>RATE(Table1[[#This Row],[Total No. of Coupons]],Table1[[#This Row],[Coupon Amount]],-Table1[[#This Row],[Ask Price]],Table1[[#This Row],[Face value]])</f>
        <v>9.7518700618593357E-2</v>
      </c>
      <c r="X468" s="27">
        <f>Table1[[#This Row],[IRR]]*Table1[[#This Row],[Coupon Frequency2]]</f>
        <v>9.7518700618593357E-2</v>
      </c>
      <c r="Y468" s="19" cm="1">
        <f t="array" ref="Y4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8" s="33">
        <f>DURATION(Table1[[#This Row],[Issue date]],Table1[[#This Row],[Maturity date]],Table1[[#This Row],[Current coupon %]],Table1[[#This Row],[Yield (Annualised)]],Table1[[#This Row],[Coupon Frequency2]])</f>
        <v>6.6952622077080557</v>
      </c>
      <c r="AA468" s="33">
        <f>Table1[[#This Row],[Macaulay Duration in Years]]/(1+Table1[[#This Row],[IRR]])</f>
        <v>6.1003627582239934</v>
      </c>
      <c r="AB468" s="58">
        <f>VLOOKUP(Table1[[#This Row],[Yield Cluster]],'Cluster Details'!$B$3:$C$16,2,0)</f>
        <v>7.8548801574189142E-2</v>
      </c>
      <c r="AC468" s="78">
        <f>PRICE(Table1[[#This Row],[Issue date]],Table1[[#This Row],[Maturity date]],Table1[[#This Row],[Current coupon %]],Table1[[#This Row],[Average Cluster Yield]],100,Table1[[#This Row],[Coupon Frequency2]])*Table1[[#This Row],[Face value]]/100</f>
        <v>1195.5429250714189</v>
      </c>
      <c r="AD468" s="58" t="str">
        <f>IF(Table1[[#This Row],[Ask Price]]&gt;Table1[[#This Row],[Calculated Bond Price]],"Rich","Cheap")</f>
        <v>Cheap</v>
      </c>
      <c r="AE4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999.88871238919614</v>
      </c>
      <c r="AF4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1129.6456373110545</v>
      </c>
      <c r="AG468" s="78">
        <f>(Table1[[#This Row],[P (+ shock)]]+Table1[[#This Row],[P (-shock)]]-2*Table1[[#This Row],[Ask Price]])/(2*Table1[[#This Row],[Ask Price]]*($AF$2^2))</f>
        <v>26.150668557380204</v>
      </c>
      <c r="AH468">
        <v>12</v>
      </c>
      <c r="AI468" s="6">
        <f t="shared" si="29"/>
        <v>0.10122505861637116</v>
      </c>
      <c r="AK468" s="47">
        <f>RATE(Table1[[#This Row],[Total No. of Coupons]],Table1[[#This Row],[Coupon Amount]],-Table1[[#This Row],[Ask Price]],Table1[[#This Row],[Face value]])</f>
        <v>9.7518700618593357E-2</v>
      </c>
      <c r="AL468" s="27">
        <f>Table1[[#This Row],[IRR]]*Table1[[#This Row],[Coupon Frequency2]]</f>
        <v>9.7518700618593357E-2</v>
      </c>
      <c r="AM468" s="5">
        <f t="shared" si="30"/>
        <v>-6478.5242456062988</v>
      </c>
      <c r="AN468" t="s">
        <v>64</v>
      </c>
      <c r="AO468" t="s">
        <v>62</v>
      </c>
      <c r="AP468">
        <f t="shared" si="31"/>
        <v>1</v>
      </c>
    </row>
    <row r="469" spans="1:42" x14ac:dyDescent="0.35">
      <c r="A469" s="48" t="s">
        <v>521</v>
      </c>
      <c r="B469" s="49" t="s">
        <v>2756</v>
      </c>
      <c r="C469" s="49" t="s">
        <v>2273</v>
      </c>
      <c r="D469" s="50">
        <v>43866</v>
      </c>
      <c r="E469" s="50">
        <v>47519</v>
      </c>
      <c r="F469" s="49">
        <v>1000</v>
      </c>
      <c r="G469" s="49" t="s">
        <v>76</v>
      </c>
      <c r="H469" s="49">
        <v>1030</v>
      </c>
      <c r="I469" s="49" t="s">
        <v>76</v>
      </c>
      <c r="J469" s="49">
        <v>103</v>
      </c>
      <c r="K469" s="49">
        <v>100</v>
      </c>
      <c r="L469" s="51">
        <v>0.10249999999999999</v>
      </c>
      <c r="M469" s="49" t="s">
        <v>93</v>
      </c>
      <c r="N469" s="49">
        <v>1602</v>
      </c>
      <c r="O469" s="49">
        <v>9.9514563106796103</v>
      </c>
      <c r="P469" s="49"/>
      <c r="Q469" s="49"/>
      <c r="R469" s="49" t="s">
        <v>2275</v>
      </c>
      <c r="S469">
        <f t="shared" si="28"/>
        <v>10</v>
      </c>
      <c r="T469" s="5" cm="1">
        <f t="array" ref="T4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69">
        <f>Table1[[#This Row],[Term to Maturity (Years)]]*Table1[[#This Row],[Coupon Frequency2]]</f>
        <v>10</v>
      </c>
      <c r="V469">
        <f>Table1[[#This Row],[Face value]]*Table1[[#This Row],[Current coupon %]]</f>
        <v>102.5</v>
      </c>
      <c r="W469" s="36">
        <f>RATE(Table1[[#This Row],[Total No. of Coupons]],Table1[[#This Row],[Coupon Amount]],-Table1[[#This Row],[Ask Price]],Table1[[#This Row],[Face value]])</f>
        <v>9.7666474499080877E-2</v>
      </c>
      <c r="X469" s="27">
        <f>Table1[[#This Row],[IRR]]*Table1[[#This Row],[Coupon Frequency2]]</f>
        <v>9.7666474499080877E-2</v>
      </c>
      <c r="Y469" s="19" cm="1">
        <f t="array" ref="Y4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69" s="33">
        <f>DURATION(Table1[[#This Row],[Issue date]],Table1[[#This Row],[Maturity date]],Table1[[#This Row],[Current coupon %]],Table1[[#This Row],[Yield (Annualised)]],Table1[[#This Row],[Coupon Frequency2]])</f>
        <v>6.7525223588474219</v>
      </c>
      <c r="AA469" s="33">
        <f>Table1[[#This Row],[Macaulay Duration in Years]]/(1+Table1[[#This Row],[IRR]])</f>
        <v>6.151706839665418</v>
      </c>
      <c r="AB469" s="58">
        <f>VLOOKUP(Table1[[#This Row],[Yield Cluster]],'Cluster Details'!$B$3:$C$16,2,0)</f>
        <v>7.8548801574189142E-2</v>
      </c>
      <c r="AC469" s="78">
        <f>PRICE(Table1[[#This Row],[Issue date]],Table1[[#This Row],[Maturity date]],Table1[[#This Row],[Current coupon %]],Table1[[#This Row],[Average Cluster Yield]],100,Table1[[#This Row],[Coupon Frequency2]])*Table1[[#This Row],[Face value]]/100</f>
        <v>1161.7717971555044</v>
      </c>
      <c r="AD469" s="58" t="str">
        <f>IF(Table1[[#This Row],[Ask Price]]&gt;Table1[[#This Row],[Calculated Bond Price]],"Rich","Cheap")</f>
        <v>Cheap</v>
      </c>
      <c r="AE4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969.27340327367517</v>
      </c>
      <c r="AF4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1096.1821353339733</v>
      </c>
      <c r="AG469" s="78">
        <f>(Table1[[#This Row],[P (+ shock)]]+Table1[[#This Row],[P (-shock)]]-2*Table1[[#This Row],[Ask Price]])/(2*Table1[[#This Row],[Ask Price]]*($AF$2^2))</f>
        <v>26.483197124507655</v>
      </c>
      <c r="AH469">
        <v>19.6406569845843</v>
      </c>
      <c r="AI469" s="6">
        <f t="shared" si="29"/>
        <v>9.9514563106796114E-2</v>
      </c>
      <c r="AK469" s="47">
        <f>RATE(Table1[[#This Row],[Total No. of Coupons]],Table1[[#This Row],[Coupon Amount]],-Table1[[#This Row],[Ask Price]],Table1[[#This Row],[Face value]])</f>
        <v>9.7666474499080877E-2</v>
      </c>
      <c r="AL469" s="27">
        <f>Table1[[#This Row],[IRR]]*Table1[[#This Row],[Coupon Frequency2]]</f>
        <v>9.7666474499080877E-2</v>
      </c>
      <c r="AM469" s="5">
        <f t="shared" si="30"/>
        <v>-6336.2580448553808</v>
      </c>
      <c r="AN469" t="s">
        <v>64</v>
      </c>
      <c r="AO469" t="s">
        <v>62</v>
      </c>
      <c r="AP469">
        <f t="shared" si="31"/>
        <v>1</v>
      </c>
    </row>
    <row r="470" spans="1:42" x14ac:dyDescent="0.35">
      <c r="A470" s="48" t="s">
        <v>457</v>
      </c>
      <c r="B470" s="49" t="s">
        <v>2757</v>
      </c>
      <c r="C470" s="49" t="s">
        <v>2273</v>
      </c>
      <c r="D470" s="50">
        <v>45796</v>
      </c>
      <c r="E470" s="50">
        <v>47622</v>
      </c>
      <c r="F470" s="49">
        <v>1000</v>
      </c>
      <c r="G470" s="49" t="s">
        <v>76</v>
      </c>
      <c r="H470" s="49">
        <v>1005</v>
      </c>
      <c r="I470" s="49" t="s">
        <v>76</v>
      </c>
      <c r="J470" s="49">
        <v>100.49999999999901</v>
      </c>
      <c r="K470" s="49">
        <v>5</v>
      </c>
      <c r="L470" s="51">
        <v>9.9000000000000005E-2</v>
      </c>
      <c r="M470" s="49" t="s">
        <v>93</v>
      </c>
      <c r="N470" s="49">
        <v>1705</v>
      </c>
      <c r="O470" s="49">
        <v>9.8507462686567102</v>
      </c>
      <c r="P470" s="49"/>
      <c r="Q470" s="49"/>
      <c r="R470" s="49" t="s">
        <v>2275</v>
      </c>
      <c r="S470">
        <f t="shared" si="28"/>
        <v>5</v>
      </c>
      <c r="T470" s="5" cm="1">
        <f t="array" ref="T4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0">
        <f>Table1[[#This Row],[Term to Maturity (Years)]]*Table1[[#This Row],[Coupon Frequency2]]</f>
        <v>5</v>
      </c>
      <c r="V470">
        <f>Table1[[#This Row],[Face value]]*Table1[[#This Row],[Current coupon %]]</f>
        <v>99</v>
      </c>
      <c r="W470" s="36">
        <f>RATE(Table1[[#This Row],[Total No. of Coupons]],Table1[[#This Row],[Coupon Amount]],-Table1[[#This Row],[Ask Price]],Table1[[#This Row],[Face value]])</f>
        <v>9.7688791298169264E-2</v>
      </c>
      <c r="X470" s="27">
        <f>Table1[[#This Row],[IRR]]*Table1[[#This Row],[Coupon Frequency2]]</f>
        <v>9.7688791298169264E-2</v>
      </c>
      <c r="Y470" s="19" cm="1">
        <f t="array" ref="Y4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0" s="33">
        <f>DURATION(Table1[[#This Row],[Issue date]],Table1[[#This Row],[Maturity date]],Table1[[#This Row],[Current coupon %]],Table1[[#This Row],[Yield (Annualised)]],Table1[[#This Row],[Coupon Frequency2]])</f>
        <v>4.178966340090672</v>
      </c>
      <c r="AA470" s="33">
        <f>Table1[[#This Row],[Macaulay Duration in Years]]/(1+Table1[[#This Row],[IRR]])</f>
        <v>3.8070593170113951</v>
      </c>
      <c r="AB470" s="58">
        <f>VLOOKUP(Table1[[#This Row],[Yield Cluster]],'Cluster Details'!$B$3:$C$16,2,0)</f>
        <v>7.8548801574189142E-2</v>
      </c>
      <c r="AC470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1081.9689787445161</v>
      </c>
      <c r="AD470" s="58" t="str">
        <f>IF(Table1[[#This Row],[Ask Price]]&gt;Table1[[#This Row],[Calculated Bond Price]],"Rich","Cheap")</f>
        <v>Cheap</v>
      </c>
      <c r="AE4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967.69954129368421</v>
      </c>
      <c r="AF4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1044.2617700656683</v>
      </c>
      <c r="AG470" s="78">
        <f>(Table1[[#This Row],[P (+ shock)]]+Table1[[#This Row],[P (-shock)]]-2*Table1[[#This Row],[Ask Price]])/(2*Table1[[#This Row],[Ask Price]]*($AF$2^2))</f>
        <v>9.7577679569777178</v>
      </c>
      <c r="AH470">
        <v>10.45567598081</v>
      </c>
      <c r="AI470" s="6">
        <f t="shared" si="29"/>
        <v>9.8507462686567168E-2</v>
      </c>
      <c r="AK470" s="47">
        <f>RATE(Table1[[#This Row],[Total No. of Coupons]],Table1[[#This Row],[Coupon Amount]],-Table1[[#This Row],[Ask Price]],Table1[[#This Row],[Face value]])</f>
        <v>9.7688791298169264E-2</v>
      </c>
      <c r="AL470" s="27">
        <f>Table1[[#This Row],[IRR]]*Table1[[#This Row],[Coupon Frequency2]]</f>
        <v>9.7688791298169264E-2</v>
      </c>
      <c r="AM470" s="5">
        <f t="shared" si="30"/>
        <v>-3826.0946135964523</v>
      </c>
      <c r="AN470" t="s">
        <v>64</v>
      </c>
      <c r="AO470" t="s">
        <v>62</v>
      </c>
      <c r="AP470">
        <f t="shared" si="31"/>
        <v>1</v>
      </c>
    </row>
    <row r="471" spans="1:42" x14ac:dyDescent="0.35">
      <c r="A471" s="48" t="s">
        <v>2758</v>
      </c>
      <c r="B471" s="49" t="s">
        <v>2759</v>
      </c>
      <c r="C471" s="49" t="s">
        <v>2273</v>
      </c>
      <c r="D471" s="50">
        <v>45854</v>
      </c>
      <c r="E471" s="50">
        <v>46584</v>
      </c>
      <c r="F471" s="49">
        <v>1000</v>
      </c>
      <c r="G471" s="49" t="s">
        <v>76</v>
      </c>
      <c r="H471" s="49">
        <v>990</v>
      </c>
      <c r="I471" s="49" t="s">
        <v>76</v>
      </c>
      <c r="J471" s="49">
        <v>99</v>
      </c>
      <c r="K471" s="49">
        <v>50</v>
      </c>
      <c r="L471" s="51">
        <v>9.1999999999999998E-2</v>
      </c>
      <c r="M471" s="49" t="s">
        <v>93</v>
      </c>
      <c r="N471" s="49">
        <v>667</v>
      </c>
      <c r="O471" s="49">
        <v>9.2929292929292906</v>
      </c>
      <c r="P471" s="49"/>
      <c r="Q471" s="49"/>
      <c r="R471" s="49" t="s">
        <v>2275</v>
      </c>
      <c r="S471">
        <f t="shared" si="28"/>
        <v>2</v>
      </c>
      <c r="T471" s="5" cm="1">
        <f t="array" ref="T4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1">
        <f>Table1[[#This Row],[Term to Maturity (Years)]]*Table1[[#This Row],[Coupon Frequency2]]</f>
        <v>2</v>
      </c>
      <c r="V471">
        <f>Table1[[#This Row],[Face value]]*Table1[[#This Row],[Current coupon %]]</f>
        <v>92</v>
      </c>
      <c r="W471" s="36">
        <f>RATE(Table1[[#This Row],[Total No. of Coupons]],Table1[[#This Row],[Coupon Amount]],-Table1[[#This Row],[Ask Price]],Table1[[#This Row],[Face value]])</f>
        <v>9.7744469538125961E-2</v>
      </c>
      <c r="X471" s="27">
        <f>Table1[[#This Row],[IRR]]*Table1[[#This Row],[Coupon Frequency2]]</f>
        <v>9.7744469538125961E-2</v>
      </c>
      <c r="Y471" s="19" cm="1">
        <f t="array" ref="Y4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1" s="33">
        <f>DURATION(Table1[[#This Row],[Issue date]],Table1[[#This Row],[Maturity date]],Table1[[#This Row],[Current coupon %]],Table1[[#This Row],[Yield (Annualised)]],Table1[[#This Row],[Coupon Frequency2]])</f>
        <v>1.9153452415311243</v>
      </c>
      <c r="AA471" s="33">
        <f>Table1[[#This Row],[Macaulay Duration in Years]]/(1+Table1[[#This Row],[IRR]])</f>
        <v>1.7448006295463301</v>
      </c>
      <c r="AB471" s="58">
        <f>VLOOKUP(Table1[[#This Row],[Yield Cluster]],'Cluster Details'!$B$3:$C$16,2,0)</f>
        <v>7.8548801574189142E-2</v>
      </c>
      <c r="AC471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1024.0348603825425</v>
      </c>
      <c r="AD471" s="58" t="str">
        <f>IF(Table1[[#This Row],[Ask Price]]&gt;Table1[[#This Row],[Calculated Bond Price]],"Rich","Cheap")</f>
        <v>Cheap</v>
      </c>
      <c r="AE4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972.95625635546241</v>
      </c>
      <c r="AF4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1007.5089165490784</v>
      </c>
      <c r="AG471" s="78">
        <f>(Table1[[#This Row],[P (+ shock)]]+Table1[[#This Row],[P (-shock)]]-2*Table1[[#This Row],[Ask Price]])/(2*Table1[[#This Row],[Ask Price]]*($AF$2^2))</f>
        <v>2.3493581037416673</v>
      </c>
      <c r="AI471" s="6">
        <f t="shared" si="29"/>
        <v>9.2929292929292931E-2</v>
      </c>
      <c r="AK471" s="47">
        <f>RATE(Table1[[#This Row],[Total No. of Coupons]],Table1[[#This Row],[Coupon Amount]],-Table1[[#This Row],[Ask Price]],Table1[[#This Row],[Face value]])</f>
        <v>9.7744469538125961E-2</v>
      </c>
      <c r="AL471" s="27">
        <f>Table1[[#This Row],[IRR]]*Table1[[#This Row],[Coupon Frequency2]]</f>
        <v>9.7744469538125961E-2</v>
      </c>
      <c r="AM471" s="5">
        <f t="shared" si="30"/>
        <v>-1727.3526232508668</v>
      </c>
      <c r="AN471" t="s">
        <v>64</v>
      </c>
      <c r="AO471" t="s">
        <v>62</v>
      </c>
      <c r="AP471">
        <f t="shared" si="31"/>
        <v>1</v>
      </c>
    </row>
    <row r="472" spans="1:42" x14ac:dyDescent="0.35">
      <c r="A472" s="48" t="s">
        <v>2760</v>
      </c>
      <c r="B472" s="49" t="s">
        <v>2761</v>
      </c>
      <c r="C472" s="49" t="s">
        <v>2273</v>
      </c>
      <c r="D472" s="50">
        <v>45854</v>
      </c>
      <c r="E472" s="50">
        <v>48045</v>
      </c>
      <c r="F472" s="49">
        <v>1000</v>
      </c>
      <c r="G472" s="49" t="s">
        <v>76</v>
      </c>
      <c r="H472" s="49">
        <v>1000.61</v>
      </c>
      <c r="I472" s="49" t="s">
        <v>76</v>
      </c>
      <c r="J472" s="49">
        <v>100.06100000000001</v>
      </c>
      <c r="K472" s="49">
        <v>114</v>
      </c>
      <c r="L472" s="51">
        <v>9.8000000000000004E-2</v>
      </c>
      <c r="M472" s="49" t="s">
        <v>93</v>
      </c>
      <c r="N472" s="49">
        <v>2128</v>
      </c>
      <c r="O472" s="49">
        <v>9.7940256443569407</v>
      </c>
      <c r="P472" s="49"/>
      <c r="Q472" s="49"/>
      <c r="R472" s="49" t="s">
        <v>2275</v>
      </c>
      <c r="S472">
        <f t="shared" si="28"/>
        <v>6</v>
      </c>
      <c r="T472" s="5" cm="1">
        <f t="array" ref="T4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2">
        <f>Table1[[#This Row],[Term to Maturity (Years)]]*Table1[[#This Row],[Coupon Frequency2]]</f>
        <v>6</v>
      </c>
      <c r="V472">
        <f>Table1[[#This Row],[Face value]]*Table1[[#This Row],[Current coupon %]]</f>
        <v>98</v>
      </c>
      <c r="W472" s="36">
        <f>RATE(Table1[[#This Row],[Total No. of Coupons]],Table1[[#This Row],[Coupon Amount]],-Table1[[#This Row],[Ask Price]],Table1[[#This Row],[Face value]])</f>
        <v>9.7860816381760751E-2</v>
      </c>
      <c r="X472" s="27">
        <f>Table1[[#This Row],[IRR]]*Table1[[#This Row],[Coupon Frequency2]]</f>
        <v>9.7860816381760751E-2</v>
      </c>
      <c r="Y472" s="19" cm="1">
        <f t="array" ref="Y4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2" s="33">
        <f>DURATION(Table1[[#This Row],[Issue date]],Table1[[#This Row],[Maturity date]],Table1[[#This Row],[Current coupon %]],Table1[[#This Row],[Yield (Annualised)]],Table1[[#This Row],[Coupon Frequency2]])</f>
        <v>4.8106295484803034</v>
      </c>
      <c r="AA472" s="33">
        <f>Table1[[#This Row],[Macaulay Duration in Years]]/(1+Table1[[#This Row],[IRR]])</f>
        <v>4.3818209710177838</v>
      </c>
      <c r="AB472" s="58">
        <f>VLOOKUP(Table1[[#This Row],[Yield Cluster]],'Cluster Details'!$B$3:$C$16,2,0)</f>
        <v>7.8548801574189142E-2</v>
      </c>
      <c r="AC472" s="78">
        <f>PRICE(Table1[[#This Row],[Issue date]],Table1[[#This Row],[Maturity date]],Table1[[#This Row],[Current coupon %]],Table1[[#This Row],[Average Cluster Yield]],100,Table1[[#This Row],[Coupon Frequency2]])*Table1[[#This Row],[Face value]]/100</f>
        <v>1090.3177945126315</v>
      </c>
      <c r="AD472" s="58" t="str">
        <f>IF(Table1[[#This Row],[Ask Price]]&gt;Table1[[#This Row],[Calculated Bond Price]],"Rich","Cheap")</f>
        <v>Cheap</v>
      </c>
      <c r="AE4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958.02509929450821</v>
      </c>
      <c r="AF4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1045.7751095424996</v>
      </c>
      <c r="AG472" s="78">
        <f>(Table1[[#This Row],[P (+ shock)]]+Table1[[#This Row],[P (-shock)]]-2*Table1[[#This Row],[Ask Price]])/(2*Table1[[#This Row],[Ask Price]]*($AF$2^2))</f>
        <v>12.893179345638314</v>
      </c>
      <c r="AI472" s="6">
        <f t="shared" si="29"/>
        <v>9.7940256443569421E-2</v>
      </c>
      <c r="AK472" s="47">
        <f>RATE(Table1[[#This Row],[Total No. of Coupons]],Table1[[#This Row],[Coupon Amount]],-Table1[[#This Row],[Ask Price]],Table1[[#This Row],[Face value]])</f>
        <v>9.7860816381760751E-2</v>
      </c>
      <c r="AL472" s="27">
        <f>Table1[[#This Row],[IRR]]*Table1[[#This Row],[Coupon Frequency2]]</f>
        <v>9.7860816381760751E-2</v>
      </c>
      <c r="AM472" s="5">
        <f t="shared" si="30"/>
        <v>-4384.4938818101045</v>
      </c>
      <c r="AN472" t="s">
        <v>79</v>
      </c>
      <c r="AO472" t="s">
        <v>62</v>
      </c>
      <c r="AP472">
        <f t="shared" si="31"/>
        <v>1</v>
      </c>
    </row>
    <row r="473" spans="1:42" x14ac:dyDescent="0.35">
      <c r="A473" s="48" t="s">
        <v>1734</v>
      </c>
      <c r="B473" s="49" t="s">
        <v>2762</v>
      </c>
      <c r="C473" s="49" t="s">
        <v>2273</v>
      </c>
      <c r="D473" s="50">
        <v>42570</v>
      </c>
      <c r="E473" s="50">
        <v>46222</v>
      </c>
      <c r="F473" s="49">
        <v>1000</v>
      </c>
      <c r="G473" s="49" t="s">
        <v>76</v>
      </c>
      <c r="H473" s="49">
        <v>1012.9</v>
      </c>
      <c r="I473" s="49" t="s">
        <v>76</v>
      </c>
      <c r="J473" s="49">
        <v>101.289999999999</v>
      </c>
      <c r="K473" s="49">
        <v>45</v>
      </c>
      <c r="L473" s="51">
        <v>0.1</v>
      </c>
      <c r="M473" s="49" t="s">
        <v>93</v>
      </c>
      <c r="N473" s="49">
        <v>305</v>
      </c>
      <c r="O473" s="49">
        <v>9.8726429065060692</v>
      </c>
      <c r="P473" s="49"/>
      <c r="Q473" s="49"/>
      <c r="R473" s="49" t="s">
        <v>2275</v>
      </c>
      <c r="S473">
        <f t="shared" si="28"/>
        <v>10</v>
      </c>
      <c r="T473" s="5" cm="1">
        <f t="array" ref="T4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3">
        <f>Table1[[#This Row],[Term to Maturity (Years)]]*Table1[[#This Row],[Coupon Frequency2]]</f>
        <v>10</v>
      </c>
      <c r="V473">
        <f>Table1[[#This Row],[Face value]]*Table1[[#This Row],[Current coupon %]]</f>
        <v>100</v>
      </c>
      <c r="W473" s="36">
        <f>RATE(Table1[[#This Row],[Total No. of Coupons]],Table1[[#This Row],[Coupon Amount]],-Table1[[#This Row],[Ask Price]],Table1[[#This Row],[Face value]])</f>
        <v>9.7919313170144046E-2</v>
      </c>
      <c r="X473" s="27">
        <f>Table1[[#This Row],[IRR]]*Table1[[#This Row],[Coupon Frequency2]]</f>
        <v>9.7919313170144046E-2</v>
      </c>
      <c r="Y473" s="19" cm="1">
        <f t="array" ref="Y4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3" s="33">
        <f>DURATION(Table1[[#This Row],[Issue date]],Table1[[#This Row],[Maturity date]],Table1[[#This Row],[Current coupon %]],Table1[[#This Row],[Yield (Annualised)]],Table1[[#This Row],[Coupon Frequency2]])</f>
        <v>6.7806442959639943</v>
      </c>
      <c r="AA473" s="33">
        <f>Table1[[#This Row],[Macaulay Duration in Years]]/(1+Table1[[#This Row],[IRR]])</f>
        <v>6.175904016466828</v>
      </c>
      <c r="AB473" s="58">
        <f>VLOOKUP(Table1[[#This Row],[Yield Cluster]],'Cluster Details'!$B$3:$C$16,2,0)</f>
        <v>7.8548801574189142E-2</v>
      </c>
      <c r="AC473" s="78">
        <f>PRICE(Table1[[#This Row],[Issue date]],Table1[[#This Row],[Maturity date]],Table1[[#This Row],[Current coupon %]],Table1[[#This Row],[Average Cluster Yield]],100,Table1[[#This Row],[Coupon Frequency2]])*Table1[[#This Row],[Face value]]/100</f>
        <v>1144.8862331975467</v>
      </c>
      <c r="AD473" s="58" t="str">
        <f>IF(Table1[[#This Row],[Ask Price]]&gt;Table1[[#This Row],[Calculated Bond Price]],"Rich","Cheap")</f>
        <v>Cheap</v>
      </c>
      <c r="AE47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952.9516074020321</v>
      </c>
      <c r="AF47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1078.2448429528699</v>
      </c>
      <c r="AG473" s="78">
        <f>(Table1[[#This Row],[P (+ shock)]]+Table1[[#This Row],[P (-shock)]]-2*Table1[[#This Row],[Ask Price]])/(2*Table1[[#This Row],[Ask Price]]*($AF$2^2))</f>
        <v>26.638613658318054</v>
      </c>
      <c r="AI473" s="6">
        <f t="shared" si="29"/>
        <v>9.8726429065060725E-2</v>
      </c>
      <c r="AK473" s="47">
        <f>RATE(Table1[[#This Row],[Total No. of Coupons]],Table1[[#This Row],[Coupon Amount]],-Table1[[#This Row],[Ask Price]],Table1[[#This Row],[Face value]])</f>
        <v>9.7919313170144046E-2</v>
      </c>
      <c r="AL473" s="27">
        <f>Table1[[#This Row],[IRR]]*Table1[[#This Row],[Coupon Frequency2]]</f>
        <v>9.7919313170144046E-2</v>
      </c>
      <c r="AM473" s="5">
        <f t="shared" si="30"/>
        <v>-6255.57317827925</v>
      </c>
      <c r="AN473" t="s">
        <v>64</v>
      </c>
      <c r="AO473" t="s">
        <v>62</v>
      </c>
      <c r="AP473">
        <f t="shared" si="31"/>
        <v>1</v>
      </c>
    </row>
    <row r="474" spans="1:42" x14ac:dyDescent="0.35">
      <c r="A474" s="48" t="s">
        <v>1533</v>
      </c>
      <c r="B474" s="49" t="s">
        <v>2763</v>
      </c>
      <c r="C474" s="49" t="s">
        <v>2273</v>
      </c>
      <c r="D474" s="50">
        <v>45239</v>
      </c>
      <c r="E474" s="50">
        <v>46335</v>
      </c>
      <c r="F474" s="49">
        <v>1000</v>
      </c>
      <c r="G474" s="49" t="s">
        <v>76</v>
      </c>
      <c r="H474" s="49">
        <v>1002.42</v>
      </c>
      <c r="I474" s="49" t="s">
        <v>76</v>
      </c>
      <c r="J474" s="49">
        <v>100.241999999999</v>
      </c>
      <c r="K474" s="49">
        <v>7</v>
      </c>
      <c r="L474" s="51">
        <v>9.9000000000000005E-2</v>
      </c>
      <c r="M474" s="49" t="s">
        <v>93</v>
      </c>
      <c r="N474" s="49">
        <v>418</v>
      </c>
      <c r="O474" s="49">
        <v>9.8760998383910898</v>
      </c>
      <c r="P474" s="49" t="s">
        <v>2279</v>
      </c>
      <c r="Q474" s="49"/>
      <c r="R474" s="49" t="s">
        <v>2275</v>
      </c>
      <c r="S474">
        <f t="shared" si="28"/>
        <v>3</v>
      </c>
      <c r="T474" s="5" cm="1">
        <f t="array" ref="T4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4">
        <f>Table1[[#This Row],[Term to Maturity (Years)]]*Table1[[#This Row],[Coupon Frequency2]]</f>
        <v>3</v>
      </c>
      <c r="V474">
        <f>Table1[[#This Row],[Face value]]*Table1[[#This Row],[Current coupon %]]</f>
        <v>99</v>
      </c>
      <c r="W474" s="36">
        <f>RATE(Table1[[#This Row],[Total No. of Coupons]],Table1[[#This Row],[Coupon Amount]],-Table1[[#This Row],[Ask Price]],Table1[[#This Row],[Face value]])</f>
        <v>9.803025490548338E-2</v>
      </c>
      <c r="X474" s="27">
        <f>Table1[[#This Row],[IRR]]*Table1[[#This Row],[Coupon Frequency2]]</f>
        <v>9.803025490548338E-2</v>
      </c>
      <c r="Y474" s="19" cm="1">
        <f t="array" ref="Y4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4" s="33">
        <f>DURATION(Table1[[#This Row],[Issue date]],Table1[[#This Row],[Maturity date]],Table1[[#This Row],[Current coupon %]],Table1[[#This Row],[Yield (Annualised)]],Table1[[#This Row],[Coupon Frequency2]])</f>
        <v>2.7381986683987005</v>
      </c>
      <c r="AA474" s="33">
        <f>Table1[[#This Row],[Macaulay Duration in Years]]/(1+Table1[[#This Row],[IRR]])</f>
        <v>2.4937369951016515</v>
      </c>
      <c r="AB474" s="58">
        <f>VLOOKUP(Table1[[#This Row],[Yield Cluster]],'Cluster Details'!$B$3:$C$16,2,0)</f>
        <v>7.8548801574189142E-2</v>
      </c>
      <c r="AC47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1052.8430364273456</v>
      </c>
      <c r="AD474" s="58" t="str">
        <f>IF(Table1[[#This Row],[Ask Price]]&gt;Table1[[#This Row],[Calculated Bond Price]],"Rich","Cheap")</f>
        <v>Cheap</v>
      </c>
      <c r="AE47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977.85681346159777</v>
      </c>
      <c r="AF47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1027.8654261775782</v>
      </c>
      <c r="AG474" s="78">
        <f>(Table1[[#This Row],[P (+ shock)]]+Table1[[#This Row],[P (-shock)]]-2*Table1[[#This Row],[Ask Price]])/(2*Table1[[#This Row],[Ask Price]]*($AF$2^2))</f>
        <v>4.4005488676207456</v>
      </c>
      <c r="AH474">
        <v>7.4892997804416499</v>
      </c>
      <c r="AI474" s="6">
        <f t="shared" si="29"/>
        <v>9.8760998383910933E-2</v>
      </c>
      <c r="AK474" s="47">
        <f>RATE(Table1[[#This Row],[Total No. of Coupons]],Table1[[#This Row],[Coupon Amount]],-Table1[[#This Row],[Ask Price]],Table1[[#This Row],[Face value]])</f>
        <v>9.803025490548338E-2</v>
      </c>
      <c r="AL474" s="27">
        <f>Table1[[#This Row],[IRR]]*Table1[[#This Row],[Coupon Frequency2]]</f>
        <v>9.803025490548338E-2</v>
      </c>
      <c r="AM474" s="5">
        <f t="shared" si="30"/>
        <v>-2499.7718386297975</v>
      </c>
      <c r="AN474" t="s">
        <v>64</v>
      </c>
      <c r="AO474" t="s">
        <v>62</v>
      </c>
      <c r="AP474">
        <f t="shared" si="31"/>
        <v>1</v>
      </c>
    </row>
    <row r="475" spans="1:42" x14ac:dyDescent="0.35">
      <c r="A475" s="48" t="s">
        <v>769</v>
      </c>
      <c r="B475" s="49" t="s">
        <v>2764</v>
      </c>
      <c r="C475" s="49" t="s">
        <v>2273</v>
      </c>
      <c r="D475" s="50">
        <v>45309</v>
      </c>
      <c r="E475" s="50">
        <v>47136</v>
      </c>
      <c r="F475" s="49">
        <v>1000</v>
      </c>
      <c r="G475" s="49" t="s">
        <v>76</v>
      </c>
      <c r="H475" s="49">
        <v>994</v>
      </c>
      <c r="I475" s="49" t="s">
        <v>76</v>
      </c>
      <c r="J475" s="49">
        <v>99.4</v>
      </c>
      <c r="K475" s="49">
        <v>60</v>
      </c>
      <c r="L475" s="51">
        <v>9.6600000000000005E-2</v>
      </c>
      <c r="M475" s="49" t="s">
        <v>93</v>
      </c>
      <c r="N475" s="49">
        <v>1219</v>
      </c>
      <c r="O475" s="49">
        <v>9.7183098591549193</v>
      </c>
      <c r="P475" s="49"/>
      <c r="Q475" s="49"/>
      <c r="R475" s="49" t="s">
        <v>2275</v>
      </c>
      <c r="S475">
        <f t="shared" si="28"/>
        <v>5</v>
      </c>
      <c r="T475" s="5" cm="1">
        <f t="array" ref="T4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5">
        <f>Table1[[#This Row],[Term to Maturity (Years)]]*Table1[[#This Row],[Coupon Frequency2]]</f>
        <v>5</v>
      </c>
      <c r="V475">
        <f>Table1[[#This Row],[Face value]]*Table1[[#This Row],[Current coupon %]]</f>
        <v>96.600000000000009</v>
      </c>
      <c r="W475" s="36">
        <f>RATE(Table1[[#This Row],[Total No. of Coupons]],Table1[[#This Row],[Coupon Amount]],-Table1[[#This Row],[Ask Price]],Table1[[#This Row],[Face value]])</f>
        <v>9.8175413993285859E-2</v>
      </c>
      <c r="X475" s="27">
        <f>Table1[[#This Row],[IRR]]*Table1[[#This Row],[Coupon Frequency2]]</f>
        <v>9.8175413993285859E-2</v>
      </c>
      <c r="Y475" s="19" cm="1">
        <f t="array" ref="Y4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5" s="33">
        <f>DURATION(Table1[[#This Row],[Issue date]],Table1[[#This Row],[Maturity date]],Table1[[#This Row],[Current coupon %]],Table1[[#This Row],[Yield (Annualised)]],Table1[[#This Row],[Coupon Frequency2]])</f>
        <v>4.1906897175754034</v>
      </c>
      <c r="AA475" s="33">
        <f>Table1[[#This Row],[Macaulay Duration in Years]]/(1+Table1[[#This Row],[IRR]])</f>
        <v>3.816047658849723</v>
      </c>
      <c r="AB475" s="58">
        <f>VLOOKUP(Table1[[#This Row],[Yield Cluster]],'Cluster Details'!$B$3:$C$16,2,0)</f>
        <v>7.8548801574189142E-2</v>
      </c>
      <c r="AC475" s="78">
        <f>PRICE(Table1[[#This Row],[Issue date]],Table1[[#This Row],[Maturity date]],Table1[[#This Row],[Current coupon %]],Table1[[#This Row],[Average Cluster Yield]],100,Table1[[#This Row],[Coupon Frequency2]])*Table1[[#This Row],[Face value]]/100</f>
        <v>1072.3497112135456</v>
      </c>
      <c r="AD475" s="58" t="str">
        <f>IF(Table1[[#This Row],[Ask Price]]&gt;Table1[[#This Row],[Calculated Bond Price]],"Rich","Cheap")</f>
        <v>Cheap</v>
      </c>
      <c r="AE47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957.02137344029529</v>
      </c>
      <c r="AF47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1032.924425441586</v>
      </c>
      <c r="AG475" s="78">
        <f>(Table1[[#This Row],[P (+ shock)]]+Table1[[#This Row],[P (-shock)]]-2*Table1[[#This Row],[Ask Price]])/(2*Table1[[#This Row],[Ask Price]]*($AF$2^2))</f>
        <v>9.7877207338092234</v>
      </c>
      <c r="AH475">
        <v>11.7574928596391</v>
      </c>
      <c r="AI475" s="6">
        <f t="shared" si="29"/>
        <v>9.7183098591549305E-2</v>
      </c>
      <c r="AK475" s="47">
        <f>RATE(Table1[[#This Row],[Total No. of Coupons]],Table1[[#This Row],[Coupon Amount]],-Table1[[#This Row],[Ask Price]],Table1[[#This Row],[Face value]])</f>
        <v>9.8175413993285859E-2</v>
      </c>
      <c r="AL475" s="27">
        <f>Table1[[#This Row],[IRR]]*Table1[[#This Row],[Coupon Frequency2]]</f>
        <v>9.8175413993285859E-2</v>
      </c>
      <c r="AM475" s="5">
        <f t="shared" si="30"/>
        <v>-3793.1513728966247</v>
      </c>
      <c r="AN475" t="s">
        <v>64</v>
      </c>
      <c r="AO475" t="s">
        <v>62</v>
      </c>
      <c r="AP475">
        <f t="shared" si="31"/>
        <v>1</v>
      </c>
    </row>
    <row r="476" spans="1:42" x14ac:dyDescent="0.35">
      <c r="A476" s="48" t="s">
        <v>397</v>
      </c>
      <c r="B476" s="49" t="s">
        <v>2765</v>
      </c>
      <c r="C476" s="49" t="s">
        <v>2273</v>
      </c>
      <c r="D476" s="50">
        <v>44204</v>
      </c>
      <c r="E476" s="50">
        <v>47856</v>
      </c>
      <c r="F476" s="49">
        <v>1000</v>
      </c>
      <c r="G476" s="49" t="s">
        <v>76</v>
      </c>
      <c r="H476" s="49">
        <v>1005.8</v>
      </c>
      <c r="I476" s="49" t="s">
        <v>76</v>
      </c>
      <c r="J476" s="49">
        <v>100.58</v>
      </c>
      <c r="K476" s="49">
        <v>81</v>
      </c>
      <c r="L476" s="51">
        <v>9.9499999999999991E-2</v>
      </c>
      <c r="M476" s="49" t="s">
        <v>93</v>
      </c>
      <c r="N476" s="49">
        <v>1939</v>
      </c>
      <c r="O476" s="49">
        <v>9.8926227878305806</v>
      </c>
      <c r="P476" s="49"/>
      <c r="Q476" s="49"/>
      <c r="R476" s="49" t="s">
        <v>2275</v>
      </c>
      <c r="S476">
        <f t="shared" si="28"/>
        <v>10</v>
      </c>
      <c r="T476" s="5" cm="1">
        <f t="array" ref="T4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6">
        <f>Table1[[#This Row],[Term to Maturity (Years)]]*Table1[[#This Row],[Coupon Frequency2]]</f>
        <v>10</v>
      </c>
      <c r="V476">
        <f>Table1[[#This Row],[Face value]]*Table1[[#This Row],[Current coupon %]]</f>
        <v>99.499999999999986</v>
      </c>
      <c r="W476" s="36">
        <f>RATE(Table1[[#This Row],[Total No. of Coupons]],Table1[[#This Row],[Coupon Amount]],-Table1[[#This Row],[Ask Price]],Table1[[#This Row],[Face value]])</f>
        <v>9.8561900315397591E-2</v>
      </c>
      <c r="X476" s="27">
        <f>Table1[[#This Row],[IRR]]*Table1[[#This Row],[Coupon Frequency2]]</f>
        <v>9.8561900315397591E-2</v>
      </c>
      <c r="Y476" s="19" cm="1">
        <f t="array" ref="Y4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6" s="33">
        <f>DURATION(Table1[[#This Row],[Issue date]],Table1[[#This Row],[Maturity date]],Table1[[#This Row],[Current coupon %]],Table1[[#This Row],[Yield (Annualised)]],Table1[[#This Row],[Coupon Frequency2]])</f>
        <v>6.780233814669665</v>
      </c>
      <c r="AA476" s="33">
        <f>Table1[[#This Row],[Macaulay Duration in Years]]/(1+Table1[[#This Row],[IRR]])</f>
        <v>6.17191786163625</v>
      </c>
      <c r="AB476" s="58">
        <f>VLOOKUP(Table1[[#This Row],[Yield Cluster]],'Cluster Details'!$B$3:$C$16,2,0)</f>
        <v>7.8548801574189142E-2</v>
      </c>
      <c r="AC476" s="78">
        <f>PRICE(Table1[[#This Row],[Issue date]],Table1[[#This Row],[Maturity date]],Table1[[#This Row],[Current coupon %]],Table1[[#This Row],[Average Cluster Yield]],100,Table1[[#This Row],[Coupon Frequency2]])*Table1[[#This Row],[Face value]]/100</f>
        <v>1141.5091204059554</v>
      </c>
      <c r="AD476" s="58" t="str">
        <f>IF(Table1[[#This Row],[Ask Price]]&gt;Table1[[#This Row],[Calculated Bond Price]],"Rich","Cheap")</f>
        <v>Cheap</v>
      </c>
      <c r="AE47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946.30901452561488</v>
      </c>
      <c r="AF47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1070.6435186814822</v>
      </c>
      <c r="AG476" s="78">
        <f>(Table1[[#This Row],[P (+ shock)]]+Table1[[#This Row],[P (-shock)]]-2*Table1[[#This Row],[Ask Price]])/(2*Table1[[#This Row],[Ask Price]]*($AF$2^2))</f>
        <v>26.608337676959469</v>
      </c>
      <c r="AH476">
        <v>16.8802129685964</v>
      </c>
      <c r="AI476" s="6">
        <f t="shared" si="29"/>
        <v>9.8926227878305822E-2</v>
      </c>
      <c r="AK476" s="47">
        <f>RATE(Table1[[#This Row],[Total No. of Coupons]],Table1[[#This Row],[Coupon Amount]],-Table1[[#This Row],[Ask Price]],Table1[[#This Row],[Face value]])</f>
        <v>9.8561900315397591E-2</v>
      </c>
      <c r="AL476" s="27">
        <f>Table1[[#This Row],[IRR]]*Table1[[#This Row],[Coupon Frequency2]]</f>
        <v>9.8561900315397591E-2</v>
      </c>
      <c r="AM476" s="5">
        <f t="shared" si="30"/>
        <v>-6207.7149852337398</v>
      </c>
      <c r="AN476" t="s">
        <v>64</v>
      </c>
      <c r="AO476" t="s">
        <v>62</v>
      </c>
      <c r="AP476">
        <f t="shared" si="31"/>
        <v>1</v>
      </c>
    </row>
    <row r="477" spans="1:42" x14ac:dyDescent="0.35">
      <c r="A477" s="48" t="s">
        <v>1346</v>
      </c>
      <c r="B477" s="49" t="s">
        <v>2766</v>
      </c>
      <c r="C477" s="49" t="s">
        <v>2273</v>
      </c>
      <c r="D477" s="50">
        <v>45735</v>
      </c>
      <c r="E477" s="50">
        <v>46465</v>
      </c>
      <c r="F477" s="49">
        <v>100000</v>
      </c>
      <c r="G477" s="49" t="s">
        <v>76</v>
      </c>
      <c r="H477" s="49">
        <v>99805.57</v>
      </c>
      <c r="I477" s="49" t="s">
        <v>76</v>
      </c>
      <c r="J477" s="49">
        <v>99.805570000000003</v>
      </c>
      <c r="K477" s="49">
        <v>1</v>
      </c>
      <c r="L477" s="51">
        <v>9.7500000000000003E-2</v>
      </c>
      <c r="M477" s="49" t="s">
        <v>93</v>
      </c>
      <c r="N477" s="49">
        <v>548</v>
      </c>
      <c r="O477" s="49">
        <v>9.7689938547517894</v>
      </c>
      <c r="P477" s="49"/>
      <c r="Q477" s="49"/>
      <c r="R477" s="49" t="s">
        <v>2275</v>
      </c>
      <c r="S477">
        <f t="shared" si="28"/>
        <v>2</v>
      </c>
      <c r="T477" s="5" cm="1">
        <f t="array" ref="T4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7">
        <f>Table1[[#This Row],[Term to Maturity (Years)]]*Table1[[#This Row],[Coupon Frequency2]]</f>
        <v>2</v>
      </c>
      <c r="V477">
        <f>Table1[[#This Row],[Face value]]*Table1[[#This Row],[Current coupon %]]</f>
        <v>9750</v>
      </c>
      <c r="W477" s="36">
        <f>RATE(Table1[[#This Row],[Total No. of Coupons]],Table1[[#This Row],[Coupon Amount]],-Table1[[#This Row],[Ask Price]],Table1[[#This Row],[Face value]])</f>
        <v>9.8618210139483145E-2</v>
      </c>
      <c r="X477" s="27">
        <f>Table1[[#This Row],[IRR]]*Table1[[#This Row],[Coupon Frequency2]]</f>
        <v>9.8618210139483145E-2</v>
      </c>
      <c r="Y477" s="19" cm="1">
        <f t="array" ref="Y4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7" s="33">
        <f>DURATION(Table1[[#This Row],[Issue date]],Table1[[#This Row],[Maturity date]],Table1[[#This Row],[Current coupon %]],Table1[[#This Row],[Yield (Annualised)]],Table1[[#This Row],[Coupon Frequency2]])</f>
        <v>1.9110792651660897</v>
      </c>
      <c r="AA477" s="33">
        <f>Table1[[#This Row],[Macaulay Duration in Years]]/(1+Table1[[#This Row],[IRR]])</f>
        <v>1.7395299363583774</v>
      </c>
      <c r="AB477" s="58">
        <f>VLOOKUP(Table1[[#This Row],[Yield Cluster]],'Cluster Details'!$B$3:$C$16,2,0)</f>
        <v>7.8548801574189142E-2</v>
      </c>
      <c r="AC477" s="78">
        <f>PRICE(Table1[[#This Row],[Issue date]],Table1[[#This Row],[Maturity date]],Table1[[#This Row],[Current coupon %]],Table1[[#This Row],[Average Cluster Yield]],100,Table1[[#This Row],[Coupon Frequency2]])*Table1[[#This Row],[Face value]]/100</f>
        <v>103386.23662983224</v>
      </c>
      <c r="AD477" s="58" t="str">
        <f>IF(Table1[[#This Row],[Ask Price]]&gt;Table1[[#This Row],[Calculated Bond Price]],"Rich","Cheap")</f>
        <v>Cheap</v>
      </c>
      <c r="AE47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98092.481252934027</v>
      </c>
      <c r="AF47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101565.33885072758</v>
      </c>
      <c r="AG477" s="78">
        <f>(Table1[[#This Row],[P (+ shock)]]+Table1[[#This Row],[P (-shock)]]-2*Table1[[#This Row],[Ask Price]])/(2*Table1[[#This Row],[Ask Price]]*($AF$2^2))</f>
        <v>2.3385520297919684</v>
      </c>
      <c r="AH477">
        <v>12.096456173803601</v>
      </c>
      <c r="AI477" s="6">
        <f t="shared" si="29"/>
        <v>9.7689938547517938E-2</v>
      </c>
      <c r="AK477" s="47">
        <f>RATE(Table1[[#This Row],[Total No. of Coupons]],Table1[[#This Row],[Coupon Amount]],-Table1[[#This Row],[Ask Price]],Table1[[#This Row],[Face value]])</f>
        <v>9.8618210139483145E-2</v>
      </c>
      <c r="AL477" s="27">
        <f>Table1[[#This Row],[IRR]]*Table1[[#This Row],[Coupon Frequency2]]</f>
        <v>9.8618210139483145E-2</v>
      </c>
      <c r="AM477" s="5">
        <f t="shared" si="30"/>
        <v>-173614.7768303116</v>
      </c>
      <c r="AN477" t="s">
        <v>64</v>
      </c>
      <c r="AO477" t="s">
        <v>62</v>
      </c>
      <c r="AP477">
        <f t="shared" si="31"/>
        <v>1</v>
      </c>
    </row>
    <row r="478" spans="1:42" x14ac:dyDescent="0.35">
      <c r="A478" s="48" t="s">
        <v>1466</v>
      </c>
      <c r="B478" s="49" t="s">
        <v>2767</v>
      </c>
      <c r="C478" s="49" t="s">
        <v>2273</v>
      </c>
      <c r="D478" s="50">
        <v>45287</v>
      </c>
      <c r="E478" s="50">
        <v>46383</v>
      </c>
      <c r="F478" s="49">
        <v>1000</v>
      </c>
      <c r="G478" s="49" t="s">
        <v>76</v>
      </c>
      <c r="H478" s="49">
        <v>1000.2</v>
      </c>
      <c r="I478" s="49" t="s">
        <v>76</v>
      </c>
      <c r="J478" s="49">
        <v>100.02</v>
      </c>
      <c r="K478" s="49">
        <v>5</v>
      </c>
      <c r="L478" s="51">
        <v>9.9000000000000005E-2</v>
      </c>
      <c r="M478" s="49" t="s">
        <v>93</v>
      </c>
      <c r="N478" s="49">
        <v>466</v>
      </c>
      <c r="O478" s="49">
        <v>9.8980203959208097</v>
      </c>
      <c r="P478" s="49" t="s">
        <v>2279</v>
      </c>
      <c r="Q478" s="49"/>
      <c r="R478" s="49" t="s">
        <v>2275</v>
      </c>
      <c r="S478">
        <f t="shared" si="28"/>
        <v>3</v>
      </c>
      <c r="T478" s="5" cm="1">
        <f t="array" ref="T4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8">
        <f>Table1[[#This Row],[Term to Maturity (Years)]]*Table1[[#This Row],[Coupon Frequency2]]</f>
        <v>3</v>
      </c>
      <c r="V478">
        <f>Table1[[#This Row],[Face value]]*Table1[[#This Row],[Current coupon %]]</f>
        <v>99</v>
      </c>
      <c r="W478" s="36">
        <f>RATE(Table1[[#This Row],[Total No. of Coupons]],Table1[[#This Row],[Coupon Amount]],-Table1[[#This Row],[Ask Price]],Table1[[#This Row],[Face value]])</f>
        <v>9.8919729944751858E-2</v>
      </c>
      <c r="X478" s="27">
        <f>Table1[[#This Row],[IRR]]*Table1[[#This Row],[Coupon Frequency2]]</f>
        <v>9.8919729944751858E-2</v>
      </c>
      <c r="Y478" s="19" cm="1">
        <f t="array" ref="Y4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8" s="33">
        <f>DURATION(Table1[[#This Row],[Issue date]],Table1[[#This Row],[Maturity date]],Table1[[#This Row],[Current coupon %]],Table1[[#This Row],[Yield (Annualised)]],Table1[[#This Row],[Coupon Frequency2]])</f>
        <v>2.7378963553063733</v>
      </c>
      <c r="AA478" s="33">
        <f>Table1[[#This Row],[Macaulay Duration in Years]]/(1+Table1[[#This Row],[IRR]])</f>
        <v>2.4914434427744969</v>
      </c>
      <c r="AB478" s="58">
        <f>VLOOKUP(Table1[[#This Row],[Yield Cluster]],'Cluster Details'!$B$3:$C$16,2,0)</f>
        <v>7.8548801574189142E-2</v>
      </c>
      <c r="AC478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1052.8430364273456</v>
      </c>
      <c r="AD478" s="58" t="str">
        <f>IF(Table1[[#This Row],[Ask Price]]&gt;Table1[[#This Row],[Calculated Bond Price]],"Rich","Cheap")</f>
        <v>Cheap</v>
      </c>
      <c r="AE47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975.71339222669803</v>
      </c>
      <c r="AF47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1025.5653395564984</v>
      </c>
      <c r="AG478" s="78">
        <f>(Table1[[#This Row],[P (+ shock)]]+Table1[[#This Row],[P (-shock)]]-2*Table1[[#This Row],[Ask Price]])/(2*Table1[[#This Row],[Ask Price]]*($AF$2^2))</f>
        <v>4.3927803599098771</v>
      </c>
      <c r="AH478">
        <v>7.5923561333758904</v>
      </c>
      <c r="AI478" s="6">
        <f t="shared" si="29"/>
        <v>9.898020395920816E-2</v>
      </c>
      <c r="AK478" s="47">
        <f>RATE(Table1[[#This Row],[Total No. of Coupons]],Table1[[#This Row],[Coupon Amount]],-Table1[[#This Row],[Ask Price]],Table1[[#This Row],[Face value]])</f>
        <v>9.8919729944751858E-2</v>
      </c>
      <c r="AL478" s="27">
        <f>Table1[[#This Row],[IRR]]*Table1[[#This Row],[Coupon Frequency2]]</f>
        <v>9.8919729944751858E-2</v>
      </c>
      <c r="AM478" s="5">
        <f t="shared" si="30"/>
        <v>-2491.9417314630518</v>
      </c>
      <c r="AN478" t="s">
        <v>64</v>
      </c>
      <c r="AO478" t="s">
        <v>62</v>
      </c>
      <c r="AP478">
        <f t="shared" si="31"/>
        <v>1</v>
      </c>
    </row>
    <row r="479" spans="1:42" x14ac:dyDescent="0.35">
      <c r="A479" s="48" t="s">
        <v>1139</v>
      </c>
      <c r="B479" s="49" t="s">
        <v>2768</v>
      </c>
      <c r="C479" s="49" t="s">
        <v>2273</v>
      </c>
      <c r="D479" s="50">
        <v>44852</v>
      </c>
      <c r="E479" s="50">
        <v>46676</v>
      </c>
      <c r="F479" s="49">
        <v>1000</v>
      </c>
      <c r="G479" s="49" t="s">
        <v>76</v>
      </c>
      <c r="H479" s="49">
        <v>1032</v>
      </c>
      <c r="I479" s="49" t="s">
        <v>76</v>
      </c>
      <c r="J479" s="49">
        <v>103.2</v>
      </c>
      <c r="K479" s="49">
        <v>60</v>
      </c>
      <c r="L479" s="51">
        <v>0.1075</v>
      </c>
      <c r="M479" s="49" t="s">
        <v>93</v>
      </c>
      <c r="N479" s="49">
        <v>759</v>
      </c>
      <c r="O479" s="49">
        <v>10.4166666666666</v>
      </c>
      <c r="P479" s="49"/>
      <c r="Q479" s="49"/>
      <c r="R479" s="49" t="s">
        <v>2275</v>
      </c>
      <c r="S479">
        <f t="shared" si="28"/>
        <v>5</v>
      </c>
      <c r="T479" s="5" cm="1">
        <f t="array" ref="T4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79">
        <f>Table1[[#This Row],[Term to Maturity (Years)]]*Table1[[#This Row],[Coupon Frequency2]]</f>
        <v>5</v>
      </c>
      <c r="V479">
        <f>Table1[[#This Row],[Face value]]*Table1[[#This Row],[Current coupon %]]</f>
        <v>107.5</v>
      </c>
      <c r="W479" s="36">
        <f>RATE(Table1[[#This Row],[Total No. of Coupons]],Table1[[#This Row],[Coupon Amount]],-Table1[[#This Row],[Ask Price]],Table1[[#This Row],[Face value]])</f>
        <v>9.9078347035433445E-2</v>
      </c>
      <c r="X479" s="27">
        <f>Table1[[#This Row],[IRR]]*Table1[[#This Row],[Coupon Frequency2]]</f>
        <v>9.9078347035433445E-2</v>
      </c>
      <c r="Y479" s="19" cm="1">
        <f t="array" ref="Y4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79" s="33">
        <f>DURATION(Table1[[#This Row],[Issue date]],Table1[[#This Row],[Maturity date]],Table1[[#This Row],[Current coupon %]],Table1[[#This Row],[Yield (Annualised)]],Table1[[#This Row],[Coupon Frequency2]])</f>
        <v>4.1283369382069877</v>
      </c>
      <c r="AA479" s="33">
        <f>Table1[[#This Row],[Macaulay Duration in Years]]/(1+Table1[[#This Row],[IRR]])</f>
        <v>3.7561807575796897</v>
      </c>
      <c r="AB479" s="58">
        <f>VLOOKUP(Table1[[#This Row],[Yield Cluster]],'Cluster Details'!$B$3:$C$16,2,0)</f>
        <v>7.8548801574189142E-2</v>
      </c>
      <c r="AC479" s="78">
        <f>PRICE(Table1[[#This Row],[Issue date]],Table1[[#This Row],[Maturity date]],Table1[[#This Row],[Current coupon %]],Table1[[#This Row],[Average Cluster Yield]],100,Table1[[#This Row],[Coupon Frequency2]])*Table1[[#This Row],[Face value]]/100</f>
        <v>1115.90893171942</v>
      </c>
      <c r="AD479" s="58" t="str">
        <f>IF(Table1[[#This Row],[Ask Price]]&gt;Table1[[#This Row],[Calculated Bond Price]],"Rich","Cheap")</f>
        <v>Cheap</v>
      </c>
      <c r="AE47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994.12778442438798</v>
      </c>
      <c r="AF47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1071.7365002877962</v>
      </c>
      <c r="AG479" s="78">
        <f>(Table1[[#This Row],[P (+ shock)]]+Table1[[#This Row],[P (-shock)]]-2*Table1[[#This Row],[Ask Price]])/(2*Table1[[#This Row],[Ask Price]]*($AF$2^2))</f>
        <v>9.0323871714348076</v>
      </c>
      <c r="AH479">
        <v>10.8817400364678</v>
      </c>
      <c r="AI479" s="6">
        <f t="shared" si="29"/>
        <v>0.10416666666666667</v>
      </c>
      <c r="AK479" s="47">
        <f>RATE(Table1[[#This Row],[Total No. of Coupons]],Table1[[#This Row],[Coupon Amount]],-Table1[[#This Row],[Ask Price]],Table1[[#This Row],[Face value]])</f>
        <v>9.9078347035433445E-2</v>
      </c>
      <c r="AL479" s="27">
        <f>Table1[[#This Row],[IRR]]*Table1[[#This Row],[Coupon Frequency2]]</f>
        <v>9.9078347035433445E-2</v>
      </c>
      <c r="AM479" s="5">
        <f t="shared" si="30"/>
        <v>-3876.3785418222396</v>
      </c>
      <c r="AN479" t="s">
        <v>64</v>
      </c>
      <c r="AO479" t="s">
        <v>62</v>
      </c>
      <c r="AP479">
        <f t="shared" si="31"/>
        <v>1</v>
      </c>
    </row>
    <row r="480" spans="1:42" x14ac:dyDescent="0.35">
      <c r="A480" s="48" t="s">
        <v>1340</v>
      </c>
      <c r="B480" s="49" t="s">
        <v>2769</v>
      </c>
      <c r="C480" s="49" t="s">
        <v>2273</v>
      </c>
      <c r="D480" s="50">
        <v>45377</v>
      </c>
      <c r="E480" s="50">
        <v>46472</v>
      </c>
      <c r="F480" s="49">
        <v>1000</v>
      </c>
      <c r="G480" s="49" t="s">
        <v>76</v>
      </c>
      <c r="H480" s="49">
        <v>999.8</v>
      </c>
      <c r="I480" s="49" t="s">
        <v>76</v>
      </c>
      <c r="J480" s="49">
        <v>99.979999999999905</v>
      </c>
      <c r="K480" s="49">
        <v>46</v>
      </c>
      <c r="L480" s="51">
        <v>9.9000000000000005E-2</v>
      </c>
      <c r="M480" s="49" t="s">
        <v>93</v>
      </c>
      <c r="N480" s="49">
        <v>555</v>
      </c>
      <c r="O480" s="49">
        <v>9.9019803960792103</v>
      </c>
      <c r="P480" s="49" t="s">
        <v>2279</v>
      </c>
      <c r="Q480" s="49"/>
      <c r="R480" s="49" t="s">
        <v>2275</v>
      </c>
      <c r="S480">
        <f t="shared" si="28"/>
        <v>3</v>
      </c>
      <c r="T480" s="5" cm="1">
        <f t="array" ref="T4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0">
        <f>Table1[[#This Row],[Term to Maturity (Years)]]*Table1[[#This Row],[Coupon Frequency2]]</f>
        <v>3</v>
      </c>
      <c r="V480">
        <f>Table1[[#This Row],[Face value]]*Table1[[#This Row],[Current coupon %]]</f>
        <v>99</v>
      </c>
      <c r="W480" s="36">
        <f>RATE(Table1[[#This Row],[Total No. of Coupons]],Table1[[#This Row],[Coupon Amount]],-Table1[[#This Row],[Ask Price]],Table1[[#This Row],[Face value]])</f>
        <v>9.9080292776277182E-2</v>
      </c>
      <c r="X480" s="27">
        <f>Table1[[#This Row],[IRR]]*Table1[[#This Row],[Coupon Frequency2]]</f>
        <v>9.9080292776277182E-2</v>
      </c>
      <c r="Y480" s="19" cm="1">
        <f t="array" ref="Y4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0" s="33">
        <f>DURATION(Table1[[#This Row],[Issue date]],Table1[[#This Row],[Maturity date]],Table1[[#This Row],[Current coupon %]],Table1[[#This Row],[Yield (Annualised)]],Table1[[#This Row],[Coupon Frequency2]])</f>
        <v>2.7378417753259394</v>
      </c>
      <c r="AA480" s="33">
        <f>Table1[[#This Row],[Macaulay Duration in Years]]/(1+Table1[[#This Row],[IRR]])</f>
        <v>2.49102981221704</v>
      </c>
      <c r="AB480" s="58">
        <f>VLOOKUP(Table1[[#This Row],[Yield Cluster]],'Cluster Details'!$B$3:$C$16,2,0)</f>
        <v>7.8548801574189142E-2</v>
      </c>
      <c r="AC480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1052.8430364273456</v>
      </c>
      <c r="AD480" s="58" t="str">
        <f>IF(Table1[[#This Row],[Ask Price]]&gt;Table1[[#This Row],[Calculated Bond Price]],"Rich","Cheap")</f>
        <v>Cheap</v>
      </c>
      <c r="AE48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975.32718345715364</v>
      </c>
      <c r="AF48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1025.1509169044473</v>
      </c>
      <c r="AG480" s="78">
        <f>(Table1[[#This Row],[P (+ shock)]]+Table1[[#This Row],[P (-shock)]]-2*Table1[[#This Row],[Ask Price]])/(2*Table1[[#This Row],[Ask Price]]*($AF$2^2))</f>
        <v>4.3913800840213053</v>
      </c>
      <c r="AH480">
        <v>11.307991619275599</v>
      </c>
      <c r="AI480" s="6">
        <f t="shared" si="29"/>
        <v>9.9019803960792158E-2</v>
      </c>
      <c r="AK480" s="47">
        <f>RATE(Table1[[#This Row],[Total No. of Coupons]],Table1[[#This Row],[Coupon Amount]],-Table1[[#This Row],[Ask Price]],Table1[[#This Row],[Face value]])</f>
        <v>9.9080292776277182E-2</v>
      </c>
      <c r="AL480" s="27">
        <f>Table1[[#This Row],[IRR]]*Table1[[#This Row],[Coupon Frequency2]]</f>
        <v>9.9080292776277182E-2</v>
      </c>
      <c r="AM480" s="5">
        <f t="shared" si="30"/>
        <v>-2490.5316062545967</v>
      </c>
      <c r="AN480" t="s">
        <v>64</v>
      </c>
      <c r="AO480" t="s">
        <v>62</v>
      </c>
      <c r="AP480">
        <f t="shared" si="31"/>
        <v>1</v>
      </c>
    </row>
    <row r="481" spans="1:42" x14ac:dyDescent="0.35">
      <c r="A481" s="48" t="s">
        <v>266</v>
      </c>
      <c r="B481" s="49" t="s">
        <v>2770</v>
      </c>
      <c r="C481" s="49" t="s">
        <v>2273</v>
      </c>
      <c r="D481" s="50">
        <v>44757</v>
      </c>
      <c r="E481" s="50">
        <v>48410</v>
      </c>
      <c r="F481" s="49">
        <v>1000</v>
      </c>
      <c r="G481" s="49" t="s">
        <v>76</v>
      </c>
      <c r="H481" s="49">
        <v>1001.5</v>
      </c>
      <c r="I481" s="49" t="s">
        <v>76</v>
      </c>
      <c r="J481" s="49">
        <v>100.15</v>
      </c>
      <c r="K481" s="49">
        <v>650</v>
      </c>
      <c r="L481" s="51">
        <v>9.9499999999999991E-2</v>
      </c>
      <c r="M481" s="49" t="s">
        <v>93</v>
      </c>
      <c r="N481" s="49">
        <v>2493</v>
      </c>
      <c r="O481" s="49">
        <v>9.9350973539690397</v>
      </c>
      <c r="P481" s="49"/>
      <c r="Q481" s="49"/>
      <c r="R481" s="49" t="s">
        <v>2275</v>
      </c>
      <c r="S481">
        <f t="shared" si="28"/>
        <v>10</v>
      </c>
      <c r="T481" s="5" cm="1">
        <f t="array" ref="T4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1">
        <f>Table1[[#This Row],[Term to Maturity (Years)]]*Table1[[#This Row],[Coupon Frequency2]]</f>
        <v>10</v>
      </c>
      <c r="V481">
        <f>Table1[[#This Row],[Face value]]*Table1[[#This Row],[Current coupon %]]</f>
        <v>99.499999999999986</v>
      </c>
      <c r="W481" s="36">
        <f>RATE(Table1[[#This Row],[Total No. of Coupons]],Table1[[#This Row],[Coupon Amount]],-Table1[[#This Row],[Ask Price]],Table1[[#This Row],[Face value]])</f>
        <v>9.9256660907003288E-2</v>
      </c>
      <c r="X481" s="27">
        <f>Table1[[#This Row],[IRR]]*Table1[[#This Row],[Coupon Frequency2]]</f>
        <v>9.9256660907003288E-2</v>
      </c>
      <c r="Y481" s="19" cm="1">
        <f t="array" ref="Y4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1" s="33">
        <f>DURATION(Table1[[#This Row],[Issue date]],Table1[[#This Row],[Maturity date]],Table1[[#This Row],[Current coupon %]],Table1[[#This Row],[Yield (Annualised)]],Table1[[#This Row],[Coupon Frequency2]])</f>
        <v>6.7730159237233929</v>
      </c>
      <c r="AA481" s="33">
        <f>Table1[[#This Row],[Macaulay Duration in Years]]/(1+Table1[[#This Row],[IRR]])</f>
        <v>6.1614508827582961</v>
      </c>
      <c r="AB481" s="58">
        <f>VLOOKUP(Table1[[#This Row],[Yield Cluster]],'Cluster Details'!$B$3:$C$16,2,0)</f>
        <v>7.8548801574189142E-2</v>
      </c>
      <c r="AC481" s="78">
        <f>PRICE(Table1[[#This Row],[Issue date]],Table1[[#This Row],[Maturity date]],Table1[[#This Row],[Current coupon %]],Table1[[#This Row],[Average Cluster Yield]],100,Table1[[#This Row],[Coupon Frequency2]])*Table1[[#This Row],[Face value]]/100</f>
        <v>1141.5091204059554</v>
      </c>
      <c r="AD481" s="58" t="str">
        <f>IF(Table1[[#This Row],[Ask Price]]&gt;Table1[[#This Row],[Calculated Bond Price]],"Rich","Cheap")</f>
        <v>Cheap</v>
      </c>
      <c r="AE48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942.36122227556962</v>
      </c>
      <c r="AF48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1065.9538807155957</v>
      </c>
      <c r="AG481" s="78">
        <f>(Table1[[#This Row],[P (+ shock)]]+Table1[[#This Row],[P (-shock)]]-2*Table1[[#This Row],[Ask Price]])/(2*Table1[[#This Row],[Ask Price]]*($AF$2^2))</f>
        <v>26.535711388743405</v>
      </c>
      <c r="AI481" s="6">
        <f t="shared" si="29"/>
        <v>9.9350973539690454E-2</v>
      </c>
      <c r="AK481" s="47">
        <f>RATE(Table1[[#This Row],[Total No. of Coupons]],Table1[[#This Row],[Coupon Amount]],-Table1[[#This Row],[Ask Price]],Table1[[#This Row],[Face value]])</f>
        <v>9.9256660907003288E-2</v>
      </c>
      <c r="AL481" s="27">
        <f>Table1[[#This Row],[IRR]]*Table1[[#This Row],[Coupon Frequency2]]</f>
        <v>9.9256660907003288E-2</v>
      </c>
      <c r="AM481" s="5">
        <f t="shared" si="30"/>
        <v>-6170.6930590824331</v>
      </c>
      <c r="AN481" t="s">
        <v>64</v>
      </c>
      <c r="AO481" t="s">
        <v>62</v>
      </c>
      <c r="AP481">
        <f t="shared" si="31"/>
        <v>1</v>
      </c>
    </row>
    <row r="482" spans="1:42" x14ac:dyDescent="0.35">
      <c r="A482" s="48" t="s">
        <v>595</v>
      </c>
      <c r="B482" s="49" t="s">
        <v>2771</v>
      </c>
      <c r="C482" s="49" t="s">
        <v>2273</v>
      </c>
      <c r="D482" s="50">
        <v>45551</v>
      </c>
      <c r="E482" s="50">
        <v>47377</v>
      </c>
      <c r="F482" s="49">
        <v>1000</v>
      </c>
      <c r="G482" s="49" t="s">
        <v>76</v>
      </c>
      <c r="H482" s="49">
        <v>999</v>
      </c>
      <c r="I482" s="49" t="s">
        <v>76</v>
      </c>
      <c r="J482" s="49">
        <v>99.9</v>
      </c>
      <c r="K482" s="49">
        <v>250</v>
      </c>
      <c r="L482" s="51">
        <v>9.9000000000000005E-2</v>
      </c>
      <c r="M482" s="49" t="s">
        <v>93</v>
      </c>
      <c r="N482" s="49">
        <v>1460</v>
      </c>
      <c r="O482" s="49">
        <v>9.9099099099099099</v>
      </c>
      <c r="P482" s="49"/>
      <c r="Q482" s="49"/>
      <c r="R482" s="49" t="s">
        <v>2275</v>
      </c>
      <c r="S482">
        <f t="shared" si="28"/>
        <v>5</v>
      </c>
      <c r="T482" s="5" cm="1">
        <f t="array" ref="T4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2">
        <f>Table1[[#This Row],[Term to Maturity (Years)]]*Table1[[#This Row],[Coupon Frequency2]]</f>
        <v>5</v>
      </c>
      <c r="V482">
        <f>Table1[[#This Row],[Face value]]*Table1[[#This Row],[Current coupon %]]</f>
        <v>99</v>
      </c>
      <c r="W482" s="36">
        <f>RATE(Table1[[#This Row],[Total No. of Coupons]],Table1[[#This Row],[Coupon Amount]],-Table1[[#This Row],[Ask Price]],Table1[[#This Row],[Face value]])</f>
        <v>9.9263301194114542E-2</v>
      </c>
      <c r="X482" s="27">
        <f>Table1[[#This Row],[IRR]]*Table1[[#This Row],[Coupon Frequency2]]</f>
        <v>9.9263301194114542E-2</v>
      </c>
      <c r="Y482" s="19" cm="1">
        <f t="array" ref="Y4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2" s="33">
        <f>DURATION(Table1[[#This Row],[Issue date]],Table1[[#This Row],[Maturity date]],Table1[[#This Row],[Current coupon %]],Table1[[#This Row],[Yield (Annualised)]],Table1[[#This Row],[Coupon Frequency2]])</f>
        <v>4.1762919819814694</v>
      </c>
      <c r="AA482" s="33">
        <f>Table1[[#This Row],[Macaulay Duration in Years]]/(1+Table1[[#This Row],[IRR]])</f>
        <v>3.7991734804980943</v>
      </c>
      <c r="AB482" s="58">
        <f>VLOOKUP(Table1[[#This Row],[Yield Cluster]],'Cluster Details'!$B$3:$C$16,2,0)</f>
        <v>7.8548801574189142E-2</v>
      </c>
      <c r="AC482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1081.9689787445161</v>
      </c>
      <c r="AD482" s="58" t="str">
        <f>IF(Table1[[#This Row],[Ask Price]]&gt;Table1[[#This Row],[Calculated Bond Price]],"Rich","Cheap")</f>
        <v>Cheap</v>
      </c>
      <c r="AE48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961.99749481987544</v>
      </c>
      <c r="AF48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1037.9448665671805</v>
      </c>
      <c r="AG482" s="78">
        <f>(Table1[[#This Row],[P (+ shock)]]+Table1[[#This Row],[P (-shock)]]-2*Table1[[#This Row],[Ask Price]])/(2*Table1[[#This Row],[Ask Price]]*($AF$2^2))</f>
        <v>9.7215284637428709</v>
      </c>
      <c r="AH482">
        <v>12.451954413478401</v>
      </c>
      <c r="AI482" s="6">
        <f t="shared" si="29"/>
        <v>9.90990990990991E-2</v>
      </c>
      <c r="AK482" s="47">
        <f>RATE(Table1[[#This Row],[Total No. of Coupons]],Table1[[#This Row],[Coupon Amount]],-Table1[[#This Row],[Ask Price]],Table1[[#This Row],[Face value]])</f>
        <v>9.9263301194114542E-2</v>
      </c>
      <c r="AL482" s="27">
        <f>Table1[[#This Row],[IRR]]*Table1[[#This Row],[Coupon Frequency2]]</f>
        <v>9.9263301194114542E-2</v>
      </c>
      <c r="AM482" s="5">
        <f t="shared" si="30"/>
        <v>-3795.374307017596</v>
      </c>
      <c r="AN482" t="s">
        <v>64</v>
      </c>
      <c r="AO482" t="s">
        <v>62</v>
      </c>
      <c r="AP482">
        <f t="shared" si="31"/>
        <v>1</v>
      </c>
    </row>
    <row r="483" spans="1:42" x14ac:dyDescent="0.35">
      <c r="A483" s="48" t="s">
        <v>1367</v>
      </c>
      <c r="B483" s="49" t="s">
        <v>2772</v>
      </c>
      <c r="C483" s="49" t="s">
        <v>2273</v>
      </c>
      <c r="D483" s="50">
        <v>45364</v>
      </c>
      <c r="E483" s="50">
        <v>46458</v>
      </c>
      <c r="F483" s="49">
        <v>100000</v>
      </c>
      <c r="G483" s="49" t="s">
        <v>76</v>
      </c>
      <c r="H483" s="49">
        <v>100173</v>
      </c>
      <c r="I483" s="49" t="s">
        <v>76</v>
      </c>
      <c r="J483" s="49">
        <v>100.173</v>
      </c>
      <c r="K483" s="49">
        <v>1</v>
      </c>
      <c r="L483" s="51">
        <v>0.05</v>
      </c>
      <c r="M483" s="49" t="s">
        <v>65</v>
      </c>
      <c r="N483" s="49">
        <v>541</v>
      </c>
      <c r="O483" s="49">
        <v>4.9913649386561199</v>
      </c>
      <c r="P483" s="49"/>
      <c r="Q483" s="49"/>
      <c r="R483" s="49" t="s">
        <v>2275</v>
      </c>
      <c r="S483">
        <f t="shared" si="28"/>
        <v>3</v>
      </c>
      <c r="T483" s="5" cm="1">
        <f t="array" ref="T4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483">
        <f>Table1[[#This Row],[Term to Maturity (Years)]]*Table1[[#This Row],[Coupon Frequency2]]</f>
        <v>6</v>
      </c>
      <c r="V483">
        <f>Table1[[#This Row],[Face value]]*Table1[[#This Row],[Current coupon %]]</f>
        <v>5000</v>
      </c>
      <c r="W483" s="36">
        <f>RATE(Table1[[#This Row],[Total No. of Coupons]],Table1[[#This Row],[Coupon Amount]],-Table1[[#This Row],[Ask Price]],Table1[[#This Row],[Face value]])</f>
        <v>4.965953080455044E-2</v>
      </c>
      <c r="X483" s="27">
        <f>Table1[[#This Row],[IRR]]*Table1[[#This Row],[Coupon Frequency2]]</f>
        <v>9.9319061609100881E-2</v>
      </c>
      <c r="Y483" s="19" cm="1">
        <f t="array" ref="Y4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3" s="33">
        <f>DURATION(Table1[[#This Row],[Issue date]],Table1[[#This Row],[Maturity date]],Table1[[#This Row],[Current coupon %]],Table1[[#This Row],[Yield (Annualised)]],Table1[[#This Row],[Coupon Frequency2]])</f>
        <v>2.8054378373590461</v>
      </c>
      <c r="AA483" s="33">
        <f>Table1[[#This Row],[Macaulay Duration in Years]]/(1+Table1[[#This Row],[IRR]])</f>
        <v>2.6727122033643749</v>
      </c>
      <c r="AB483" s="58">
        <f>VLOOKUP(Table1[[#This Row],[Yield Cluster]],'Cluster Details'!$B$3:$C$16,2,0)</f>
        <v>7.8548801574189142E-2</v>
      </c>
      <c r="AC483" s="78">
        <f>PRICE(Table1[[#This Row],[Issue date]],Table1[[#This Row],[Maturity date]],Table1[[#This Row],[Current coupon %]],Table1[[#This Row],[Average Cluster Yield]],100,Table1[[#This Row],[Coupon Frequency2]])*Table1[[#This Row],[Face value]]/100</f>
        <v>92505.365063545367</v>
      </c>
      <c r="AD483" s="58" t="str">
        <f>IF(Table1[[#This Row],[Ask Price]]&gt;Table1[[#This Row],[Calculated Bond Price]],"Rich","Cheap")</f>
        <v>Rich</v>
      </c>
      <c r="AE48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85178.782962825673</v>
      </c>
      <c r="AF48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89856.638310796057</v>
      </c>
      <c r="AG483" s="78">
        <f>(Table1[[#This Row],[P (+ shock)]]+Table1[[#This Row],[P (-shock)]]-2*Table1[[#This Row],[Ask Price]])/(2*Table1[[#This Row],[Ask Price]]*($AF$2^2))</f>
        <v>-1263.3433523194008</v>
      </c>
      <c r="AH483">
        <v>11.014618613402799</v>
      </c>
      <c r="AI483" s="6">
        <f t="shared" si="29"/>
        <v>4.9913649386561246E-2</v>
      </c>
      <c r="AK483" s="47">
        <f>RATE(Table1[[#This Row],[Total No. of Coupons]],Table1[[#This Row],[Coupon Amount]],-Table1[[#This Row],[Ask Price]],Table1[[#This Row],[Face value]])</f>
        <v>4.965953080455044E-2</v>
      </c>
      <c r="AL483" s="27">
        <f>Table1[[#This Row],[IRR]]*Table1[[#This Row],[Coupon Frequency2]]</f>
        <v>9.9319061609100881E-2</v>
      </c>
      <c r="AM483" s="5">
        <f t="shared" si="30"/>
        <v>-267733.59954761952</v>
      </c>
      <c r="AN483" t="s">
        <v>64</v>
      </c>
      <c r="AO483" t="s">
        <v>62</v>
      </c>
      <c r="AP483">
        <f t="shared" si="31"/>
        <v>2</v>
      </c>
    </row>
    <row r="484" spans="1:42" x14ac:dyDescent="0.35">
      <c r="A484" s="48" t="s">
        <v>2773</v>
      </c>
      <c r="B484" s="49" t="s">
        <v>2774</v>
      </c>
      <c r="C484" s="49" t="s">
        <v>2273</v>
      </c>
      <c r="D484" s="50">
        <v>45518</v>
      </c>
      <c r="E484" s="50">
        <v>46612</v>
      </c>
      <c r="F484" s="49">
        <v>100000</v>
      </c>
      <c r="G484" s="49" t="s">
        <v>76</v>
      </c>
      <c r="H484" s="49">
        <v>99920</v>
      </c>
      <c r="I484" s="49" t="s">
        <v>76</v>
      </c>
      <c r="J484" s="49">
        <v>99.92</v>
      </c>
      <c r="K484" s="49">
        <v>1</v>
      </c>
      <c r="L484" s="51">
        <v>9.9000000000000005E-2</v>
      </c>
      <c r="M484" s="49" t="s">
        <v>93</v>
      </c>
      <c r="N484" s="49">
        <v>695</v>
      </c>
      <c r="O484" s="49">
        <v>9.9079263410728498</v>
      </c>
      <c r="P484" s="49"/>
      <c r="Q484" s="49"/>
      <c r="R484" s="49" t="s">
        <v>2275</v>
      </c>
      <c r="S484">
        <f t="shared" si="28"/>
        <v>3</v>
      </c>
      <c r="T484" s="5" cm="1">
        <f t="array" ref="T4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4">
        <f>Table1[[#This Row],[Term to Maturity (Years)]]*Table1[[#This Row],[Coupon Frequency2]]</f>
        <v>3</v>
      </c>
      <c r="V484">
        <f>Table1[[#This Row],[Face value]]*Table1[[#This Row],[Current coupon %]]</f>
        <v>9900</v>
      </c>
      <c r="W484" s="36">
        <f>RATE(Table1[[#This Row],[Total No. of Coupons]],Table1[[#This Row],[Coupon Amount]],-Table1[[#This Row],[Ask Price]],Table1[[#This Row],[Face value]])</f>
        <v>9.9321307542514142E-2</v>
      </c>
      <c r="X484" s="27">
        <f>Table1[[#This Row],[IRR]]*Table1[[#This Row],[Coupon Frequency2]]</f>
        <v>9.9321307542514142E-2</v>
      </c>
      <c r="Y484" s="19" cm="1">
        <f t="array" ref="Y4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4" s="33">
        <f>DURATION(Table1[[#This Row],[Issue date]],Table1[[#This Row],[Maturity date]],Table1[[#This Row],[Current coupon %]],Table1[[#This Row],[Yield (Annualised)]],Table1[[#This Row],[Coupon Frequency2]])</f>
        <v>2.7349820649165903</v>
      </c>
      <c r="AA484" s="33">
        <f>Table1[[#This Row],[Macaulay Duration in Years]]/(1+Table1[[#This Row],[IRR]])</f>
        <v>2.4878823380859649</v>
      </c>
      <c r="AB484" s="58">
        <f>VLOOKUP(Table1[[#This Row],[Yield Cluster]],'Cluster Details'!$B$3:$C$16,2,0)</f>
        <v>7.8548801574189142E-2</v>
      </c>
      <c r="AC484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105278.92047580291</v>
      </c>
      <c r="AD484" s="58" t="str">
        <f>IF(Table1[[#This Row],[Ask Price]]&gt;Table1[[#This Row],[Calculated Bond Price]],"Rich","Cheap")</f>
        <v>Cheap</v>
      </c>
      <c r="AE48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97475.381949061746</v>
      </c>
      <c r="AF48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102449.77978834351</v>
      </c>
      <c r="AG484" s="78">
        <f>(Table1[[#This Row],[P (+ shock)]]+Table1[[#This Row],[P (-shock)]]-2*Table1[[#This Row],[Ask Price]])/(2*Table1[[#This Row],[Ask Price]]*($AF$2^2))</f>
        <v>4.2614960671166164</v>
      </c>
      <c r="AH484">
        <v>6.9595225604941104</v>
      </c>
      <c r="AI484" s="6">
        <f t="shared" si="29"/>
        <v>9.9079263410728577E-2</v>
      </c>
      <c r="AK484" s="47">
        <f>RATE(Table1[[#This Row],[Total No. of Coupons]],Table1[[#This Row],[Coupon Amount]],-Table1[[#This Row],[Ask Price]],Table1[[#This Row],[Face value]])</f>
        <v>9.9321307542514142E-2</v>
      </c>
      <c r="AL484" s="27">
        <f>Table1[[#This Row],[IRR]]*Table1[[#This Row],[Coupon Frequency2]]</f>
        <v>9.9321307542514142E-2</v>
      </c>
      <c r="AM484" s="5">
        <f t="shared" si="30"/>
        <v>-248589.20322154963</v>
      </c>
      <c r="AN484" t="s">
        <v>79</v>
      </c>
      <c r="AO484" t="s">
        <v>62</v>
      </c>
      <c r="AP484">
        <f t="shared" si="31"/>
        <v>1</v>
      </c>
    </row>
    <row r="485" spans="1:42" x14ac:dyDescent="0.35">
      <c r="A485" s="48" t="s">
        <v>1738</v>
      </c>
      <c r="B485" s="49" t="s">
        <v>2775</v>
      </c>
      <c r="C485" s="49" t="s">
        <v>2273</v>
      </c>
      <c r="D485" s="50">
        <v>45125</v>
      </c>
      <c r="E485" s="50">
        <v>46221</v>
      </c>
      <c r="F485" s="49">
        <v>1000</v>
      </c>
      <c r="G485" s="49" t="s">
        <v>76</v>
      </c>
      <c r="H485" s="49">
        <v>1027</v>
      </c>
      <c r="I485" s="49" t="s">
        <v>76</v>
      </c>
      <c r="J485" s="49">
        <v>102.69999999999899</v>
      </c>
      <c r="K485" s="49">
        <v>40</v>
      </c>
      <c r="L485" s="51">
        <v>0.11019999999999999</v>
      </c>
      <c r="M485" s="49" t="s">
        <v>93</v>
      </c>
      <c r="N485" s="49">
        <v>304</v>
      </c>
      <c r="O485" s="49">
        <v>10.7302823758519</v>
      </c>
      <c r="P485" s="49"/>
      <c r="Q485" s="49"/>
      <c r="R485" s="49" t="s">
        <v>2275</v>
      </c>
      <c r="S485">
        <f t="shared" si="28"/>
        <v>3</v>
      </c>
      <c r="T485" s="5" cm="1">
        <f t="array" ref="T4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5">
        <f>Table1[[#This Row],[Term to Maturity (Years)]]*Table1[[#This Row],[Coupon Frequency2]]</f>
        <v>3</v>
      </c>
      <c r="V485">
        <f>Table1[[#This Row],[Face value]]*Table1[[#This Row],[Current coupon %]]</f>
        <v>110.19999999999999</v>
      </c>
      <c r="W485" s="36">
        <f>RATE(Table1[[#This Row],[Total No. of Coupons]],Table1[[#This Row],[Coupon Amount]],-Table1[[#This Row],[Ask Price]],Table1[[#This Row],[Face value]])</f>
        <v>9.9355222423488293E-2</v>
      </c>
      <c r="X485" s="27">
        <f>Table1[[#This Row],[IRR]]*Table1[[#This Row],[Coupon Frequency2]]</f>
        <v>9.9355222423488293E-2</v>
      </c>
      <c r="Y485" s="19" cm="1">
        <f t="array" ref="Y4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5" s="33">
        <f>DURATION(Table1[[#This Row],[Issue date]],Table1[[#This Row],[Maturity date]],Table1[[#This Row],[Current coupon %]],Table1[[#This Row],[Yield (Annualised)]],Table1[[#This Row],[Coupon Frequency2]])</f>
        <v>2.7160054592260905</v>
      </c>
      <c r="AA485" s="33">
        <f>Table1[[#This Row],[Macaulay Duration in Years]]/(1+Table1[[#This Row],[IRR]])</f>
        <v>2.4705440096411748</v>
      </c>
      <c r="AB485" s="58">
        <f>VLOOKUP(Table1[[#This Row],[Yield Cluster]],'Cluster Details'!$B$3:$C$16,2,0)</f>
        <v>7.8548801574189142E-2</v>
      </c>
      <c r="AC485" s="78">
        <f>PRICE(Table1[[#This Row],[Issue date]],Table1[[#This Row],[Maturity date]],Table1[[#This Row],[Current coupon %]],Table1[[#This Row],[Average Cluster Yield]],100,Table1[[#This Row],[Coupon Frequency2]])*Table1[[#This Row],[Face value]]/100</f>
        <v>1081.7822699951607</v>
      </c>
      <c r="AD485" s="58" t="str">
        <f>IF(Table1[[#This Row],[Ask Price]]&gt;Table1[[#This Row],[Calculated Bond Price]],"Rich","Cheap")</f>
        <v>Cheap</v>
      </c>
      <c r="AE48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1002.0667126541696</v>
      </c>
      <c r="AF48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1052.8249665295775</v>
      </c>
      <c r="AG485" s="78">
        <f>(Table1[[#This Row],[P (+ shock)]]+Table1[[#This Row],[P (-shock)]]-2*Table1[[#This Row],[Ask Price]])/(2*Table1[[#This Row],[Ask Price]]*($AF$2^2))</f>
        <v>4.3411839520317832</v>
      </c>
      <c r="AI485" s="6">
        <f t="shared" si="29"/>
        <v>0.10730282375851995</v>
      </c>
      <c r="AK485" s="47">
        <f>RATE(Table1[[#This Row],[Total No. of Coupons]],Table1[[#This Row],[Coupon Amount]],-Table1[[#This Row],[Ask Price]],Table1[[#This Row],[Face value]])</f>
        <v>9.9355222423488293E-2</v>
      </c>
      <c r="AL485" s="27">
        <f>Table1[[#This Row],[IRR]]*Table1[[#This Row],[Coupon Frequency2]]</f>
        <v>9.9355222423488293E-2</v>
      </c>
      <c r="AM485" s="5">
        <f t="shared" si="30"/>
        <v>-2537.2486979014866</v>
      </c>
      <c r="AN485" t="s">
        <v>69</v>
      </c>
      <c r="AO485" t="s">
        <v>62</v>
      </c>
      <c r="AP485">
        <f t="shared" si="31"/>
        <v>1</v>
      </c>
    </row>
    <row r="486" spans="1:42" x14ac:dyDescent="0.35">
      <c r="A486" s="48" t="s">
        <v>1261</v>
      </c>
      <c r="B486" s="49" t="s">
        <v>2776</v>
      </c>
      <c r="C486" s="49" t="s">
        <v>2273</v>
      </c>
      <c r="D486" s="50">
        <v>45443</v>
      </c>
      <c r="E486" s="50">
        <v>46538</v>
      </c>
      <c r="F486" s="49">
        <v>1000</v>
      </c>
      <c r="G486" s="49" t="s">
        <v>76</v>
      </c>
      <c r="H486" s="49">
        <v>999</v>
      </c>
      <c r="I486" s="49" t="s">
        <v>76</v>
      </c>
      <c r="J486" s="49">
        <v>99.9</v>
      </c>
      <c r="K486" s="49">
        <v>18</v>
      </c>
      <c r="L486" s="51">
        <v>9.9000000000000005E-2</v>
      </c>
      <c r="M486" s="49" t="s">
        <v>93</v>
      </c>
      <c r="N486" s="49">
        <v>621</v>
      </c>
      <c r="O486" s="49">
        <v>9.9099099099099099</v>
      </c>
      <c r="P486" s="49" t="s">
        <v>2279</v>
      </c>
      <c r="Q486" s="49"/>
      <c r="R486" s="49" t="s">
        <v>2275</v>
      </c>
      <c r="S486">
        <f t="shared" si="28"/>
        <v>3</v>
      </c>
      <c r="T486" s="5" cm="1">
        <f t="array" ref="T4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6">
        <f>Table1[[#This Row],[Term to Maturity (Years)]]*Table1[[#This Row],[Coupon Frequency2]]</f>
        <v>3</v>
      </c>
      <c r="V486">
        <f>Table1[[#This Row],[Face value]]*Table1[[#This Row],[Current coupon %]]</f>
        <v>99</v>
      </c>
      <c r="W486" s="36">
        <f>RATE(Table1[[#This Row],[Total No. of Coupons]],Table1[[#This Row],[Coupon Amount]],-Table1[[#This Row],[Ask Price]],Table1[[#This Row],[Face value]])</f>
        <v>9.9401691314219082E-2</v>
      </c>
      <c r="X486" s="27">
        <f>Table1[[#This Row],[IRR]]*Table1[[#This Row],[Coupon Frequency2]]</f>
        <v>9.9401691314219082E-2</v>
      </c>
      <c r="Y486" s="19" cm="1">
        <f t="array" ref="Y4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6" s="33">
        <f>DURATION(Table1[[#This Row],[Issue date]],Table1[[#This Row],[Maturity date]],Table1[[#This Row],[Current coupon %]],Table1[[#This Row],[Yield (Annualised)]],Table1[[#This Row],[Coupon Frequency2]])</f>
        <v>2.7377325150907774</v>
      </c>
      <c r="AA486" s="33">
        <f>Table1[[#This Row],[Macaulay Duration in Years]]/(1+Table1[[#This Row],[IRR]])</f>
        <v>2.4902022042717675</v>
      </c>
      <c r="AB486" s="58">
        <f>VLOOKUP(Table1[[#This Row],[Yield Cluster]],'Cluster Details'!$B$3:$C$16,2,0)</f>
        <v>7.8548801574189142E-2</v>
      </c>
      <c r="AC486" s="78">
        <f>PRICE(Table1[[#This Row],[Issue date]],Table1[[#This Row],[Maturity date]],Table1[[#This Row],[Current coupon %]],Table1[[#This Row],[Average Cluster Yield]],100,Table1[[#This Row],[Coupon Frequency2]])*Table1[[#This Row],[Face value]]/100</f>
        <v>1052.8430364273456</v>
      </c>
      <c r="AD486" s="58" t="str">
        <f>IF(Table1[[#This Row],[Ask Price]]&gt;Table1[[#This Row],[Calculated Bond Price]],"Rich","Cheap")</f>
        <v>Cheap</v>
      </c>
      <c r="AE48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974.55475973424257</v>
      </c>
      <c r="AF48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1024.3220783564827</v>
      </c>
      <c r="AG486" s="78">
        <f>(Table1[[#This Row],[P (+ shock)]]+Table1[[#This Row],[P (-shock)]]-2*Table1[[#This Row],[Ask Price]])/(2*Table1[[#This Row],[Ask Price]]*($AF$2^2))</f>
        <v>4.38857903265973</v>
      </c>
      <c r="AH486">
        <v>11.3049695350141</v>
      </c>
      <c r="AI486" s="6">
        <f t="shared" si="29"/>
        <v>9.90990990990991E-2</v>
      </c>
      <c r="AK486" s="47">
        <f>RATE(Table1[[#This Row],[Total No. of Coupons]],Table1[[#This Row],[Coupon Amount]],-Table1[[#This Row],[Ask Price]],Table1[[#This Row],[Face value]])</f>
        <v>9.9401691314219082E-2</v>
      </c>
      <c r="AL486" s="27">
        <f>Table1[[#This Row],[IRR]]*Table1[[#This Row],[Coupon Frequency2]]</f>
        <v>9.9401691314219082E-2</v>
      </c>
      <c r="AM486" s="5">
        <f t="shared" si="30"/>
        <v>-2487.7120020674956</v>
      </c>
      <c r="AN486" t="s">
        <v>64</v>
      </c>
      <c r="AO486" t="s">
        <v>62</v>
      </c>
      <c r="AP486">
        <f t="shared" si="31"/>
        <v>1</v>
      </c>
    </row>
    <row r="487" spans="1:42" x14ac:dyDescent="0.35">
      <c r="A487" s="48" t="s">
        <v>673</v>
      </c>
      <c r="B487" s="49" t="s">
        <v>2777</v>
      </c>
      <c r="C487" s="49" t="s">
        <v>2273</v>
      </c>
      <c r="D487" s="50">
        <v>43608</v>
      </c>
      <c r="E487" s="50">
        <v>47261</v>
      </c>
      <c r="F487" s="49">
        <v>1000</v>
      </c>
      <c r="G487" s="49" t="s">
        <v>76</v>
      </c>
      <c r="H487" s="49">
        <v>1028</v>
      </c>
      <c r="I487" s="49" t="s">
        <v>76</v>
      </c>
      <c r="J487" s="49">
        <v>102.8</v>
      </c>
      <c r="K487" s="49">
        <v>25</v>
      </c>
      <c r="L487" s="51">
        <v>0.10400000000000001</v>
      </c>
      <c r="M487" s="49" t="s">
        <v>93</v>
      </c>
      <c r="N487" s="49">
        <v>1344</v>
      </c>
      <c r="O487" s="49">
        <v>10.116731517509701</v>
      </c>
      <c r="P487" s="49"/>
      <c r="Q487" s="49"/>
      <c r="R487" s="49" t="s">
        <v>2275</v>
      </c>
      <c r="S487">
        <f t="shared" si="28"/>
        <v>10</v>
      </c>
      <c r="T487" s="5" cm="1">
        <f t="array" ref="T4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7">
        <f>Table1[[#This Row],[Term to Maturity (Years)]]*Table1[[#This Row],[Coupon Frequency2]]</f>
        <v>10</v>
      </c>
      <c r="V487">
        <f>Table1[[#This Row],[Face value]]*Table1[[#This Row],[Current coupon %]]</f>
        <v>104.00000000000001</v>
      </c>
      <c r="W487" s="36">
        <f>RATE(Table1[[#This Row],[Total No. of Coupons]],Table1[[#This Row],[Coupon Amount]],-Table1[[#This Row],[Ask Price]],Table1[[#This Row],[Face value]])</f>
        <v>9.9453815447831356E-2</v>
      </c>
      <c r="X487" s="27">
        <f>Table1[[#This Row],[IRR]]*Table1[[#This Row],[Coupon Frequency2]]</f>
        <v>9.9453815447831356E-2</v>
      </c>
      <c r="Y487" s="19" cm="1">
        <f t="array" ref="Y4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7" s="33">
        <f>DURATION(Table1[[#This Row],[Issue date]],Table1[[#This Row],[Maturity date]],Table1[[#This Row],[Current coupon %]],Table1[[#This Row],[Yield (Annualised)]],Table1[[#This Row],[Coupon Frequency2]])</f>
        <v>6.7159246591279702</v>
      </c>
      <c r="AA487" s="33">
        <f>Table1[[#This Row],[Macaulay Duration in Years]]/(1+Table1[[#This Row],[IRR]])</f>
        <v>6.108419075695716</v>
      </c>
      <c r="AB487" s="58">
        <f>VLOOKUP(Table1[[#This Row],[Yield Cluster]],'Cluster Details'!$B$3:$C$16,2,0)</f>
        <v>7.8548801574189142E-2</v>
      </c>
      <c r="AC487" s="78">
        <f>PRICE(Table1[[#This Row],[Issue date]],Table1[[#This Row],[Maturity date]],Table1[[#This Row],[Current coupon %]],Table1[[#This Row],[Average Cluster Yield]],100,Table1[[#This Row],[Coupon Frequency2]])*Table1[[#This Row],[Face value]]/100</f>
        <v>1171.9031355302789</v>
      </c>
      <c r="AD487" s="58" t="str">
        <f>IF(Table1[[#This Row],[Ask Price]]&gt;Table1[[#This Row],[Calculated Bond Price]],"Rich","Cheap")</f>
        <v>Cheap</v>
      </c>
      <c r="AE48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967.80752273138944</v>
      </c>
      <c r="AF48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1093.5772815218957</v>
      </c>
      <c r="AG487" s="78">
        <f>(Table1[[#This Row],[P (+ shock)]]+Table1[[#This Row],[P (-shock)]]-2*Table1[[#This Row],[Ask Price]])/(2*Table1[[#This Row],[Ask Price]]*($AF$2^2))</f>
        <v>26.190682165782992</v>
      </c>
      <c r="AH487">
        <v>8.4362585835718296</v>
      </c>
      <c r="AI487" s="6">
        <f t="shared" si="29"/>
        <v>0.10116731517509729</v>
      </c>
      <c r="AK487" s="47">
        <f>RATE(Table1[[#This Row],[Total No. of Coupons]],Table1[[#This Row],[Coupon Amount]],-Table1[[#This Row],[Ask Price]],Table1[[#This Row],[Face value]])</f>
        <v>9.9453815447831356E-2</v>
      </c>
      <c r="AL487" s="27">
        <f>Table1[[#This Row],[IRR]]*Table1[[#This Row],[Coupon Frequency2]]</f>
        <v>9.9453815447831356E-2</v>
      </c>
      <c r="AM487" s="5">
        <f t="shared" si="30"/>
        <v>-6279.4548098151963</v>
      </c>
      <c r="AN487" t="s">
        <v>64</v>
      </c>
      <c r="AO487" t="s">
        <v>62</v>
      </c>
      <c r="AP487">
        <f t="shared" si="31"/>
        <v>1</v>
      </c>
    </row>
    <row r="488" spans="1:42" x14ac:dyDescent="0.35">
      <c r="A488" s="48" t="s">
        <v>297</v>
      </c>
      <c r="B488" s="49" t="s">
        <v>2778</v>
      </c>
      <c r="C488" s="49" t="s">
        <v>2273</v>
      </c>
      <c r="D488" s="50">
        <v>44558</v>
      </c>
      <c r="E488" s="50">
        <v>48210</v>
      </c>
      <c r="F488" s="49">
        <v>1000</v>
      </c>
      <c r="G488" s="49" t="s">
        <v>76</v>
      </c>
      <c r="H488" s="49">
        <v>984.22</v>
      </c>
      <c r="I488" s="49" t="s">
        <v>76</v>
      </c>
      <c r="J488" s="49">
        <v>98.421999999999997</v>
      </c>
      <c r="K488" s="49">
        <v>260</v>
      </c>
      <c r="L488" s="51">
        <v>9.6999999999999989E-2</v>
      </c>
      <c r="M488" s="49" t="s">
        <v>93</v>
      </c>
      <c r="N488" s="49">
        <v>2293</v>
      </c>
      <c r="O488" s="49">
        <v>9.8555201072930796</v>
      </c>
      <c r="P488" s="49"/>
      <c r="Q488" s="49"/>
      <c r="R488" s="49" t="s">
        <v>2275</v>
      </c>
      <c r="S488">
        <f t="shared" si="28"/>
        <v>10</v>
      </c>
      <c r="T488" s="5" cm="1">
        <f t="array" ref="T4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8">
        <f>Table1[[#This Row],[Term to Maturity (Years)]]*Table1[[#This Row],[Coupon Frequency2]]</f>
        <v>10</v>
      </c>
      <c r="V488">
        <f>Table1[[#This Row],[Face value]]*Table1[[#This Row],[Current coupon %]]</f>
        <v>96.999999999999986</v>
      </c>
      <c r="W488" s="36">
        <f>RATE(Table1[[#This Row],[Total No. of Coupons]],Table1[[#This Row],[Coupon Amount]],-Table1[[#This Row],[Ask Price]],Table1[[#This Row],[Face value]])</f>
        <v>9.9563306554157335E-2</v>
      </c>
      <c r="X488" s="27">
        <f>Table1[[#This Row],[IRR]]*Table1[[#This Row],[Coupon Frequency2]]</f>
        <v>9.9563306554157335E-2</v>
      </c>
      <c r="Y488" s="19" cm="1">
        <f t="array" ref="Y4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8" s="33">
        <f>DURATION(Table1[[#This Row],[Issue date]],Table1[[#This Row],[Maturity date]],Table1[[#This Row],[Current coupon %]],Table1[[#This Row],[Yield (Annualised)]],Table1[[#This Row],[Coupon Frequency2]])</f>
        <v>6.8017483150495037</v>
      </c>
      <c r="AA488" s="33">
        <f>Table1[[#This Row],[Macaulay Duration in Years]]/(1+Table1[[#This Row],[IRR]])</f>
        <v>6.1858633100126053</v>
      </c>
      <c r="AB488" s="58">
        <f>VLOOKUP(Table1[[#This Row],[Yield Cluster]],'Cluster Details'!$B$3:$C$16,2,0)</f>
        <v>7.8548801574189142E-2</v>
      </c>
      <c r="AC488" s="78">
        <f>PRICE(Table1[[#This Row],[Issue date]],Table1[[#This Row],[Maturity date]],Table1[[#This Row],[Current coupon %]],Table1[[#This Row],[Average Cluster Yield]],100,Table1[[#This Row],[Coupon Frequency2]])*Table1[[#This Row],[Face value]]/100</f>
        <v>1124.6235564479978</v>
      </c>
      <c r="AD488" s="58" t="str">
        <f>IF(Table1[[#This Row],[Ask Price]]&gt;Table1[[#This Row],[Calculated Bond Price]],"Rich","Cheap")</f>
        <v>Cheap</v>
      </c>
      <c r="AE48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925.87609523197864</v>
      </c>
      <c r="AF48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1047.8180274005169</v>
      </c>
      <c r="AG488" s="78">
        <f>(Table1[[#This Row],[P (+ shock)]]+Table1[[#This Row],[P (-shock)]]-2*Table1[[#This Row],[Ask Price]])/(2*Table1[[#This Row],[Ask Price]]*($AF$2^2))</f>
        <v>26.691809923064135</v>
      </c>
      <c r="AH488">
        <v>10.342063071706599</v>
      </c>
      <c r="AI488" s="6">
        <f t="shared" si="29"/>
        <v>9.8555201072930837E-2</v>
      </c>
      <c r="AK488" s="47">
        <f>RATE(Table1[[#This Row],[Total No. of Coupons]],Table1[[#This Row],[Coupon Amount]],-Table1[[#This Row],[Ask Price]],Table1[[#This Row],[Face value]])</f>
        <v>9.9563306554157335E-2</v>
      </c>
      <c r="AL488" s="27">
        <f>Table1[[#This Row],[IRR]]*Table1[[#This Row],[Coupon Frequency2]]</f>
        <v>9.9563306554157335E-2</v>
      </c>
      <c r="AM488" s="5">
        <f t="shared" si="30"/>
        <v>-6088.2503869806069</v>
      </c>
      <c r="AN488" t="s">
        <v>69</v>
      </c>
      <c r="AO488" t="s">
        <v>62</v>
      </c>
      <c r="AP488">
        <f t="shared" si="31"/>
        <v>1</v>
      </c>
    </row>
    <row r="489" spans="1:42" x14ac:dyDescent="0.35">
      <c r="A489" s="48" t="s">
        <v>964</v>
      </c>
      <c r="B489" s="49" t="s">
        <v>2779</v>
      </c>
      <c r="C489" s="49" t="s">
        <v>2273</v>
      </c>
      <c r="D489" s="50">
        <v>45043</v>
      </c>
      <c r="E489" s="50">
        <v>46870</v>
      </c>
      <c r="F489" s="49">
        <v>1000</v>
      </c>
      <c r="G489" s="49" t="s">
        <v>76</v>
      </c>
      <c r="H489" s="49">
        <v>1005</v>
      </c>
      <c r="I489" s="49" t="s">
        <v>76</v>
      </c>
      <c r="J489" s="49">
        <v>100.49999999999901</v>
      </c>
      <c r="K489" s="49">
        <v>1</v>
      </c>
      <c r="L489" s="51">
        <v>0.10099999999999999</v>
      </c>
      <c r="M489" s="49" t="s">
        <v>93</v>
      </c>
      <c r="N489" s="49">
        <v>953</v>
      </c>
      <c r="O489" s="49">
        <v>10.049751243780999</v>
      </c>
      <c r="P489" s="49"/>
      <c r="Q489" s="49"/>
      <c r="R489" s="49" t="s">
        <v>2275</v>
      </c>
      <c r="S489">
        <f t="shared" si="28"/>
        <v>5</v>
      </c>
      <c r="T489" s="5" cm="1">
        <f t="array" ref="T4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89">
        <f>Table1[[#This Row],[Term to Maturity (Years)]]*Table1[[#This Row],[Coupon Frequency2]]</f>
        <v>5</v>
      </c>
      <c r="V489">
        <f>Table1[[#This Row],[Face value]]*Table1[[#This Row],[Current coupon %]]</f>
        <v>100.99999999999999</v>
      </c>
      <c r="W489" s="36">
        <f>RATE(Table1[[#This Row],[Total No. of Coupons]],Table1[[#This Row],[Coupon Amount]],-Table1[[#This Row],[Ask Price]],Table1[[#This Row],[Face value]])</f>
        <v>9.9682083664211052E-2</v>
      </c>
      <c r="X489" s="27">
        <f>Table1[[#This Row],[IRR]]*Table1[[#This Row],[Coupon Frequency2]]</f>
        <v>9.9682083664211052E-2</v>
      </c>
      <c r="Y489" s="19" cm="1">
        <f t="array" ref="Y4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89" s="33">
        <f>DURATION(Table1[[#This Row],[Issue date]],Table1[[#This Row],[Maturity date]],Table1[[#This Row],[Current coupon %]],Table1[[#This Row],[Yield (Annualised)]],Table1[[#This Row],[Coupon Frequency2]])</f>
        <v>4.1652752661684316</v>
      </c>
      <c r="AA489" s="33">
        <f>Table1[[#This Row],[Macaulay Duration in Years]]/(1+Table1[[#This Row],[IRR]])</f>
        <v>3.78770858236543</v>
      </c>
      <c r="AB489" s="58">
        <f>VLOOKUP(Table1[[#This Row],[Yield Cluster]],'Cluster Details'!$B$3:$C$16,2,0)</f>
        <v>7.8548801574189142E-2</v>
      </c>
      <c r="AC489" s="78">
        <f>PRICE(Table1[[#This Row],[Issue date]],Table1[[#This Row],[Maturity date]],Table1[[#This Row],[Current coupon %]],Table1[[#This Row],[Average Cluster Yield]],100,Table1[[#This Row],[Coupon Frequency2]])*Table1[[#This Row],[Face value]]/100</f>
        <v>1089.9850350203249</v>
      </c>
      <c r="AD489" s="58" t="str">
        <f>IF(Table1[[#This Row],[Ask Price]]&gt;Table1[[#This Row],[Calculated Bond Price]],"Rich","Cheap")</f>
        <v>Cheap</v>
      </c>
      <c r="AE48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967.88623440613196</v>
      </c>
      <c r="AF48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1044.0590854893078</v>
      </c>
      <c r="AG489" s="78">
        <f>(Table1[[#This Row],[P (+ shock)]]+Table1[[#This Row],[P (-shock)]]-2*Table1[[#This Row],[Ask Price]])/(2*Table1[[#This Row],[Ask Price]]*($AF$2^2))</f>
        <v>9.6782084350236417</v>
      </c>
      <c r="AH489">
        <v>14.650706095815901</v>
      </c>
      <c r="AI489" s="6">
        <f t="shared" si="29"/>
        <v>0.10049751243781094</v>
      </c>
      <c r="AK489" s="47">
        <f>RATE(Table1[[#This Row],[Total No. of Coupons]],Table1[[#This Row],[Coupon Amount]],-Table1[[#This Row],[Ask Price]],Table1[[#This Row],[Face value]])</f>
        <v>9.9682083664211052E-2</v>
      </c>
      <c r="AL489" s="27">
        <f>Table1[[#This Row],[IRR]]*Table1[[#This Row],[Coupon Frequency2]]</f>
        <v>9.9682083664211052E-2</v>
      </c>
      <c r="AM489" s="5">
        <f t="shared" si="30"/>
        <v>-3806.6471252772571</v>
      </c>
      <c r="AN489" t="s">
        <v>64</v>
      </c>
      <c r="AO489" t="s">
        <v>62</v>
      </c>
      <c r="AP489">
        <f t="shared" si="31"/>
        <v>1</v>
      </c>
    </row>
    <row r="490" spans="1:42" x14ac:dyDescent="0.35">
      <c r="A490" s="48" t="s">
        <v>1479</v>
      </c>
      <c r="B490" s="49" t="s">
        <v>2780</v>
      </c>
      <c r="C490" s="49" t="s">
        <v>2273</v>
      </c>
      <c r="D490" s="50">
        <v>45649</v>
      </c>
      <c r="E490" s="50">
        <v>46379</v>
      </c>
      <c r="F490" s="49">
        <v>10000</v>
      </c>
      <c r="G490" s="49" t="s">
        <v>76</v>
      </c>
      <c r="H490" s="49">
        <v>9936.0400000000009</v>
      </c>
      <c r="I490" s="49" t="s">
        <v>76</v>
      </c>
      <c r="J490" s="49">
        <v>99.360399999999998</v>
      </c>
      <c r="K490" s="49">
        <v>3</v>
      </c>
      <c r="L490" s="51">
        <v>9.6000000000000002E-2</v>
      </c>
      <c r="M490" s="49" t="s">
        <v>93</v>
      </c>
      <c r="N490" s="49">
        <v>462</v>
      </c>
      <c r="O490" s="49">
        <v>9.6617968526696707</v>
      </c>
      <c r="P490" s="49"/>
      <c r="Q490" s="49"/>
      <c r="R490" s="49" t="s">
        <v>2275</v>
      </c>
      <c r="S490">
        <f t="shared" si="28"/>
        <v>2</v>
      </c>
      <c r="T490" s="5" cm="1">
        <f t="array" ref="T4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0">
        <f>Table1[[#This Row],[Term to Maturity (Years)]]*Table1[[#This Row],[Coupon Frequency2]]</f>
        <v>2</v>
      </c>
      <c r="V490">
        <f>Table1[[#This Row],[Face value]]*Table1[[#This Row],[Current coupon %]]</f>
        <v>960</v>
      </c>
      <c r="W490" s="36">
        <f>RATE(Table1[[#This Row],[Total No. of Coupons]],Table1[[#This Row],[Coupon Amount]],-Table1[[#This Row],[Ask Price]],Table1[[#This Row],[Face value]])</f>
        <v>9.9683750291306758E-2</v>
      </c>
      <c r="X490" s="27">
        <f>Table1[[#This Row],[IRR]]*Table1[[#This Row],[Coupon Frequency2]]</f>
        <v>9.9683750291306758E-2</v>
      </c>
      <c r="Y490" s="19" cm="1">
        <f t="array" ref="Y4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90" s="33">
        <f>DURATION(Table1[[#This Row],[Issue date]],Table1[[#This Row],[Maturity date]],Table1[[#This Row],[Current coupon %]],Table1[[#This Row],[Yield (Annualised)]],Table1[[#This Row],[Coupon Frequency2]])</f>
        <v>1.9121402234950708</v>
      </c>
      <c r="AA490" s="33">
        <f>Table1[[#This Row],[Macaulay Duration in Years]]/(1+Table1[[#This Row],[IRR]])</f>
        <v>1.7388092012713146</v>
      </c>
      <c r="AB490" s="58">
        <f>VLOOKUP(Table1[[#This Row],[Yield Cluster]],'Cluster Details'!$B$3:$C$16,2,0)</f>
        <v>7.8548801574189142E-2</v>
      </c>
      <c r="AC490" s="78">
        <f>PRICE(Table1[[#This Row],[Issue date]],Table1[[#This Row],[Maturity date]],Table1[[#This Row],[Current coupon %]],Table1[[#This Row],[Average Cluster Yield]],100,Table1[[#This Row],[Coupon Frequency2]])*Table1[[#This Row],[Face value]]/100</f>
        <v>10311.821374122004</v>
      </c>
      <c r="AD490" s="58" t="str">
        <f>IF(Table1[[#This Row],[Ask Price]]&gt;Table1[[#This Row],[Calculated Bond Price]],"Rich","Cheap")</f>
        <v>Cheap</v>
      </c>
      <c r="AE49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9765.5641390432829</v>
      </c>
      <c r="AF49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10111.157535044267</v>
      </c>
      <c r="AG490" s="78">
        <f>(Table1[[#This Row],[P (+ shock)]]+Table1[[#This Row],[P (-shock)]]-2*Table1[[#This Row],[Ask Price]])/(2*Table1[[#This Row],[Ask Price]]*($AF$2^2))</f>
        <v>2.3357766713651511</v>
      </c>
      <c r="AH490">
        <v>10.3811761021063</v>
      </c>
      <c r="AI490" s="6">
        <f t="shared" si="29"/>
        <v>9.661796852669674E-2</v>
      </c>
      <c r="AK490" s="47">
        <f>RATE(Table1[[#This Row],[Total No. of Coupons]],Table1[[#This Row],[Coupon Amount]],-Table1[[#This Row],[Ask Price]],Table1[[#This Row],[Face value]])</f>
        <v>9.9683750291306758E-2</v>
      </c>
      <c r="AL490" s="27">
        <f>Table1[[#This Row],[IRR]]*Table1[[#This Row],[Coupon Frequency2]]</f>
        <v>9.9683750291306758E-2</v>
      </c>
      <c r="AM490" s="5">
        <f t="shared" si="30"/>
        <v>-17276.877776199835</v>
      </c>
      <c r="AN490" t="s">
        <v>64</v>
      </c>
      <c r="AO490" t="s">
        <v>62</v>
      </c>
      <c r="AP490">
        <f t="shared" si="31"/>
        <v>1</v>
      </c>
    </row>
    <row r="491" spans="1:42" x14ac:dyDescent="0.35">
      <c r="A491" s="48" t="s">
        <v>1692</v>
      </c>
      <c r="B491" s="49" t="s">
        <v>2781</v>
      </c>
      <c r="C491" s="49" t="s">
        <v>2273</v>
      </c>
      <c r="D491" s="50">
        <v>45511</v>
      </c>
      <c r="E491" s="50">
        <v>46241</v>
      </c>
      <c r="F491" s="49">
        <v>1000</v>
      </c>
      <c r="G491" s="49" t="s">
        <v>76</v>
      </c>
      <c r="H491" s="49">
        <v>1000.07</v>
      </c>
      <c r="I491" s="49" t="s">
        <v>76</v>
      </c>
      <c r="J491" s="49">
        <v>100.00700000000001</v>
      </c>
      <c r="K491" s="49">
        <v>50</v>
      </c>
      <c r="L491" s="51">
        <v>0.1</v>
      </c>
      <c r="M491" s="49" t="s">
        <v>93</v>
      </c>
      <c r="N491" s="49">
        <v>324</v>
      </c>
      <c r="O491" s="49">
        <v>9.9993000489965702</v>
      </c>
      <c r="P491" s="49"/>
      <c r="Q491" s="49"/>
      <c r="R491" s="49" t="s">
        <v>2275</v>
      </c>
      <c r="S491">
        <f t="shared" si="28"/>
        <v>2</v>
      </c>
      <c r="T491" s="5" cm="1">
        <f t="array" ref="T4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1">
        <f>Table1[[#This Row],[Term to Maturity (Years)]]*Table1[[#This Row],[Coupon Frequency2]]</f>
        <v>2</v>
      </c>
      <c r="V491">
        <f>Table1[[#This Row],[Face value]]*Table1[[#This Row],[Current coupon %]]</f>
        <v>100</v>
      </c>
      <c r="W491" s="36">
        <f>RATE(Table1[[#This Row],[Total No. of Coupons]],Table1[[#This Row],[Coupon Amount]],-Table1[[#This Row],[Ask Price]],Table1[[#This Row],[Face value]])</f>
        <v>9.9959668859546491E-2</v>
      </c>
      <c r="X491" s="27">
        <f>Table1[[#This Row],[IRR]]*Table1[[#This Row],[Coupon Frequency2]]</f>
        <v>9.9959668859546491E-2</v>
      </c>
      <c r="Y491" s="19" cm="1">
        <f t="array" ref="Y4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91" s="33">
        <f>DURATION(Table1[[#This Row],[Issue date]],Table1[[#This Row],[Maturity date]],Table1[[#This Row],[Current coupon %]],Table1[[#This Row],[Yield (Annualised)]],Table1[[#This Row],[Coupon Frequency2]])</f>
        <v>1.9090939392392852</v>
      </c>
      <c r="AA491" s="33">
        <f>Table1[[#This Row],[Macaulay Duration in Years]]/(1+Table1[[#This Row],[IRR]])</f>
        <v>1.7356035801009506</v>
      </c>
      <c r="AB491" s="58">
        <f>VLOOKUP(Table1[[#This Row],[Yield Cluster]],'Cluster Details'!$B$3:$C$16,2,0)</f>
        <v>7.8548801574189142E-2</v>
      </c>
      <c r="AC491" s="78">
        <f>PRICE(Table1[[#This Row],[Issue date]],Table1[[#This Row],[Maturity date]],Table1[[#This Row],[Current coupon %]],Table1[[#This Row],[Average Cluster Yield]],100,Table1[[#This Row],[Coupon Frequency2]])*Table1[[#This Row],[Face value]]/100</f>
        <v>1038.3294144418585</v>
      </c>
      <c r="AD491" s="58" t="str">
        <f>IF(Table1[[#This Row],[Ask Price]]&gt;Table1[[#This Row],[Calculated Bond Price]],"Rich","Cheap")</f>
        <v>Cheap</v>
      </c>
      <c r="AE49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982.94292120047646</v>
      </c>
      <c r="AF49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1017.6630250680005</v>
      </c>
      <c r="AG491" s="78">
        <f>(Table1[[#This Row],[P (+ shock)]]+Table1[[#This Row],[P (-shock)]]-2*Table1[[#This Row],[Ask Price]])/(2*Table1[[#This Row],[Ask Price]]*($AF$2^2))</f>
        <v>2.3295682726056928</v>
      </c>
      <c r="AH491">
        <v>8.5003035822707904</v>
      </c>
      <c r="AI491" s="6">
        <f t="shared" si="29"/>
        <v>9.9993000489965692E-2</v>
      </c>
      <c r="AK491" s="47">
        <f>RATE(Table1[[#This Row],[Total No. of Coupons]],Table1[[#This Row],[Coupon Amount]],-Table1[[#This Row],[Ask Price]],Table1[[#This Row],[Face value]])</f>
        <v>9.9959668859546491E-2</v>
      </c>
      <c r="AL491" s="27">
        <f>Table1[[#This Row],[IRR]]*Table1[[#This Row],[Coupon Frequency2]]</f>
        <v>9.9959668859546491E-2</v>
      </c>
      <c r="AM491" s="5">
        <f t="shared" si="30"/>
        <v>-1735.7250723515579</v>
      </c>
      <c r="AN491" t="s">
        <v>64</v>
      </c>
      <c r="AO491" t="s">
        <v>62</v>
      </c>
      <c r="AP491">
        <f t="shared" si="31"/>
        <v>1</v>
      </c>
    </row>
    <row r="492" spans="1:42" x14ac:dyDescent="0.35">
      <c r="A492" s="48" t="s">
        <v>892</v>
      </c>
      <c r="B492" s="49" t="s">
        <v>2782</v>
      </c>
      <c r="C492" s="49" t="s">
        <v>2273</v>
      </c>
      <c r="D492" s="50">
        <v>43318</v>
      </c>
      <c r="E492" s="50">
        <v>46971</v>
      </c>
      <c r="F492" s="49">
        <v>1000</v>
      </c>
      <c r="G492" s="49" t="s">
        <v>76</v>
      </c>
      <c r="H492" s="49">
        <v>991</v>
      </c>
      <c r="I492" s="49" t="s">
        <v>76</v>
      </c>
      <c r="J492" s="49">
        <v>99.1</v>
      </c>
      <c r="K492" s="49">
        <v>100</v>
      </c>
      <c r="L492" s="51">
        <v>9.849999999999999E-2</v>
      </c>
      <c r="M492" s="49" t="s">
        <v>93</v>
      </c>
      <c r="N492" s="49">
        <v>1054</v>
      </c>
      <c r="O492" s="49">
        <v>9.9394550958627601</v>
      </c>
      <c r="P492" s="49"/>
      <c r="Q492" s="49"/>
      <c r="R492" s="49" t="s">
        <v>2275</v>
      </c>
      <c r="S492">
        <f t="shared" si="28"/>
        <v>10</v>
      </c>
      <c r="T492" s="5" cm="1">
        <f t="array" ref="T4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2">
        <f>Table1[[#This Row],[Term to Maturity (Years)]]*Table1[[#This Row],[Coupon Frequency2]]</f>
        <v>10</v>
      </c>
      <c r="V492">
        <f>Table1[[#This Row],[Face value]]*Table1[[#This Row],[Current coupon %]]</f>
        <v>98.499999999999986</v>
      </c>
      <c r="W492" s="36">
        <f>RATE(Table1[[#This Row],[Total No. of Coupons]],Table1[[#This Row],[Coupon Amount]],-Table1[[#This Row],[Ask Price]],Table1[[#This Row],[Face value]])</f>
        <v>9.9964485094396149E-2</v>
      </c>
      <c r="X492" s="27">
        <f>Table1[[#This Row],[IRR]]*Table1[[#This Row],[Coupon Frequency2]]</f>
        <v>9.9964485094396149E-2</v>
      </c>
      <c r="Y492" s="19" cm="1">
        <f t="array" ref="Y4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2</v>
      </c>
      <c r="Z492" s="33">
        <f>DURATION(Table1[[#This Row],[Issue date]],Table1[[#This Row],[Maturity date]],Table1[[#This Row],[Current coupon %]],Table1[[#This Row],[Yield (Annualised)]],Table1[[#This Row],[Coupon Frequency2]])</f>
        <v>6.7783102463457787</v>
      </c>
      <c r="AA492" s="33">
        <f>Table1[[#This Row],[Macaulay Duration in Years]]/(1+Table1[[#This Row],[IRR]])</f>
        <v>6.1622991816541068</v>
      </c>
      <c r="AB492" s="58">
        <f>VLOOKUP(Table1[[#This Row],[Yield Cluster]],'Cluster Details'!$B$3:$C$16,2,0)</f>
        <v>7.8548801574189142E-2</v>
      </c>
      <c r="AC492" s="78">
        <f>PRICE(Table1[[#This Row],[Issue date]],Table1[[#This Row],[Maturity date]],Table1[[#This Row],[Current coupon %]],Table1[[#This Row],[Average Cluster Yield]],100,Table1[[#This Row],[Coupon Frequency2]])*Table1[[#This Row],[Face value]]/100</f>
        <v>1134.7548948227723</v>
      </c>
      <c r="AD492" s="58" t="str">
        <f>IF(Table1[[#This Row],[Ask Price]]&gt;Table1[[#This Row],[Calculated Bond Price]],"Rich","Cheap")</f>
        <v>Cheap</v>
      </c>
      <c r="AE49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932.47293158155719</v>
      </c>
      <c r="AF49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1054.7865770807391</v>
      </c>
      <c r="AG492" s="78">
        <f>(Table1[[#This Row],[P (+ shock)]]+Table1[[#This Row],[P (-shock)]]-2*Table1[[#This Row],[Ask Price]])/(2*Table1[[#This Row],[Ask Price]]*($AF$2^2))</f>
        <v>26.536370647307827</v>
      </c>
      <c r="AH492">
        <v>9.0651718475737493</v>
      </c>
      <c r="AI492" s="6">
        <f t="shared" si="29"/>
        <v>9.9394550958627634E-2</v>
      </c>
      <c r="AK492" s="47">
        <f>RATE(Table1[[#This Row],[Total No. of Coupons]],Table1[[#This Row],[Coupon Amount]],-Table1[[#This Row],[Ask Price]],Table1[[#This Row],[Face value]])</f>
        <v>9.9964485094396149E-2</v>
      </c>
      <c r="AL492" s="27">
        <f>Table1[[#This Row],[IRR]]*Table1[[#This Row],[Coupon Frequency2]]</f>
        <v>9.9964485094396149E-2</v>
      </c>
      <c r="AM492" s="5">
        <f t="shared" si="30"/>
        <v>-6106.8384890192201</v>
      </c>
      <c r="AN492" t="s">
        <v>64</v>
      </c>
      <c r="AO492" t="s">
        <v>62</v>
      </c>
      <c r="AP492">
        <f t="shared" si="31"/>
        <v>1</v>
      </c>
    </row>
    <row r="493" spans="1:42" x14ac:dyDescent="0.35">
      <c r="A493" s="48" t="s">
        <v>1199</v>
      </c>
      <c r="B493" s="49" t="s">
        <v>2783</v>
      </c>
      <c r="C493" s="49" t="s">
        <v>2273</v>
      </c>
      <c r="D493" s="50">
        <v>45499</v>
      </c>
      <c r="E493" s="50">
        <v>46594</v>
      </c>
      <c r="F493" s="49">
        <v>1000</v>
      </c>
      <c r="G493" s="49" t="s">
        <v>76</v>
      </c>
      <c r="H493" s="49">
        <v>1000</v>
      </c>
      <c r="I493" s="49" t="s">
        <v>76</v>
      </c>
      <c r="J493" s="49">
        <v>100</v>
      </c>
      <c r="K493" s="49">
        <v>55</v>
      </c>
      <c r="L493" s="51">
        <v>0.1</v>
      </c>
      <c r="M493" s="49" t="s">
        <v>93</v>
      </c>
      <c r="N493" s="49">
        <v>677</v>
      </c>
      <c r="O493" s="49">
        <v>10</v>
      </c>
      <c r="P493" s="49"/>
      <c r="Q493" s="49"/>
      <c r="R493" s="49" t="s">
        <v>2275</v>
      </c>
      <c r="S493">
        <f t="shared" si="28"/>
        <v>3</v>
      </c>
      <c r="T493" s="5" cm="1">
        <f t="array" ref="T4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3">
        <f>Table1[[#This Row],[Term to Maturity (Years)]]*Table1[[#This Row],[Coupon Frequency2]]</f>
        <v>3</v>
      </c>
      <c r="V493">
        <f>Table1[[#This Row],[Face value]]*Table1[[#This Row],[Current coupon %]]</f>
        <v>100</v>
      </c>
      <c r="W493" s="36">
        <f>RATE(Table1[[#This Row],[Total No. of Coupons]],Table1[[#This Row],[Coupon Amount]],-Table1[[#This Row],[Ask Price]],Table1[[#This Row],[Face value]])</f>
        <v>0.1</v>
      </c>
      <c r="X493" s="27">
        <f>Table1[[#This Row],[IRR]]*Table1[[#This Row],[Coupon Frequency2]]</f>
        <v>0.1</v>
      </c>
      <c r="Y493" s="19" cm="1">
        <f t="array" ref="Y4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493" s="33">
        <f>DURATION(Table1[[#This Row],[Issue date]],Table1[[#This Row],[Maturity date]],Table1[[#This Row],[Current coupon %]],Table1[[#This Row],[Yield (Annualised)]],Table1[[#This Row],[Coupon Frequency2]])</f>
        <v>2.7355371900826451</v>
      </c>
      <c r="AA493" s="33">
        <f>Table1[[#This Row],[Macaulay Duration in Years]]/(1+Table1[[#This Row],[IRR]])</f>
        <v>2.4868519909842224</v>
      </c>
      <c r="AB493" s="58">
        <f>VLOOKUP(Table1[[#This Row],[Yield Cluster]],'Cluster Details'!$B$3:$C$16,2,0)</f>
        <v>0.11069942689191503</v>
      </c>
      <c r="AC493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973.88542649689816</v>
      </c>
      <c r="AD493" s="58" t="str">
        <f>IF(Table1[[#This Row],[Ask Price]]&gt;Table1[[#This Row],[Calculated Bond Price]],"Rich","Cheap")</f>
        <v>Rich</v>
      </c>
      <c r="AE49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975.56285284554076</v>
      </c>
      <c r="AF49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1025.3129466598816</v>
      </c>
      <c r="AG493" s="78">
        <f>(Table1[[#This Row],[P (+ shock)]]+Table1[[#This Row],[P (-shock)]]-2*Table1[[#This Row],[Ask Price]])/(2*Table1[[#This Row],[Ask Price]]*($AF$2^2))</f>
        <v>4.3789975271124604</v>
      </c>
      <c r="AH493">
        <v>5.0921290976895701</v>
      </c>
      <c r="AI493" s="6">
        <f t="shared" si="29"/>
        <v>0.1</v>
      </c>
      <c r="AK493" s="47">
        <f>RATE(Table1[[#This Row],[Total No. of Coupons]],Table1[[#This Row],[Coupon Amount]],-Table1[[#This Row],[Ask Price]],Table1[[#This Row],[Face value]])</f>
        <v>0.1</v>
      </c>
      <c r="AL493" s="27">
        <f>Table1[[#This Row],[IRR]]*Table1[[#This Row],[Coupon Frequency2]]</f>
        <v>0.1</v>
      </c>
      <c r="AM493" s="5">
        <f t="shared" si="30"/>
        <v>-2486.8519909842225</v>
      </c>
      <c r="AN493" t="s">
        <v>64</v>
      </c>
      <c r="AO493" t="s">
        <v>62</v>
      </c>
      <c r="AP493">
        <f t="shared" si="31"/>
        <v>1</v>
      </c>
    </row>
    <row r="494" spans="1:42" x14ac:dyDescent="0.35">
      <c r="A494" s="48" t="s">
        <v>1221</v>
      </c>
      <c r="B494" s="49" t="s">
        <v>2784</v>
      </c>
      <c r="C494" s="49" t="s">
        <v>2273</v>
      </c>
      <c r="D494" s="50">
        <v>45476</v>
      </c>
      <c r="E494" s="50">
        <v>46571</v>
      </c>
      <c r="F494" s="49">
        <v>1000</v>
      </c>
      <c r="G494" s="49" t="s">
        <v>76</v>
      </c>
      <c r="H494" s="49">
        <v>1000</v>
      </c>
      <c r="I494" s="49" t="s">
        <v>76</v>
      </c>
      <c r="J494" s="49">
        <v>100</v>
      </c>
      <c r="K494" s="49">
        <v>1087</v>
      </c>
      <c r="L494" s="51">
        <v>0.1</v>
      </c>
      <c r="M494" s="49" t="s">
        <v>93</v>
      </c>
      <c r="N494" s="49">
        <v>654</v>
      </c>
      <c r="O494" s="49">
        <v>10</v>
      </c>
      <c r="P494" s="49"/>
      <c r="Q494" s="49"/>
      <c r="R494" s="49" t="s">
        <v>2275</v>
      </c>
      <c r="S494">
        <f t="shared" si="28"/>
        <v>3</v>
      </c>
      <c r="T494" s="5" cm="1">
        <f t="array" ref="T4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4">
        <f>Table1[[#This Row],[Term to Maturity (Years)]]*Table1[[#This Row],[Coupon Frequency2]]</f>
        <v>3</v>
      </c>
      <c r="V494">
        <f>Table1[[#This Row],[Face value]]*Table1[[#This Row],[Current coupon %]]</f>
        <v>100</v>
      </c>
      <c r="W494" s="36">
        <f>RATE(Table1[[#This Row],[Total No. of Coupons]],Table1[[#This Row],[Coupon Amount]],-Table1[[#This Row],[Ask Price]],Table1[[#This Row],[Face value]])</f>
        <v>0.1</v>
      </c>
      <c r="X494" s="27">
        <f>Table1[[#This Row],[IRR]]*Table1[[#This Row],[Coupon Frequency2]]</f>
        <v>0.1</v>
      </c>
      <c r="Y494" s="19" cm="1">
        <f t="array" ref="Y4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494" s="33">
        <f>DURATION(Table1[[#This Row],[Issue date]],Table1[[#This Row],[Maturity date]],Table1[[#This Row],[Current coupon %]],Table1[[#This Row],[Yield (Annualised)]],Table1[[#This Row],[Coupon Frequency2]])</f>
        <v>2.7355371900826451</v>
      </c>
      <c r="AA494" s="33">
        <f>Table1[[#This Row],[Macaulay Duration in Years]]/(1+Table1[[#This Row],[IRR]])</f>
        <v>2.4868519909842224</v>
      </c>
      <c r="AB494" s="58">
        <f>VLOOKUP(Table1[[#This Row],[Yield Cluster]],'Cluster Details'!$B$3:$C$16,2,0)</f>
        <v>0.11069942689191503</v>
      </c>
      <c r="AC494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973.88542649689816</v>
      </c>
      <c r="AD494" s="58" t="str">
        <f>IF(Table1[[#This Row],[Ask Price]]&gt;Table1[[#This Row],[Calculated Bond Price]],"Rich","Cheap")</f>
        <v>Rich</v>
      </c>
      <c r="AE49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975.56285284554076</v>
      </c>
      <c r="AF49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1025.3129466598816</v>
      </c>
      <c r="AG494" s="78">
        <f>(Table1[[#This Row],[P (+ shock)]]+Table1[[#This Row],[P (-shock)]]-2*Table1[[#This Row],[Ask Price]])/(2*Table1[[#This Row],[Ask Price]]*($AF$2^2))</f>
        <v>4.3789975271124604</v>
      </c>
      <c r="AH494">
        <v>4.1718875209441197</v>
      </c>
      <c r="AI494" s="6">
        <f t="shared" si="29"/>
        <v>0.1</v>
      </c>
      <c r="AK494" s="47">
        <f>RATE(Table1[[#This Row],[Total No. of Coupons]],Table1[[#This Row],[Coupon Amount]],-Table1[[#This Row],[Ask Price]],Table1[[#This Row],[Face value]])</f>
        <v>0.1</v>
      </c>
      <c r="AL494" s="27">
        <f>Table1[[#This Row],[IRR]]*Table1[[#This Row],[Coupon Frequency2]]</f>
        <v>0.1</v>
      </c>
      <c r="AM494" s="5">
        <f t="shared" si="30"/>
        <v>-2486.8519909842225</v>
      </c>
      <c r="AN494" t="s">
        <v>64</v>
      </c>
      <c r="AO494" t="s">
        <v>62</v>
      </c>
      <c r="AP494">
        <f t="shared" si="31"/>
        <v>1</v>
      </c>
    </row>
    <row r="495" spans="1:42" x14ac:dyDescent="0.35">
      <c r="A495" s="48" t="s">
        <v>472</v>
      </c>
      <c r="B495" s="49" t="s">
        <v>2785</v>
      </c>
      <c r="C495" s="49" t="s">
        <v>2273</v>
      </c>
      <c r="D495" s="50">
        <v>45412</v>
      </c>
      <c r="E495" s="50">
        <v>47603</v>
      </c>
      <c r="F495" s="49">
        <v>1000</v>
      </c>
      <c r="G495" s="49" t="s">
        <v>76</v>
      </c>
      <c r="H495" s="49">
        <v>1000</v>
      </c>
      <c r="I495" s="49" t="s">
        <v>76</v>
      </c>
      <c r="J495" s="49">
        <v>100</v>
      </c>
      <c r="K495" s="49">
        <v>10</v>
      </c>
      <c r="L495" s="51">
        <v>0.1</v>
      </c>
      <c r="M495" s="49" t="s">
        <v>93</v>
      </c>
      <c r="N495" s="49">
        <v>1686</v>
      </c>
      <c r="O495" s="49">
        <v>10</v>
      </c>
      <c r="P495" s="49"/>
      <c r="Q495" s="49"/>
      <c r="R495" s="49" t="s">
        <v>2275</v>
      </c>
      <c r="S495">
        <f t="shared" si="28"/>
        <v>6</v>
      </c>
      <c r="T495" s="5" cm="1">
        <f t="array" ref="T4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5">
        <f>Table1[[#This Row],[Term to Maturity (Years)]]*Table1[[#This Row],[Coupon Frequency2]]</f>
        <v>6</v>
      </c>
      <c r="V495">
        <f>Table1[[#This Row],[Face value]]*Table1[[#This Row],[Current coupon %]]</f>
        <v>100</v>
      </c>
      <c r="W495" s="36">
        <f>RATE(Table1[[#This Row],[Total No. of Coupons]],Table1[[#This Row],[Coupon Amount]],-Table1[[#This Row],[Ask Price]],Table1[[#This Row],[Face value]])</f>
        <v>0.1</v>
      </c>
      <c r="X495" s="27">
        <f>Table1[[#This Row],[IRR]]*Table1[[#This Row],[Coupon Frequency2]]</f>
        <v>0.1</v>
      </c>
      <c r="Y495" s="19" cm="1">
        <f t="array" ref="Y4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495" s="33">
        <f>DURATION(Table1[[#This Row],[Issue date]],Table1[[#This Row],[Maturity date]],Table1[[#This Row],[Current coupon %]],Table1[[#This Row],[Yield (Annualised)]],Table1[[#This Row],[Coupon Frequency2]])</f>
        <v>4.7907867694084478</v>
      </c>
      <c r="AA495" s="33">
        <f>Table1[[#This Row],[Macaulay Duration in Years]]/(1+Table1[[#This Row],[IRR]])</f>
        <v>4.3552606994622254</v>
      </c>
      <c r="AB495" s="58">
        <f>VLOOKUP(Table1[[#This Row],[Yield Cluster]],'Cluster Details'!$B$3:$C$16,2,0)</f>
        <v>0.11069942689191503</v>
      </c>
      <c r="AC495" s="78">
        <f>PRICE(Table1[[#This Row],[Issue date]],Table1[[#This Row],[Maturity date]],Table1[[#This Row],[Current coupon %]],Table1[[#This Row],[Average Cluster Yield]],100,Table1[[#This Row],[Coupon Frequency2]])*Table1[[#This Row],[Face value]]/100</f>
        <v>954.82672561215441</v>
      </c>
      <c r="AD495" s="58" t="str">
        <f>IF(Table1[[#This Row],[Ask Price]]&gt;Table1[[#This Row],[Calculated Bond Price]],"Rich","Cheap")</f>
        <v>Rich</v>
      </c>
      <c r="AE49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957.69462146261708</v>
      </c>
      <c r="AF49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1044.859185902309</v>
      </c>
      <c r="AG495" s="78">
        <f>(Table1[[#This Row],[P (+ shock)]]+Table1[[#This Row],[P (-shock)]]-2*Table1[[#This Row],[Ask Price]])/(2*Table1[[#This Row],[Ask Price]]*($AF$2^2))</f>
        <v>12.769036824630575</v>
      </c>
      <c r="AH495">
        <v>9.7483908564849902</v>
      </c>
      <c r="AI495" s="6">
        <f t="shared" si="29"/>
        <v>0.1</v>
      </c>
      <c r="AK495" s="47">
        <f>RATE(Table1[[#This Row],[Total No. of Coupons]],Table1[[#This Row],[Coupon Amount]],-Table1[[#This Row],[Ask Price]],Table1[[#This Row],[Face value]])</f>
        <v>0.1</v>
      </c>
      <c r="AL495" s="27">
        <f>Table1[[#This Row],[IRR]]*Table1[[#This Row],[Coupon Frequency2]]</f>
        <v>0.1</v>
      </c>
      <c r="AM495" s="5">
        <f t="shared" si="30"/>
        <v>-4355.2606994622256</v>
      </c>
      <c r="AN495" t="s">
        <v>64</v>
      </c>
      <c r="AO495" t="s">
        <v>62</v>
      </c>
      <c r="AP495">
        <f t="shared" si="31"/>
        <v>1</v>
      </c>
    </row>
    <row r="496" spans="1:42" x14ac:dyDescent="0.35">
      <c r="A496" s="48" t="s">
        <v>1747</v>
      </c>
      <c r="B496" s="49" t="s">
        <v>2786</v>
      </c>
      <c r="C496" s="49" t="s">
        <v>2273</v>
      </c>
      <c r="D496" s="50">
        <v>45476</v>
      </c>
      <c r="E496" s="50">
        <v>46206</v>
      </c>
      <c r="F496" s="49">
        <v>1000</v>
      </c>
      <c r="G496" s="49" t="s">
        <v>76</v>
      </c>
      <c r="H496" s="49">
        <v>991.2</v>
      </c>
      <c r="I496" s="49" t="s">
        <v>76</v>
      </c>
      <c r="J496" s="49">
        <v>99.12</v>
      </c>
      <c r="K496" s="49">
        <v>100</v>
      </c>
      <c r="L496" s="51">
        <v>9.5000000000000001E-2</v>
      </c>
      <c r="M496" s="49" t="s">
        <v>93</v>
      </c>
      <c r="N496" s="49">
        <v>289</v>
      </c>
      <c r="O496" s="49">
        <v>9.5843422114608501</v>
      </c>
      <c r="P496" s="49"/>
      <c r="Q496" s="49"/>
      <c r="R496" s="49" t="s">
        <v>2275</v>
      </c>
      <c r="S496">
        <f t="shared" si="28"/>
        <v>2</v>
      </c>
      <c r="T496" s="5" cm="1">
        <f t="array" ref="T4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6">
        <f>Table1[[#This Row],[Term to Maturity (Years)]]*Table1[[#This Row],[Coupon Frequency2]]</f>
        <v>2</v>
      </c>
      <c r="V496">
        <f>Table1[[#This Row],[Face value]]*Table1[[#This Row],[Current coupon %]]</f>
        <v>95</v>
      </c>
      <c r="W496" s="36">
        <f>RATE(Table1[[#This Row],[Total No. of Coupons]],Table1[[#This Row],[Coupon Amount]],-Table1[[#This Row],[Ask Price]],Table1[[#This Row],[Face value]])</f>
        <v>0.10007095902013316</v>
      </c>
      <c r="X496" s="27">
        <f>Table1[[#This Row],[IRR]]*Table1[[#This Row],[Coupon Frequency2]]</f>
        <v>0.10007095902013316</v>
      </c>
      <c r="Y496" s="19" cm="1">
        <f t="array" ref="Y4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496" s="33">
        <f>DURATION(Table1[[#This Row],[Issue date]],Table1[[#This Row],[Maturity date]],Table1[[#This Row],[Current coupon %]],Table1[[#This Row],[Yield (Annualised)]],Table1[[#This Row],[Coupon Frequency2]])</f>
        <v>1.9128752365239121</v>
      </c>
      <c r="AA496" s="33">
        <f>Table1[[#This Row],[Macaulay Duration in Years]]/(1+Table1[[#This Row],[IRR]])</f>
        <v>1.7388653166771793</v>
      </c>
      <c r="AB496" s="58">
        <f>VLOOKUP(Table1[[#This Row],[Yield Cluster]],'Cluster Details'!$B$3:$C$16,2,0)</f>
        <v>0.11069942689191503</v>
      </c>
      <c r="AC496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973.13931428264948</v>
      </c>
      <c r="AD496" s="58" t="str">
        <f>IF(Table1[[#This Row],[Ask Price]]&gt;Table1[[#This Row],[Calculated Bond Price]],"Rich","Cheap")</f>
        <v>Rich</v>
      </c>
      <c r="AE49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974.19306267238426</v>
      </c>
      <c r="AF49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1008.669896651895</v>
      </c>
      <c r="AG496" s="78">
        <f>(Table1[[#This Row],[P (+ shock)]]+Table1[[#This Row],[P (-shock)]]-2*Table1[[#This Row],[Ask Price]])/(2*Table1[[#This Row],[Ask Price]]*($AF$2^2))</f>
        <v>2.3353476809884697</v>
      </c>
      <c r="AI496" s="6">
        <f t="shared" si="29"/>
        <v>9.5843422114608556E-2</v>
      </c>
      <c r="AK496" s="47">
        <f>RATE(Table1[[#This Row],[Total No. of Coupons]],Table1[[#This Row],[Coupon Amount]],-Table1[[#This Row],[Ask Price]],Table1[[#This Row],[Face value]])</f>
        <v>0.10007095902013316</v>
      </c>
      <c r="AL496" s="27">
        <f>Table1[[#This Row],[IRR]]*Table1[[#This Row],[Coupon Frequency2]]</f>
        <v>0.10007095902013316</v>
      </c>
      <c r="AM496" s="5">
        <f t="shared" si="30"/>
        <v>-1723.5633018904202</v>
      </c>
      <c r="AN496" t="s">
        <v>64</v>
      </c>
      <c r="AO496" t="s">
        <v>62</v>
      </c>
      <c r="AP496">
        <f t="shared" si="31"/>
        <v>1</v>
      </c>
    </row>
    <row r="497" spans="1:42" x14ac:dyDescent="0.35">
      <c r="A497" s="48" t="s">
        <v>1641</v>
      </c>
      <c r="B497" s="49" t="s">
        <v>2787</v>
      </c>
      <c r="C497" s="49" t="s">
        <v>2273</v>
      </c>
      <c r="D497" s="50">
        <v>44449</v>
      </c>
      <c r="E497" s="50">
        <v>46275</v>
      </c>
      <c r="F497" s="49">
        <v>1000</v>
      </c>
      <c r="G497" s="49" t="s">
        <v>76</v>
      </c>
      <c r="H497" s="49">
        <v>982</v>
      </c>
      <c r="I497" s="49" t="s">
        <v>76</v>
      </c>
      <c r="J497" s="49">
        <v>98.2</v>
      </c>
      <c r="K497" s="49">
        <v>1</v>
      </c>
      <c r="L497" s="51">
        <v>9.5500000000000002E-2</v>
      </c>
      <c r="M497" s="49" t="s">
        <v>93</v>
      </c>
      <c r="N497" s="49">
        <v>358</v>
      </c>
      <c r="O497" s="49">
        <v>9.7250509164969401</v>
      </c>
      <c r="P497" s="49"/>
      <c r="Q497" s="49"/>
      <c r="R497" s="49" t="s">
        <v>2275</v>
      </c>
      <c r="S497">
        <f t="shared" si="28"/>
        <v>5</v>
      </c>
      <c r="T497" s="5" cm="1">
        <f t="array" ref="T4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7">
        <f>Table1[[#This Row],[Term to Maturity (Years)]]*Table1[[#This Row],[Coupon Frequency2]]</f>
        <v>5</v>
      </c>
      <c r="V497">
        <f>Table1[[#This Row],[Face value]]*Table1[[#This Row],[Current coupon %]]</f>
        <v>95.5</v>
      </c>
      <c r="W497" s="36">
        <f>RATE(Table1[[#This Row],[Total No. of Coupons]],Table1[[#This Row],[Coupon Amount]],-Table1[[#This Row],[Ask Price]],Table1[[#This Row],[Face value]])</f>
        <v>0.10025140468728895</v>
      </c>
      <c r="X497" s="27">
        <f>Table1[[#This Row],[IRR]]*Table1[[#This Row],[Coupon Frequency2]]</f>
        <v>0.10025140468728895</v>
      </c>
      <c r="Y497" s="19" cm="1">
        <f t="array" ref="Y4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497" s="33">
        <f>DURATION(Table1[[#This Row],[Issue date]],Table1[[#This Row],[Maturity date]],Table1[[#This Row],[Current coupon %]],Table1[[#This Row],[Yield (Annualised)]],Table1[[#This Row],[Coupon Frequency2]])</f>
        <v>4.1930417405953166</v>
      </c>
      <c r="AA497" s="33">
        <f>Table1[[#This Row],[Macaulay Duration in Years]]/(1+Table1[[#This Row],[IRR]])</f>
        <v>3.8109851282462612</v>
      </c>
      <c r="AB497" s="58">
        <f>VLOOKUP(Table1[[#This Row],[Yield Cluster]],'Cluster Details'!$B$3:$C$16,2,0)</f>
        <v>0.11069942689191503</v>
      </c>
      <c r="AC497" s="78">
        <f>PRICE(Table1[[#This Row],[Issue date]],Table1[[#This Row],[Maturity date]],Table1[[#This Row],[Current coupon %]],Table1[[#This Row],[Average Cluster Yield]],100,Table1[[#This Row],[Coupon Frequency2]])*Table1[[#This Row],[Face value]]/100</f>
        <v>943.92318114391207</v>
      </c>
      <c r="AD497" s="58" t="str">
        <f>IF(Table1[[#This Row],[Ask Price]]&gt;Table1[[#This Row],[Calculated Bond Price]],"Rich","Cheap")</f>
        <v>Rich</v>
      </c>
      <c r="AE49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945.51478921939884</v>
      </c>
      <c r="AF49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1020.4018952223233</v>
      </c>
      <c r="AG497" s="78">
        <f>(Table1[[#This Row],[P (+ shock)]]+Table1[[#This Row],[P (-shock)]]-2*Table1[[#This Row],[Ask Price]])/(2*Table1[[#This Row],[Ask Price]]*($AF$2^2))</f>
        <v>9.75908575215011</v>
      </c>
      <c r="AH497">
        <v>7.3080455891725702</v>
      </c>
      <c r="AI497" s="6">
        <f t="shared" si="29"/>
        <v>9.7250509164969454E-2</v>
      </c>
      <c r="AK497" s="47">
        <f>RATE(Table1[[#This Row],[Total No. of Coupons]],Table1[[#This Row],[Coupon Amount]],-Table1[[#This Row],[Ask Price]],Table1[[#This Row],[Face value]])</f>
        <v>0.10025140468728895</v>
      </c>
      <c r="AL497" s="27">
        <f>Table1[[#This Row],[IRR]]*Table1[[#This Row],[Coupon Frequency2]]</f>
        <v>0.10025140468728895</v>
      </c>
      <c r="AM497" s="5">
        <f t="shared" si="30"/>
        <v>-3742.3873959378284</v>
      </c>
      <c r="AN497" t="s">
        <v>64</v>
      </c>
      <c r="AO497" t="s">
        <v>62</v>
      </c>
      <c r="AP497">
        <f t="shared" si="31"/>
        <v>1</v>
      </c>
    </row>
    <row r="498" spans="1:42" x14ac:dyDescent="0.35">
      <c r="A498" s="48" t="s">
        <v>543</v>
      </c>
      <c r="B498" s="49" t="s">
        <v>2788</v>
      </c>
      <c r="C498" s="49" t="s">
        <v>2273</v>
      </c>
      <c r="D498" s="50">
        <v>45667</v>
      </c>
      <c r="E498" s="50">
        <v>47493</v>
      </c>
      <c r="F498" s="49">
        <v>1000</v>
      </c>
      <c r="G498" s="49" t="s">
        <v>76</v>
      </c>
      <c r="H498" s="49">
        <v>995</v>
      </c>
      <c r="I498" s="49" t="s">
        <v>76</v>
      </c>
      <c r="J498" s="49">
        <v>99.5</v>
      </c>
      <c r="K498" s="49">
        <v>2</v>
      </c>
      <c r="L498" s="51">
        <v>9.9000000000000005E-2</v>
      </c>
      <c r="M498" s="49" t="s">
        <v>93</v>
      </c>
      <c r="N498" s="49">
        <v>1576</v>
      </c>
      <c r="O498" s="49">
        <v>9.9497487437185903</v>
      </c>
      <c r="P498" s="49"/>
      <c r="Q498" s="49"/>
      <c r="R498" s="49" t="s">
        <v>2275</v>
      </c>
      <c r="S498">
        <f t="shared" si="28"/>
        <v>5</v>
      </c>
      <c r="T498" s="5" cm="1">
        <f t="array" ref="T4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8">
        <f>Table1[[#This Row],[Term to Maturity (Years)]]*Table1[[#This Row],[Coupon Frequency2]]</f>
        <v>5</v>
      </c>
      <c r="V498">
        <f>Table1[[#This Row],[Face value]]*Table1[[#This Row],[Current coupon %]]</f>
        <v>99</v>
      </c>
      <c r="W498" s="36">
        <f>RATE(Table1[[#This Row],[Total No. of Coupons]],Table1[[#This Row],[Coupon Amount]],-Table1[[#This Row],[Ask Price]],Table1[[#This Row],[Face value]])</f>
        <v>0.10032006606076428</v>
      </c>
      <c r="X498" s="27">
        <f>Table1[[#This Row],[IRR]]*Table1[[#This Row],[Coupon Frequency2]]</f>
        <v>0.10032006606076428</v>
      </c>
      <c r="Y498" s="19" cm="1">
        <f t="array" ref="Y4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498" s="33">
        <f>DURATION(Table1[[#This Row],[Issue date]],Table1[[#This Row],[Maturity date]],Table1[[#This Row],[Current coupon %]],Table1[[#This Row],[Yield (Annualised)]],Table1[[#This Row],[Coupon Frequency2]])</f>
        <v>4.1744951839564681</v>
      </c>
      <c r="AA498" s="33">
        <f>Table1[[#This Row],[Macaulay Duration in Years]]/(1+Table1[[#This Row],[IRR]])</f>
        <v>3.793891716345319</v>
      </c>
      <c r="AB498" s="58">
        <f>VLOOKUP(Table1[[#This Row],[Yield Cluster]],'Cluster Details'!$B$3:$C$16,2,0)</f>
        <v>0.11069942689191503</v>
      </c>
      <c r="AC498" s="78">
        <f>PRICE(Table1[[#This Row],[Issue date]],Table1[[#This Row],[Maturity date]],Table1[[#This Row],[Current coupon %]],Table1[[#This Row],[Average Cluster Yield]],100,Table1[[#This Row],[Coupon Frequency2]])*Table1[[#This Row],[Face value]]/100</f>
        <v>956.83609341303895</v>
      </c>
      <c r="AD498" s="58" t="str">
        <f>IF(Table1[[#This Row],[Ask Price]]&gt;Table1[[#This Row],[Calculated Bond Price]],"Rich","Cheap")</f>
        <v>Rich</v>
      </c>
      <c r="AE49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958.19586512554849</v>
      </c>
      <c r="AF49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1033.7338964623523</v>
      </c>
      <c r="AG498" s="78">
        <f>(Table1[[#This Row],[P (+ shock)]]+Table1[[#This Row],[P (-shock)]]-2*Table1[[#This Row],[Ask Price]])/(2*Table1[[#This Row],[Ask Price]]*($AF$2^2))</f>
        <v>9.6972944115622326</v>
      </c>
      <c r="AH498">
        <v>45.186472661262101</v>
      </c>
      <c r="AI498" s="6">
        <f t="shared" si="29"/>
        <v>9.9497487437185936E-2</v>
      </c>
      <c r="AK498" s="47">
        <f>RATE(Table1[[#This Row],[Total No. of Coupons]],Table1[[#This Row],[Coupon Amount]],-Table1[[#This Row],[Ask Price]],Table1[[#This Row],[Face value]])</f>
        <v>0.10032006606076428</v>
      </c>
      <c r="AL498" s="27">
        <f>Table1[[#This Row],[IRR]]*Table1[[#This Row],[Coupon Frequency2]]</f>
        <v>0.10032006606076428</v>
      </c>
      <c r="AM498" s="5">
        <f t="shared" si="30"/>
        <v>-3774.9222577635924</v>
      </c>
      <c r="AN498" t="s">
        <v>64</v>
      </c>
      <c r="AO498" t="s">
        <v>62</v>
      </c>
      <c r="AP498">
        <f t="shared" si="31"/>
        <v>1</v>
      </c>
    </row>
    <row r="499" spans="1:42" x14ac:dyDescent="0.35">
      <c r="A499" s="48" t="s">
        <v>574</v>
      </c>
      <c r="B499" s="49" t="s">
        <v>2789</v>
      </c>
      <c r="C499" s="49" t="s">
        <v>2273</v>
      </c>
      <c r="D499" s="50">
        <v>45595</v>
      </c>
      <c r="E499" s="50">
        <v>47421</v>
      </c>
      <c r="F499" s="49">
        <v>1000</v>
      </c>
      <c r="G499" s="49" t="s">
        <v>76</v>
      </c>
      <c r="H499" s="49">
        <v>995</v>
      </c>
      <c r="I499" s="49" t="s">
        <v>76</v>
      </c>
      <c r="J499" s="49">
        <v>99.5</v>
      </c>
      <c r="K499" s="49">
        <v>45</v>
      </c>
      <c r="L499" s="51">
        <v>9.9000000000000005E-2</v>
      </c>
      <c r="M499" s="49" t="s">
        <v>93</v>
      </c>
      <c r="N499" s="49">
        <v>1504</v>
      </c>
      <c r="O499" s="49">
        <v>9.9497487437185903</v>
      </c>
      <c r="P499" s="49"/>
      <c r="Q499" s="49"/>
      <c r="R499" s="49" t="s">
        <v>2275</v>
      </c>
      <c r="S499">
        <f t="shared" si="28"/>
        <v>5</v>
      </c>
      <c r="T499" s="5" cm="1">
        <f t="array" ref="T4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499">
        <f>Table1[[#This Row],[Term to Maturity (Years)]]*Table1[[#This Row],[Coupon Frequency2]]</f>
        <v>5</v>
      </c>
      <c r="V499">
        <f>Table1[[#This Row],[Face value]]*Table1[[#This Row],[Current coupon %]]</f>
        <v>99</v>
      </c>
      <c r="W499" s="36">
        <f>RATE(Table1[[#This Row],[Total No. of Coupons]],Table1[[#This Row],[Coupon Amount]],-Table1[[#This Row],[Ask Price]],Table1[[#This Row],[Face value]])</f>
        <v>0.10032006606076428</v>
      </c>
      <c r="X499" s="27">
        <f>Table1[[#This Row],[IRR]]*Table1[[#This Row],[Coupon Frequency2]]</f>
        <v>0.10032006606076428</v>
      </c>
      <c r="Y499" s="19" cm="1">
        <f t="array" ref="Y4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499" s="33">
        <f>DURATION(Table1[[#This Row],[Issue date]],Table1[[#This Row],[Maturity date]],Table1[[#This Row],[Current coupon %]],Table1[[#This Row],[Yield (Annualised)]],Table1[[#This Row],[Coupon Frequency2]])</f>
        <v>4.1744951839564681</v>
      </c>
      <c r="AA499" s="33">
        <f>Table1[[#This Row],[Macaulay Duration in Years]]/(1+Table1[[#This Row],[IRR]])</f>
        <v>3.793891716345319</v>
      </c>
      <c r="AB499" s="58">
        <f>VLOOKUP(Table1[[#This Row],[Yield Cluster]],'Cluster Details'!$B$3:$C$16,2,0)</f>
        <v>0.11069942689191503</v>
      </c>
      <c r="AC499" s="78">
        <f>PRICE(Table1[[#This Row],[Issue date]],Table1[[#This Row],[Maturity date]],Table1[[#This Row],[Current coupon %]],Table1[[#This Row],[Average Cluster Yield]],100,Table1[[#This Row],[Coupon Frequency2]])*Table1[[#This Row],[Face value]]/100</f>
        <v>956.83609341303895</v>
      </c>
      <c r="AD499" s="58" t="str">
        <f>IF(Table1[[#This Row],[Ask Price]]&gt;Table1[[#This Row],[Calculated Bond Price]],"Rich","Cheap")</f>
        <v>Rich</v>
      </c>
      <c r="AE49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958.19586512554849</v>
      </c>
      <c r="AF49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1033.7338964623523</v>
      </c>
      <c r="AG499" s="78">
        <f>(Table1[[#This Row],[P (+ shock)]]+Table1[[#This Row],[P (-shock)]]-2*Table1[[#This Row],[Ask Price]])/(2*Table1[[#This Row],[Ask Price]]*($AF$2^2))</f>
        <v>9.6972944115622326</v>
      </c>
      <c r="AH499">
        <v>11.2623819163292</v>
      </c>
      <c r="AI499" s="6">
        <f t="shared" si="29"/>
        <v>9.9497487437185936E-2</v>
      </c>
      <c r="AK499" s="47">
        <f>RATE(Table1[[#This Row],[Total No. of Coupons]],Table1[[#This Row],[Coupon Amount]],-Table1[[#This Row],[Ask Price]],Table1[[#This Row],[Face value]])</f>
        <v>0.10032006606076428</v>
      </c>
      <c r="AL499" s="27">
        <f>Table1[[#This Row],[IRR]]*Table1[[#This Row],[Coupon Frequency2]]</f>
        <v>0.10032006606076428</v>
      </c>
      <c r="AM499" s="5">
        <f t="shared" si="30"/>
        <v>-3774.9222577635924</v>
      </c>
      <c r="AN499" t="s">
        <v>64</v>
      </c>
      <c r="AO499" t="s">
        <v>62</v>
      </c>
      <c r="AP499">
        <f t="shared" si="31"/>
        <v>1</v>
      </c>
    </row>
    <row r="500" spans="1:42" x14ac:dyDescent="0.35">
      <c r="A500" s="48" t="s">
        <v>224</v>
      </c>
      <c r="B500" s="49" t="s">
        <v>2790</v>
      </c>
      <c r="C500" s="49" t="s">
        <v>2273</v>
      </c>
      <c r="D500" s="50">
        <v>45184</v>
      </c>
      <c r="E500" s="50">
        <v>48837</v>
      </c>
      <c r="F500" s="49">
        <v>1000</v>
      </c>
      <c r="G500" s="49" t="s">
        <v>76</v>
      </c>
      <c r="H500" s="49">
        <v>1024.8</v>
      </c>
      <c r="I500" s="49" t="s">
        <v>76</v>
      </c>
      <c r="J500" s="49">
        <v>102.479999999999</v>
      </c>
      <c r="K500" s="49">
        <v>300</v>
      </c>
      <c r="L500" s="51">
        <v>0.1045</v>
      </c>
      <c r="M500" s="49" t="s">
        <v>93</v>
      </c>
      <c r="N500" s="49">
        <v>2920</v>
      </c>
      <c r="O500" s="49">
        <v>10.197111631537799</v>
      </c>
      <c r="P500" s="49"/>
      <c r="Q500" s="49"/>
      <c r="R500" s="49" t="s">
        <v>2275</v>
      </c>
      <c r="S500">
        <f t="shared" si="28"/>
        <v>10</v>
      </c>
      <c r="T500" s="5" cm="1">
        <f t="array" ref="T5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0">
        <f>Table1[[#This Row],[Term to Maturity (Years)]]*Table1[[#This Row],[Coupon Frequency2]]</f>
        <v>10</v>
      </c>
      <c r="V500">
        <f>Table1[[#This Row],[Face value]]*Table1[[#This Row],[Current coupon %]]</f>
        <v>104.5</v>
      </c>
      <c r="W500" s="36">
        <f>RATE(Table1[[#This Row],[Total No. of Coupons]],Table1[[#This Row],[Coupon Amount]],-Table1[[#This Row],[Ask Price]],Table1[[#This Row],[Face value]])</f>
        <v>0.10045600439919174</v>
      </c>
      <c r="X500" s="27">
        <f>Table1[[#This Row],[IRR]]*Table1[[#This Row],[Coupon Frequency2]]</f>
        <v>0.10045600439919174</v>
      </c>
      <c r="Y500" s="19" cm="1">
        <f t="array" ref="Y5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0" s="33">
        <f>DURATION(Table1[[#This Row],[Issue date]],Table1[[#This Row],[Maturity date]],Table1[[#This Row],[Current coupon %]],Table1[[#This Row],[Yield (Annualised)]],Table1[[#This Row],[Coupon Frequency2]])</f>
        <v>6.699561320101191</v>
      </c>
      <c r="AA500" s="33">
        <f>Table1[[#This Row],[Macaulay Duration in Years]]/(1+Table1[[#This Row],[IRR]])</f>
        <v>6.0879865195146108</v>
      </c>
      <c r="AB500" s="58">
        <f>VLOOKUP(Table1[[#This Row],[Yield Cluster]],'Cluster Details'!$B$3:$C$16,2,0)</f>
        <v>0.11069942689191503</v>
      </c>
      <c r="AC500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00" s="58" t="str">
        <f>IF(Table1[[#This Row],[Ask Price]]&gt;Table1[[#This Row],[Calculated Bond Price]],"Rich","Cheap")</f>
        <v>Rich</v>
      </c>
      <c r="AE50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964.99067680484541</v>
      </c>
      <c r="AF50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1089.9489339044171</v>
      </c>
      <c r="AG500" s="78">
        <f>(Table1[[#This Row],[P (+ shock)]]+Table1[[#This Row],[P (-shock)]]-2*Table1[[#This Row],[Ask Price]])/(2*Table1[[#This Row],[Ask Price]]*($AF$2^2))</f>
        <v>26.05196481880667</v>
      </c>
      <c r="AH500">
        <v>10.9</v>
      </c>
      <c r="AI500" s="6">
        <f t="shared" si="29"/>
        <v>0.10197111631537861</v>
      </c>
      <c r="AK500" s="47">
        <f>RATE(Table1[[#This Row],[Total No. of Coupons]],Table1[[#This Row],[Coupon Amount]],-Table1[[#This Row],[Ask Price]],Table1[[#This Row],[Face value]])</f>
        <v>0.10045600439919174</v>
      </c>
      <c r="AL500" s="27">
        <f>Table1[[#This Row],[IRR]]*Table1[[#This Row],[Coupon Frequency2]]</f>
        <v>0.10045600439919174</v>
      </c>
      <c r="AM500" s="5">
        <f t="shared" si="30"/>
        <v>-6238.9685851985732</v>
      </c>
      <c r="AN500" t="s">
        <v>64</v>
      </c>
      <c r="AO500" t="s">
        <v>62</v>
      </c>
      <c r="AP500">
        <f t="shared" si="31"/>
        <v>1</v>
      </c>
    </row>
    <row r="501" spans="1:42" x14ac:dyDescent="0.35">
      <c r="A501" s="48" t="s">
        <v>594</v>
      </c>
      <c r="B501" s="49" t="s">
        <v>2791</v>
      </c>
      <c r="C501" s="49" t="s">
        <v>2273</v>
      </c>
      <c r="D501" s="50">
        <v>43732</v>
      </c>
      <c r="E501" s="50">
        <v>47385</v>
      </c>
      <c r="F501" s="49">
        <v>1000000</v>
      </c>
      <c r="G501" s="49" t="s">
        <v>76</v>
      </c>
      <c r="H501" s="49">
        <v>940200</v>
      </c>
      <c r="I501" s="49" t="s">
        <v>76</v>
      </c>
      <c r="J501" s="49">
        <v>94.02</v>
      </c>
      <c r="K501" s="49">
        <v>2</v>
      </c>
      <c r="L501" s="51">
        <v>9.0800000000000006E-2</v>
      </c>
      <c r="M501" s="49" t="s">
        <v>93</v>
      </c>
      <c r="N501" s="49">
        <v>1468</v>
      </c>
      <c r="O501" s="49">
        <v>9.6575196766645295</v>
      </c>
      <c r="P501" s="49" t="s">
        <v>2282</v>
      </c>
      <c r="Q501" s="49"/>
      <c r="R501" s="49" t="s">
        <v>2275</v>
      </c>
      <c r="S501">
        <f t="shared" si="28"/>
        <v>10</v>
      </c>
      <c r="T501" s="5" cm="1">
        <f t="array" ref="T5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1">
        <f>Table1[[#This Row],[Term to Maturity (Years)]]*Table1[[#This Row],[Coupon Frequency2]]</f>
        <v>10</v>
      </c>
      <c r="V501">
        <f>Table1[[#This Row],[Face value]]*Table1[[#This Row],[Current coupon %]]</f>
        <v>90800</v>
      </c>
      <c r="W501" s="36">
        <f>RATE(Table1[[#This Row],[Total No. of Coupons]],Table1[[#This Row],[Coupon Amount]],-Table1[[#This Row],[Ask Price]],Table1[[#This Row],[Face value]])</f>
        <v>0.10055540723519429</v>
      </c>
      <c r="X501" s="27">
        <f>Table1[[#This Row],[IRR]]*Table1[[#This Row],[Coupon Frequency2]]</f>
        <v>0.10055540723519429</v>
      </c>
      <c r="Y501" s="19" cm="1">
        <f t="array" ref="Y5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1" s="33">
        <f>DURATION(Table1[[#This Row],[Issue date]],Table1[[#This Row],[Maturity date]],Table1[[#This Row],[Current coupon %]],Table1[[#This Row],[Yield (Annualised)]],Table1[[#This Row],[Coupon Frequency2]])</f>
        <v>6.87511927803203</v>
      </c>
      <c r="AA501" s="33">
        <f>Table1[[#This Row],[Macaulay Duration in Years]]/(1+Table1[[#This Row],[IRR]])</f>
        <v>6.2469542494944843</v>
      </c>
      <c r="AB501" s="58">
        <f>VLOOKUP(Table1[[#This Row],[Yield Cluster]],'Cluster Details'!$B$3:$C$16,2,0)</f>
        <v>0.11069942689191503</v>
      </c>
      <c r="AC501" s="78">
        <f>PRICE(Table1[[#This Row],[Issue date]],Table1[[#This Row],[Maturity date]],Table1[[#This Row],[Current coupon %]],Table1[[#This Row],[Average Cluster Yield]],100,Table1[[#This Row],[Coupon Frequency2]])*Table1[[#This Row],[Face value]]/100</f>
        <v>883150.56890698371</v>
      </c>
      <c r="AD501" s="58" t="str">
        <f>IF(Table1[[#This Row],[Ask Price]]&gt;Table1[[#This Row],[Calculated Bond Price]],"Rich","Cheap")</f>
        <v>Rich</v>
      </c>
      <c r="AE50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883926.28270765056</v>
      </c>
      <c r="AF50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1001565.8824526015</v>
      </c>
      <c r="AG501" s="78">
        <f>(Table1[[#This Row],[P (+ shock)]]+Table1[[#This Row],[P (-shock)]]-2*Table1[[#This Row],[Ask Price]])/(2*Table1[[#This Row],[Ask Price]]*($AF$2^2))</f>
        <v>27.080223145352125</v>
      </c>
      <c r="AH501">
        <v>11.9783073552227</v>
      </c>
      <c r="AI501" s="6">
        <f t="shared" si="29"/>
        <v>9.6575196766645388E-2</v>
      </c>
      <c r="AK501" s="47">
        <f>RATE(Table1[[#This Row],[Total No. of Coupons]],Table1[[#This Row],[Coupon Amount]],-Table1[[#This Row],[Ask Price]],Table1[[#This Row],[Face value]])</f>
        <v>0.10055540723519429</v>
      </c>
      <c r="AL501" s="27">
        <f>Table1[[#This Row],[IRR]]*Table1[[#This Row],[Coupon Frequency2]]</f>
        <v>0.10055540723519429</v>
      </c>
      <c r="AM501" s="5">
        <f t="shared" si="30"/>
        <v>-5873386.3853747137</v>
      </c>
      <c r="AN501" t="s">
        <v>64</v>
      </c>
      <c r="AO501" t="s">
        <v>62</v>
      </c>
      <c r="AP501">
        <f t="shared" si="31"/>
        <v>1</v>
      </c>
    </row>
    <row r="502" spans="1:42" x14ac:dyDescent="0.35">
      <c r="A502" s="48" t="s">
        <v>1328</v>
      </c>
      <c r="B502" s="49" t="s">
        <v>2792</v>
      </c>
      <c r="C502" s="49" t="s">
        <v>2273</v>
      </c>
      <c r="D502" s="50">
        <v>45750</v>
      </c>
      <c r="E502" s="50">
        <v>46480</v>
      </c>
      <c r="F502" s="49">
        <v>1000</v>
      </c>
      <c r="G502" s="49" t="s">
        <v>76</v>
      </c>
      <c r="H502" s="49">
        <v>990.2</v>
      </c>
      <c r="I502" s="49" t="s">
        <v>76</v>
      </c>
      <c r="J502" s="49">
        <v>99.02</v>
      </c>
      <c r="K502" s="49">
        <v>10</v>
      </c>
      <c r="L502" s="51">
        <v>9.5000000000000001E-2</v>
      </c>
      <c r="M502" s="49" t="s">
        <v>93</v>
      </c>
      <c r="N502" s="49">
        <v>563</v>
      </c>
      <c r="O502" s="49">
        <v>9.5940214098161896</v>
      </c>
      <c r="P502" s="49"/>
      <c r="Q502" s="49"/>
      <c r="R502" s="49" t="s">
        <v>2275</v>
      </c>
      <c r="S502">
        <f t="shared" si="28"/>
        <v>2</v>
      </c>
      <c r="T502" s="5" cm="1">
        <f t="array" ref="T5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2">
        <f>Table1[[#This Row],[Term to Maturity (Years)]]*Table1[[#This Row],[Coupon Frequency2]]</f>
        <v>2</v>
      </c>
      <c r="V502">
        <f>Table1[[#This Row],[Face value]]*Table1[[#This Row],[Current coupon %]]</f>
        <v>95</v>
      </c>
      <c r="W502" s="36">
        <f>RATE(Table1[[#This Row],[Total No. of Coupons]],Table1[[#This Row],[Coupon Amount]],-Table1[[#This Row],[Ask Price]],Table1[[#This Row],[Face value]])</f>
        <v>0.10065160483244678</v>
      </c>
      <c r="X502" s="27">
        <f>Table1[[#This Row],[IRR]]*Table1[[#This Row],[Coupon Frequency2]]</f>
        <v>0.10065160483244678</v>
      </c>
      <c r="Y502" s="19" cm="1">
        <f t="array" ref="Y5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2" s="33">
        <f>DURATION(Table1[[#This Row],[Issue date]],Table1[[#This Row],[Maturity date]],Table1[[#This Row],[Current coupon %]],Table1[[#This Row],[Yield (Annualised)]],Table1[[#This Row],[Coupon Frequency2]])</f>
        <v>1.9128332583381216</v>
      </c>
      <c r="AA502" s="33">
        <f>Table1[[#This Row],[Macaulay Duration in Years]]/(1+Table1[[#This Row],[IRR]])</f>
        <v>1.7379098435324718</v>
      </c>
      <c r="AB502" s="58">
        <f>VLOOKUP(Table1[[#This Row],[Yield Cluster]],'Cluster Details'!$B$3:$C$16,2,0)</f>
        <v>0.11069942689191503</v>
      </c>
      <c r="AC502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973.13931428264948</v>
      </c>
      <c r="AD502" s="58" t="str">
        <f>IF(Table1[[#This Row],[Ask Price]]&gt;Table1[[#This Row],[Calculated Bond Price]],"Rich","Cheap")</f>
        <v>Rich</v>
      </c>
      <c r="AE50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973.21943533771469</v>
      </c>
      <c r="AF50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1007.6425552159424</v>
      </c>
      <c r="AG502" s="78">
        <f>(Table1[[#This Row],[P (+ shock)]]+Table1[[#This Row],[P (-shock)]]-2*Table1[[#This Row],[Ask Price]])/(2*Table1[[#This Row],[Ask Price]]*($AF$2^2))</f>
        <v>2.3328143489040616</v>
      </c>
      <c r="AH502">
        <v>7.9513511104839596</v>
      </c>
      <c r="AI502" s="6">
        <f t="shared" si="29"/>
        <v>9.5940214098161988E-2</v>
      </c>
      <c r="AK502" s="47">
        <f>RATE(Table1[[#This Row],[Total No. of Coupons]],Table1[[#This Row],[Coupon Amount]],-Table1[[#This Row],[Ask Price]],Table1[[#This Row],[Face value]])</f>
        <v>0.10065160483244678</v>
      </c>
      <c r="AL502" s="27">
        <f>Table1[[#This Row],[IRR]]*Table1[[#This Row],[Coupon Frequency2]]</f>
        <v>0.10065160483244678</v>
      </c>
      <c r="AM502" s="5">
        <f t="shared" si="30"/>
        <v>-1720.8783270658537</v>
      </c>
      <c r="AN502" t="s">
        <v>64</v>
      </c>
      <c r="AO502" t="s">
        <v>62</v>
      </c>
      <c r="AP502">
        <f t="shared" si="31"/>
        <v>1</v>
      </c>
    </row>
    <row r="503" spans="1:42" x14ac:dyDescent="0.35">
      <c r="A503" s="48" t="s">
        <v>982</v>
      </c>
      <c r="B503" s="49" t="s">
        <v>2793</v>
      </c>
      <c r="C503" s="49" t="s">
        <v>2273</v>
      </c>
      <c r="D503" s="50">
        <v>45516</v>
      </c>
      <c r="E503" s="50">
        <v>46855</v>
      </c>
      <c r="F503" s="49">
        <v>100000</v>
      </c>
      <c r="G503" s="49" t="s">
        <v>76</v>
      </c>
      <c r="H503" s="49">
        <v>99000</v>
      </c>
      <c r="I503" s="49" t="s">
        <v>76</v>
      </c>
      <c r="J503" s="49">
        <v>99</v>
      </c>
      <c r="K503" s="49">
        <v>4</v>
      </c>
      <c r="L503" s="51">
        <v>9.7500000000000003E-2</v>
      </c>
      <c r="M503" s="49" t="s">
        <v>93</v>
      </c>
      <c r="N503" s="49">
        <v>938</v>
      </c>
      <c r="O503" s="49">
        <v>9.8484848484848406</v>
      </c>
      <c r="P503" s="49" t="s">
        <v>2279</v>
      </c>
      <c r="Q503" s="49"/>
      <c r="R503" s="49" t="s">
        <v>2275</v>
      </c>
      <c r="S503">
        <f t="shared" si="28"/>
        <v>4</v>
      </c>
      <c r="T503" s="5" cm="1">
        <f t="array" ref="T5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3">
        <f>Table1[[#This Row],[Term to Maturity (Years)]]*Table1[[#This Row],[Coupon Frequency2]]</f>
        <v>4</v>
      </c>
      <c r="V503">
        <f>Table1[[#This Row],[Face value]]*Table1[[#This Row],[Current coupon %]]</f>
        <v>9750</v>
      </c>
      <c r="W503" s="36">
        <f>RATE(Table1[[#This Row],[Total No. of Coupons]],Table1[[#This Row],[Coupon Amount]],-Table1[[#This Row],[Ask Price]],Table1[[#This Row],[Face value]])</f>
        <v>0.10065921094217491</v>
      </c>
      <c r="X503" s="27">
        <f>Table1[[#This Row],[IRR]]*Table1[[#This Row],[Coupon Frequency2]]</f>
        <v>0.10065921094217491</v>
      </c>
      <c r="Y503" s="19" cm="1">
        <f t="array" ref="Y5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3" s="33">
        <f>DURATION(Table1[[#This Row],[Issue date]],Table1[[#This Row],[Maturity date]],Table1[[#This Row],[Current coupon %]],Table1[[#This Row],[Yield (Annualised)]],Table1[[#This Row],[Coupon Frequency2]])</f>
        <v>3.1617822976034553</v>
      </c>
      <c r="AA503" s="33">
        <f>Table1[[#This Row],[Macaulay Duration in Years]]/(1+Table1[[#This Row],[IRR]])</f>
        <v>2.8726260282662235</v>
      </c>
      <c r="AB503" s="58">
        <f>VLOOKUP(Table1[[#This Row],[Yield Cluster]],'Cluster Details'!$B$3:$C$16,2,0)</f>
        <v>0.11069942689191503</v>
      </c>
      <c r="AC503" s="78">
        <f>PRICE(Table1[[#This Row],[Issue date]],Table1[[#This Row],[Maturity date]],Table1[[#This Row],[Current coupon %]],Table1[[#This Row],[Average Cluster Yield]],100,Table1[[#This Row],[Coupon Frequency2]])*Table1[[#This Row],[Face value]]/100</f>
        <v>96077.047867788671</v>
      </c>
      <c r="AD503" s="58" t="str">
        <f>IF(Table1[[#This Row],[Ask Price]]&gt;Table1[[#This Row],[Calculated Bond Price]],"Rich","Cheap")</f>
        <v>Rich</v>
      </c>
      <c r="AE50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96088.388611418515</v>
      </c>
      <c r="AF50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101962.96233199743</v>
      </c>
      <c r="AG503" s="78">
        <f>(Table1[[#This Row],[P (+ shock)]]+Table1[[#This Row],[P (-shock)]]-2*Table1[[#This Row],[Ask Price]])/(2*Table1[[#This Row],[Ask Price]]*($AF$2^2))</f>
        <v>2.5934819907045243</v>
      </c>
      <c r="AH503">
        <v>9.8840652519591607</v>
      </c>
      <c r="AI503" s="6">
        <f t="shared" si="29"/>
        <v>9.8484848484848481E-2</v>
      </c>
      <c r="AK503" s="47">
        <f>RATE(Table1[[#This Row],[Total No. of Coupons]],Table1[[#This Row],[Coupon Amount]],-Table1[[#This Row],[Ask Price]],Table1[[#This Row],[Face value]])</f>
        <v>0.10065921094217491</v>
      </c>
      <c r="AL503" s="27">
        <f>Table1[[#This Row],[IRR]]*Table1[[#This Row],[Coupon Frequency2]]</f>
        <v>0.10065921094217491</v>
      </c>
      <c r="AM503" s="5">
        <f t="shared" si="30"/>
        <v>-284389.9767983561</v>
      </c>
      <c r="AN503" t="s">
        <v>64</v>
      </c>
      <c r="AO503" t="s">
        <v>62</v>
      </c>
      <c r="AP503">
        <f t="shared" si="31"/>
        <v>1</v>
      </c>
    </row>
    <row r="504" spans="1:42" x14ac:dyDescent="0.35">
      <c r="A504" s="48" t="s">
        <v>1722</v>
      </c>
      <c r="B504" s="49" t="s">
        <v>2794</v>
      </c>
      <c r="C504" s="49" t="s">
        <v>2273</v>
      </c>
      <c r="D504" s="50">
        <v>45499</v>
      </c>
      <c r="E504" s="50">
        <v>46229</v>
      </c>
      <c r="F504" s="49">
        <v>1000</v>
      </c>
      <c r="G504" s="49" t="s">
        <v>76</v>
      </c>
      <c r="H504" s="49">
        <v>990</v>
      </c>
      <c r="I504" s="49" t="s">
        <v>76</v>
      </c>
      <c r="J504" s="49">
        <v>99</v>
      </c>
      <c r="K504" s="49">
        <v>300</v>
      </c>
      <c r="L504" s="51">
        <v>9.5000000000000001E-2</v>
      </c>
      <c r="M504" s="49" t="s">
        <v>93</v>
      </c>
      <c r="N504" s="49">
        <v>312</v>
      </c>
      <c r="O504" s="49">
        <v>9.5959595959595898</v>
      </c>
      <c r="P504" s="49"/>
      <c r="Q504" s="49"/>
      <c r="R504" s="49" t="s">
        <v>2275</v>
      </c>
      <c r="S504">
        <f t="shared" si="28"/>
        <v>2</v>
      </c>
      <c r="T504" s="5" cm="1">
        <f t="array" ref="T5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4">
        <f>Table1[[#This Row],[Term to Maturity (Years)]]*Table1[[#This Row],[Coupon Frequency2]]</f>
        <v>2</v>
      </c>
      <c r="V504">
        <f>Table1[[#This Row],[Face value]]*Table1[[#This Row],[Current coupon %]]</f>
        <v>95</v>
      </c>
      <c r="W504" s="36">
        <f>RATE(Table1[[#This Row],[Total No. of Coupons]],Table1[[#This Row],[Coupon Amount]],-Table1[[#This Row],[Ask Price]],Table1[[#This Row],[Face value]])</f>
        <v>0.10076784268527811</v>
      </c>
      <c r="X504" s="27">
        <f>Table1[[#This Row],[IRR]]*Table1[[#This Row],[Coupon Frequency2]]</f>
        <v>0.10076784268527811</v>
      </c>
      <c r="Y504" s="19" cm="1">
        <f t="array" ref="Y5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4" s="33">
        <f>DURATION(Table1[[#This Row],[Issue date]],Table1[[#This Row],[Maturity date]],Table1[[#This Row],[Current coupon %]],Table1[[#This Row],[Yield (Annualised)]],Table1[[#This Row],[Coupon Frequency2]])</f>
        <v>1.9128248553069043</v>
      </c>
      <c r="AA504" s="33">
        <f>Table1[[#This Row],[Macaulay Duration in Years]]/(1+Table1[[#This Row],[IRR]])</f>
        <v>1.7377186915641052</v>
      </c>
      <c r="AB504" s="58">
        <f>VLOOKUP(Table1[[#This Row],[Yield Cluster]],'Cluster Details'!$B$3:$C$16,2,0)</f>
        <v>0.11069942689191503</v>
      </c>
      <c r="AC504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973.13931428264948</v>
      </c>
      <c r="AD504" s="58" t="str">
        <f>IF(Table1[[#This Row],[Ask Price]]&gt;Table1[[#This Row],[Calculated Bond Price]],"Rich","Cheap")</f>
        <v>Rich</v>
      </c>
      <c r="AE50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973.02470821217662</v>
      </c>
      <c r="AF50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1007.4370887241181</v>
      </c>
      <c r="AG504" s="78">
        <f>(Table1[[#This Row],[P (+ shock)]]+Table1[[#This Row],[P (-shock)]]-2*Table1[[#This Row],[Ask Price]])/(2*Table1[[#This Row],[Ask Price]]*($AF$2^2))</f>
        <v>2.3323077590648058</v>
      </c>
      <c r="AI504" s="6">
        <f t="shared" si="29"/>
        <v>9.5959595959595953E-2</v>
      </c>
      <c r="AK504" s="47">
        <f>RATE(Table1[[#This Row],[Total No. of Coupons]],Table1[[#This Row],[Coupon Amount]],-Table1[[#This Row],[Ask Price]],Table1[[#This Row],[Face value]])</f>
        <v>0.10076784268527811</v>
      </c>
      <c r="AL504" s="27">
        <f>Table1[[#This Row],[IRR]]*Table1[[#This Row],[Coupon Frequency2]]</f>
        <v>0.10076784268527811</v>
      </c>
      <c r="AM504" s="5">
        <f t="shared" si="30"/>
        <v>-1720.341504648464</v>
      </c>
      <c r="AN504" t="s">
        <v>64</v>
      </c>
      <c r="AO504" t="s">
        <v>62</v>
      </c>
      <c r="AP504">
        <f t="shared" si="31"/>
        <v>1</v>
      </c>
    </row>
    <row r="505" spans="1:42" x14ac:dyDescent="0.35">
      <c r="A505" s="48" t="s">
        <v>370</v>
      </c>
      <c r="B505" s="49" t="s">
        <v>2795</v>
      </c>
      <c r="C505" s="49" t="s">
        <v>2273</v>
      </c>
      <c r="D505" s="50">
        <v>45712</v>
      </c>
      <c r="E505" s="50">
        <v>47903</v>
      </c>
      <c r="F505" s="49">
        <v>1000</v>
      </c>
      <c r="G505" s="49" t="s">
        <v>76</v>
      </c>
      <c r="H505" s="49">
        <v>1000</v>
      </c>
      <c r="I505" s="49" t="s">
        <v>76</v>
      </c>
      <c r="J505" s="49">
        <v>100</v>
      </c>
      <c r="K505" s="49">
        <v>20</v>
      </c>
      <c r="L505" s="51">
        <v>0.10099999999999999</v>
      </c>
      <c r="M505" s="49" t="s">
        <v>93</v>
      </c>
      <c r="N505" s="49">
        <v>1986</v>
      </c>
      <c r="O505" s="49">
        <v>10.1</v>
      </c>
      <c r="P505" s="49"/>
      <c r="Q505" s="49"/>
      <c r="R505" s="49" t="s">
        <v>2275</v>
      </c>
      <c r="S505">
        <f t="shared" si="28"/>
        <v>6</v>
      </c>
      <c r="T505" s="5" cm="1">
        <f t="array" ref="T5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5">
        <f>Table1[[#This Row],[Term to Maturity (Years)]]*Table1[[#This Row],[Coupon Frequency2]]</f>
        <v>6</v>
      </c>
      <c r="V505">
        <f>Table1[[#This Row],[Face value]]*Table1[[#This Row],[Current coupon %]]</f>
        <v>100.99999999999999</v>
      </c>
      <c r="W505" s="36">
        <f>RATE(Table1[[#This Row],[Total No. of Coupons]],Table1[[#This Row],[Coupon Amount]],-Table1[[#This Row],[Ask Price]],Table1[[#This Row],[Face value]])</f>
        <v>0.10099999999967199</v>
      </c>
      <c r="X505" s="27">
        <f>Table1[[#This Row],[IRR]]*Table1[[#This Row],[Coupon Frequency2]]</f>
        <v>0.10099999999967199</v>
      </c>
      <c r="Y505" s="19" cm="1">
        <f t="array" ref="Y5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5" s="33">
        <f>DURATION(Table1[[#This Row],[Issue date]],Table1[[#This Row],[Maturity date]],Table1[[#This Row],[Current coupon %]],Table1[[#This Row],[Yield (Annualised)]],Table1[[#This Row],[Coupon Frequency2]])</f>
        <v>4.7811224308668843</v>
      </c>
      <c r="AA505" s="33">
        <f>Table1[[#This Row],[Macaulay Duration in Years]]/(1+Table1[[#This Row],[IRR]])</f>
        <v>4.3425271851664924</v>
      </c>
      <c r="AB505" s="58">
        <f>VLOOKUP(Table1[[#This Row],[Yield Cluster]],'Cluster Details'!$B$3:$C$16,2,0)</f>
        <v>0.11069942689191503</v>
      </c>
      <c r="AC505" s="78">
        <f>PRICE(Table1[[#This Row],[Issue date]],Table1[[#This Row],[Maturity date]],Table1[[#This Row],[Current coupon %]],Table1[[#This Row],[Average Cluster Yield]],100,Table1[[#This Row],[Coupon Frequency2]])*Table1[[#This Row],[Face value]]/100</f>
        <v>959.04875309495173</v>
      </c>
      <c r="AD505" s="58" t="str">
        <f>IF(Table1[[#This Row],[Ask Price]]&gt;Table1[[#This Row],[Calculated Bond Price]],"Rich","Cheap")</f>
        <v>Rich</v>
      </c>
      <c r="AE50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957.81621407633259</v>
      </c>
      <c r="AF50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1044.725754411269</v>
      </c>
      <c r="AG505" s="78">
        <f>(Table1[[#This Row],[P (+ shock)]]+Table1[[#This Row],[P (-shock)]]-2*Table1[[#This Row],[Ask Price]])/(2*Table1[[#This Row],[Ask Price]]*($AF$2^2))</f>
        <v>12.709842438007399</v>
      </c>
      <c r="AH505">
        <v>9.1118541823193802</v>
      </c>
      <c r="AI505" s="6">
        <f t="shared" si="29"/>
        <v>0.10099999999999999</v>
      </c>
      <c r="AK505" s="47">
        <f>RATE(Table1[[#This Row],[Total No. of Coupons]],Table1[[#This Row],[Coupon Amount]],-Table1[[#This Row],[Ask Price]],Table1[[#This Row],[Face value]])</f>
        <v>0.10099999999967199</v>
      </c>
      <c r="AL505" s="27">
        <f>Table1[[#This Row],[IRR]]*Table1[[#This Row],[Coupon Frequency2]]</f>
        <v>0.10099999999967199</v>
      </c>
      <c r="AM505" s="5">
        <f t="shared" si="30"/>
        <v>-4342.527185166492</v>
      </c>
      <c r="AN505" t="s">
        <v>64</v>
      </c>
      <c r="AO505" t="s">
        <v>62</v>
      </c>
      <c r="AP505">
        <f t="shared" si="31"/>
        <v>1</v>
      </c>
    </row>
    <row r="506" spans="1:42" x14ac:dyDescent="0.35">
      <c r="A506" s="48" t="s">
        <v>490</v>
      </c>
      <c r="B506" s="49" t="s">
        <v>2796</v>
      </c>
      <c r="C506" s="49" t="s">
        <v>2273</v>
      </c>
      <c r="D506" s="50">
        <v>45750</v>
      </c>
      <c r="E506" s="50">
        <v>47576</v>
      </c>
      <c r="F506" s="49">
        <v>1000</v>
      </c>
      <c r="G506" s="49" t="s">
        <v>76</v>
      </c>
      <c r="H506" s="49">
        <v>1015</v>
      </c>
      <c r="I506" s="49" t="s">
        <v>76</v>
      </c>
      <c r="J506" s="49">
        <v>101.49999999999901</v>
      </c>
      <c r="K506" s="49">
        <v>120</v>
      </c>
      <c r="L506" s="51">
        <v>0.105</v>
      </c>
      <c r="M506" s="49" t="s">
        <v>93</v>
      </c>
      <c r="N506" s="49">
        <v>1659</v>
      </c>
      <c r="O506" s="49">
        <v>10.344827586206801</v>
      </c>
      <c r="P506" s="49"/>
      <c r="Q506" s="49"/>
      <c r="R506" s="49" t="s">
        <v>2275</v>
      </c>
      <c r="S506">
        <f t="shared" si="28"/>
        <v>5</v>
      </c>
      <c r="T506" s="5" cm="1">
        <f t="array" ref="T5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6">
        <f>Table1[[#This Row],[Term to Maturity (Years)]]*Table1[[#This Row],[Coupon Frequency2]]</f>
        <v>5</v>
      </c>
      <c r="V506">
        <f>Table1[[#This Row],[Face value]]*Table1[[#This Row],[Current coupon %]]</f>
        <v>105</v>
      </c>
      <c r="W506" s="36">
        <f>RATE(Table1[[#This Row],[Total No. of Coupons]],Table1[[#This Row],[Coupon Amount]],-Table1[[#This Row],[Ask Price]],Table1[[#This Row],[Face value]])</f>
        <v>0.10103259419142203</v>
      </c>
      <c r="X506" s="27">
        <f>Table1[[#This Row],[IRR]]*Table1[[#This Row],[Coupon Frequency2]]</f>
        <v>0.10103259419142203</v>
      </c>
      <c r="Y506" s="19" cm="1">
        <f t="array" ref="Y5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6" s="33">
        <f>DURATION(Table1[[#This Row],[Issue date]],Table1[[#This Row],[Maturity date]],Table1[[#This Row],[Current coupon %]],Table1[[#This Row],[Yield (Annualised)]],Table1[[#This Row],[Coupon Frequency2]])</f>
        <v>4.1427753886829626</v>
      </c>
      <c r="AA506" s="33">
        <f>Table1[[#This Row],[Macaulay Duration in Years]]/(1+Table1[[#This Row],[IRR]])</f>
        <v>3.7626273831841828</v>
      </c>
      <c r="AB506" s="58">
        <f>VLOOKUP(Table1[[#This Row],[Yield Cluster]],'Cluster Details'!$B$3:$C$16,2,0)</f>
        <v>0.11069942689191503</v>
      </c>
      <c r="AC506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978.97251444582798</v>
      </c>
      <c r="AD506" s="58" t="str">
        <f>IF(Table1[[#This Row],[Ask Price]]&gt;Table1[[#This Row],[Calculated Bond Price]],"Rich","Cheap")</f>
        <v>Rich</v>
      </c>
      <c r="AE50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977.76194652724075</v>
      </c>
      <c r="AF50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1054.1830902439249</v>
      </c>
      <c r="AG506" s="78">
        <f>(Table1[[#This Row],[P (+ shock)]]+Table1[[#This Row],[P (-shock)]]-2*Table1[[#This Row],[Ask Price]])/(2*Table1[[#This Row],[Ask Price]]*($AF$2^2))</f>
        <v>9.5814619269242982</v>
      </c>
      <c r="AH506">
        <v>9.9992177648316893</v>
      </c>
      <c r="AI506" s="6">
        <f t="shared" si="29"/>
        <v>0.10344827586206896</v>
      </c>
      <c r="AK506" s="47">
        <f>RATE(Table1[[#This Row],[Total No. of Coupons]],Table1[[#This Row],[Coupon Amount]],-Table1[[#This Row],[Ask Price]],Table1[[#This Row],[Face value]])</f>
        <v>0.10103259419142203</v>
      </c>
      <c r="AL506" s="27">
        <f>Table1[[#This Row],[IRR]]*Table1[[#This Row],[Coupon Frequency2]]</f>
        <v>0.10103259419142203</v>
      </c>
      <c r="AM506" s="5">
        <f t="shared" si="30"/>
        <v>-3819.0667939319455</v>
      </c>
      <c r="AN506" t="s">
        <v>79</v>
      </c>
      <c r="AO506" t="s">
        <v>62</v>
      </c>
      <c r="AP506">
        <f t="shared" si="31"/>
        <v>1</v>
      </c>
    </row>
    <row r="507" spans="1:42" x14ac:dyDescent="0.35">
      <c r="A507" s="48" t="s">
        <v>552</v>
      </c>
      <c r="B507" s="49" t="s">
        <v>2797</v>
      </c>
      <c r="C507" s="49" t="s">
        <v>2273</v>
      </c>
      <c r="D507" s="50">
        <v>45653</v>
      </c>
      <c r="E507" s="50">
        <v>47479</v>
      </c>
      <c r="F507" s="49">
        <v>1000</v>
      </c>
      <c r="G507" s="49" t="s">
        <v>76</v>
      </c>
      <c r="H507" s="49">
        <v>1000</v>
      </c>
      <c r="I507" s="49" t="s">
        <v>76</v>
      </c>
      <c r="J507" s="49">
        <v>100</v>
      </c>
      <c r="K507" s="49">
        <v>10</v>
      </c>
      <c r="L507" s="51">
        <v>0.10150000000000001</v>
      </c>
      <c r="M507" s="49" t="s">
        <v>93</v>
      </c>
      <c r="N507" s="49">
        <v>1562</v>
      </c>
      <c r="O507" s="49">
        <v>10.15</v>
      </c>
      <c r="P507" s="49" t="s">
        <v>2279</v>
      </c>
      <c r="Q507" s="49"/>
      <c r="R507" s="49" t="s">
        <v>2275</v>
      </c>
      <c r="S507">
        <f t="shared" si="28"/>
        <v>5</v>
      </c>
      <c r="T507" s="5" cm="1">
        <f t="array" ref="T5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7">
        <f>Table1[[#This Row],[Term to Maturity (Years)]]*Table1[[#This Row],[Coupon Frequency2]]</f>
        <v>5</v>
      </c>
      <c r="V507">
        <f>Table1[[#This Row],[Face value]]*Table1[[#This Row],[Current coupon %]]</f>
        <v>101.5</v>
      </c>
      <c r="W507" s="36">
        <f>RATE(Table1[[#This Row],[Total No. of Coupons]],Table1[[#This Row],[Coupon Amount]],-Table1[[#This Row],[Ask Price]],Table1[[#This Row],[Face value]])</f>
        <v>0.10149999999944202</v>
      </c>
      <c r="X507" s="27">
        <f>Table1[[#This Row],[IRR]]*Table1[[#This Row],[Coupon Frequency2]]</f>
        <v>0.10149999999944202</v>
      </c>
      <c r="Y507" s="19" cm="1">
        <f t="array" ref="Y5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7" s="33">
        <f>DURATION(Table1[[#This Row],[Issue date]],Table1[[#This Row],[Maturity date]],Table1[[#This Row],[Current coupon %]],Table1[[#This Row],[Yield (Annualised)]],Table1[[#This Row],[Coupon Frequency2]])</f>
        <v>4.1596000637009762</v>
      </c>
      <c r="AA507" s="33">
        <f>Table1[[#This Row],[Macaulay Duration in Years]]/(1+Table1[[#This Row],[IRR]])</f>
        <v>3.7763050964167806</v>
      </c>
      <c r="AB507" s="58">
        <f>VLOOKUP(Table1[[#This Row],[Yield Cluster]],'Cluster Details'!$B$3:$C$16,2,0)</f>
        <v>0.11069942689191503</v>
      </c>
      <c r="AC507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966.05960217670099</v>
      </c>
      <c r="AD507" s="58" t="str">
        <f>IF(Table1[[#This Row],[Ask Price]]&gt;Table1[[#This Row],[Calculated Bond Price]],"Rich","Cheap")</f>
        <v>Rich</v>
      </c>
      <c r="AE50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963.18006517150036</v>
      </c>
      <c r="AF50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1038.7455973101605</v>
      </c>
      <c r="AG507" s="78">
        <f>(Table1[[#This Row],[P (+ shock)]]+Table1[[#This Row],[P (-shock)]]-2*Table1[[#This Row],[Ask Price]])/(2*Table1[[#This Row],[Ask Price]]*($AF$2^2))</f>
        <v>9.6283124083038274</v>
      </c>
      <c r="AH507">
        <v>10.7610137745346</v>
      </c>
      <c r="AI507" s="6">
        <f t="shared" si="29"/>
        <v>0.10150000000000001</v>
      </c>
      <c r="AK507" s="47">
        <f>RATE(Table1[[#This Row],[Total No. of Coupons]],Table1[[#This Row],[Coupon Amount]],-Table1[[#This Row],[Ask Price]],Table1[[#This Row],[Face value]])</f>
        <v>0.10149999999944202</v>
      </c>
      <c r="AL507" s="27">
        <f>Table1[[#This Row],[IRR]]*Table1[[#This Row],[Coupon Frequency2]]</f>
        <v>0.10149999999944202</v>
      </c>
      <c r="AM507" s="5">
        <f t="shared" si="30"/>
        <v>-3776.3050964167805</v>
      </c>
      <c r="AN507" t="s">
        <v>64</v>
      </c>
      <c r="AO507" t="s">
        <v>62</v>
      </c>
      <c r="AP507">
        <f t="shared" si="31"/>
        <v>1</v>
      </c>
    </row>
    <row r="508" spans="1:42" x14ac:dyDescent="0.35">
      <c r="A508" s="48" t="s">
        <v>246</v>
      </c>
      <c r="B508" s="49" t="s">
        <v>2798</v>
      </c>
      <c r="C508" s="49" t="s">
        <v>2273</v>
      </c>
      <c r="D508" s="50">
        <v>44946</v>
      </c>
      <c r="E508" s="50">
        <v>48599</v>
      </c>
      <c r="F508" s="49">
        <v>1000</v>
      </c>
      <c r="G508" s="49" t="s">
        <v>76</v>
      </c>
      <c r="H508" s="49">
        <v>1017.49</v>
      </c>
      <c r="I508" s="49" t="s">
        <v>76</v>
      </c>
      <c r="J508" s="49">
        <v>101.749</v>
      </c>
      <c r="K508" s="49">
        <v>200</v>
      </c>
      <c r="L508" s="51">
        <v>0.1045</v>
      </c>
      <c r="M508" s="49" t="s">
        <v>93</v>
      </c>
      <c r="N508" s="49">
        <v>2682</v>
      </c>
      <c r="O508" s="49">
        <v>10.2703712075794</v>
      </c>
      <c r="P508" s="49"/>
      <c r="Q508" s="49"/>
      <c r="R508" s="49" t="s">
        <v>2275</v>
      </c>
      <c r="S508">
        <f t="shared" si="28"/>
        <v>10</v>
      </c>
      <c r="T508" s="5" cm="1">
        <f t="array" ref="T5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8">
        <f>Table1[[#This Row],[Term to Maturity (Years)]]*Table1[[#This Row],[Coupon Frequency2]]</f>
        <v>10</v>
      </c>
      <c r="V508">
        <f>Table1[[#This Row],[Face value]]*Table1[[#This Row],[Current coupon %]]</f>
        <v>104.5</v>
      </c>
      <c r="W508" s="36">
        <f>RATE(Table1[[#This Row],[Total No. of Coupons]],Table1[[#This Row],[Coupon Amount]],-Table1[[#This Row],[Ask Price]],Table1[[#This Row],[Face value]])</f>
        <v>0.10163357745210838</v>
      </c>
      <c r="X508" s="27">
        <f>Table1[[#This Row],[IRR]]*Table1[[#This Row],[Coupon Frequency2]]</f>
        <v>0.10163357745210838</v>
      </c>
      <c r="Y508" s="19" cm="1">
        <f t="array" ref="Y5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8" s="33">
        <f>DURATION(Table1[[#This Row],[Issue date]],Table1[[#This Row],[Maturity date]],Table1[[#This Row],[Current coupon %]],Table1[[#This Row],[Yield (Annualised)]],Table1[[#This Row],[Coupon Frequency2]])</f>
        <v>6.6873011114733627</v>
      </c>
      <c r="AA508" s="33">
        <f>Table1[[#This Row],[Macaulay Duration in Years]]/(1+Table1[[#This Row],[IRR]])</f>
        <v>6.0703497499957795</v>
      </c>
      <c r="AB508" s="58">
        <f>VLOOKUP(Table1[[#This Row],[Yield Cluster]],'Cluster Details'!$B$3:$C$16,2,0)</f>
        <v>0.11069942689191503</v>
      </c>
      <c r="AC508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08" s="58" t="str">
        <f>IF(Table1[[#This Row],[Ask Price]]&gt;Table1[[#This Row],[Calculated Bond Price]],"Rich","Cheap")</f>
        <v>Rich</v>
      </c>
      <c r="AE50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958.27493304793234</v>
      </c>
      <c r="AF50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1081.9818699570021</v>
      </c>
      <c r="AG508" s="78">
        <f>(Table1[[#This Row],[P (+ shock)]]+Table1[[#This Row],[P (-shock)]]-2*Table1[[#This Row],[Ask Price]])/(2*Table1[[#This Row],[Ask Price]]*($AF$2^2))</f>
        <v>25.930490741601567</v>
      </c>
      <c r="AH508">
        <v>7.3511415652644301</v>
      </c>
      <c r="AI508" s="6">
        <f t="shared" si="29"/>
        <v>0.10270371207579436</v>
      </c>
      <c r="AK508" s="47">
        <f>RATE(Table1[[#This Row],[Total No. of Coupons]],Table1[[#This Row],[Coupon Amount]],-Table1[[#This Row],[Ask Price]],Table1[[#This Row],[Face value]])</f>
        <v>0.10163357745210838</v>
      </c>
      <c r="AL508" s="27">
        <f>Table1[[#This Row],[IRR]]*Table1[[#This Row],[Coupon Frequency2]]</f>
        <v>0.10163357745210838</v>
      </c>
      <c r="AM508" s="5">
        <f t="shared" si="30"/>
        <v>-6176.5201671232053</v>
      </c>
      <c r="AN508" t="s">
        <v>64</v>
      </c>
      <c r="AO508" t="s">
        <v>62</v>
      </c>
      <c r="AP508">
        <f t="shared" si="31"/>
        <v>1</v>
      </c>
    </row>
    <row r="509" spans="1:42" x14ac:dyDescent="0.35">
      <c r="A509" s="48" t="s">
        <v>1081</v>
      </c>
      <c r="B509" s="49" t="s">
        <v>2799</v>
      </c>
      <c r="C509" s="49" t="s">
        <v>2273</v>
      </c>
      <c r="D509" s="50">
        <v>45652</v>
      </c>
      <c r="E509" s="50">
        <v>46747</v>
      </c>
      <c r="F509" s="49">
        <v>1000</v>
      </c>
      <c r="G509" s="49" t="s">
        <v>76</v>
      </c>
      <c r="H509" s="49">
        <v>971</v>
      </c>
      <c r="I509" s="49" t="s">
        <v>76</v>
      </c>
      <c r="J509" s="49">
        <v>97.1</v>
      </c>
      <c r="K509" s="49">
        <v>305</v>
      </c>
      <c r="L509" s="51">
        <v>0.09</v>
      </c>
      <c r="M509" s="49" t="s">
        <v>93</v>
      </c>
      <c r="N509" s="49">
        <v>830</v>
      </c>
      <c r="O509" s="49">
        <v>9.2687950566426291</v>
      </c>
      <c r="P509" s="49"/>
      <c r="Q509" s="49"/>
      <c r="R509" s="49" t="s">
        <v>2275</v>
      </c>
      <c r="S509">
        <f t="shared" si="28"/>
        <v>3</v>
      </c>
      <c r="T509" s="5" cm="1">
        <f t="array" ref="T5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09">
        <f>Table1[[#This Row],[Term to Maturity (Years)]]*Table1[[#This Row],[Coupon Frequency2]]</f>
        <v>3</v>
      </c>
      <c r="V509">
        <f>Table1[[#This Row],[Face value]]*Table1[[#This Row],[Current coupon %]]</f>
        <v>90</v>
      </c>
      <c r="W509" s="36">
        <f>RATE(Table1[[#This Row],[Total No. of Coupons]],Table1[[#This Row],[Coupon Amount]],-Table1[[#This Row],[Ask Price]],Table1[[#This Row],[Face value]])</f>
        <v>0.10169616726515268</v>
      </c>
      <c r="X509" s="27">
        <f>Table1[[#This Row],[IRR]]*Table1[[#This Row],[Coupon Frequency2]]</f>
        <v>0.10169616726515268</v>
      </c>
      <c r="Y509" s="19" cm="1">
        <f t="array" ref="Y5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09" s="33">
        <f>DURATION(Table1[[#This Row],[Issue date]],Table1[[#This Row],[Maturity date]],Table1[[#This Row],[Current coupon %]],Table1[[#This Row],[Yield (Annualised)]],Table1[[#This Row],[Coupon Frequency2]])</f>
        <v>2.7553699892269949</v>
      </c>
      <c r="AA509" s="33">
        <f>Table1[[#This Row],[Macaulay Duration in Years]]/(1+Table1[[#This Row],[IRR]])</f>
        <v>2.5010253018006927</v>
      </c>
      <c r="AB509" s="58">
        <f>VLOOKUP(Table1[[#This Row],[Yield Cluster]],'Cluster Details'!$B$3:$C$16,2,0)</f>
        <v>0.11069942689191503</v>
      </c>
      <c r="AC509" s="78">
        <f>PRICE(Table1[[#This Row],[Issue date]],Table1[[#This Row],[Maturity date]],Table1[[#This Row],[Current coupon %]],Table1[[#This Row],[Average Cluster Yield]],100,Table1[[#This Row],[Coupon Frequency2]])*Table1[[#This Row],[Face value]]/100</f>
        <v>949.47797573630157</v>
      </c>
      <c r="AD509" s="58" t="str">
        <f>IF(Table1[[#This Row],[Ask Price]]&gt;Table1[[#This Row],[Calculated Bond Price]],"Rich","Cheap")</f>
        <v>Rich</v>
      </c>
      <c r="AE50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947.13677510710522</v>
      </c>
      <c r="AF50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995.71944675728116</v>
      </c>
      <c r="AG509" s="78">
        <f>(Table1[[#This Row],[P (+ shock)]]+Table1[[#This Row],[P (-shock)]]-2*Table1[[#This Row],[Ask Price]])/(2*Table1[[#This Row],[Ask Price]]*($AF$2^2))</f>
        <v>4.4089694355638418</v>
      </c>
      <c r="AH509">
        <v>6.5432169370964903</v>
      </c>
      <c r="AI509" s="6">
        <f t="shared" si="29"/>
        <v>9.2687950566426369E-2</v>
      </c>
      <c r="AK509" s="47">
        <f>RATE(Table1[[#This Row],[Total No. of Coupons]],Table1[[#This Row],[Coupon Amount]],-Table1[[#This Row],[Ask Price]],Table1[[#This Row],[Face value]])</f>
        <v>0.10169616726515268</v>
      </c>
      <c r="AL509" s="27">
        <f>Table1[[#This Row],[IRR]]*Table1[[#This Row],[Coupon Frequency2]]</f>
        <v>0.10169616726515268</v>
      </c>
      <c r="AM509" s="5">
        <f t="shared" si="30"/>
        <v>-2428.4955680484727</v>
      </c>
      <c r="AN509" t="s">
        <v>64</v>
      </c>
      <c r="AO509" t="s">
        <v>62</v>
      </c>
      <c r="AP509">
        <f t="shared" si="31"/>
        <v>1</v>
      </c>
    </row>
    <row r="510" spans="1:42" x14ac:dyDescent="0.35">
      <c r="A510" s="48" t="s">
        <v>215</v>
      </c>
      <c r="B510" s="49" t="s">
        <v>2800</v>
      </c>
      <c r="C510" s="49" t="s">
        <v>2273</v>
      </c>
      <c r="D510" s="50">
        <v>45225</v>
      </c>
      <c r="E510" s="50">
        <v>48878</v>
      </c>
      <c r="F510" s="49">
        <v>1000</v>
      </c>
      <c r="G510" s="49" t="s">
        <v>76</v>
      </c>
      <c r="H510" s="49">
        <v>1016.8</v>
      </c>
      <c r="I510" s="49" t="s">
        <v>76</v>
      </c>
      <c r="J510" s="49">
        <v>101.679999999999</v>
      </c>
      <c r="K510" s="49">
        <v>80</v>
      </c>
      <c r="L510" s="51">
        <v>0.1045</v>
      </c>
      <c r="M510" s="49" t="s">
        <v>93</v>
      </c>
      <c r="N510" s="49">
        <v>2961</v>
      </c>
      <c r="O510" s="49">
        <v>10.2773406766325</v>
      </c>
      <c r="P510" s="49"/>
      <c r="Q510" s="49"/>
      <c r="R510" s="49" t="s">
        <v>2275</v>
      </c>
      <c r="S510">
        <f t="shared" si="28"/>
        <v>10</v>
      </c>
      <c r="T510" s="5" cm="1">
        <f t="array" ref="T5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0">
        <f>Table1[[#This Row],[Term to Maturity (Years)]]*Table1[[#This Row],[Coupon Frequency2]]</f>
        <v>10</v>
      </c>
      <c r="V510">
        <f>Table1[[#This Row],[Face value]]*Table1[[#This Row],[Current coupon %]]</f>
        <v>104.5</v>
      </c>
      <c r="W510" s="36">
        <f>RATE(Table1[[#This Row],[Total No. of Coupons]],Table1[[#This Row],[Coupon Amount]],-Table1[[#This Row],[Ask Price]],Table1[[#This Row],[Face value]])</f>
        <v>0.10174534413177359</v>
      </c>
      <c r="X510" s="27">
        <f>Table1[[#This Row],[IRR]]*Table1[[#This Row],[Coupon Frequency2]]</f>
        <v>0.10174534413177359</v>
      </c>
      <c r="Y510" s="19" cm="1">
        <f t="array" ref="Y5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0" s="33">
        <f>DURATION(Table1[[#This Row],[Issue date]],Table1[[#This Row],[Maturity date]],Table1[[#This Row],[Current coupon %]],Table1[[#This Row],[Yield (Annualised)]],Table1[[#This Row],[Coupon Frequency2]])</f>
        <v>6.6861372027775001</v>
      </c>
      <c r="AA510" s="33">
        <f>Table1[[#This Row],[Macaulay Duration in Years]]/(1+Table1[[#This Row],[IRR]])</f>
        <v>6.0686775200729226</v>
      </c>
      <c r="AB510" s="58">
        <f>VLOOKUP(Table1[[#This Row],[Yield Cluster]],'Cluster Details'!$B$3:$C$16,2,0)</f>
        <v>0.11069942689191503</v>
      </c>
      <c r="AC510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10" s="58" t="str">
        <f>IF(Table1[[#This Row],[Ask Price]]&gt;Table1[[#This Row],[Calculated Bond Price]],"Rich","Cheap")</f>
        <v>Rich</v>
      </c>
      <c r="AE5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957.64097333161089</v>
      </c>
      <c r="AF5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1081.2299114929149</v>
      </c>
      <c r="AG510" s="78">
        <f>(Table1[[#This Row],[P (+ shock)]]+Table1[[#This Row],[P (-shock)]]-2*Table1[[#This Row],[Ask Price]])/(2*Table1[[#This Row],[Ask Price]]*($AF$2^2))</f>
        <v>25.918985171744023</v>
      </c>
      <c r="AH510">
        <v>12.144832788534</v>
      </c>
      <c r="AI510" s="6">
        <f t="shared" si="29"/>
        <v>0.10277340676632574</v>
      </c>
      <c r="AK510" s="47">
        <f>RATE(Table1[[#This Row],[Total No. of Coupons]],Table1[[#This Row],[Coupon Amount]],-Table1[[#This Row],[Ask Price]],Table1[[#This Row],[Face value]])</f>
        <v>0.10174534413177359</v>
      </c>
      <c r="AL510" s="27">
        <f>Table1[[#This Row],[IRR]]*Table1[[#This Row],[Coupon Frequency2]]</f>
        <v>0.10174534413177359</v>
      </c>
      <c r="AM510" s="5">
        <f t="shared" si="30"/>
        <v>-6170.6313024101473</v>
      </c>
      <c r="AN510" t="s">
        <v>64</v>
      </c>
      <c r="AO510" t="s">
        <v>62</v>
      </c>
      <c r="AP510">
        <f t="shared" si="31"/>
        <v>1</v>
      </c>
    </row>
    <row r="511" spans="1:42" x14ac:dyDescent="0.35">
      <c r="A511" s="48" t="s">
        <v>142</v>
      </c>
      <c r="B511" s="49" t="s">
        <v>2748</v>
      </c>
      <c r="C511" s="49" t="s">
        <v>2273</v>
      </c>
      <c r="D511" s="50">
        <v>45589</v>
      </c>
      <c r="E511" s="50">
        <v>49241</v>
      </c>
      <c r="F511" s="49">
        <v>1000</v>
      </c>
      <c r="G511" s="49" t="s">
        <v>76</v>
      </c>
      <c r="H511" s="49">
        <v>1050</v>
      </c>
      <c r="I511" s="49" t="s">
        <v>76</v>
      </c>
      <c r="J511" s="49">
        <v>105</v>
      </c>
      <c r="K511" s="49">
        <v>100</v>
      </c>
      <c r="L511" s="51">
        <v>0.11</v>
      </c>
      <c r="M511" s="49" t="s">
        <v>93</v>
      </c>
      <c r="N511" s="49">
        <v>3324</v>
      </c>
      <c r="O511" s="49">
        <v>10.4761904761904</v>
      </c>
      <c r="P511" s="49"/>
      <c r="Q511" s="49"/>
      <c r="R511" s="49" t="s">
        <v>2275</v>
      </c>
      <c r="S511">
        <f t="shared" si="28"/>
        <v>10</v>
      </c>
      <c r="T511" s="5" cm="1">
        <f t="array" ref="T5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1">
        <f>Table1[[#This Row],[Term to Maturity (Years)]]*Table1[[#This Row],[Coupon Frequency2]]</f>
        <v>10</v>
      </c>
      <c r="V511">
        <f>Table1[[#This Row],[Face value]]*Table1[[#This Row],[Current coupon %]]</f>
        <v>110</v>
      </c>
      <c r="W511" s="36">
        <f>RATE(Table1[[#This Row],[Total No. of Coupons]],Table1[[#This Row],[Coupon Amount]],-Table1[[#This Row],[Ask Price]],Table1[[#This Row],[Face value]])</f>
        <v>0.10179971261601069</v>
      </c>
      <c r="X511" s="27">
        <f>Table1[[#This Row],[IRR]]*Table1[[#This Row],[Coupon Frequency2]]</f>
        <v>0.10179971261601069</v>
      </c>
      <c r="Y511" s="19" cm="1">
        <f t="array" ref="Y5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1" s="33">
        <f>DURATION(Table1[[#This Row],[Issue date]],Table1[[#This Row],[Maturity date]],Table1[[#This Row],[Current coupon %]],Table1[[#This Row],[Yield (Annualised)]],Table1[[#This Row],[Coupon Frequency2]])</f>
        <v>6.6225566852958462</v>
      </c>
      <c r="AA511" s="33">
        <f>Table1[[#This Row],[Macaulay Duration in Years]]/(1+Table1[[#This Row],[IRR]])</f>
        <v>6.0106720027833953</v>
      </c>
      <c r="AB511" s="58">
        <f>VLOOKUP(Table1[[#This Row],[Yield Cluster]],'Cluster Details'!$B$3:$C$16,2,0)</f>
        <v>0.11069942689191503</v>
      </c>
      <c r="AC511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11" s="58" t="str">
        <f>IF(Table1[[#This Row],[Ask Price]]&gt;Table1[[#This Row],[Calculated Bond Price]],"Rich","Cheap")</f>
        <v>Rich</v>
      </c>
      <c r="AE5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989.48058644522632</v>
      </c>
      <c r="AF5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1115.8836050345606</v>
      </c>
      <c r="AG511" s="78">
        <f>(Table1[[#This Row],[P (+ shock)]]+Table1[[#This Row],[P (-shock)]]-2*Table1[[#This Row],[Ask Price]])/(2*Table1[[#This Row],[Ask Price]]*($AF$2^2))</f>
        <v>25.543768951365561</v>
      </c>
      <c r="AH511">
        <v>9.4552538152980699</v>
      </c>
      <c r="AI511" s="6">
        <f t="shared" si="29"/>
        <v>0.10476190476190476</v>
      </c>
      <c r="AK511" s="47">
        <f>RATE(Table1[[#This Row],[Total No. of Coupons]],Table1[[#This Row],[Coupon Amount]],-Table1[[#This Row],[Ask Price]],Table1[[#This Row],[Face value]])</f>
        <v>0.10179971261601069</v>
      </c>
      <c r="AL511" s="27">
        <f>Table1[[#This Row],[IRR]]*Table1[[#This Row],[Coupon Frequency2]]</f>
        <v>0.10179971261601069</v>
      </c>
      <c r="AM511" s="5">
        <f t="shared" si="30"/>
        <v>-6311.205602922565</v>
      </c>
      <c r="AN511" t="s">
        <v>64</v>
      </c>
      <c r="AO511" t="s">
        <v>62</v>
      </c>
      <c r="AP511">
        <f t="shared" si="31"/>
        <v>1</v>
      </c>
    </row>
    <row r="512" spans="1:42" x14ac:dyDescent="0.35">
      <c r="A512" s="48" t="s">
        <v>307</v>
      </c>
      <c r="B512" s="49" t="s">
        <v>2801</v>
      </c>
      <c r="C512" s="49" t="s">
        <v>2273</v>
      </c>
      <c r="D512" s="50">
        <v>44449</v>
      </c>
      <c r="E512" s="50">
        <v>48101</v>
      </c>
      <c r="F512" s="49">
        <v>1000</v>
      </c>
      <c r="G512" s="49" t="s">
        <v>76</v>
      </c>
      <c r="H512" s="49">
        <v>968.8</v>
      </c>
      <c r="I512" s="49" t="s">
        <v>76</v>
      </c>
      <c r="J512" s="49">
        <v>96.88</v>
      </c>
      <c r="K512" s="49">
        <v>6</v>
      </c>
      <c r="L512" s="51">
        <v>9.6999999999999989E-2</v>
      </c>
      <c r="M512" s="49" t="s">
        <v>93</v>
      </c>
      <c r="N512" s="49">
        <v>2184</v>
      </c>
      <c r="O512" s="49">
        <v>10.012386457473101</v>
      </c>
      <c r="P512" s="49"/>
      <c r="Q512" s="49"/>
      <c r="R512" s="49" t="s">
        <v>2275</v>
      </c>
      <c r="S512">
        <f t="shared" si="28"/>
        <v>10</v>
      </c>
      <c r="T512" s="5" cm="1">
        <f t="array" ref="T5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2">
        <f>Table1[[#This Row],[Term to Maturity (Years)]]*Table1[[#This Row],[Coupon Frequency2]]</f>
        <v>10</v>
      </c>
      <c r="V512">
        <f>Table1[[#This Row],[Face value]]*Table1[[#This Row],[Current coupon %]]</f>
        <v>96.999999999999986</v>
      </c>
      <c r="W512" s="36">
        <f>RATE(Table1[[#This Row],[Total No. of Coupons]],Table1[[#This Row],[Coupon Amount]],-Table1[[#This Row],[Ask Price]],Table1[[#This Row],[Face value]])</f>
        <v>0.10212408063508165</v>
      </c>
      <c r="X512" s="27">
        <f>Table1[[#This Row],[IRR]]*Table1[[#This Row],[Coupon Frequency2]]</f>
        <v>0.10212408063508165</v>
      </c>
      <c r="Y512" s="19" cm="1">
        <f t="array" ref="Y5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2" s="33">
        <f>DURATION(Table1[[#This Row],[Issue date]],Table1[[#This Row],[Maturity date]],Table1[[#This Row],[Current coupon %]],Table1[[#This Row],[Yield (Annualised)]],Table1[[#This Row],[Coupon Frequency2]])</f>
        <v>6.7751444584395504</v>
      </c>
      <c r="AA512" s="33">
        <f>Table1[[#This Row],[Macaulay Duration in Years]]/(1+Table1[[#This Row],[IRR]])</f>
        <v>6.1473518068269408</v>
      </c>
      <c r="AB512" s="58">
        <f>VLOOKUP(Table1[[#This Row],[Yield Cluster]],'Cluster Details'!$B$3:$C$16,2,0)</f>
        <v>0.11069942689191503</v>
      </c>
      <c r="AC512" s="78">
        <f>PRICE(Table1[[#This Row],[Issue date]],Table1[[#This Row],[Maturity date]],Table1[[#This Row],[Current coupon %]],Table1[[#This Row],[Average Cluster Yield]],100,Table1[[#This Row],[Coupon Frequency2]])*Table1[[#This Row],[Face value]]/100</f>
        <v>919.55696778026208</v>
      </c>
      <c r="AD512" s="58" t="str">
        <f>IF(Table1[[#This Row],[Ask Price]]&gt;Table1[[#This Row],[Calculated Bond Price]],"Rich","Cheap")</f>
        <v>Rich</v>
      </c>
      <c r="AE5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911.71855269396337</v>
      </c>
      <c r="AF5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1031.0015324003718</v>
      </c>
      <c r="AG512" s="78">
        <f>(Table1[[#This Row],[P (+ shock)]]+Table1[[#This Row],[P (-shock)]]-2*Table1[[#This Row],[Ask Price]])/(2*Table1[[#This Row],[Ask Price]]*($AF$2^2))</f>
        <v>26.424881783316007</v>
      </c>
      <c r="AH512">
        <v>6.8910467003597802</v>
      </c>
      <c r="AI512" s="6">
        <f t="shared" si="29"/>
        <v>0.10012386457473162</v>
      </c>
      <c r="AK512" s="47">
        <f>RATE(Table1[[#This Row],[Total No. of Coupons]],Table1[[#This Row],[Coupon Amount]],-Table1[[#This Row],[Ask Price]],Table1[[#This Row],[Face value]])</f>
        <v>0.10212408063508165</v>
      </c>
      <c r="AL512" s="27">
        <f>Table1[[#This Row],[IRR]]*Table1[[#This Row],[Coupon Frequency2]]</f>
        <v>0.10212408063508165</v>
      </c>
      <c r="AM512" s="5">
        <f t="shared" si="30"/>
        <v>-5955.5544304539399</v>
      </c>
      <c r="AN512" t="s">
        <v>64</v>
      </c>
      <c r="AO512" t="s">
        <v>62</v>
      </c>
      <c r="AP512">
        <f t="shared" si="31"/>
        <v>1</v>
      </c>
    </row>
    <row r="513" spans="1:42" x14ac:dyDescent="0.35">
      <c r="A513" s="48" t="s">
        <v>691</v>
      </c>
      <c r="B513" s="49" t="s">
        <v>2802</v>
      </c>
      <c r="C513" s="49" t="s">
        <v>2273</v>
      </c>
      <c r="D513" s="50">
        <v>45411</v>
      </c>
      <c r="E513" s="50">
        <v>47237</v>
      </c>
      <c r="F513" s="49">
        <v>1000</v>
      </c>
      <c r="G513" s="49" t="s">
        <v>76</v>
      </c>
      <c r="H513" s="49">
        <v>995</v>
      </c>
      <c r="I513" s="49" t="s">
        <v>76</v>
      </c>
      <c r="J513" s="49">
        <v>99.5</v>
      </c>
      <c r="K513" s="49">
        <v>50</v>
      </c>
      <c r="L513" s="51">
        <v>0.10099999999999999</v>
      </c>
      <c r="M513" s="49" t="s">
        <v>93</v>
      </c>
      <c r="N513" s="49">
        <v>1320</v>
      </c>
      <c r="O513" s="49">
        <v>10.150753768844201</v>
      </c>
      <c r="P513" s="49"/>
      <c r="Q513" s="49"/>
      <c r="R513" s="49" t="s">
        <v>2275</v>
      </c>
      <c r="S513">
        <f t="shared" si="28"/>
        <v>5</v>
      </c>
      <c r="T513" s="5" cm="1">
        <f t="array" ref="T5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3">
        <f>Table1[[#This Row],[Term to Maturity (Years)]]*Table1[[#This Row],[Coupon Frequency2]]</f>
        <v>5</v>
      </c>
      <c r="V513">
        <f>Table1[[#This Row],[Face value]]*Table1[[#This Row],[Current coupon %]]</f>
        <v>100.99999999999999</v>
      </c>
      <c r="W513" s="36">
        <f>RATE(Table1[[#This Row],[Total No. of Coupons]],Table1[[#This Row],[Coupon Amount]],-Table1[[#This Row],[Ask Price]],Table1[[#This Row],[Face value]])</f>
        <v>0.10232683699575428</v>
      </c>
      <c r="X513" s="27">
        <f>Table1[[#This Row],[IRR]]*Table1[[#This Row],[Coupon Frequency2]]</f>
        <v>0.10232683699575428</v>
      </c>
      <c r="Y513" s="19" cm="1">
        <f t="array" ref="Y5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3" s="33">
        <f>DURATION(Table1[[#This Row],[Issue date]],Table1[[#This Row],[Maturity date]],Table1[[#This Row],[Current coupon %]],Table1[[#This Row],[Yield (Annualised)]],Table1[[#This Row],[Coupon Frequency2]])</f>
        <v>4.1607387488823777</v>
      </c>
      <c r="AA513" s="33">
        <f>Table1[[#This Row],[Macaulay Duration in Years]]/(1+Table1[[#This Row],[IRR]])</f>
        <v>3.7745055361456319</v>
      </c>
      <c r="AB513" s="58">
        <f>VLOOKUP(Table1[[#This Row],[Yield Cluster]],'Cluster Details'!$B$3:$C$16,2,0)</f>
        <v>0.11069942689191503</v>
      </c>
      <c r="AC513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964.21490042396863</v>
      </c>
      <c r="AD513" s="58" t="str">
        <f>IF(Table1[[#This Row],[Ask Price]]&gt;Table1[[#This Row],[Calculated Bond Price]],"Rich","Cheap")</f>
        <v>Rich</v>
      </c>
      <c r="AE5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958.38106076095471</v>
      </c>
      <c r="AF5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1033.5328850239825</v>
      </c>
      <c r="AG513" s="78">
        <f>(Table1[[#This Row],[P (+ shock)]]+Table1[[#This Row],[P (-shock)]]-2*Table1[[#This Row],[Ask Price]])/(2*Table1[[#This Row],[Ask Price]]*($AF$2^2))</f>
        <v>9.6178180147606458</v>
      </c>
      <c r="AH513">
        <v>11.747529264809801</v>
      </c>
      <c r="AI513" s="6">
        <f t="shared" si="29"/>
        <v>0.1015075376884422</v>
      </c>
      <c r="AK513" s="47">
        <f>RATE(Table1[[#This Row],[Total No. of Coupons]],Table1[[#This Row],[Coupon Amount]],-Table1[[#This Row],[Ask Price]],Table1[[#This Row],[Face value]])</f>
        <v>0.10232683699575428</v>
      </c>
      <c r="AL513" s="27">
        <f>Table1[[#This Row],[IRR]]*Table1[[#This Row],[Coupon Frequency2]]</f>
        <v>0.10232683699575428</v>
      </c>
      <c r="AM513" s="5">
        <f t="shared" si="30"/>
        <v>-3755.6330084649039</v>
      </c>
      <c r="AN513" t="s">
        <v>64</v>
      </c>
      <c r="AO513" t="s">
        <v>62</v>
      </c>
      <c r="AP513">
        <f t="shared" si="31"/>
        <v>1</v>
      </c>
    </row>
    <row r="514" spans="1:42" x14ac:dyDescent="0.35">
      <c r="A514" s="48" t="s">
        <v>647</v>
      </c>
      <c r="B514" s="49" t="s">
        <v>2803</v>
      </c>
      <c r="C514" s="49" t="s">
        <v>2273</v>
      </c>
      <c r="D514" s="50">
        <v>45476</v>
      </c>
      <c r="E514" s="50">
        <v>47302</v>
      </c>
      <c r="F514" s="49">
        <v>1000</v>
      </c>
      <c r="G514" s="49" t="s">
        <v>76</v>
      </c>
      <c r="H514" s="49">
        <v>1010</v>
      </c>
      <c r="I514" s="49" t="s">
        <v>76</v>
      </c>
      <c r="J514" s="49">
        <v>101</v>
      </c>
      <c r="K514" s="49">
        <v>10</v>
      </c>
      <c r="L514" s="51">
        <v>0.105</v>
      </c>
      <c r="M514" s="49" t="s">
        <v>93</v>
      </c>
      <c r="N514" s="49">
        <v>1385</v>
      </c>
      <c r="O514" s="49">
        <v>10.3960396039603</v>
      </c>
      <c r="P514" s="49"/>
      <c r="Q514" s="49"/>
      <c r="R514" s="49" t="s">
        <v>2275</v>
      </c>
      <c r="S514">
        <f t="shared" si="28"/>
        <v>5</v>
      </c>
      <c r="T514" s="5" cm="1">
        <f t="array" ref="T5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4">
        <f>Table1[[#This Row],[Term to Maturity (Years)]]*Table1[[#This Row],[Coupon Frequency2]]</f>
        <v>5</v>
      </c>
      <c r="V514">
        <f>Table1[[#This Row],[Face value]]*Table1[[#This Row],[Current coupon %]]</f>
        <v>105</v>
      </c>
      <c r="W514" s="36">
        <f>RATE(Table1[[#This Row],[Total No. of Coupons]],Table1[[#This Row],[Coupon Amount]],-Table1[[#This Row],[Ask Price]],Table1[[#This Row],[Face value]])</f>
        <v>0.10234619524471776</v>
      </c>
      <c r="X514" s="27">
        <f>Table1[[#This Row],[IRR]]*Table1[[#This Row],[Coupon Frequency2]]</f>
        <v>0.10234619524471776</v>
      </c>
      <c r="Y514" s="19" cm="1">
        <f t="array" ref="Y5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4" s="33">
        <f>DURATION(Table1[[#This Row],[Issue date]],Table1[[#This Row],[Maturity date]],Table1[[#This Row],[Current coupon %]],Table1[[#This Row],[Yield (Annualised)]],Table1[[#This Row],[Coupon Frequency2]])</f>
        <v>4.1404873527379724</v>
      </c>
      <c r="AA514" s="33">
        <f>Table1[[#This Row],[Macaulay Duration in Years]]/(1+Table1[[#This Row],[IRR]])</f>
        <v>3.7560680760718692</v>
      </c>
      <c r="AB514" s="58">
        <f>VLOOKUP(Table1[[#This Row],[Yield Cluster]],'Cluster Details'!$B$3:$C$16,2,0)</f>
        <v>0.11069942689191503</v>
      </c>
      <c r="AC514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978.97251444582798</v>
      </c>
      <c r="AD514" s="58" t="str">
        <f>IF(Table1[[#This Row],[Ask Price]]&gt;Table1[[#This Row],[Calculated Bond Price]],"Rich","Cheap")</f>
        <v>Rich</v>
      </c>
      <c r="AE5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973.00870324252287</v>
      </c>
      <c r="AF5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1048.9207161145098</v>
      </c>
      <c r="AG514" s="78">
        <f>(Table1[[#This Row],[P (+ shock)]]+Table1[[#This Row],[P (-shock)]]-2*Table1[[#This Row],[Ask Price]])/(2*Table1[[#This Row],[Ask Price]]*($AF$2^2))</f>
        <v>9.5515809754091929</v>
      </c>
      <c r="AH514">
        <v>15.0914857765883</v>
      </c>
      <c r="AI514" s="6">
        <f t="shared" si="29"/>
        <v>0.10396039603960396</v>
      </c>
      <c r="AK514" s="47">
        <f>RATE(Table1[[#This Row],[Total No. of Coupons]],Table1[[#This Row],[Coupon Amount]],-Table1[[#This Row],[Ask Price]],Table1[[#This Row],[Face value]])</f>
        <v>0.10234619524471776</v>
      </c>
      <c r="AL514" s="27">
        <f>Table1[[#This Row],[IRR]]*Table1[[#This Row],[Coupon Frequency2]]</f>
        <v>0.10234619524471776</v>
      </c>
      <c r="AM514" s="5">
        <f t="shared" si="30"/>
        <v>-3793.6287568325879</v>
      </c>
      <c r="AN514" t="s">
        <v>64</v>
      </c>
      <c r="AO514" t="s">
        <v>62</v>
      </c>
      <c r="AP514">
        <f t="shared" si="31"/>
        <v>1</v>
      </c>
    </row>
    <row r="515" spans="1:42" x14ac:dyDescent="0.35">
      <c r="A515" s="48" t="s">
        <v>480</v>
      </c>
      <c r="B515" s="49" t="s">
        <v>2804</v>
      </c>
      <c r="C515" s="49" t="s">
        <v>2273</v>
      </c>
      <c r="D515" s="50">
        <v>45771</v>
      </c>
      <c r="E515" s="50">
        <v>47597</v>
      </c>
      <c r="F515" s="49">
        <v>1000</v>
      </c>
      <c r="G515" s="49" t="s">
        <v>76</v>
      </c>
      <c r="H515" s="49">
        <v>1010</v>
      </c>
      <c r="I515" s="49" t="s">
        <v>76</v>
      </c>
      <c r="J515" s="49">
        <v>101</v>
      </c>
      <c r="K515" s="49">
        <v>100</v>
      </c>
      <c r="L515" s="51">
        <v>0.105</v>
      </c>
      <c r="M515" s="49" t="s">
        <v>93</v>
      </c>
      <c r="N515" s="49">
        <v>1680</v>
      </c>
      <c r="O515" s="49">
        <v>10.3960396039603</v>
      </c>
      <c r="P515" s="49"/>
      <c r="Q515" s="49"/>
      <c r="R515" s="49" t="s">
        <v>2275</v>
      </c>
      <c r="S515">
        <f t="shared" si="28"/>
        <v>5</v>
      </c>
      <c r="T515" s="5" cm="1">
        <f t="array" ref="T5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5">
        <f>Table1[[#This Row],[Term to Maturity (Years)]]*Table1[[#This Row],[Coupon Frequency2]]</f>
        <v>5</v>
      </c>
      <c r="V515">
        <f>Table1[[#This Row],[Face value]]*Table1[[#This Row],[Current coupon %]]</f>
        <v>105</v>
      </c>
      <c r="W515" s="36">
        <f>RATE(Table1[[#This Row],[Total No. of Coupons]],Table1[[#This Row],[Coupon Amount]],-Table1[[#This Row],[Ask Price]],Table1[[#This Row],[Face value]])</f>
        <v>0.10234619524471776</v>
      </c>
      <c r="X515" s="27">
        <f>Table1[[#This Row],[IRR]]*Table1[[#This Row],[Coupon Frequency2]]</f>
        <v>0.10234619524471776</v>
      </c>
      <c r="Y515" s="19" cm="1">
        <f t="array" ref="Y5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5" s="33">
        <f>DURATION(Table1[[#This Row],[Issue date]],Table1[[#This Row],[Maturity date]],Table1[[#This Row],[Current coupon %]],Table1[[#This Row],[Yield (Annualised)]],Table1[[#This Row],[Coupon Frequency2]])</f>
        <v>4.1404873527379724</v>
      </c>
      <c r="AA515" s="33">
        <f>Table1[[#This Row],[Macaulay Duration in Years]]/(1+Table1[[#This Row],[IRR]])</f>
        <v>3.7560680760718692</v>
      </c>
      <c r="AB515" s="58">
        <f>VLOOKUP(Table1[[#This Row],[Yield Cluster]],'Cluster Details'!$B$3:$C$16,2,0)</f>
        <v>0.11069942689191503</v>
      </c>
      <c r="AC515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978.97251444582798</v>
      </c>
      <c r="AD515" s="58" t="str">
        <f>IF(Table1[[#This Row],[Ask Price]]&gt;Table1[[#This Row],[Calculated Bond Price]],"Rich","Cheap")</f>
        <v>Rich</v>
      </c>
      <c r="AE5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973.00870324252287</v>
      </c>
      <c r="AF5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1048.9207161145098</v>
      </c>
      <c r="AG515" s="78">
        <f>(Table1[[#This Row],[P (+ shock)]]+Table1[[#This Row],[P (-shock)]]-2*Table1[[#This Row],[Ask Price]])/(2*Table1[[#This Row],[Ask Price]]*($AF$2^2))</f>
        <v>9.5515809754091929</v>
      </c>
      <c r="AH515">
        <v>10.8607744831208</v>
      </c>
      <c r="AI515" s="6">
        <f t="shared" si="29"/>
        <v>0.10396039603960396</v>
      </c>
      <c r="AK515" s="47">
        <f>RATE(Table1[[#This Row],[Total No. of Coupons]],Table1[[#This Row],[Coupon Amount]],-Table1[[#This Row],[Ask Price]],Table1[[#This Row],[Face value]])</f>
        <v>0.10234619524471776</v>
      </c>
      <c r="AL515" s="27">
        <f>Table1[[#This Row],[IRR]]*Table1[[#This Row],[Coupon Frequency2]]</f>
        <v>0.10234619524471776</v>
      </c>
      <c r="AM515" s="5">
        <f t="shared" si="30"/>
        <v>-3793.6287568325879</v>
      </c>
      <c r="AN515" t="s">
        <v>64</v>
      </c>
      <c r="AO515" t="s">
        <v>62</v>
      </c>
      <c r="AP515">
        <f t="shared" si="31"/>
        <v>1</v>
      </c>
    </row>
    <row r="516" spans="1:42" x14ac:dyDescent="0.35">
      <c r="A516" s="48" t="s">
        <v>899</v>
      </c>
      <c r="B516" s="49" t="s">
        <v>2805</v>
      </c>
      <c r="C516" s="49" t="s">
        <v>2273</v>
      </c>
      <c r="D516" s="50">
        <v>45128</v>
      </c>
      <c r="E516" s="50">
        <v>46955</v>
      </c>
      <c r="F516" s="49">
        <v>1000</v>
      </c>
      <c r="G516" s="49" t="s">
        <v>76</v>
      </c>
      <c r="H516" s="49">
        <v>994.35</v>
      </c>
      <c r="I516" s="49" t="s">
        <v>76</v>
      </c>
      <c r="J516" s="49">
        <v>99.435000000000002</v>
      </c>
      <c r="K516" s="49">
        <v>27</v>
      </c>
      <c r="L516" s="51">
        <v>0.10099999999999999</v>
      </c>
      <c r="M516" s="49" t="s">
        <v>93</v>
      </c>
      <c r="N516" s="49">
        <v>1038</v>
      </c>
      <c r="O516" s="49">
        <v>10.1573892492583</v>
      </c>
      <c r="P516" s="49"/>
      <c r="Q516" s="49"/>
      <c r="R516" s="49" t="s">
        <v>2275</v>
      </c>
      <c r="S516">
        <f t="shared" ref="S516:S579" si="32">ROUND(YEARFRAC(D516,E516),0)</f>
        <v>5</v>
      </c>
      <c r="T516" s="5" cm="1">
        <f t="array" ref="T5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6">
        <f>Table1[[#This Row],[Term to Maturity (Years)]]*Table1[[#This Row],[Coupon Frequency2]]</f>
        <v>5</v>
      </c>
      <c r="V516">
        <f>Table1[[#This Row],[Face value]]*Table1[[#This Row],[Current coupon %]]</f>
        <v>100.99999999999999</v>
      </c>
      <c r="W516" s="36">
        <f>RATE(Table1[[#This Row],[Total No. of Coupons]],Table1[[#This Row],[Coupon Amount]],-Table1[[#This Row],[Ask Price]],Table1[[#This Row],[Face value]])</f>
        <v>0.10249998668872606</v>
      </c>
      <c r="X516" s="27">
        <f>Table1[[#This Row],[IRR]]*Table1[[#This Row],[Coupon Frequency2]]</f>
        <v>0.10249998668872606</v>
      </c>
      <c r="Y516" s="19" cm="1">
        <f t="array" ref="Y5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6" s="33">
        <f>DURATION(Table1[[#This Row],[Issue date]],Table1[[#This Row],[Maturity date]],Table1[[#This Row],[Current coupon %]],Table1[[#This Row],[Yield (Annualised)]],Table1[[#This Row],[Coupon Frequency2]])</f>
        <v>4.160441430030156</v>
      </c>
      <c r="AA516" s="33">
        <f>Table1[[#This Row],[Macaulay Duration in Years]]/(1+Table1[[#This Row],[IRR]])</f>
        <v>3.7736430659974167</v>
      </c>
      <c r="AB516" s="58">
        <f>VLOOKUP(Table1[[#This Row],[Yield Cluster]],'Cluster Details'!$B$3:$C$16,2,0)</f>
        <v>0.11069942689191503</v>
      </c>
      <c r="AC516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964.21490042396863</v>
      </c>
      <c r="AD516" s="58" t="str">
        <f>IF(Table1[[#This Row],[Ask Price]]&gt;Table1[[#This Row],[Calculated Bond Price]],"Rich","Cheap")</f>
        <v>Rich</v>
      </c>
      <c r="AE5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957.76317835781867</v>
      </c>
      <c r="AF5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1032.8487339156613</v>
      </c>
      <c r="AG516" s="78">
        <f>(Table1[[#This Row],[P (+ shock)]]+Table1[[#This Row],[P (-shock)]]-2*Table1[[#This Row],[Ask Price]])/(2*Table1[[#This Row],[Ask Price]]*($AF$2^2))</f>
        <v>9.6138797882026275</v>
      </c>
      <c r="AH516">
        <v>9.0992388925816599</v>
      </c>
      <c r="AI516" s="6">
        <f t="shared" ref="AI516:AI579" si="33">(L516*F516)/H516</f>
        <v>0.10157389249258308</v>
      </c>
      <c r="AK516" s="47">
        <f>RATE(Table1[[#This Row],[Total No. of Coupons]],Table1[[#This Row],[Coupon Amount]],-Table1[[#This Row],[Ask Price]],Table1[[#This Row],[Face value]])</f>
        <v>0.10249998668872606</v>
      </c>
      <c r="AL516" s="27">
        <f>Table1[[#This Row],[IRR]]*Table1[[#This Row],[Coupon Frequency2]]</f>
        <v>0.10249998668872606</v>
      </c>
      <c r="AM516" s="5">
        <f t="shared" ref="AM516:AM579" si="34">-AA516*H516</f>
        <v>-3752.3219826745312</v>
      </c>
      <c r="AN516" t="s">
        <v>64</v>
      </c>
      <c r="AO516" t="s">
        <v>62</v>
      </c>
      <c r="AP516">
        <f t="shared" ref="AP516:AP579" si="35">_xlfn.SWITCH(PROPER(TRIM(M516)),
   "Annual",1,
   "Semi-Annual",2,
   "Quarterly",4,
   "Monthly",12,
   "")</f>
        <v>1</v>
      </c>
    </row>
    <row r="517" spans="1:42" x14ac:dyDescent="0.35">
      <c r="A517" s="48" t="s">
        <v>484</v>
      </c>
      <c r="B517" s="49" t="s">
        <v>2806</v>
      </c>
      <c r="C517" s="49" t="s">
        <v>2273</v>
      </c>
      <c r="D517" s="50">
        <v>45768</v>
      </c>
      <c r="E517" s="50">
        <v>47594</v>
      </c>
      <c r="F517" s="49">
        <v>1000</v>
      </c>
      <c r="G517" s="49" t="s">
        <v>76</v>
      </c>
      <c r="H517" s="49">
        <v>1000</v>
      </c>
      <c r="I517" s="49" t="s">
        <v>76</v>
      </c>
      <c r="J517" s="49">
        <v>100</v>
      </c>
      <c r="K517" s="49">
        <v>200</v>
      </c>
      <c r="L517" s="51">
        <v>0.10249999999999999</v>
      </c>
      <c r="M517" s="49" t="s">
        <v>93</v>
      </c>
      <c r="N517" s="49">
        <v>1677</v>
      </c>
      <c r="O517" s="49">
        <v>10.25</v>
      </c>
      <c r="P517" s="49" t="s">
        <v>2279</v>
      </c>
      <c r="Q517" s="49"/>
      <c r="R517" s="49" t="s">
        <v>2275</v>
      </c>
      <c r="S517">
        <f t="shared" si="32"/>
        <v>5</v>
      </c>
      <c r="T517" s="5" cm="1">
        <f t="array" ref="T5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7">
        <f>Table1[[#This Row],[Term to Maturity (Years)]]*Table1[[#This Row],[Coupon Frequency2]]</f>
        <v>5</v>
      </c>
      <c r="V517">
        <f>Table1[[#This Row],[Face value]]*Table1[[#This Row],[Current coupon %]]</f>
        <v>102.5</v>
      </c>
      <c r="W517" s="36">
        <f>RATE(Table1[[#This Row],[Total No. of Coupons]],Table1[[#This Row],[Coupon Amount]],-Table1[[#This Row],[Ask Price]],Table1[[#This Row],[Face value]])</f>
        <v>0.10250000000000002</v>
      </c>
      <c r="X517" s="27">
        <f>Table1[[#This Row],[IRR]]*Table1[[#This Row],[Coupon Frequency2]]</f>
        <v>0.10250000000000002</v>
      </c>
      <c r="Y517" s="19" cm="1">
        <f t="array" ref="Y5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7" s="33">
        <f>DURATION(Table1[[#This Row],[Issue date]],Table1[[#This Row],[Maturity date]],Table1[[#This Row],[Current coupon %]],Table1[[#This Row],[Yield (Annualised)]],Table1[[#This Row],[Coupon Frequency2]])</f>
        <v>4.1527867119152466</v>
      </c>
      <c r="AA517" s="33">
        <f>Table1[[#This Row],[Macaulay Duration in Years]]/(1+Table1[[#This Row],[IRR]])</f>
        <v>3.7666999654560058</v>
      </c>
      <c r="AB517" s="58">
        <f>VLOOKUP(Table1[[#This Row],[Yield Cluster]],'Cluster Details'!$B$3:$C$16,2,0)</f>
        <v>0.11069942689191503</v>
      </c>
      <c r="AC517" s="78">
        <f>PRICE(Table1[[#This Row],[Issue date]],Table1[[#This Row],[Maturity date]],Table1[[#This Row],[Current coupon %]],Table1[[#This Row],[Average Cluster Yield]],100,Table1[[#This Row],[Coupon Frequency2]])*Table1[[#This Row],[Face value]]/100</f>
        <v>969.74900568216583</v>
      </c>
      <c r="AD517" s="58" t="str">
        <f>IF(Table1[[#This Row],[Ask Price]]&gt;Table1[[#This Row],[Calculated Bond Price]],"Rich","Cheap")</f>
        <v>Rich</v>
      </c>
      <c r="AE5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963.27228771951411</v>
      </c>
      <c r="AF5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1038.6455074628657</v>
      </c>
      <c r="AG517" s="78">
        <f>(Table1[[#This Row],[P (+ shock)]]+Table1[[#This Row],[P (-shock)]]-2*Table1[[#This Row],[Ask Price]])/(2*Table1[[#This Row],[Ask Price]]*($AF$2^2))</f>
        <v>9.5889759118995244</v>
      </c>
      <c r="AH517">
        <v>8.8887161415146494</v>
      </c>
      <c r="AI517" s="6">
        <f t="shared" si="33"/>
        <v>0.10249999999999999</v>
      </c>
      <c r="AK517" s="47">
        <f>RATE(Table1[[#This Row],[Total No. of Coupons]],Table1[[#This Row],[Coupon Amount]],-Table1[[#This Row],[Ask Price]],Table1[[#This Row],[Face value]])</f>
        <v>0.10250000000000002</v>
      </c>
      <c r="AL517" s="27">
        <f>Table1[[#This Row],[IRR]]*Table1[[#This Row],[Coupon Frequency2]]</f>
        <v>0.10250000000000002</v>
      </c>
      <c r="AM517" s="5">
        <f t="shared" si="34"/>
        <v>-3766.6999654560059</v>
      </c>
      <c r="AN517" t="s">
        <v>64</v>
      </c>
      <c r="AO517" t="s">
        <v>62</v>
      </c>
      <c r="AP517">
        <f t="shared" si="35"/>
        <v>1</v>
      </c>
    </row>
    <row r="518" spans="1:42" x14ac:dyDescent="0.35">
      <c r="A518" s="48" t="s">
        <v>2807</v>
      </c>
      <c r="B518" s="49" t="s">
        <v>2808</v>
      </c>
      <c r="C518" s="49" t="s">
        <v>2273</v>
      </c>
      <c r="D518" s="50">
        <v>45862</v>
      </c>
      <c r="E518" s="50">
        <v>47688</v>
      </c>
      <c r="F518" s="49">
        <v>1000</v>
      </c>
      <c r="G518" s="49" t="s">
        <v>76</v>
      </c>
      <c r="H518" s="49">
        <v>1000</v>
      </c>
      <c r="I518" s="49" t="s">
        <v>76</v>
      </c>
      <c r="J518" s="49">
        <v>100</v>
      </c>
      <c r="K518" s="49">
        <v>30</v>
      </c>
      <c r="L518" s="51">
        <v>0.10249999999999999</v>
      </c>
      <c r="M518" s="49" t="s">
        <v>93</v>
      </c>
      <c r="N518" s="49">
        <v>1771</v>
      </c>
      <c r="O518" s="49">
        <v>10.25</v>
      </c>
      <c r="P518" s="49"/>
      <c r="Q518" s="49"/>
      <c r="R518" s="49" t="s">
        <v>2275</v>
      </c>
      <c r="S518">
        <f t="shared" si="32"/>
        <v>5</v>
      </c>
      <c r="T518" s="5" cm="1">
        <f t="array" ref="T5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8">
        <f>Table1[[#This Row],[Term to Maturity (Years)]]*Table1[[#This Row],[Coupon Frequency2]]</f>
        <v>5</v>
      </c>
      <c r="V518">
        <f>Table1[[#This Row],[Face value]]*Table1[[#This Row],[Current coupon %]]</f>
        <v>102.5</v>
      </c>
      <c r="W518" s="36">
        <f>RATE(Table1[[#This Row],[Total No. of Coupons]],Table1[[#This Row],[Coupon Amount]],-Table1[[#This Row],[Ask Price]],Table1[[#This Row],[Face value]])</f>
        <v>0.10250000000000002</v>
      </c>
      <c r="X518" s="27">
        <f>Table1[[#This Row],[IRR]]*Table1[[#This Row],[Coupon Frequency2]]</f>
        <v>0.10250000000000002</v>
      </c>
      <c r="Y518" s="19" cm="1">
        <f t="array" ref="Y5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8" s="33">
        <f>DURATION(Table1[[#This Row],[Issue date]],Table1[[#This Row],[Maturity date]],Table1[[#This Row],[Current coupon %]],Table1[[#This Row],[Yield (Annualised)]],Table1[[#This Row],[Coupon Frequency2]])</f>
        <v>4.1527867119152466</v>
      </c>
      <c r="AA518" s="33">
        <f>Table1[[#This Row],[Macaulay Duration in Years]]/(1+Table1[[#This Row],[IRR]])</f>
        <v>3.7666999654560058</v>
      </c>
      <c r="AB518" s="58">
        <f>VLOOKUP(Table1[[#This Row],[Yield Cluster]],'Cluster Details'!$B$3:$C$16,2,0)</f>
        <v>0.11069942689191503</v>
      </c>
      <c r="AC518" s="78">
        <f>PRICE(Table1[[#This Row],[Issue date]],Table1[[#This Row],[Maturity date]],Table1[[#This Row],[Current coupon %]],Table1[[#This Row],[Average Cluster Yield]],100,Table1[[#This Row],[Coupon Frequency2]])*Table1[[#This Row],[Face value]]/100</f>
        <v>969.74900568216583</v>
      </c>
      <c r="AD518" s="58" t="str">
        <f>IF(Table1[[#This Row],[Ask Price]]&gt;Table1[[#This Row],[Calculated Bond Price]],"Rich","Cheap")</f>
        <v>Rich</v>
      </c>
      <c r="AE5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963.27228771951411</v>
      </c>
      <c r="AF5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1038.6455074628657</v>
      </c>
      <c r="AG518" s="78">
        <f>(Table1[[#This Row],[P (+ shock)]]+Table1[[#This Row],[P (-shock)]]-2*Table1[[#This Row],[Ask Price]])/(2*Table1[[#This Row],[Ask Price]]*($AF$2^2))</f>
        <v>9.5889759118995244</v>
      </c>
      <c r="AI518" s="6">
        <f t="shared" si="33"/>
        <v>0.10249999999999999</v>
      </c>
      <c r="AK518" s="47">
        <f>RATE(Table1[[#This Row],[Total No. of Coupons]],Table1[[#This Row],[Coupon Amount]],-Table1[[#This Row],[Ask Price]],Table1[[#This Row],[Face value]])</f>
        <v>0.10250000000000002</v>
      </c>
      <c r="AL518" s="27">
        <f>Table1[[#This Row],[IRR]]*Table1[[#This Row],[Coupon Frequency2]]</f>
        <v>0.10250000000000002</v>
      </c>
      <c r="AM518" s="5">
        <f t="shared" si="34"/>
        <v>-3766.6999654560059</v>
      </c>
      <c r="AN518" t="s">
        <v>64</v>
      </c>
      <c r="AO518" t="s">
        <v>62</v>
      </c>
      <c r="AP518">
        <f t="shared" si="35"/>
        <v>1</v>
      </c>
    </row>
    <row r="519" spans="1:42" x14ac:dyDescent="0.35">
      <c r="A519" s="48" t="s">
        <v>1491</v>
      </c>
      <c r="B519" s="49" t="s">
        <v>2809</v>
      </c>
      <c r="C519" s="49" t="s">
        <v>2273</v>
      </c>
      <c r="D519" s="50">
        <v>45274</v>
      </c>
      <c r="E519" s="50">
        <v>46370</v>
      </c>
      <c r="F519" s="49">
        <v>1000</v>
      </c>
      <c r="G519" s="49" t="s">
        <v>76</v>
      </c>
      <c r="H519" s="49">
        <v>1049.5</v>
      </c>
      <c r="I519" s="49" t="s">
        <v>76</v>
      </c>
      <c r="J519" s="49">
        <v>104.95</v>
      </c>
      <c r="K519" s="49">
        <v>33</v>
      </c>
      <c r="L519" s="51">
        <v>0.1225</v>
      </c>
      <c r="M519" s="49" t="s">
        <v>93</v>
      </c>
      <c r="N519" s="49">
        <v>453</v>
      </c>
      <c r="O519" s="49">
        <v>11.6722248689852</v>
      </c>
      <c r="P519" s="49"/>
      <c r="Q519" s="49"/>
      <c r="R519" s="49" t="s">
        <v>2275</v>
      </c>
      <c r="S519">
        <f t="shared" si="32"/>
        <v>3</v>
      </c>
      <c r="T519" s="5" cm="1">
        <f t="array" ref="T5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19">
        <f>Table1[[#This Row],[Term to Maturity (Years)]]*Table1[[#This Row],[Coupon Frequency2]]</f>
        <v>3</v>
      </c>
      <c r="V519">
        <f>Table1[[#This Row],[Face value]]*Table1[[#This Row],[Current coupon %]]</f>
        <v>122.5</v>
      </c>
      <c r="W519" s="36">
        <f>RATE(Table1[[#This Row],[Total No. of Coupons]],Table1[[#This Row],[Coupon Amount]],-Table1[[#This Row],[Ask Price]],Table1[[#This Row],[Face value]])</f>
        <v>0.10250739300581647</v>
      </c>
      <c r="X519" s="27">
        <f>Table1[[#This Row],[IRR]]*Table1[[#This Row],[Coupon Frequency2]]</f>
        <v>0.10250739300581647</v>
      </c>
      <c r="Y519" s="19" cm="1">
        <f t="array" ref="Y5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19" s="33">
        <f>DURATION(Table1[[#This Row],[Issue date]],Table1[[#This Row],[Maturity date]],Table1[[#This Row],[Current coupon %]],Table1[[#This Row],[Yield (Annualised)]],Table1[[#This Row],[Coupon Frequency2]])</f>
        <v>2.6922339841372298</v>
      </c>
      <c r="AA519" s="33">
        <f>Table1[[#This Row],[Macaulay Duration in Years]]/(1+Table1[[#This Row],[IRR]])</f>
        <v>2.4419192118043478</v>
      </c>
      <c r="AB519" s="58">
        <f>VLOOKUP(Table1[[#This Row],[Yield Cluster]],'Cluster Details'!$B$3:$C$16,2,0)</f>
        <v>0.11069942689191503</v>
      </c>
      <c r="AC519" s="78">
        <f>PRICE(Table1[[#This Row],[Issue date]],Table1[[#This Row],[Maturity date]],Table1[[#This Row],[Current coupon %]],Table1[[#This Row],[Average Cluster Yield]],100,Table1[[#This Row],[Coupon Frequency2]])*Table1[[#This Row],[Face value]]/100</f>
        <v>1028.8021907082405</v>
      </c>
      <c r="AD519" s="58" t="str">
        <f>IF(Table1[[#This Row],[Ask Price]]&gt;Table1[[#This Row],[Calculated Bond Price]],"Rich","Cheap")</f>
        <v>Rich</v>
      </c>
      <c r="AE5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1024.3129828427557</v>
      </c>
      <c r="AF5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1075.5821372795051</v>
      </c>
      <c r="AG519" s="78">
        <f>(Table1[[#This Row],[P (+ shock)]]+Table1[[#This Row],[P (-shock)]]-2*Table1[[#This Row],[Ask Price]])/(2*Table1[[#This Row],[Ask Price]]*($AF$2^2))</f>
        <v>4.2645074905230009</v>
      </c>
      <c r="AH519">
        <v>9.0761717599952902</v>
      </c>
      <c r="AI519" s="6">
        <f t="shared" si="33"/>
        <v>0.11672224868985231</v>
      </c>
      <c r="AK519" s="47">
        <f>RATE(Table1[[#This Row],[Total No. of Coupons]],Table1[[#This Row],[Coupon Amount]],-Table1[[#This Row],[Ask Price]],Table1[[#This Row],[Face value]])</f>
        <v>0.10250739300581647</v>
      </c>
      <c r="AL519" s="27">
        <f>Table1[[#This Row],[IRR]]*Table1[[#This Row],[Coupon Frequency2]]</f>
        <v>0.10250739300581647</v>
      </c>
      <c r="AM519" s="5">
        <f t="shared" si="34"/>
        <v>-2562.7942127886631</v>
      </c>
      <c r="AN519" t="s">
        <v>64</v>
      </c>
      <c r="AO519" t="s">
        <v>62</v>
      </c>
      <c r="AP519">
        <f t="shared" si="35"/>
        <v>1</v>
      </c>
    </row>
    <row r="520" spans="1:42" x14ac:dyDescent="0.35">
      <c r="A520" s="48" t="s">
        <v>931</v>
      </c>
      <c r="B520" s="49" t="s">
        <v>2810</v>
      </c>
      <c r="C520" s="49" t="s">
        <v>2273</v>
      </c>
      <c r="D520" s="50">
        <v>45455</v>
      </c>
      <c r="E520" s="50">
        <v>46916</v>
      </c>
      <c r="F520" s="49">
        <v>100000</v>
      </c>
      <c r="G520" s="49" t="s">
        <v>76</v>
      </c>
      <c r="H520" s="49">
        <v>99000</v>
      </c>
      <c r="I520" s="49" t="s">
        <v>76</v>
      </c>
      <c r="J520" s="49">
        <v>99</v>
      </c>
      <c r="K520" s="49">
        <v>5</v>
      </c>
      <c r="L520" s="51">
        <v>9.9499999999999991E-2</v>
      </c>
      <c r="M520" s="49" t="s">
        <v>93</v>
      </c>
      <c r="N520" s="49">
        <v>999</v>
      </c>
      <c r="O520" s="49">
        <v>10.050505050505</v>
      </c>
      <c r="P520" s="49"/>
      <c r="Q520" s="49"/>
      <c r="R520" s="49" t="s">
        <v>2275</v>
      </c>
      <c r="S520">
        <f t="shared" si="32"/>
        <v>4</v>
      </c>
      <c r="T520" s="5" cm="1">
        <f t="array" ref="T5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0">
        <f>Table1[[#This Row],[Term to Maturity (Years)]]*Table1[[#This Row],[Coupon Frequency2]]</f>
        <v>4</v>
      </c>
      <c r="V520">
        <f>Table1[[#This Row],[Face value]]*Table1[[#This Row],[Current coupon %]]</f>
        <v>9950</v>
      </c>
      <c r="W520" s="36">
        <f>RATE(Table1[[#This Row],[Total No. of Coupons]],Table1[[#This Row],[Coupon Amount]],-Table1[[#This Row],[Ask Price]],Table1[[#This Row],[Face value]])</f>
        <v>0.1026729808482888</v>
      </c>
      <c r="X520" s="27">
        <f>Table1[[#This Row],[IRR]]*Table1[[#This Row],[Coupon Frequency2]]</f>
        <v>0.1026729808482888</v>
      </c>
      <c r="Y520" s="19" cm="1">
        <f t="array" ref="Y5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0" s="33">
        <f>DURATION(Table1[[#This Row],[Issue date]],Table1[[#This Row],[Maturity date]],Table1[[#This Row],[Current coupon %]],Table1[[#This Row],[Yield (Annualised)]],Table1[[#This Row],[Coupon Frequency2]])</f>
        <v>3.4862770194543447</v>
      </c>
      <c r="AA520" s="33">
        <f>Table1[[#This Row],[Macaulay Duration in Years]]/(1+Table1[[#This Row],[IRR]])</f>
        <v>3.1616599662869618</v>
      </c>
      <c r="AB520" s="58">
        <f>VLOOKUP(Table1[[#This Row],[Yield Cluster]],'Cluster Details'!$B$3:$C$16,2,0)</f>
        <v>0.11069942689191503</v>
      </c>
      <c r="AC520" s="78">
        <f>PRICE(Table1[[#This Row],[Issue date]],Table1[[#This Row],[Maturity date]],Table1[[#This Row],[Current coupon %]],Table1[[#This Row],[Average Cluster Yield]],100,Table1[[#This Row],[Coupon Frequency2]])*Table1[[#This Row],[Face value]]/100</f>
        <v>96530.620976290738</v>
      </c>
      <c r="AD520" s="58" t="str">
        <f>IF(Table1[[#This Row],[Ask Price]]&gt;Table1[[#This Row],[Calculated Bond Price]],"Rich","Cheap")</f>
        <v>Rich</v>
      </c>
      <c r="AE5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95936.369233736477</v>
      </c>
      <c r="AF5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102198.84835127962</v>
      </c>
      <c r="AG520" s="78">
        <f>(Table1[[#This Row],[P (+ shock)]]+Table1[[#This Row],[P (-shock)]]-2*Table1[[#This Row],[Ask Price]])/(2*Table1[[#This Row],[Ask Price]]*($AF$2^2))</f>
        <v>6.8291709604091011</v>
      </c>
      <c r="AH520">
        <v>5.7396355954581404</v>
      </c>
      <c r="AI520" s="6">
        <f t="shared" si="33"/>
        <v>0.1005050505050505</v>
      </c>
      <c r="AK520" s="47">
        <f>RATE(Table1[[#This Row],[Total No. of Coupons]],Table1[[#This Row],[Coupon Amount]],-Table1[[#This Row],[Ask Price]],Table1[[#This Row],[Face value]])</f>
        <v>0.1026729808482888</v>
      </c>
      <c r="AL520" s="27">
        <f>Table1[[#This Row],[IRR]]*Table1[[#This Row],[Coupon Frequency2]]</f>
        <v>0.1026729808482888</v>
      </c>
      <c r="AM520" s="5">
        <f t="shared" si="34"/>
        <v>-313004.33666240919</v>
      </c>
      <c r="AN520" t="s">
        <v>64</v>
      </c>
      <c r="AO520" t="s">
        <v>62</v>
      </c>
      <c r="AP520">
        <f t="shared" si="35"/>
        <v>1</v>
      </c>
    </row>
    <row r="521" spans="1:42" x14ac:dyDescent="0.35">
      <c r="A521" s="48" t="s">
        <v>274</v>
      </c>
      <c r="B521" s="49" t="s">
        <v>2811</v>
      </c>
      <c r="C521" s="49" t="s">
        <v>2273</v>
      </c>
      <c r="D521" s="50">
        <v>44680</v>
      </c>
      <c r="E521" s="50">
        <v>48333</v>
      </c>
      <c r="F521" s="49">
        <v>1000</v>
      </c>
      <c r="G521" s="49" t="s">
        <v>76</v>
      </c>
      <c r="H521" s="49">
        <v>965.14</v>
      </c>
      <c r="I521" s="49" t="s">
        <v>76</v>
      </c>
      <c r="J521" s="49">
        <v>96.513999999999996</v>
      </c>
      <c r="K521" s="49">
        <v>230</v>
      </c>
      <c r="L521" s="51">
        <v>9.6999999999999989E-2</v>
      </c>
      <c r="M521" s="49" t="s">
        <v>93</v>
      </c>
      <c r="N521" s="49">
        <v>2416</v>
      </c>
      <c r="O521" s="49">
        <v>10.0503553888555</v>
      </c>
      <c r="P521" s="49"/>
      <c r="Q521" s="49"/>
      <c r="R521" s="49" t="s">
        <v>2275</v>
      </c>
      <c r="S521">
        <f t="shared" si="32"/>
        <v>10</v>
      </c>
      <c r="T521" s="5" cm="1">
        <f t="array" ref="T5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1">
        <f>Table1[[#This Row],[Term to Maturity (Years)]]*Table1[[#This Row],[Coupon Frequency2]]</f>
        <v>10</v>
      </c>
      <c r="V521">
        <f>Table1[[#This Row],[Face value]]*Table1[[#This Row],[Current coupon %]]</f>
        <v>96.999999999999986</v>
      </c>
      <c r="W521" s="36">
        <f>RATE(Table1[[#This Row],[Total No. of Coupons]],Table1[[#This Row],[Coupon Amount]],-Table1[[#This Row],[Ask Price]],Table1[[#This Row],[Face value]])</f>
        <v>0.10274026015337459</v>
      </c>
      <c r="X521" s="27">
        <f>Table1[[#This Row],[IRR]]*Table1[[#This Row],[Coupon Frequency2]]</f>
        <v>0.10274026015337459</v>
      </c>
      <c r="Y521" s="19" cm="1">
        <f t="array" ref="Y5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1" s="33">
        <f>DURATION(Table1[[#This Row],[Issue date]],Table1[[#This Row],[Maturity date]],Table1[[#This Row],[Current coupon %]],Table1[[#This Row],[Yield (Annualised)]],Table1[[#This Row],[Coupon Frequency2]])</f>
        <v>6.7687380767222072</v>
      </c>
      <c r="AA521" s="33">
        <f>Table1[[#This Row],[Macaulay Duration in Years]]/(1+Table1[[#This Row],[IRR]])</f>
        <v>6.1381073325288558</v>
      </c>
      <c r="AB521" s="58">
        <f>VLOOKUP(Table1[[#This Row],[Yield Cluster]],'Cluster Details'!$B$3:$C$16,2,0)</f>
        <v>0.11069942689191503</v>
      </c>
      <c r="AC521" s="78">
        <f>PRICE(Table1[[#This Row],[Issue date]],Table1[[#This Row],[Maturity date]],Table1[[#This Row],[Current coupon %]],Table1[[#This Row],[Average Cluster Yield]],100,Table1[[#This Row],[Coupon Frequency2]])*Table1[[#This Row],[Face value]]/100</f>
        <v>919.55696778026208</v>
      </c>
      <c r="AD521" s="58" t="str">
        <f>IF(Table1[[#This Row],[Ask Price]]&gt;Table1[[#This Row],[Calculated Bond Price]],"Rich","Cheap")</f>
        <v>Rich</v>
      </c>
      <c r="AE5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908.3575219741715</v>
      </c>
      <c r="AF5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1027.0108836767668</v>
      </c>
      <c r="AG521" s="78">
        <f>(Table1[[#This Row],[P (+ shock)]]+Table1[[#This Row],[P (-shock)]]-2*Table1[[#This Row],[Ask Price]])/(2*Table1[[#This Row],[Ask Price]]*($AF$2^2))</f>
        <v>26.360971729170299</v>
      </c>
      <c r="AI521" s="6">
        <f t="shared" si="33"/>
        <v>0.10050355388855502</v>
      </c>
      <c r="AK521" s="47">
        <f>RATE(Table1[[#This Row],[Total No. of Coupons]],Table1[[#This Row],[Coupon Amount]],-Table1[[#This Row],[Ask Price]],Table1[[#This Row],[Face value]])</f>
        <v>0.10274026015337459</v>
      </c>
      <c r="AL521" s="27">
        <f>Table1[[#This Row],[IRR]]*Table1[[#This Row],[Coupon Frequency2]]</f>
        <v>0.10274026015337459</v>
      </c>
      <c r="AM521" s="5">
        <f t="shared" si="34"/>
        <v>-5924.1329109169001</v>
      </c>
      <c r="AN521" t="s">
        <v>64</v>
      </c>
      <c r="AO521" t="s">
        <v>62</v>
      </c>
      <c r="AP521">
        <f t="shared" si="35"/>
        <v>1</v>
      </c>
    </row>
    <row r="522" spans="1:42" x14ac:dyDescent="0.35">
      <c r="A522" s="48" t="s">
        <v>349</v>
      </c>
      <c r="B522" s="49" t="s">
        <v>2812</v>
      </c>
      <c r="C522" s="49" t="s">
        <v>2273</v>
      </c>
      <c r="D522" s="50">
        <v>44315</v>
      </c>
      <c r="E522" s="50">
        <v>47967</v>
      </c>
      <c r="F522" s="49">
        <v>1000</v>
      </c>
      <c r="G522" s="49" t="s">
        <v>76</v>
      </c>
      <c r="H522" s="49">
        <v>965</v>
      </c>
      <c r="I522" s="49" t="s">
        <v>76</v>
      </c>
      <c r="J522" s="49">
        <v>96.5</v>
      </c>
      <c r="K522" s="49">
        <v>1</v>
      </c>
      <c r="L522" s="51">
        <v>9.6999999999999989E-2</v>
      </c>
      <c r="M522" s="49" t="s">
        <v>93</v>
      </c>
      <c r="N522" s="49">
        <v>2050</v>
      </c>
      <c r="O522" s="49">
        <v>10.0518134715025</v>
      </c>
      <c r="P522" s="49"/>
      <c r="Q522" s="49"/>
      <c r="R522" s="49" t="s">
        <v>2275</v>
      </c>
      <c r="S522">
        <f t="shared" si="32"/>
        <v>10</v>
      </c>
      <c r="T522" s="5" cm="1">
        <f t="array" ref="T5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2">
        <f>Table1[[#This Row],[Term to Maturity (Years)]]*Table1[[#This Row],[Coupon Frequency2]]</f>
        <v>10</v>
      </c>
      <c r="V522">
        <f>Table1[[#This Row],[Face value]]*Table1[[#This Row],[Current coupon %]]</f>
        <v>96.999999999999986</v>
      </c>
      <c r="W522" s="36">
        <f>RATE(Table1[[#This Row],[Total No. of Coupons]],Table1[[#This Row],[Coupon Amount]],-Table1[[#This Row],[Ask Price]],Table1[[#This Row],[Face value]])</f>
        <v>0.10276389470028385</v>
      </c>
      <c r="X522" s="27">
        <f>Table1[[#This Row],[IRR]]*Table1[[#This Row],[Coupon Frequency2]]</f>
        <v>0.10276389470028385</v>
      </c>
      <c r="Y522" s="19" cm="1">
        <f t="array" ref="Y5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2" s="33">
        <f>DURATION(Table1[[#This Row],[Issue date]],Table1[[#This Row],[Maturity date]],Table1[[#This Row],[Current coupon %]],Table1[[#This Row],[Yield (Annualised)]],Table1[[#This Row],[Coupon Frequency2]])</f>
        <v>6.7684923131819055</v>
      </c>
      <c r="AA522" s="33">
        <f>Table1[[#This Row],[Macaulay Duration in Years]]/(1+Table1[[#This Row],[IRR]])</f>
        <v>6.1377529185623994</v>
      </c>
      <c r="AB522" s="58">
        <f>VLOOKUP(Table1[[#This Row],[Yield Cluster]],'Cluster Details'!$B$3:$C$16,2,0)</f>
        <v>0.11069942689191503</v>
      </c>
      <c r="AC522" s="78">
        <f>PRICE(Table1[[#This Row],[Issue date]],Table1[[#This Row],[Maturity date]],Table1[[#This Row],[Current coupon %]],Table1[[#This Row],[Average Cluster Yield]],100,Table1[[#This Row],[Coupon Frequency2]])*Table1[[#This Row],[Face value]]/100</f>
        <v>919.55696778026208</v>
      </c>
      <c r="AD522" s="58" t="str">
        <f>IF(Table1[[#This Row],[Ask Price]]&gt;Table1[[#This Row],[Calculated Bond Price]],"Rich","Cheap")</f>
        <v>Rich</v>
      </c>
      <c r="AE5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908.22895273241443</v>
      </c>
      <c r="AF5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1026.858242171244</v>
      </c>
      <c r="AG522" s="78">
        <f>(Table1[[#This Row],[P (+ shock)]]+Table1[[#This Row],[P (-shock)]]-2*Table1[[#This Row],[Ask Price]])/(2*Table1[[#This Row],[Ask Price]]*($AF$2^2))</f>
        <v>26.358522816883049</v>
      </c>
      <c r="AI522" s="6">
        <f t="shared" si="33"/>
        <v>0.10051813471502589</v>
      </c>
      <c r="AK522" s="47">
        <f>RATE(Table1[[#This Row],[Total No. of Coupons]],Table1[[#This Row],[Coupon Amount]],-Table1[[#This Row],[Ask Price]],Table1[[#This Row],[Face value]])</f>
        <v>0.10276389470028385</v>
      </c>
      <c r="AL522" s="27">
        <f>Table1[[#This Row],[IRR]]*Table1[[#This Row],[Coupon Frequency2]]</f>
        <v>0.10276389470028385</v>
      </c>
      <c r="AM522" s="5">
        <f t="shared" si="34"/>
        <v>-5922.9315664127153</v>
      </c>
      <c r="AN522" t="s">
        <v>64</v>
      </c>
      <c r="AO522" t="s">
        <v>62</v>
      </c>
      <c r="AP522">
        <f t="shared" si="35"/>
        <v>1</v>
      </c>
    </row>
    <row r="523" spans="1:42" x14ac:dyDescent="0.35">
      <c r="A523" s="48" t="s">
        <v>2813</v>
      </c>
      <c r="B523" s="49" t="s">
        <v>2814</v>
      </c>
      <c r="C523" s="49" t="s">
        <v>2273</v>
      </c>
      <c r="D523" s="50">
        <v>45652</v>
      </c>
      <c r="E523" s="50">
        <v>48208</v>
      </c>
      <c r="F523" s="49">
        <v>1000</v>
      </c>
      <c r="G523" s="49" t="s">
        <v>76</v>
      </c>
      <c r="H523" s="49">
        <v>950</v>
      </c>
      <c r="I523" s="49" t="s">
        <v>76</v>
      </c>
      <c r="J523" s="49">
        <v>95</v>
      </c>
      <c r="K523" s="49">
        <v>10</v>
      </c>
      <c r="L523" s="51">
        <v>9.2499999999999999E-2</v>
      </c>
      <c r="M523" s="49" t="s">
        <v>93</v>
      </c>
      <c r="N523" s="49">
        <v>2291</v>
      </c>
      <c r="O523" s="49">
        <v>9.7368421052631504</v>
      </c>
      <c r="P523" s="49"/>
      <c r="Q523" s="49"/>
      <c r="R523" s="49" t="s">
        <v>2275</v>
      </c>
      <c r="S523">
        <f t="shared" si="32"/>
        <v>7</v>
      </c>
      <c r="T523" s="5" cm="1">
        <f t="array" ref="T5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3">
        <f>Table1[[#This Row],[Term to Maturity (Years)]]*Table1[[#This Row],[Coupon Frequency2]]</f>
        <v>7</v>
      </c>
      <c r="V523">
        <f>Table1[[#This Row],[Face value]]*Table1[[#This Row],[Current coupon %]]</f>
        <v>92.5</v>
      </c>
      <c r="W523" s="36">
        <f>RATE(Table1[[#This Row],[Total No. of Coupons]],Table1[[#This Row],[Coupon Amount]],-Table1[[#This Row],[Ask Price]],Table1[[#This Row],[Face value]])</f>
        <v>0.10286742751927945</v>
      </c>
      <c r="X523" s="27">
        <f>Table1[[#This Row],[IRR]]*Table1[[#This Row],[Coupon Frequency2]]</f>
        <v>0.10286742751927945</v>
      </c>
      <c r="Y523" s="19" cm="1">
        <f t="array" ref="Y5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3" s="33">
        <f>DURATION(Table1[[#This Row],[Issue date]],Table1[[#This Row],[Maturity date]],Table1[[#This Row],[Current coupon %]],Table1[[#This Row],[Yield (Annualised)]],Table1[[#This Row],[Coupon Frequency2]])</f>
        <v>5.4087725110646794</v>
      </c>
      <c r="AA523" s="33">
        <f>Table1[[#This Row],[Macaulay Duration in Years]]/(1+Table1[[#This Row],[IRR]])</f>
        <v>4.9042816716700326</v>
      </c>
      <c r="AB523" s="58">
        <f>VLOOKUP(Table1[[#This Row],[Yield Cluster]],'Cluster Details'!$B$3:$C$16,2,0)</f>
        <v>0.11069942689191503</v>
      </c>
      <c r="AC523" s="78">
        <f>PRICE(Table1[[#This Row],[Issue date]],Table1[[#This Row],[Maturity date]],Table1[[#This Row],[Current coupon %]],Table1[[#This Row],[Average Cluster Yield]],100,Table1[[#This Row],[Coupon Frequency2]])*Table1[[#This Row],[Face value]]/100</f>
        <v>914.43417985126189</v>
      </c>
      <c r="AD523" s="58" t="str">
        <f>IF(Table1[[#This Row],[Ask Price]]&gt;Table1[[#This Row],[Calculated Bond Price]],"Rich","Cheap")</f>
        <v>Rich</v>
      </c>
      <c r="AE5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904.90736208823478</v>
      </c>
      <c r="AF5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998.16841371082808</v>
      </c>
      <c r="AG523" s="78">
        <f>(Table1[[#This Row],[P (+ shock)]]+Table1[[#This Row],[P (-shock)]]-2*Table1[[#This Row],[Ask Price]])/(2*Table1[[#This Row],[Ask Price]]*($AF$2^2))</f>
        <v>16.188293679277578</v>
      </c>
      <c r="AI523" s="6">
        <f t="shared" si="33"/>
        <v>9.7368421052631576E-2</v>
      </c>
      <c r="AK523" s="47">
        <f>RATE(Table1[[#This Row],[Total No. of Coupons]],Table1[[#This Row],[Coupon Amount]],-Table1[[#This Row],[Ask Price]],Table1[[#This Row],[Face value]])</f>
        <v>0.10286742751927945</v>
      </c>
      <c r="AL523" s="27">
        <f>Table1[[#This Row],[IRR]]*Table1[[#This Row],[Coupon Frequency2]]</f>
        <v>0.10286742751927945</v>
      </c>
      <c r="AM523" s="5">
        <f t="shared" si="34"/>
        <v>-4659.067588086531</v>
      </c>
      <c r="AN523" t="s">
        <v>79</v>
      </c>
      <c r="AO523" t="s">
        <v>62</v>
      </c>
      <c r="AP523">
        <f t="shared" si="35"/>
        <v>1</v>
      </c>
    </row>
    <row r="524" spans="1:42" x14ac:dyDescent="0.35">
      <c r="A524" s="48" t="s">
        <v>777</v>
      </c>
      <c r="B524" s="49" t="s">
        <v>2815</v>
      </c>
      <c r="C524" s="49" t="s">
        <v>2273</v>
      </c>
      <c r="D524" s="50">
        <v>43469</v>
      </c>
      <c r="E524" s="50">
        <v>47122</v>
      </c>
      <c r="F524" s="49">
        <v>1000</v>
      </c>
      <c r="G524" s="49" t="s">
        <v>76</v>
      </c>
      <c r="H524" s="49">
        <v>1018</v>
      </c>
      <c r="I524" s="49" t="s">
        <v>76</v>
      </c>
      <c r="J524" s="49">
        <v>101.8</v>
      </c>
      <c r="K524" s="49">
        <v>40</v>
      </c>
      <c r="L524" s="51">
        <v>0.106</v>
      </c>
      <c r="M524" s="49" t="s">
        <v>93</v>
      </c>
      <c r="N524" s="49">
        <v>1205</v>
      </c>
      <c r="O524" s="49">
        <v>10.4125736738703</v>
      </c>
      <c r="P524" s="49"/>
      <c r="Q524" s="49"/>
      <c r="R524" s="49" t="s">
        <v>2275</v>
      </c>
      <c r="S524">
        <f t="shared" si="32"/>
        <v>10</v>
      </c>
      <c r="T524" s="5" cm="1">
        <f t="array" ref="T5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4">
        <f>Table1[[#This Row],[Term to Maturity (Years)]]*Table1[[#This Row],[Coupon Frequency2]]</f>
        <v>10</v>
      </c>
      <c r="V524">
        <f>Table1[[#This Row],[Face value]]*Table1[[#This Row],[Current coupon %]]</f>
        <v>106</v>
      </c>
      <c r="W524" s="36">
        <f>RATE(Table1[[#This Row],[Total No. of Coupons]],Table1[[#This Row],[Coupon Amount]],-Table1[[#This Row],[Ask Price]],Table1[[#This Row],[Face value]])</f>
        <v>0.10303231516127778</v>
      </c>
      <c r="X524" s="27">
        <f>Table1[[#This Row],[IRR]]*Table1[[#This Row],[Coupon Frequency2]]</f>
        <v>0.10303231516127778</v>
      </c>
      <c r="Y524" s="19" cm="1">
        <f t="array" ref="Y5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4" s="33">
        <f>DURATION(Table1[[#This Row],[Issue date]],Table1[[#This Row],[Maturity date]],Table1[[#This Row],[Current coupon %]],Table1[[#This Row],[Yield (Annualised)]],Table1[[#This Row],[Coupon Frequency2]])</f>
        <v>6.6551351595735069</v>
      </c>
      <c r="AA524" s="33">
        <f>Table1[[#This Row],[Macaulay Duration in Years]]/(1+Table1[[#This Row],[IRR]])</f>
        <v>6.0334906494561213</v>
      </c>
      <c r="AB524" s="58">
        <f>VLOOKUP(Table1[[#This Row],[Yield Cluster]],'Cluster Details'!$B$3:$C$16,2,0)</f>
        <v>0.11069942689191503</v>
      </c>
      <c r="AC524" s="78">
        <f>PRICE(Table1[[#This Row],[Issue date]],Table1[[#This Row],[Maturity date]],Table1[[#This Row],[Current coupon %]],Table1[[#This Row],[Average Cluster Yield]],100,Table1[[#This Row],[Coupon Frequency2]])*Table1[[#This Row],[Face value]]/100</f>
        <v>972.40496614469828</v>
      </c>
      <c r="AD524" s="58" t="str">
        <f>IF(Table1[[#This Row],[Ask Price]]&gt;Table1[[#This Row],[Calculated Bond Price]],"Rich","Cheap")</f>
        <v>Rich</v>
      </c>
      <c r="AE5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959.10642484275343</v>
      </c>
      <c r="AF5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1082.1228064228719</v>
      </c>
      <c r="AG524" s="78">
        <f>(Table1[[#This Row],[P (+ shock)]]+Table1[[#This Row],[P (-shock)]]-2*Table1[[#This Row],[Ask Price]])/(2*Table1[[#This Row],[Ask Price]]*($AF$2^2))</f>
        <v>25.683847080675136</v>
      </c>
      <c r="AI524" s="6">
        <f t="shared" si="33"/>
        <v>0.10412573673870335</v>
      </c>
      <c r="AK524" s="47">
        <f>RATE(Table1[[#This Row],[Total No. of Coupons]],Table1[[#This Row],[Coupon Amount]],-Table1[[#This Row],[Ask Price]],Table1[[#This Row],[Face value]])</f>
        <v>0.10303231516127778</v>
      </c>
      <c r="AL524" s="27">
        <f>Table1[[#This Row],[IRR]]*Table1[[#This Row],[Coupon Frequency2]]</f>
        <v>0.10303231516127778</v>
      </c>
      <c r="AM524" s="5">
        <f t="shared" si="34"/>
        <v>-6142.0934811463312</v>
      </c>
      <c r="AN524" t="s">
        <v>79</v>
      </c>
      <c r="AO524" t="s">
        <v>62</v>
      </c>
      <c r="AP524">
        <f t="shared" si="35"/>
        <v>1</v>
      </c>
    </row>
    <row r="525" spans="1:42" x14ac:dyDescent="0.35">
      <c r="A525" s="48" t="s">
        <v>2125</v>
      </c>
      <c r="B525" s="49" t="s">
        <v>2816</v>
      </c>
      <c r="C525" s="49" t="s">
        <v>2273</v>
      </c>
      <c r="D525" s="50">
        <v>45125</v>
      </c>
      <c r="E525" s="50">
        <v>45948</v>
      </c>
      <c r="F525" s="49">
        <v>1000</v>
      </c>
      <c r="G525" s="49" t="s">
        <v>76</v>
      </c>
      <c r="H525" s="49">
        <v>1007.45</v>
      </c>
      <c r="I525" s="49" t="s">
        <v>76</v>
      </c>
      <c r="J525" s="49">
        <v>100.744999999999</v>
      </c>
      <c r="K525" s="49">
        <v>1</v>
      </c>
      <c r="L525" s="51">
        <v>0.1075</v>
      </c>
      <c r="M525" s="49" t="s">
        <v>93</v>
      </c>
      <c r="N525" s="49">
        <v>31</v>
      </c>
      <c r="O525" s="49">
        <v>10.670504739689299</v>
      </c>
      <c r="P525" s="49"/>
      <c r="Q525" s="49"/>
      <c r="R525" s="49" t="s">
        <v>2275</v>
      </c>
      <c r="S525">
        <f t="shared" si="32"/>
        <v>2</v>
      </c>
      <c r="T525" s="5" cm="1">
        <f t="array" ref="T5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5">
        <f>Table1[[#This Row],[Term to Maturity (Years)]]*Table1[[#This Row],[Coupon Frequency2]]</f>
        <v>2</v>
      </c>
      <c r="V525">
        <f>Table1[[#This Row],[Face value]]*Table1[[#This Row],[Current coupon %]]</f>
        <v>107.5</v>
      </c>
      <c r="W525" s="36">
        <f>RATE(Table1[[#This Row],[Total No. of Coupons]],Table1[[#This Row],[Coupon Amount]],-Table1[[#This Row],[Ask Price]],Table1[[#This Row],[Face value]])</f>
        <v>0.10318900203491936</v>
      </c>
      <c r="X525" s="27">
        <f>Table1[[#This Row],[IRR]]*Table1[[#This Row],[Coupon Frequency2]]</f>
        <v>0.10318900203491936</v>
      </c>
      <c r="Y525" s="19" cm="1">
        <f t="array" ref="Y5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5" s="33">
        <f>DURATION(Table1[[#This Row],[Issue date]],Table1[[#This Row],[Maturity date]],Table1[[#This Row],[Current coupon %]],Table1[[#This Row],[Yield (Annualised)]],Table1[[#This Row],[Coupon Frequency2]])</f>
        <v>1.9697679077121091</v>
      </c>
      <c r="AA525" s="33">
        <f>Table1[[#This Row],[Macaulay Duration in Years]]/(1+Table1[[#This Row],[IRR]])</f>
        <v>1.785521704874429</v>
      </c>
      <c r="AB525" s="58">
        <f>VLOOKUP(Table1[[#This Row],[Yield Cluster]],'Cluster Details'!$B$3:$C$16,2,0)</f>
        <v>0.11069942689191503</v>
      </c>
      <c r="AC525" s="78">
        <f>PRICE(Table1[[#This Row],[Issue date]],Table1[[#This Row],[Maturity date]],Table1[[#This Row],[Current coupon %]],Table1[[#This Row],[Average Cluster Yield]],100,Table1[[#This Row],[Coupon Frequency2]])*Table1[[#This Row],[Face value]]/100</f>
        <v>992.85189298842818</v>
      </c>
      <c r="AD525" s="58" t="str">
        <f>IF(Table1[[#This Row],[Ask Price]]&gt;Table1[[#This Row],[Calculated Bond Price]],"Rich","Cheap")</f>
        <v>Rich</v>
      </c>
      <c r="AE5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988.13557848849382</v>
      </c>
      <c r="AF5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1026.9923978822524</v>
      </c>
      <c r="AG525" s="78">
        <f>(Table1[[#This Row],[P (+ shock)]]+Table1[[#This Row],[P (-shock)]]-2*Table1[[#This Row],[Ask Price]])/(2*Table1[[#This Row],[Ask Price]]*($AF$2^2))</f>
        <v>1.1314525323643432</v>
      </c>
      <c r="AH525">
        <v>13.1651710139164</v>
      </c>
      <c r="AI525" s="6">
        <f t="shared" si="33"/>
        <v>0.10670504739689314</v>
      </c>
      <c r="AK525" s="47">
        <f>RATE(Table1[[#This Row],[Total No. of Coupons]],Table1[[#This Row],[Coupon Amount]],-Table1[[#This Row],[Ask Price]],Table1[[#This Row],[Face value]])</f>
        <v>0.10318900203491936</v>
      </c>
      <c r="AL525" s="27">
        <f>Table1[[#This Row],[IRR]]*Table1[[#This Row],[Coupon Frequency2]]</f>
        <v>0.10318900203491936</v>
      </c>
      <c r="AM525" s="5">
        <f t="shared" si="34"/>
        <v>-1798.8238415757435</v>
      </c>
      <c r="AN525" t="s">
        <v>64</v>
      </c>
      <c r="AO525" t="s">
        <v>62</v>
      </c>
      <c r="AP525">
        <f t="shared" si="35"/>
        <v>1</v>
      </c>
    </row>
    <row r="526" spans="1:42" x14ac:dyDescent="0.35">
      <c r="A526" s="48" t="s">
        <v>180</v>
      </c>
      <c r="B526" s="49" t="s">
        <v>2817</v>
      </c>
      <c r="C526" s="49" t="s">
        <v>2273</v>
      </c>
      <c r="D526" s="50">
        <v>45352</v>
      </c>
      <c r="E526" s="50">
        <v>49004</v>
      </c>
      <c r="F526" s="49">
        <v>1000</v>
      </c>
      <c r="G526" s="49" t="s">
        <v>76</v>
      </c>
      <c r="H526" s="49">
        <v>1026</v>
      </c>
      <c r="I526" s="49" t="s">
        <v>76</v>
      </c>
      <c r="J526" s="49">
        <v>102.6</v>
      </c>
      <c r="K526" s="49">
        <v>20</v>
      </c>
      <c r="L526" s="51">
        <v>0.1075</v>
      </c>
      <c r="M526" s="49" t="s">
        <v>93</v>
      </c>
      <c r="N526" s="49">
        <v>3087</v>
      </c>
      <c r="O526" s="49">
        <v>10.4775828460038</v>
      </c>
      <c r="P526" s="49"/>
      <c r="Q526" s="49"/>
      <c r="R526" s="49" t="s">
        <v>2275</v>
      </c>
      <c r="S526">
        <f t="shared" si="32"/>
        <v>10</v>
      </c>
      <c r="T526" s="5" cm="1">
        <f t="array" ref="T5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6">
        <f>Table1[[#This Row],[Term to Maturity (Years)]]*Table1[[#This Row],[Coupon Frequency2]]</f>
        <v>10</v>
      </c>
      <c r="V526">
        <f>Table1[[#This Row],[Face value]]*Table1[[#This Row],[Current coupon %]]</f>
        <v>107.5</v>
      </c>
      <c r="W526" s="36">
        <f>RATE(Table1[[#This Row],[Total No. of Coupons]],Table1[[#This Row],[Coupon Amount]],-Table1[[#This Row],[Ask Price]],Table1[[#This Row],[Face value]])</f>
        <v>0.10321009378544591</v>
      </c>
      <c r="X526" s="27">
        <f>Table1[[#This Row],[IRR]]*Table1[[#This Row],[Coupon Frequency2]]</f>
        <v>0.10321009378544591</v>
      </c>
      <c r="Y526" s="19" cm="1">
        <f t="array" ref="Y5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6" s="33">
        <f>DURATION(Table1[[#This Row],[Issue date]],Table1[[#This Row],[Maturity date]],Table1[[#This Row],[Current coupon %]],Table1[[#This Row],[Yield (Annualised)]],Table1[[#This Row],[Coupon Frequency2]])</f>
        <v>6.6359974309165386</v>
      </c>
      <c r="AA526" s="33">
        <f>Table1[[#This Row],[Macaulay Duration in Years]]/(1+Table1[[#This Row],[IRR]])</f>
        <v>6.0151710615214133</v>
      </c>
      <c r="AB526" s="58">
        <f>VLOOKUP(Table1[[#This Row],[Yield Cluster]],'Cluster Details'!$B$3:$C$16,2,0)</f>
        <v>0.11069942689191503</v>
      </c>
      <c r="AC526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26" s="58" t="str">
        <f>IF(Table1[[#This Row],[Ask Price]]&gt;Table1[[#This Row],[Calculated Bond Price]],"Rich","Cheap")</f>
        <v>Rich</v>
      </c>
      <c r="AE5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966.81982465731994</v>
      </c>
      <c r="AF5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1090.4260261884126</v>
      </c>
      <c r="AG526" s="78">
        <f>(Table1[[#This Row],[P (+ shock)]]+Table1[[#This Row],[P (-shock)]]-2*Table1[[#This Row],[Ask Price]])/(2*Table1[[#This Row],[Ask Price]]*($AF$2^2))</f>
        <v>25.564575271601107</v>
      </c>
      <c r="AH526">
        <v>5.1595898556780497</v>
      </c>
      <c r="AI526" s="6">
        <f t="shared" si="33"/>
        <v>0.10477582846003898</v>
      </c>
      <c r="AK526" s="47">
        <f>RATE(Table1[[#This Row],[Total No. of Coupons]],Table1[[#This Row],[Coupon Amount]],-Table1[[#This Row],[Ask Price]],Table1[[#This Row],[Face value]])</f>
        <v>0.10321009378544591</v>
      </c>
      <c r="AL526" s="27">
        <f>Table1[[#This Row],[IRR]]*Table1[[#This Row],[Coupon Frequency2]]</f>
        <v>0.10321009378544591</v>
      </c>
      <c r="AM526" s="5">
        <f t="shared" si="34"/>
        <v>-6171.5655091209701</v>
      </c>
      <c r="AN526" t="s">
        <v>64</v>
      </c>
      <c r="AO526" t="s">
        <v>62</v>
      </c>
      <c r="AP526">
        <f t="shared" si="35"/>
        <v>1</v>
      </c>
    </row>
    <row r="527" spans="1:42" x14ac:dyDescent="0.35">
      <c r="A527" s="48" t="s">
        <v>188</v>
      </c>
      <c r="B527" s="49" t="s">
        <v>2818</v>
      </c>
      <c r="C527" s="49" t="s">
        <v>2273</v>
      </c>
      <c r="D527" s="50">
        <v>45320</v>
      </c>
      <c r="E527" s="50">
        <v>48973</v>
      </c>
      <c r="F527" s="49">
        <v>1000</v>
      </c>
      <c r="G527" s="49" t="s">
        <v>76</v>
      </c>
      <c r="H527" s="49">
        <v>1005.8</v>
      </c>
      <c r="I527" s="49" t="s">
        <v>76</v>
      </c>
      <c r="J527" s="49">
        <v>100.58</v>
      </c>
      <c r="K527" s="49">
        <v>25</v>
      </c>
      <c r="L527" s="51">
        <v>0.1045</v>
      </c>
      <c r="M527" s="49" t="s">
        <v>93</v>
      </c>
      <c r="N527" s="49">
        <v>3056</v>
      </c>
      <c r="O527" s="49">
        <v>10.389739510837099</v>
      </c>
      <c r="P527" s="49"/>
      <c r="Q527" s="49"/>
      <c r="R527" s="49" t="s">
        <v>2275</v>
      </c>
      <c r="S527">
        <f t="shared" si="32"/>
        <v>10</v>
      </c>
      <c r="T527" s="5" cm="1">
        <f t="array" ref="T5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7">
        <f>Table1[[#This Row],[Term to Maturity (Years)]]*Table1[[#This Row],[Coupon Frequency2]]</f>
        <v>10</v>
      </c>
      <c r="V527">
        <f>Table1[[#This Row],[Face value]]*Table1[[#This Row],[Current coupon %]]</f>
        <v>104.5</v>
      </c>
      <c r="W527" s="36">
        <f>RATE(Table1[[#This Row],[Total No. of Coupons]],Table1[[#This Row],[Coupon Amount]],-Table1[[#This Row],[Ask Price]],Table1[[#This Row],[Face value]])</f>
        <v>0.10354166795306464</v>
      </c>
      <c r="X527" s="27">
        <f>Table1[[#This Row],[IRR]]*Table1[[#This Row],[Coupon Frequency2]]</f>
        <v>0.10354166795306464</v>
      </c>
      <c r="Y527" s="19" cm="1">
        <f t="array" ref="Y5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7" s="33">
        <f>DURATION(Table1[[#This Row],[Issue date]],Table1[[#This Row],[Maturity date]],Table1[[#This Row],[Current coupon %]],Table1[[#This Row],[Yield (Annualised)]],Table1[[#This Row],[Coupon Frequency2]])</f>
        <v>6.6674248848417967</v>
      </c>
      <c r="AA527" s="33">
        <f>Table1[[#This Row],[Macaulay Duration in Years]]/(1+Table1[[#This Row],[IRR]])</f>
        <v>6.0418424409918812</v>
      </c>
      <c r="AB527" s="58">
        <f>VLOOKUP(Table1[[#This Row],[Yield Cluster]],'Cluster Details'!$B$3:$C$16,2,0)</f>
        <v>0.11069942689191503</v>
      </c>
      <c r="AC527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27" s="58" t="str">
        <f>IF(Table1[[#This Row],[Ask Price]]&gt;Table1[[#This Row],[Calculated Bond Price]],"Rich","Cheap")</f>
        <v>Rich</v>
      </c>
      <c r="AE5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947.53314101391845</v>
      </c>
      <c r="AF5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1069.2436378605923</v>
      </c>
      <c r="AG527" s="78">
        <f>(Table1[[#This Row],[P (+ shock)]]+Table1[[#This Row],[P (-shock)]]-2*Table1[[#This Row],[Ask Price]])/(2*Table1[[#This Row],[Ask Price]]*($AF$2^2))</f>
        <v>25.734633498265069</v>
      </c>
      <c r="AI527" s="6">
        <f t="shared" si="33"/>
        <v>0.10389739510837145</v>
      </c>
      <c r="AK527" s="47">
        <f>RATE(Table1[[#This Row],[Total No. of Coupons]],Table1[[#This Row],[Coupon Amount]],-Table1[[#This Row],[Ask Price]],Table1[[#This Row],[Face value]])</f>
        <v>0.10354166795306464</v>
      </c>
      <c r="AL527" s="27">
        <f>Table1[[#This Row],[IRR]]*Table1[[#This Row],[Coupon Frequency2]]</f>
        <v>0.10354166795306464</v>
      </c>
      <c r="AM527" s="5">
        <f t="shared" si="34"/>
        <v>-6076.8851271496342</v>
      </c>
      <c r="AN527" t="s">
        <v>64</v>
      </c>
      <c r="AO527" t="s">
        <v>62</v>
      </c>
      <c r="AP527">
        <f t="shared" si="35"/>
        <v>1</v>
      </c>
    </row>
    <row r="528" spans="1:42" x14ac:dyDescent="0.35">
      <c r="A528" s="48" t="s">
        <v>629</v>
      </c>
      <c r="B528" s="49" t="s">
        <v>2819</v>
      </c>
      <c r="C528" s="49" t="s">
        <v>2273</v>
      </c>
      <c r="D528" s="50">
        <v>45499</v>
      </c>
      <c r="E528" s="50">
        <v>47325</v>
      </c>
      <c r="F528" s="49">
        <v>1000</v>
      </c>
      <c r="G528" s="49" t="s">
        <v>76</v>
      </c>
      <c r="H528" s="49">
        <v>1005</v>
      </c>
      <c r="I528" s="49" t="s">
        <v>76</v>
      </c>
      <c r="J528" s="49">
        <v>100.49999999999901</v>
      </c>
      <c r="K528" s="49">
        <v>50</v>
      </c>
      <c r="L528" s="51">
        <v>0.105</v>
      </c>
      <c r="M528" s="49" t="s">
        <v>93</v>
      </c>
      <c r="N528" s="49">
        <v>1408</v>
      </c>
      <c r="O528" s="49">
        <v>10.4477611940298</v>
      </c>
      <c r="P528" s="49"/>
      <c r="Q528" s="49"/>
      <c r="R528" s="49" t="s">
        <v>2275</v>
      </c>
      <c r="S528">
        <f t="shared" si="32"/>
        <v>5</v>
      </c>
      <c r="T528" s="5" cm="1">
        <f t="array" ref="T5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8">
        <f>Table1[[#This Row],[Term to Maturity (Years)]]*Table1[[#This Row],[Coupon Frequency2]]</f>
        <v>5</v>
      </c>
      <c r="V528">
        <f>Table1[[#This Row],[Face value]]*Table1[[#This Row],[Current coupon %]]</f>
        <v>105</v>
      </c>
      <c r="W528" s="36">
        <f>RATE(Table1[[#This Row],[Total No. of Coupons]],Table1[[#This Row],[Coupon Amount]],-Table1[[#This Row],[Ask Price]],Table1[[#This Row],[Face value]])</f>
        <v>0.10366862815324505</v>
      </c>
      <c r="X528" s="27">
        <f>Table1[[#This Row],[IRR]]*Table1[[#This Row],[Coupon Frequency2]]</f>
        <v>0.10366862815324505</v>
      </c>
      <c r="Y528" s="19" cm="1">
        <f t="array" ref="Y5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8" s="33">
        <f>DURATION(Table1[[#This Row],[Issue date]],Table1[[#This Row],[Maturity date]],Table1[[#This Row],[Current coupon %]],Table1[[#This Row],[Yield (Annualised)]],Table1[[#This Row],[Coupon Frequency2]])</f>
        <v>4.1381817422707492</v>
      </c>
      <c r="AA528" s="33">
        <f>Table1[[#This Row],[Macaulay Duration in Years]]/(1+Table1[[#This Row],[IRR]])</f>
        <v>3.7494784545929489</v>
      </c>
      <c r="AB528" s="58">
        <f>VLOOKUP(Table1[[#This Row],[Yield Cluster]],'Cluster Details'!$B$3:$C$16,2,0)</f>
        <v>0.11069942689191503</v>
      </c>
      <c r="AC528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978.97251444582798</v>
      </c>
      <c r="AD528" s="58" t="str">
        <f>IF(Table1[[#This Row],[Ask Price]]&gt;Table1[[#This Row],[Calculated Bond Price]],"Rich","Cheap")</f>
        <v>Rich</v>
      </c>
      <c r="AE5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968.2551287537658</v>
      </c>
      <c r="AF5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1043.658714768042</v>
      </c>
      <c r="AG528" s="78">
        <f>(Table1[[#This Row],[P (+ shock)]]+Table1[[#This Row],[P (-shock)]]-2*Table1[[#This Row],[Ask Price]])/(2*Table1[[#This Row],[Ask Price]]*($AF$2^2))</f>
        <v>9.5216095612330758</v>
      </c>
      <c r="AH528">
        <v>9.3550075930407495</v>
      </c>
      <c r="AI528" s="6">
        <f t="shared" si="33"/>
        <v>0.1044776119402985</v>
      </c>
      <c r="AK528" s="47">
        <f>RATE(Table1[[#This Row],[Total No. of Coupons]],Table1[[#This Row],[Coupon Amount]],-Table1[[#This Row],[Ask Price]],Table1[[#This Row],[Face value]])</f>
        <v>0.10366862815324505</v>
      </c>
      <c r="AL528" s="27">
        <f>Table1[[#This Row],[IRR]]*Table1[[#This Row],[Coupon Frequency2]]</f>
        <v>0.10366862815324505</v>
      </c>
      <c r="AM528" s="5">
        <f t="shared" si="34"/>
        <v>-3768.2258468659138</v>
      </c>
      <c r="AN528" t="s">
        <v>64</v>
      </c>
      <c r="AO528" t="s">
        <v>62</v>
      </c>
      <c r="AP528">
        <f t="shared" si="35"/>
        <v>1</v>
      </c>
    </row>
    <row r="529" spans="1:42" x14ac:dyDescent="0.35">
      <c r="A529" s="48" t="s">
        <v>829</v>
      </c>
      <c r="B529" s="49" t="s">
        <v>2820</v>
      </c>
      <c r="C529" s="49" t="s">
        <v>2273</v>
      </c>
      <c r="D529" s="50">
        <v>44411</v>
      </c>
      <c r="E529" s="50">
        <v>47060</v>
      </c>
      <c r="F529" s="49">
        <v>1000</v>
      </c>
      <c r="G529" s="49" t="s">
        <v>76</v>
      </c>
      <c r="H529" s="49">
        <v>982.21</v>
      </c>
      <c r="I529" s="49" t="s">
        <v>76</v>
      </c>
      <c r="J529" s="49">
        <v>98.221000000000004</v>
      </c>
      <c r="K529" s="49">
        <v>50</v>
      </c>
      <c r="L529" s="51">
        <v>0.1</v>
      </c>
      <c r="M529" s="49" t="s">
        <v>93</v>
      </c>
      <c r="N529" s="49">
        <v>1143</v>
      </c>
      <c r="O529" s="49">
        <v>10.181122163284799</v>
      </c>
      <c r="P529" s="49"/>
      <c r="Q529" s="49"/>
      <c r="R529" s="49" t="s">
        <v>2275</v>
      </c>
      <c r="S529">
        <f t="shared" si="32"/>
        <v>7</v>
      </c>
      <c r="T529" s="5" cm="1">
        <f t="array" ref="T5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29">
        <f>Table1[[#This Row],[Term to Maturity (Years)]]*Table1[[#This Row],[Coupon Frequency2]]</f>
        <v>7</v>
      </c>
      <c r="V529">
        <f>Table1[[#This Row],[Face value]]*Table1[[#This Row],[Current coupon %]]</f>
        <v>100</v>
      </c>
      <c r="W529" s="36">
        <f>RATE(Table1[[#This Row],[Total No. of Coupons]],Table1[[#This Row],[Coupon Amount]],-Table1[[#This Row],[Ask Price]],Table1[[#This Row],[Face value]])</f>
        <v>0.10369877845779317</v>
      </c>
      <c r="X529" s="27">
        <f>Table1[[#This Row],[IRR]]*Table1[[#This Row],[Coupon Frequency2]]</f>
        <v>0.10369877845779317</v>
      </c>
      <c r="Y529" s="19" cm="1">
        <f t="array" ref="Y5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29" s="33">
        <f>DURATION(Table1[[#This Row],[Issue date]],Table1[[#This Row],[Maturity date]],Table1[[#This Row],[Current coupon %]],Table1[[#This Row],[Yield (Annualised)]],Table1[[#This Row],[Coupon Frequency2]])</f>
        <v>5.0958805976892858</v>
      </c>
      <c r="AA529" s="33">
        <f>Table1[[#This Row],[Macaulay Duration in Years]]/(1+Table1[[#This Row],[IRR]])</f>
        <v>4.6170936283990445</v>
      </c>
      <c r="AB529" s="58">
        <f>VLOOKUP(Table1[[#This Row],[Yield Cluster]],'Cluster Details'!$B$3:$C$16,2,0)</f>
        <v>0.11069942689191503</v>
      </c>
      <c r="AC529" s="78">
        <f>PRICE(Table1[[#This Row],[Issue date]],Table1[[#This Row],[Maturity date]],Table1[[#This Row],[Current coupon %]],Table1[[#This Row],[Average Cluster Yield]],100,Table1[[#This Row],[Coupon Frequency2]])*Table1[[#This Row],[Face value]]/100</f>
        <v>947.50249530731378</v>
      </c>
      <c r="AD529" s="58" t="str">
        <f>IF(Table1[[#This Row],[Ask Price]]&gt;Table1[[#This Row],[Calculated Bond Price]],"Rich","Cheap")</f>
        <v>Rich</v>
      </c>
      <c r="AE5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933.688425728639</v>
      </c>
      <c r="AF5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1031.2736014149129</v>
      </c>
      <c r="AG529" s="78">
        <f>(Table1[[#This Row],[P (+ shock)]]+Table1[[#This Row],[P (-shock)]]-2*Table1[[#This Row],[Ask Price]])/(2*Table1[[#This Row],[Ask Price]]*($AF$2^2))</f>
        <v>2.7592222821589938</v>
      </c>
      <c r="AH529">
        <v>6.5215154087799903</v>
      </c>
      <c r="AI529" s="6">
        <f t="shared" si="33"/>
        <v>0.10181122163284836</v>
      </c>
      <c r="AK529" s="47">
        <f>RATE(Table1[[#This Row],[Total No. of Coupons]],Table1[[#This Row],[Coupon Amount]],-Table1[[#This Row],[Ask Price]],Table1[[#This Row],[Face value]])</f>
        <v>0.10369877845779317</v>
      </c>
      <c r="AL529" s="27">
        <f>Table1[[#This Row],[IRR]]*Table1[[#This Row],[Coupon Frequency2]]</f>
        <v>0.10369877845779317</v>
      </c>
      <c r="AM529" s="5">
        <f t="shared" si="34"/>
        <v>-4534.9555327498256</v>
      </c>
      <c r="AN529" t="s">
        <v>64</v>
      </c>
      <c r="AO529" t="s">
        <v>62</v>
      </c>
      <c r="AP529">
        <f t="shared" si="35"/>
        <v>1</v>
      </c>
    </row>
    <row r="530" spans="1:42" x14ac:dyDescent="0.35">
      <c r="A530" s="48" t="s">
        <v>739</v>
      </c>
      <c r="B530" s="49" t="s">
        <v>2821</v>
      </c>
      <c r="C530" s="49" t="s">
        <v>2273</v>
      </c>
      <c r="D530" s="50">
        <v>43503</v>
      </c>
      <c r="E530" s="50">
        <v>47156</v>
      </c>
      <c r="F530" s="49">
        <v>1000</v>
      </c>
      <c r="G530" s="49" t="s">
        <v>76</v>
      </c>
      <c r="H530" s="49">
        <v>1007</v>
      </c>
      <c r="I530" s="49" t="s">
        <v>76</v>
      </c>
      <c r="J530" s="49">
        <v>100.69999999999899</v>
      </c>
      <c r="K530" s="49">
        <v>250</v>
      </c>
      <c r="L530" s="51">
        <v>0.105</v>
      </c>
      <c r="M530" s="49" t="s">
        <v>93</v>
      </c>
      <c r="N530" s="49">
        <v>1239</v>
      </c>
      <c r="O530" s="49">
        <v>10.4270109235352</v>
      </c>
      <c r="P530" s="49"/>
      <c r="Q530" s="49"/>
      <c r="R530" s="49" t="s">
        <v>2275</v>
      </c>
      <c r="S530">
        <f t="shared" si="32"/>
        <v>10</v>
      </c>
      <c r="T530" s="5" cm="1">
        <f t="array" ref="T5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0">
        <f>Table1[[#This Row],[Term to Maturity (Years)]]*Table1[[#This Row],[Coupon Frequency2]]</f>
        <v>10</v>
      </c>
      <c r="V530">
        <f>Table1[[#This Row],[Face value]]*Table1[[#This Row],[Current coupon %]]</f>
        <v>105</v>
      </c>
      <c r="W530" s="36">
        <f>RATE(Table1[[#This Row],[Total No. of Coupons]],Table1[[#This Row],[Coupon Amount]],-Table1[[#This Row],[Ask Price]],Table1[[#This Row],[Face value]])</f>
        <v>0.10384191289183796</v>
      </c>
      <c r="X530" s="27">
        <f>Table1[[#This Row],[IRR]]*Table1[[#This Row],[Coupon Frequency2]]</f>
        <v>0.10384191289183796</v>
      </c>
      <c r="Y530" s="19" cm="1">
        <f t="array" ref="Y5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0" s="33">
        <f>DURATION(Table1[[#This Row],[Issue date]],Table1[[#This Row],[Maturity date]],Table1[[#This Row],[Current coupon %]],Table1[[#This Row],[Yield (Annualised)]],Table1[[#This Row],[Coupon Frequency2]])</f>
        <v>6.658394953505347</v>
      </c>
      <c r="AA530" s="33">
        <f>Table1[[#This Row],[Macaulay Duration in Years]]/(1+Table1[[#This Row],[IRR]])</f>
        <v>6.0320186031546186</v>
      </c>
      <c r="AB530" s="58">
        <f>VLOOKUP(Table1[[#This Row],[Yield Cluster]],'Cluster Details'!$B$3:$C$16,2,0)</f>
        <v>0.11069942689191503</v>
      </c>
      <c r="AC530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966.53296632642775</v>
      </c>
      <c r="AD530" s="58" t="str">
        <f>IF(Table1[[#This Row],[Ask Price]]&gt;Table1[[#This Row],[Calculated Bond Price]],"Rich","Cheap")</f>
        <v>Rich</v>
      </c>
      <c r="AE5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948.75625964746462</v>
      </c>
      <c r="AF5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1070.4135689265556</v>
      </c>
      <c r="AG530" s="78">
        <f>(Table1[[#This Row],[P (+ shock)]]+Table1[[#This Row],[P (-shock)]]-2*Table1[[#This Row],[Ask Price]])/(2*Table1[[#This Row],[Ask Price]]*($AF$2^2))</f>
        <v>25.669456673388066</v>
      </c>
      <c r="AH530">
        <v>10.540500353146699</v>
      </c>
      <c r="AI530" s="6">
        <f t="shared" si="33"/>
        <v>0.10427010923535253</v>
      </c>
      <c r="AK530" s="47">
        <f>RATE(Table1[[#This Row],[Total No. of Coupons]],Table1[[#This Row],[Coupon Amount]],-Table1[[#This Row],[Ask Price]],Table1[[#This Row],[Face value]])</f>
        <v>0.10384191289183796</v>
      </c>
      <c r="AL530" s="27">
        <f>Table1[[#This Row],[IRR]]*Table1[[#This Row],[Coupon Frequency2]]</f>
        <v>0.10384191289183796</v>
      </c>
      <c r="AM530" s="5">
        <f t="shared" si="34"/>
        <v>-6074.2427333767009</v>
      </c>
      <c r="AN530" t="s">
        <v>64</v>
      </c>
      <c r="AO530" t="s">
        <v>62</v>
      </c>
      <c r="AP530">
        <f t="shared" si="35"/>
        <v>1</v>
      </c>
    </row>
    <row r="531" spans="1:42" x14ac:dyDescent="0.35">
      <c r="A531" s="48" t="s">
        <v>1353</v>
      </c>
      <c r="B531" s="49" t="s">
        <v>2822</v>
      </c>
      <c r="C531" s="49" t="s">
        <v>2273</v>
      </c>
      <c r="D531" s="50">
        <v>44637</v>
      </c>
      <c r="E531" s="50">
        <v>46462</v>
      </c>
      <c r="F531" s="49">
        <v>1000</v>
      </c>
      <c r="G531" s="49" t="s">
        <v>76</v>
      </c>
      <c r="H531" s="49">
        <v>1031.93</v>
      </c>
      <c r="I531" s="49" t="s">
        <v>76</v>
      </c>
      <c r="J531" s="49">
        <v>103.193</v>
      </c>
      <c r="K531" s="49">
        <v>200</v>
      </c>
      <c r="L531" s="51">
        <v>0.1125</v>
      </c>
      <c r="M531" s="49" t="s">
        <v>93</v>
      </c>
      <c r="N531" s="49">
        <v>545</v>
      </c>
      <c r="O531" s="49">
        <v>10.9019022608122</v>
      </c>
      <c r="P531" s="49"/>
      <c r="Q531" s="49"/>
      <c r="R531" s="49" t="s">
        <v>2275</v>
      </c>
      <c r="S531">
        <f t="shared" si="32"/>
        <v>5</v>
      </c>
      <c r="T531" s="5" cm="1">
        <f t="array" ref="T5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1">
        <f>Table1[[#This Row],[Term to Maturity (Years)]]*Table1[[#This Row],[Coupon Frequency2]]</f>
        <v>5</v>
      </c>
      <c r="V531">
        <f>Table1[[#This Row],[Face value]]*Table1[[#This Row],[Current coupon %]]</f>
        <v>112.5</v>
      </c>
      <c r="W531" s="36">
        <f>RATE(Table1[[#This Row],[Total No. of Coupons]],Table1[[#This Row],[Coupon Amount]],-Table1[[#This Row],[Ask Price]],Table1[[#This Row],[Face value]])</f>
        <v>0.10399089813976621</v>
      </c>
      <c r="X531" s="27">
        <f>Table1[[#This Row],[IRR]]*Table1[[#This Row],[Coupon Frequency2]]</f>
        <v>0.10399089813976621</v>
      </c>
      <c r="Y531" s="19" cm="1">
        <f t="array" ref="Y5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1" s="33">
        <f>DURATION(Table1[[#This Row],[Issue date]],Table1[[#This Row],[Maturity date]],Table1[[#This Row],[Current coupon %]],Table1[[#This Row],[Yield (Annualised)]],Table1[[#This Row],[Coupon Frequency2]])</f>
        <v>4.098442455991945</v>
      </c>
      <c r="AA531" s="33">
        <f>Table1[[#This Row],[Macaulay Duration in Years]]/(1+Table1[[#This Row],[IRR]])</f>
        <v>3.7123879036483496</v>
      </c>
      <c r="AB531" s="58">
        <f>VLOOKUP(Table1[[#This Row],[Yield Cluster]],'Cluster Details'!$B$3:$C$16,2,0)</f>
        <v>0.11069942689191503</v>
      </c>
      <c r="AC531" s="78">
        <f>PRICE(Table1[[#This Row],[Issue date]],Table1[[#This Row],[Maturity date]],Table1[[#This Row],[Current coupon %]],Table1[[#This Row],[Average Cluster Yield]],100,Table1[[#This Row],[Coupon Frequency2]])*Table1[[#This Row],[Face value]]/100</f>
        <v>1006.624159615582</v>
      </c>
      <c r="AD531" s="58" t="str">
        <f>IF(Table1[[#This Row],[Ask Price]]&gt;Table1[[#This Row],[Calculated Bond Price]],"Rich","Cheap")</f>
        <v>Rich</v>
      </c>
      <c r="AE5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994.53043551821213</v>
      </c>
      <c r="AF5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1071.2094323669496</v>
      </c>
      <c r="AG531" s="78">
        <f>(Table1[[#This Row],[P (+ shock)]]+Table1[[#This Row],[P (-shock)]]-2*Table1[[#This Row],[Ask Price]])/(2*Table1[[#This Row],[Ask Price]]*($AF$2^2))</f>
        <v>9.1085048654546803</v>
      </c>
      <c r="AH531">
        <v>5.6274848111543498</v>
      </c>
      <c r="AI531" s="6">
        <f t="shared" si="33"/>
        <v>0.10901902260812264</v>
      </c>
      <c r="AK531" s="47">
        <f>RATE(Table1[[#This Row],[Total No. of Coupons]],Table1[[#This Row],[Coupon Amount]],-Table1[[#This Row],[Ask Price]],Table1[[#This Row],[Face value]])</f>
        <v>0.10399089813976621</v>
      </c>
      <c r="AL531" s="27">
        <f>Table1[[#This Row],[IRR]]*Table1[[#This Row],[Coupon Frequency2]]</f>
        <v>0.10399089813976621</v>
      </c>
      <c r="AM531" s="5">
        <f t="shared" si="34"/>
        <v>-3830.9244494118416</v>
      </c>
      <c r="AN531" t="s">
        <v>64</v>
      </c>
      <c r="AO531" t="s">
        <v>62</v>
      </c>
      <c r="AP531">
        <f t="shared" si="35"/>
        <v>1</v>
      </c>
    </row>
    <row r="532" spans="1:42" x14ac:dyDescent="0.35">
      <c r="A532" s="48" t="s">
        <v>1703</v>
      </c>
      <c r="B532" s="49" t="s">
        <v>2823</v>
      </c>
      <c r="C532" s="49" t="s">
        <v>2273</v>
      </c>
      <c r="D532" s="50">
        <v>40756</v>
      </c>
      <c r="E532" s="50">
        <v>46235</v>
      </c>
      <c r="F532" s="49">
        <v>10000</v>
      </c>
      <c r="G532" s="49" t="s">
        <v>76</v>
      </c>
      <c r="H532" s="49">
        <v>10260</v>
      </c>
      <c r="I532" s="49" t="s">
        <v>76</v>
      </c>
      <c r="J532" s="49">
        <v>102.6</v>
      </c>
      <c r="K532" s="49">
        <v>10</v>
      </c>
      <c r="L532" s="51">
        <v>0.1075</v>
      </c>
      <c r="M532" s="49" t="s">
        <v>93</v>
      </c>
      <c r="N532" s="49">
        <v>318</v>
      </c>
      <c r="O532" s="49">
        <v>10.4775828460038</v>
      </c>
      <c r="P532" s="49"/>
      <c r="Q532" s="49"/>
      <c r="R532" s="49" t="s">
        <v>2275</v>
      </c>
      <c r="S532">
        <f t="shared" si="32"/>
        <v>15</v>
      </c>
      <c r="T532" s="5" cm="1">
        <f t="array" ref="T5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2">
        <f>Table1[[#This Row],[Term to Maturity (Years)]]*Table1[[#This Row],[Coupon Frequency2]]</f>
        <v>15</v>
      </c>
      <c r="V532">
        <f>Table1[[#This Row],[Face value]]*Table1[[#This Row],[Current coupon %]]</f>
        <v>1075</v>
      </c>
      <c r="W532" s="36">
        <f>RATE(Table1[[#This Row],[Total No. of Coupons]],Table1[[#This Row],[Coupon Amount]],-Table1[[#This Row],[Ask Price]],Table1[[#This Row],[Face value]])</f>
        <v>0.10400320521298088</v>
      </c>
      <c r="X532" s="27">
        <f>Table1[[#This Row],[IRR]]*Table1[[#This Row],[Coupon Frequency2]]</f>
        <v>0.10400320521298088</v>
      </c>
      <c r="Y532" s="19" cm="1">
        <f t="array" ref="Y5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2" s="33">
        <f>DURATION(Table1[[#This Row],[Issue date]],Table1[[#This Row],[Maturity date]],Table1[[#This Row],[Current coupon %]],Table1[[#This Row],[Yield (Annualised)]],Table1[[#This Row],[Coupon Frequency2]])</f>
        <v>8.158232370894968</v>
      </c>
      <c r="AA532" s="33">
        <f>Table1[[#This Row],[Macaulay Duration in Years]]/(1+Table1[[#This Row],[IRR]])</f>
        <v>7.3896817802454722</v>
      </c>
      <c r="AB532" s="58">
        <f>VLOOKUP(Table1[[#This Row],[Yield Cluster]],'Cluster Details'!$B$3:$C$16,2,0)</f>
        <v>0.11069942689191503</v>
      </c>
      <c r="AC532" s="78">
        <f>PRICE(Table1[[#This Row],[Issue date]],Table1[[#This Row],[Maturity date]],Table1[[#This Row],[Current coupon %]],Table1[[#This Row],[Average Cluster Yield]],100,Table1[[#This Row],[Coupon Frequency2]])*Table1[[#This Row],[Face value]]/100</f>
        <v>9770.8189287504283</v>
      </c>
      <c r="AD532" s="58" t="str">
        <f>IF(Table1[[#This Row],[Ask Price]]&gt;Table1[[#This Row],[Calculated Bond Price]],"Rich","Cheap")</f>
        <v>Rich</v>
      </c>
      <c r="AE5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9542.5166076739042</v>
      </c>
      <c r="AF5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11062.694177220734</v>
      </c>
      <c r="AG532" s="78">
        <f>(Table1[[#This Row],[P (+ shock)]]+Table1[[#This Row],[P (-shock)]]-2*Table1[[#This Row],[Ask Price]])/(2*Table1[[#This Row],[Ask Price]]*($AF$2^2))</f>
        <v>41.5257236328654</v>
      </c>
      <c r="AH532">
        <v>12.7020238788584</v>
      </c>
      <c r="AI532" s="6">
        <f t="shared" si="33"/>
        <v>0.10477582846003898</v>
      </c>
      <c r="AK532" s="47">
        <f>RATE(Table1[[#This Row],[Total No. of Coupons]],Table1[[#This Row],[Coupon Amount]],-Table1[[#This Row],[Ask Price]],Table1[[#This Row],[Face value]])</f>
        <v>0.10400320521298088</v>
      </c>
      <c r="AL532" s="27">
        <f>Table1[[#This Row],[IRR]]*Table1[[#This Row],[Coupon Frequency2]]</f>
        <v>0.10400320521298088</v>
      </c>
      <c r="AM532" s="5">
        <f t="shared" si="34"/>
        <v>-75818.135065318551</v>
      </c>
      <c r="AN532" t="s">
        <v>69</v>
      </c>
      <c r="AO532" t="s">
        <v>62</v>
      </c>
      <c r="AP532">
        <f t="shared" si="35"/>
        <v>1</v>
      </c>
    </row>
    <row r="533" spans="1:42" x14ac:dyDescent="0.35">
      <c r="A533" s="48" t="s">
        <v>1631</v>
      </c>
      <c r="B533" s="49" t="s">
        <v>2824</v>
      </c>
      <c r="C533" s="49" t="s">
        <v>2273</v>
      </c>
      <c r="D533" s="50">
        <v>45184</v>
      </c>
      <c r="E533" s="50">
        <v>46280</v>
      </c>
      <c r="F533" s="49">
        <v>1000</v>
      </c>
      <c r="G533" s="49" t="s">
        <v>76</v>
      </c>
      <c r="H533" s="49">
        <v>980</v>
      </c>
      <c r="I533" s="49" t="s">
        <v>76</v>
      </c>
      <c r="J533" s="49">
        <v>98</v>
      </c>
      <c r="K533" s="49">
        <v>251</v>
      </c>
      <c r="L533" s="51">
        <v>9.6000000000000002E-2</v>
      </c>
      <c r="M533" s="49" t="s">
        <v>93</v>
      </c>
      <c r="N533" s="49">
        <v>363</v>
      </c>
      <c r="O533" s="49">
        <v>9.7959183673469301</v>
      </c>
      <c r="P533" s="49"/>
      <c r="Q533" s="49"/>
      <c r="R533" s="49" t="s">
        <v>2275</v>
      </c>
      <c r="S533">
        <f t="shared" si="32"/>
        <v>3</v>
      </c>
      <c r="T533" s="5" cm="1">
        <f t="array" ref="T5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3">
        <f>Table1[[#This Row],[Term to Maturity (Years)]]*Table1[[#This Row],[Coupon Frequency2]]</f>
        <v>3</v>
      </c>
      <c r="V533">
        <f>Table1[[#This Row],[Face value]]*Table1[[#This Row],[Current coupon %]]</f>
        <v>96</v>
      </c>
      <c r="W533" s="36">
        <f>RATE(Table1[[#This Row],[Total No. of Coupons]],Table1[[#This Row],[Coupon Amount]],-Table1[[#This Row],[Ask Price]],Table1[[#This Row],[Face value]])</f>
        <v>0.1041004159580053</v>
      </c>
      <c r="X533" s="27">
        <f>Table1[[#This Row],[IRR]]*Table1[[#This Row],[Coupon Frequency2]]</f>
        <v>0.1041004159580053</v>
      </c>
      <c r="Y533" s="19" cm="1">
        <f t="array" ref="Y5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3" s="33">
        <f>DURATION(Table1[[#This Row],[Issue date]],Table1[[#This Row],[Maturity date]],Table1[[#This Row],[Current coupon %]],Table1[[#This Row],[Yield (Annualised)]],Table1[[#This Row],[Coupon Frequency2]])</f>
        <v>2.7421960557894902</v>
      </c>
      <c r="AA533" s="33">
        <f>Table1[[#This Row],[Macaulay Duration in Years]]/(1+Table1[[#This Row],[IRR]])</f>
        <v>2.4836473351114021</v>
      </c>
      <c r="AB533" s="58">
        <f>VLOOKUP(Table1[[#This Row],[Yield Cluster]],'Cluster Details'!$B$3:$C$16,2,0)</f>
        <v>0.11069942689191503</v>
      </c>
      <c r="AC533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964.12244619265959</v>
      </c>
      <c r="AD533" s="58" t="str">
        <f>IF(Table1[[#This Row],[Ask Price]]&gt;Table1[[#This Row],[Calculated Bond Price]],"Rich","Cheap")</f>
        <v>Rich</v>
      </c>
      <c r="AE5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956.08129645392489</v>
      </c>
      <c r="AF5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1004.7734837588948</v>
      </c>
      <c r="AG533" s="78">
        <f>(Table1[[#This Row],[P (+ shock)]]+Table1[[#This Row],[P (-shock)]]-2*Table1[[#This Row],[Ask Price]])/(2*Table1[[#This Row],[Ask Price]]*($AF$2^2))</f>
        <v>4.3611235347939044</v>
      </c>
      <c r="AI533" s="6">
        <f t="shared" si="33"/>
        <v>9.7959183673469383E-2</v>
      </c>
      <c r="AK533" s="47">
        <f>RATE(Table1[[#This Row],[Total No. of Coupons]],Table1[[#This Row],[Coupon Amount]],-Table1[[#This Row],[Ask Price]],Table1[[#This Row],[Face value]])</f>
        <v>0.1041004159580053</v>
      </c>
      <c r="AL533" s="27">
        <f>Table1[[#This Row],[IRR]]*Table1[[#This Row],[Coupon Frequency2]]</f>
        <v>0.1041004159580053</v>
      </c>
      <c r="AM533" s="5">
        <f t="shared" si="34"/>
        <v>-2433.974388409174</v>
      </c>
      <c r="AN533" t="s">
        <v>64</v>
      </c>
      <c r="AO533" t="s">
        <v>62</v>
      </c>
      <c r="AP533">
        <f t="shared" si="35"/>
        <v>1</v>
      </c>
    </row>
    <row r="534" spans="1:42" x14ac:dyDescent="0.35">
      <c r="A534" s="48" t="s">
        <v>684</v>
      </c>
      <c r="B534" s="49" t="s">
        <v>2825</v>
      </c>
      <c r="C534" s="49" t="s">
        <v>2273</v>
      </c>
      <c r="D534" s="50">
        <v>45412</v>
      </c>
      <c r="E534" s="50">
        <v>47238</v>
      </c>
      <c r="F534" s="49">
        <v>1000</v>
      </c>
      <c r="G534" s="49" t="s">
        <v>76</v>
      </c>
      <c r="H534" s="49">
        <v>974.8</v>
      </c>
      <c r="I534" s="49" t="s">
        <v>76</v>
      </c>
      <c r="J534" s="49">
        <v>97.48</v>
      </c>
      <c r="K534" s="49">
        <v>20</v>
      </c>
      <c r="L534" s="51">
        <v>9.7500000000000003E-2</v>
      </c>
      <c r="M534" s="49" t="s">
        <v>93</v>
      </c>
      <c r="N534" s="49">
        <v>1321</v>
      </c>
      <c r="O534" s="49">
        <v>10.0020517029134</v>
      </c>
      <c r="P534" s="49"/>
      <c r="Q534" s="49"/>
      <c r="R534" s="49" t="s">
        <v>2275</v>
      </c>
      <c r="S534">
        <f t="shared" si="32"/>
        <v>5</v>
      </c>
      <c r="T534" s="5" cm="1">
        <f t="array" ref="T5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4">
        <f>Table1[[#This Row],[Term to Maturity (Years)]]*Table1[[#This Row],[Coupon Frequency2]]</f>
        <v>5</v>
      </c>
      <c r="V534">
        <f>Table1[[#This Row],[Face value]]*Table1[[#This Row],[Current coupon %]]</f>
        <v>97.5</v>
      </c>
      <c r="W534" s="36">
        <f>RATE(Table1[[#This Row],[Total No. of Coupons]],Table1[[#This Row],[Coupon Amount]],-Table1[[#This Row],[Ask Price]],Table1[[#This Row],[Face value]])</f>
        <v>0.10421950644876669</v>
      </c>
      <c r="X534" s="27">
        <f>Table1[[#This Row],[IRR]]*Table1[[#This Row],[Coupon Frequency2]]</f>
        <v>0.10421950644876669</v>
      </c>
      <c r="Y534" s="19" cm="1">
        <f t="array" ref="Y5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4" s="33">
        <f>DURATION(Table1[[#This Row],[Issue date]],Table1[[#This Row],[Maturity date]],Table1[[#This Row],[Current coupon %]],Table1[[#This Row],[Yield (Annualised)]],Table1[[#This Row],[Coupon Frequency2]])</f>
        <v>4.1757311566286592</v>
      </c>
      <c r="AA534" s="33">
        <f>Table1[[#This Row],[Macaulay Duration in Years]]/(1+Table1[[#This Row],[IRR]])</f>
        <v>3.7816132863456198</v>
      </c>
      <c r="AB534" s="58">
        <f>VLOOKUP(Table1[[#This Row],[Yield Cluster]],'Cluster Details'!$B$3:$C$16,2,0)</f>
        <v>0.11069942689191503</v>
      </c>
      <c r="AC534" s="78">
        <f>PRICE(Table1[[#This Row],[Issue date]],Table1[[#This Row],[Maturity date]],Table1[[#This Row],[Current coupon %]],Table1[[#This Row],[Average Cluster Yield]],100,Table1[[#This Row],[Coupon Frequency2]])*Table1[[#This Row],[Face value]]/100</f>
        <v>951.30198815484164</v>
      </c>
      <c r="AD534" s="58" t="str">
        <f>IF(Table1[[#This Row],[Ask Price]]&gt;Table1[[#This Row],[Calculated Bond Price]],"Rich","Cheap")</f>
        <v>Rich</v>
      </c>
      <c r="AE5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938.85675934163339</v>
      </c>
      <c r="AF5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1012.6214917165645</v>
      </c>
      <c r="AG534" s="78">
        <f>(Table1[[#This Row],[P (+ shock)]]+Table1[[#This Row],[P (-shock)]]-2*Table1[[#This Row],[Ask Price]])/(2*Table1[[#This Row],[Ask Price]]*($AF$2^2))</f>
        <v>9.6340329205887105</v>
      </c>
      <c r="AI534" s="6">
        <f t="shared" si="33"/>
        <v>0.10002051702913418</v>
      </c>
      <c r="AK534" s="47">
        <f>RATE(Table1[[#This Row],[Total No. of Coupons]],Table1[[#This Row],[Coupon Amount]],-Table1[[#This Row],[Ask Price]],Table1[[#This Row],[Face value]])</f>
        <v>0.10421950644876669</v>
      </c>
      <c r="AL534" s="27">
        <f>Table1[[#This Row],[IRR]]*Table1[[#This Row],[Coupon Frequency2]]</f>
        <v>0.10421950644876669</v>
      </c>
      <c r="AM534" s="5">
        <f t="shared" si="34"/>
        <v>-3686.3166315297099</v>
      </c>
      <c r="AN534" t="s">
        <v>64</v>
      </c>
      <c r="AO534" t="s">
        <v>62</v>
      </c>
      <c r="AP534">
        <f t="shared" si="35"/>
        <v>1</v>
      </c>
    </row>
    <row r="535" spans="1:42" x14ac:dyDescent="0.35">
      <c r="A535" s="48" t="s">
        <v>1375</v>
      </c>
      <c r="B535" s="49" t="s">
        <v>2826</v>
      </c>
      <c r="C535" s="49" t="s">
        <v>2273</v>
      </c>
      <c r="D535" s="50">
        <v>40967</v>
      </c>
      <c r="E535" s="50">
        <v>46446</v>
      </c>
      <c r="F535" s="49">
        <v>10000</v>
      </c>
      <c r="G535" s="49" t="s">
        <v>76</v>
      </c>
      <c r="H535" s="49">
        <v>10200</v>
      </c>
      <c r="I535" s="49" t="s">
        <v>76</v>
      </c>
      <c r="J535" s="49">
        <v>102</v>
      </c>
      <c r="K535" s="49">
        <v>100</v>
      </c>
      <c r="L535" s="51">
        <v>0.107</v>
      </c>
      <c r="M535" s="49" t="s">
        <v>93</v>
      </c>
      <c r="N535" s="49">
        <v>529</v>
      </c>
      <c r="O535" s="49">
        <v>10.4901960784313</v>
      </c>
      <c r="P535" s="49"/>
      <c r="Q535" s="49"/>
      <c r="R535" s="49" t="s">
        <v>2275</v>
      </c>
      <c r="S535">
        <f t="shared" si="32"/>
        <v>15</v>
      </c>
      <c r="T535" s="5" cm="1">
        <f t="array" ref="T5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5">
        <f>Table1[[#This Row],[Term to Maturity (Years)]]*Table1[[#This Row],[Coupon Frequency2]]</f>
        <v>15</v>
      </c>
      <c r="V535">
        <f>Table1[[#This Row],[Face value]]*Table1[[#This Row],[Current coupon %]]</f>
        <v>1070</v>
      </c>
      <c r="W535" s="36">
        <f>RATE(Table1[[#This Row],[Total No. of Coupons]],Table1[[#This Row],[Coupon Amount]],-Table1[[#This Row],[Ask Price]],Table1[[#This Row],[Face value]])</f>
        <v>0.10430557557981329</v>
      </c>
      <c r="X535" s="27">
        <f>Table1[[#This Row],[IRR]]*Table1[[#This Row],[Coupon Frequency2]]</f>
        <v>0.10430557557981329</v>
      </c>
      <c r="Y535" s="19" cm="1">
        <f t="array" ref="Y5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5" s="33">
        <f>DURATION(Table1[[#This Row],[Issue date]],Table1[[#This Row],[Maturity date]],Table1[[#This Row],[Current coupon %]],Table1[[#This Row],[Yield (Annualised)]],Table1[[#This Row],[Coupon Frequency2]])</f>
        <v>7.3890801207586554</v>
      </c>
      <c r="AA535" s="33">
        <f>Table1[[#This Row],[Macaulay Duration in Years]]/(1+Table1[[#This Row],[IRR]])</f>
        <v>6.6911553143965925</v>
      </c>
      <c r="AB535" s="58">
        <f>VLOOKUP(Table1[[#This Row],[Yield Cluster]],'Cluster Details'!$B$3:$C$16,2,0)</f>
        <v>0.11069942689191503</v>
      </c>
      <c r="AC535" s="78">
        <f>PRICE(Table1[[#This Row],[Issue date]],Table1[[#This Row],[Maturity date]],Table1[[#This Row],[Current coupon %]],Table1[[#This Row],[Average Cluster Yield]],100,Table1[[#This Row],[Coupon Frequency2]])*Table1[[#This Row],[Face value]]/100</f>
        <v>9734.6469399563975</v>
      </c>
      <c r="AD535" s="58" t="str">
        <f>IF(Table1[[#This Row],[Ask Price]]&gt;Table1[[#This Row],[Calculated Bond Price]],"Rich","Cheap")</f>
        <v>Rich</v>
      </c>
      <c r="AE5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9486.5159232434016</v>
      </c>
      <c r="AF5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10997.664345890535</v>
      </c>
      <c r="AG535" s="78">
        <f>(Table1[[#This Row],[P (+ shock)]]+Table1[[#This Row],[P (-shock)]]-2*Table1[[#This Row],[Ask Price]])/(2*Table1[[#This Row],[Ask Price]]*($AF$2^2))</f>
        <v>41.264837810753058</v>
      </c>
      <c r="AH535">
        <v>13.2730123593432</v>
      </c>
      <c r="AI535" s="6">
        <f t="shared" si="33"/>
        <v>0.10490196078431373</v>
      </c>
      <c r="AK535" s="47">
        <f>RATE(Table1[[#This Row],[Total No. of Coupons]],Table1[[#This Row],[Coupon Amount]],-Table1[[#This Row],[Ask Price]],Table1[[#This Row],[Face value]])</f>
        <v>0.10430557557981329</v>
      </c>
      <c r="AL535" s="27">
        <f>Table1[[#This Row],[IRR]]*Table1[[#This Row],[Coupon Frequency2]]</f>
        <v>0.10430557557981329</v>
      </c>
      <c r="AM535" s="5">
        <f t="shared" si="34"/>
        <v>-68249.784206845245</v>
      </c>
      <c r="AN535" t="s">
        <v>64</v>
      </c>
      <c r="AO535" t="s">
        <v>62</v>
      </c>
      <c r="AP535">
        <f t="shared" si="35"/>
        <v>1</v>
      </c>
    </row>
    <row r="536" spans="1:42" x14ac:dyDescent="0.35">
      <c r="A536" s="48" t="s">
        <v>1227</v>
      </c>
      <c r="B536" s="49" t="s">
        <v>2827</v>
      </c>
      <c r="C536" s="49" t="s">
        <v>2273</v>
      </c>
      <c r="D536" s="50">
        <v>45412</v>
      </c>
      <c r="E536" s="50">
        <v>46568</v>
      </c>
      <c r="F536" s="49">
        <v>1000</v>
      </c>
      <c r="G536" s="49" t="s">
        <v>76</v>
      </c>
      <c r="H536" s="49">
        <v>977</v>
      </c>
      <c r="I536" s="49" t="s">
        <v>76</v>
      </c>
      <c r="J536" s="49">
        <v>97.7</v>
      </c>
      <c r="K536" s="49">
        <v>100</v>
      </c>
      <c r="L536" s="51">
        <v>9.5000000000000001E-2</v>
      </c>
      <c r="M536" s="49" t="s">
        <v>93</v>
      </c>
      <c r="N536" s="49">
        <v>651</v>
      </c>
      <c r="O536" s="49">
        <v>9.7236438075742004</v>
      </c>
      <c r="P536" s="49"/>
      <c r="Q536" s="49"/>
      <c r="R536" s="49" t="s">
        <v>2275</v>
      </c>
      <c r="S536">
        <f t="shared" si="32"/>
        <v>3</v>
      </c>
      <c r="T536" s="5" cm="1">
        <f t="array" ref="T5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6">
        <f>Table1[[#This Row],[Term to Maturity (Years)]]*Table1[[#This Row],[Coupon Frequency2]]</f>
        <v>3</v>
      </c>
      <c r="V536">
        <f>Table1[[#This Row],[Face value]]*Table1[[#This Row],[Current coupon %]]</f>
        <v>95</v>
      </c>
      <c r="W536" s="36">
        <f>RATE(Table1[[#This Row],[Total No. of Coupons]],Table1[[#This Row],[Coupon Amount]],-Table1[[#This Row],[Ask Price]],Table1[[#This Row],[Face value]])</f>
        <v>0.10431904621793119</v>
      </c>
      <c r="X536" s="27">
        <f>Table1[[#This Row],[IRR]]*Table1[[#This Row],[Coupon Frequency2]]</f>
        <v>0.10431904621793119</v>
      </c>
      <c r="Y536" s="19" cm="1">
        <f t="array" ref="Y5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6" s="33">
        <f>DURATION(Table1[[#This Row],[Issue date]],Table1[[#This Row],[Maturity date]],Table1[[#This Row],[Current coupon %]],Table1[[#This Row],[Yield (Annualised)]],Table1[[#This Row],[Coupon Frequency2]])</f>
        <v>2.6676450306701889</v>
      </c>
      <c r="AA536" s="33">
        <f>Table1[[#This Row],[Macaulay Duration in Years]]/(1+Table1[[#This Row],[IRR]])</f>
        <v>2.4156470358872579</v>
      </c>
      <c r="AB536" s="58">
        <f>VLOOKUP(Table1[[#This Row],[Yield Cluster]],'Cluster Details'!$B$3:$C$16,2,0)</f>
        <v>0.11069942689191503</v>
      </c>
      <c r="AC536" s="78">
        <f>PRICE(Table1[[#This Row],[Issue date]],Table1[[#This Row],[Maturity date]],Table1[[#This Row],[Current coupon %]],Table1[[#This Row],[Average Cluster Yield]],100,Table1[[#This Row],[Coupon Frequency2]])*Table1[[#This Row],[Face value]]/100</f>
        <v>959.18571181375682</v>
      </c>
      <c r="AD536" s="58" t="str">
        <f>IF(Table1[[#This Row],[Ask Price]]&gt;Table1[[#This Row],[Calculated Bond Price]],"Rich","Cheap")</f>
        <v>Rich</v>
      </c>
      <c r="AE5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950.23593484023218</v>
      </c>
      <c r="AF5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1001.1921322442945</v>
      </c>
      <c r="AG536" s="78">
        <f>(Table1[[#This Row],[P (+ shock)]]+Table1[[#This Row],[P (-shock)]]-2*Table1[[#This Row],[Ask Price]])/(2*Table1[[#This Row],[Ask Price]]*($AF$2^2))</f>
        <v>-13.162399772125514</v>
      </c>
      <c r="AH536">
        <v>8.6148704292789695</v>
      </c>
      <c r="AI536" s="6">
        <f t="shared" si="33"/>
        <v>9.7236438075742074E-2</v>
      </c>
      <c r="AK536" s="47">
        <f>RATE(Table1[[#This Row],[Total No. of Coupons]],Table1[[#This Row],[Coupon Amount]],-Table1[[#This Row],[Ask Price]],Table1[[#This Row],[Face value]])</f>
        <v>0.10431904621793119</v>
      </c>
      <c r="AL536" s="27">
        <f>Table1[[#This Row],[IRR]]*Table1[[#This Row],[Coupon Frequency2]]</f>
        <v>0.10431904621793119</v>
      </c>
      <c r="AM536" s="5">
        <f t="shared" si="34"/>
        <v>-2360.0871540618509</v>
      </c>
      <c r="AN536" t="s">
        <v>64</v>
      </c>
      <c r="AO536" t="s">
        <v>62</v>
      </c>
      <c r="AP536">
        <f t="shared" si="35"/>
        <v>1</v>
      </c>
    </row>
    <row r="537" spans="1:42" x14ac:dyDescent="0.35">
      <c r="A537" s="48" t="s">
        <v>624</v>
      </c>
      <c r="B537" s="49" t="s">
        <v>2828</v>
      </c>
      <c r="C537" s="49" t="s">
        <v>2273</v>
      </c>
      <c r="D537" s="50">
        <v>45511</v>
      </c>
      <c r="E537" s="50">
        <v>47337</v>
      </c>
      <c r="F537" s="49">
        <v>1000</v>
      </c>
      <c r="G537" s="49" t="s">
        <v>76</v>
      </c>
      <c r="H537" s="49">
        <v>998</v>
      </c>
      <c r="I537" s="49" t="s">
        <v>76</v>
      </c>
      <c r="J537" s="49">
        <v>99.8</v>
      </c>
      <c r="K537" s="49">
        <v>58</v>
      </c>
      <c r="L537" s="51">
        <v>0.10400000000000001</v>
      </c>
      <c r="M537" s="49" t="s">
        <v>93</v>
      </c>
      <c r="N537" s="49">
        <v>1420</v>
      </c>
      <c r="O537" s="49">
        <v>10.420841683366699</v>
      </c>
      <c r="P537" s="49"/>
      <c r="Q537" s="49"/>
      <c r="R537" s="49" t="s">
        <v>2275</v>
      </c>
      <c r="S537">
        <f t="shared" si="32"/>
        <v>5</v>
      </c>
      <c r="T537" s="5" cm="1">
        <f t="array" ref="T5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7">
        <f>Table1[[#This Row],[Term to Maturity (Years)]]*Table1[[#This Row],[Coupon Frequency2]]</f>
        <v>5</v>
      </c>
      <c r="V537">
        <f>Table1[[#This Row],[Face value]]*Table1[[#This Row],[Current coupon %]]</f>
        <v>104.00000000000001</v>
      </c>
      <c r="W537" s="36">
        <f>RATE(Table1[[#This Row],[Total No. of Coupons]],Table1[[#This Row],[Coupon Amount]],-Table1[[#This Row],[Ask Price]],Table1[[#This Row],[Face value]])</f>
        <v>0.10453371952463993</v>
      </c>
      <c r="X537" s="27">
        <f>Table1[[#This Row],[IRR]]*Table1[[#This Row],[Coupon Frequency2]]</f>
        <v>0.10453371952463993</v>
      </c>
      <c r="Y537" s="19" cm="1">
        <f t="array" ref="Y5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7" s="33">
        <f>DURATION(Table1[[#This Row],[Issue date]],Table1[[#This Row],[Maturity date]],Table1[[#This Row],[Current coupon %]],Table1[[#This Row],[Yield (Annualised)]],Table1[[#This Row],[Coupon Frequency2]])</f>
        <v>4.141683726156451</v>
      </c>
      <c r="AA537" s="33">
        <f>Table1[[#This Row],[Macaulay Duration in Years]]/(1+Table1[[#This Row],[IRR]])</f>
        <v>3.7497123473413874</v>
      </c>
      <c r="AB537" s="58">
        <f>VLOOKUP(Table1[[#This Row],[Yield Cluster]],'Cluster Details'!$B$3:$C$16,2,0)</f>
        <v>0.11069942689191503</v>
      </c>
      <c r="AC537" s="78">
        <f>PRICE(Table1[[#This Row],[Issue date]],Table1[[#This Row],[Maturity date]],Table1[[#This Row],[Current coupon %]],Table1[[#This Row],[Average Cluster Yield]],100,Table1[[#This Row],[Coupon Frequency2]])*Table1[[#This Row],[Face value]]/100</f>
        <v>975.28311094036326</v>
      </c>
      <c r="AD537" s="58" t="str">
        <f>IF(Table1[[#This Row],[Ask Price]]&gt;Table1[[#This Row],[Calculated Bond Price]],"Rich","Cheap")</f>
        <v>Rich</v>
      </c>
      <c r="AE5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961.50841683466012</v>
      </c>
      <c r="AF5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1036.3914365301716</v>
      </c>
      <c r="AG537" s="78">
        <f>(Table1[[#This Row],[P (+ shock)]]+Table1[[#This Row],[P (-shock)]]-2*Table1[[#This Row],[Ask Price]])/(2*Table1[[#This Row],[Ask Price]]*($AF$2^2))</f>
        <v>9.5183034310213923</v>
      </c>
      <c r="AH537">
        <v>9.3735475580748897</v>
      </c>
      <c r="AI537" s="6">
        <f t="shared" si="33"/>
        <v>0.10420841683366736</v>
      </c>
      <c r="AK537" s="47">
        <f>RATE(Table1[[#This Row],[Total No. of Coupons]],Table1[[#This Row],[Coupon Amount]],-Table1[[#This Row],[Ask Price]],Table1[[#This Row],[Face value]])</f>
        <v>0.10453371952463993</v>
      </c>
      <c r="AL537" s="27">
        <f>Table1[[#This Row],[IRR]]*Table1[[#This Row],[Coupon Frequency2]]</f>
        <v>0.10453371952463993</v>
      </c>
      <c r="AM537" s="5">
        <f t="shared" si="34"/>
        <v>-3742.2129226467046</v>
      </c>
      <c r="AN537" t="s">
        <v>64</v>
      </c>
      <c r="AO537" t="s">
        <v>62</v>
      </c>
      <c r="AP537">
        <f t="shared" si="35"/>
        <v>1</v>
      </c>
    </row>
    <row r="538" spans="1:42" x14ac:dyDescent="0.35">
      <c r="A538" s="48" t="s">
        <v>1260</v>
      </c>
      <c r="B538" s="49" t="s">
        <v>2829</v>
      </c>
      <c r="C538" s="49" t="s">
        <v>2273</v>
      </c>
      <c r="D538" s="50">
        <v>45443</v>
      </c>
      <c r="E538" s="50">
        <v>46538</v>
      </c>
      <c r="F538" s="49">
        <v>1000</v>
      </c>
      <c r="G538" s="49" t="s">
        <v>76</v>
      </c>
      <c r="H538" s="49">
        <v>974</v>
      </c>
      <c r="I538" s="49" t="s">
        <v>76</v>
      </c>
      <c r="J538" s="49">
        <v>97.399999999999906</v>
      </c>
      <c r="K538" s="49">
        <v>10</v>
      </c>
      <c r="L538" s="51">
        <v>9.4E-2</v>
      </c>
      <c r="M538" s="49" t="s">
        <v>93</v>
      </c>
      <c r="N538" s="49">
        <v>621</v>
      </c>
      <c r="O538" s="49">
        <v>9.6509240246406502</v>
      </c>
      <c r="P538" s="49" t="s">
        <v>2279</v>
      </c>
      <c r="Q538" s="49"/>
      <c r="R538" s="49" t="s">
        <v>2275</v>
      </c>
      <c r="S538">
        <f t="shared" si="32"/>
        <v>3</v>
      </c>
      <c r="T538" s="5" cm="1">
        <f t="array" ref="T5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8">
        <f>Table1[[#This Row],[Term to Maturity (Years)]]*Table1[[#This Row],[Coupon Frequency2]]</f>
        <v>3</v>
      </c>
      <c r="V538">
        <f>Table1[[#This Row],[Face value]]*Table1[[#This Row],[Current coupon %]]</f>
        <v>94</v>
      </c>
      <c r="W538" s="36">
        <f>RATE(Table1[[#This Row],[Total No. of Coupons]],Table1[[#This Row],[Coupon Amount]],-Table1[[#This Row],[Ask Price]],Table1[[#This Row],[Face value]])</f>
        <v>0.10453862519983259</v>
      </c>
      <c r="X538" s="27">
        <f>Table1[[#This Row],[IRR]]*Table1[[#This Row],[Coupon Frequency2]]</f>
        <v>0.10453862519983259</v>
      </c>
      <c r="Y538" s="19" cm="1">
        <f t="array" ref="Y5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8" s="33">
        <f>DURATION(Table1[[#This Row],[Issue date]],Table1[[#This Row],[Maturity date]],Table1[[#This Row],[Current coupon %]],Table1[[#This Row],[Yield (Annualised)]],Table1[[#This Row],[Coupon Frequency2]])</f>
        <v>2.7461441047593422</v>
      </c>
      <c r="AA538" s="33">
        <f>Table1[[#This Row],[Macaulay Duration in Years]]/(1+Table1[[#This Row],[IRR]])</f>
        <v>2.4862363724605023</v>
      </c>
      <c r="AB538" s="58">
        <f>VLOOKUP(Table1[[#This Row],[Yield Cluster]],'Cluster Details'!$B$3:$C$16,2,0)</f>
        <v>0.11069942689191503</v>
      </c>
      <c r="AC538" s="78">
        <f>PRICE(Table1[[#This Row],[Issue date]],Table1[[#This Row],[Maturity date]],Table1[[#This Row],[Current coupon %]],Table1[[#This Row],[Average Cluster Yield]],100,Table1[[#This Row],[Coupon Frequency2]])*Table1[[#This Row],[Face value]]/100</f>
        <v>959.24095604054014</v>
      </c>
      <c r="AD538" s="58" t="str">
        <f>IF(Table1[[#This Row],[Ask Price]]&gt;Table1[[#This Row],[Calculated Bond Price]],"Rich","Cheap")</f>
        <v>Rich</v>
      </c>
      <c r="AE5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950.20301470916922</v>
      </c>
      <c r="AF5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998.64753441419771</v>
      </c>
      <c r="AG538" s="78">
        <f>(Table1[[#This Row],[P (+ shock)]]+Table1[[#This Row],[P (-shock)]]-2*Table1[[#This Row],[Ask Price]])/(2*Table1[[#This Row],[Ask Price]]*($AF$2^2))</f>
        <v>4.3662686004456779</v>
      </c>
      <c r="AH538">
        <v>5.6764282623180602</v>
      </c>
      <c r="AI538" s="6">
        <f t="shared" si="33"/>
        <v>9.6509240246406572E-2</v>
      </c>
      <c r="AK538" s="47">
        <f>RATE(Table1[[#This Row],[Total No. of Coupons]],Table1[[#This Row],[Coupon Amount]],-Table1[[#This Row],[Ask Price]],Table1[[#This Row],[Face value]])</f>
        <v>0.10453862519983259</v>
      </c>
      <c r="AL538" s="27">
        <f>Table1[[#This Row],[IRR]]*Table1[[#This Row],[Coupon Frequency2]]</f>
        <v>0.10453862519983259</v>
      </c>
      <c r="AM538" s="5">
        <f t="shared" si="34"/>
        <v>-2421.5942267765295</v>
      </c>
      <c r="AN538" t="s">
        <v>64</v>
      </c>
      <c r="AO538" t="s">
        <v>62</v>
      </c>
      <c r="AP538">
        <f t="shared" si="35"/>
        <v>1</v>
      </c>
    </row>
    <row r="539" spans="1:42" x14ac:dyDescent="0.35">
      <c r="A539" s="48" t="s">
        <v>664</v>
      </c>
      <c r="B539" s="49" t="s">
        <v>2830</v>
      </c>
      <c r="C539" s="49" t="s">
        <v>2273</v>
      </c>
      <c r="D539" s="50">
        <v>45443</v>
      </c>
      <c r="E539" s="50">
        <v>47269</v>
      </c>
      <c r="F539" s="49">
        <v>1000</v>
      </c>
      <c r="G539" s="49" t="s">
        <v>76</v>
      </c>
      <c r="H539" s="49">
        <v>988</v>
      </c>
      <c r="I539" s="49" t="s">
        <v>76</v>
      </c>
      <c r="J539" s="49">
        <v>98.8</v>
      </c>
      <c r="K539" s="49">
        <v>10</v>
      </c>
      <c r="L539" s="51">
        <v>0.10150000000000001</v>
      </c>
      <c r="M539" s="49" t="s">
        <v>93</v>
      </c>
      <c r="N539" s="49">
        <v>1352</v>
      </c>
      <c r="O539" s="49">
        <v>10.2732793522267</v>
      </c>
      <c r="P539" s="49" t="s">
        <v>2279</v>
      </c>
      <c r="Q539" s="49"/>
      <c r="R539" s="49" t="s">
        <v>2275</v>
      </c>
      <c r="S539">
        <f t="shared" si="32"/>
        <v>5</v>
      </c>
      <c r="T539" s="5" cm="1">
        <f t="array" ref="T5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39">
        <f>Table1[[#This Row],[Term to Maturity (Years)]]*Table1[[#This Row],[Coupon Frequency2]]</f>
        <v>5</v>
      </c>
      <c r="V539">
        <f>Table1[[#This Row],[Face value]]*Table1[[#This Row],[Current coupon %]]</f>
        <v>101.5</v>
      </c>
      <c r="W539" s="36">
        <f>RATE(Table1[[#This Row],[Total No. of Coupons]],Table1[[#This Row],[Coupon Amount]],-Table1[[#This Row],[Ask Price]],Table1[[#This Row],[Face value]])</f>
        <v>0.1047036981184099</v>
      </c>
      <c r="X539" s="27">
        <f>Table1[[#This Row],[IRR]]*Table1[[#This Row],[Coupon Frequency2]]</f>
        <v>0.1047036981184099</v>
      </c>
      <c r="Y539" s="19" cm="1">
        <f t="array" ref="Y5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39" s="33">
        <f>DURATION(Table1[[#This Row],[Issue date]],Table1[[#This Row],[Maturity date]],Table1[[#This Row],[Current coupon %]],Table1[[#This Row],[Yield (Annualised)]],Table1[[#This Row],[Coupon Frequency2]])</f>
        <v>4.1540855741943377</v>
      </c>
      <c r="AA539" s="33">
        <f>Table1[[#This Row],[Macaulay Duration in Years]]/(1+Table1[[#This Row],[IRR]])</f>
        <v>3.7603617886586211</v>
      </c>
      <c r="AB539" s="58">
        <f>VLOOKUP(Table1[[#This Row],[Yield Cluster]],'Cluster Details'!$B$3:$C$16,2,0)</f>
        <v>0.11069942689191503</v>
      </c>
      <c r="AC539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966.05960217670099</v>
      </c>
      <c r="AD539" s="58" t="str">
        <f>IF(Table1[[#This Row],[Ask Price]]&gt;Table1[[#This Row],[Calculated Bond Price]],"Rich","Cheap")</f>
        <v>Rich</v>
      </c>
      <c r="AE5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951.77244758332517</v>
      </c>
      <c r="AF5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1026.1157392998075</v>
      </c>
      <c r="AG539" s="78">
        <f>(Table1[[#This Row],[P (+ shock)]]+Table1[[#This Row],[P (-shock)]]-2*Table1[[#This Row],[Ask Price]])/(2*Table1[[#This Row],[Ask Price]]*($AF$2^2))</f>
        <v>9.5556016352868198</v>
      </c>
      <c r="AI539" s="6">
        <f t="shared" si="33"/>
        <v>0.1027327935222672</v>
      </c>
      <c r="AK539" s="47">
        <f>RATE(Table1[[#This Row],[Total No. of Coupons]],Table1[[#This Row],[Coupon Amount]],-Table1[[#This Row],[Ask Price]],Table1[[#This Row],[Face value]])</f>
        <v>0.1047036981184099</v>
      </c>
      <c r="AL539" s="27">
        <f>Table1[[#This Row],[IRR]]*Table1[[#This Row],[Coupon Frequency2]]</f>
        <v>0.1047036981184099</v>
      </c>
      <c r="AM539" s="5">
        <f t="shared" si="34"/>
        <v>-3715.2374471947178</v>
      </c>
      <c r="AN539" t="s">
        <v>64</v>
      </c>
      <c r="AO539" t="s">
        <v>62</v>
      </c>
      <c r="AP539">
        <f t="shared" si="35"/>
        <v>1</v>
      </c>
    </row>
    <row r="540" spans="1:42" x14ac:dyDescent="0.35">
      <c r="A540" s="48" t="s">
        <v>144</v>
      </c>
      <c r="B540" s="49" t="s">
        <v>2831</v>
      </c>
      <c r="C540" s="49" t="s">
        <v>2273</v>
      </c>
      <c r="D540" s="50">
        <v>45573</v>
      </c>
      <c r="E540" s="50">
        <v>49225</v>
      </c>
      <c r="F540" s="49">
        <v>1000</v>
      </c>
      <c r="G540" s="49" t="s">
        <v>76</v>
      </c>
      <c r="H540" s="49">
        <v>1030.8</v>
      </c>
      <c r="I540" s="49" t="s">
        <v>76</v>
      </c>
      <c r="J540" s="49">
        <v>103.08</v>
      </c>
      <c r="K540" s="49">
        <v>100</v>
      </c>
      <c r="L540" s="51">
        <v>0.11</v>
      </c>
      <c r="M540" s="49" t="s">
        <v>93</v>
      </c>
      <c r="N540" s="49">
        <v>3308</v>
      </c>
      <c r="O540" s="49">
        <v>10.671323244082201</v>
      </c>
      <c r="P540" s="49"/>
      <c r="Q540" s="49"/>
      <c r="R540" s="49" t="s">
        <v>2275</v>
      </c>
      <c r="S540">
        <f t="shared" si="32"/>
        <v>10</v>
      </c>
      <c r="T540" s="5" cm="1">
        <f t="array" ref="T5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0">
        <f>Table1[[#This Row],[Term to Maturity (Years)]]*Table1[[#This Row],[Coupon Frequency2]]</f>
        <v>10</v>
      </c>
      <c r="V540">
        <f>Table1[[#This Row],[Face value]]*Table1[[#This Row],[Current coupon %]]</f>
        <v>110</v>
      </c>
      <c r="W540" s="36">
        <f>RATE(Table1[[#This Row],[Total No. of Coupons]],Table1[[#This Row],[Coupon Amount]],-Table1[[#This Row],[Ask Price]],Table1[[#This Row],[Face value]])</f>
        <v>0.10488184218311383</v>
      </c>
      <c r="X540" s="27">
        <f>Table1[[#This Row],[IRR]]*Table1[[#This Row],[Coupon Frequency2]]</f>
        <v>0.10488184218311383</v>
      </c>
      <c r="Y540" s="19" cm="1">
        <f t="array" ref="Y5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0" s="33">
        <f>DURATION(Table1[[#This Row],[Issue date]],Table1[[#This Row],[Maturity date]],Table1[[#This Row],[Current coupon %]],Table1[[#This Row],[Yield (Annualised)]],Table1[[#This Row],[Coupon Frequency2]])</f>
        <v>6.5904328513223547</v>
      </c>
      <c r="AA540" s="33">
        <f>Table1[[#This Row],[Macaulay Duration in Years]]/(1+Table1[[#This Row],[IRR]])</f>
        <v>5.964830445851522</v>
      </c>
      <c r="AB540" s="58">
        <f>VLOOKUP(Table1[[#This Row],[Yield Cluster]],'Cluster Details'!$B$3:$C$16,2,0)</f>
        <v>0.11069942689191503</v>
      </c>
      <c r="AC540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40" s="58" t="str">
        <f>IF(Table1[[#This Row],[Ask Price]]&gt;Table1[[#This Row],[Calculated Bond Price]],"Rich","Cheap")</f>
        <v>Rich</v>
      </c>
      <c r="AE5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971.82886457470829</v>
      </c>
      <c r="AF5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1094.9726503504735</v>
      </c>
      <c r="AG540" s="78">
        <f>(Table1[[#This Row],[P (+ shock)]]+Table1[[#This Row],[P (-shock)]]-2*Table1[[#This Row],[Ask Price]])/(2*Table1[[#This Row],[Ask Price]]*($AF$2^2))</f>
        <v>25.230475966152415</v>
      </c>
      <c r="AH540">
        <v>11.5651628133272</v>
      </c>
      <c r="AI540" s="6">
        <f t="shared" si="33"/>
        <v>0.10671323244082266</v>
      </c>
      <c r="AK540" s="47">
        <f>RATE(Table1[[#This Row],[Total No. of Coupons]],Table1[[#This Row],[Coupon Amount]],-Table1[[#This Row],[Ask Price]],Table1[[#This Row],[Face value]])</f>
        <v>0.10488184218311383</v>
      </c>
      <c r="AL540" s="27">
        <f>Table1[[#This Row],[IRR]]*Table1[[#This Row],[Coupon Frequency2]]</f>
        <v>0.10488184218311383</v>
      </c>
      <c r="AM540" s="5">
        <f t="shared" si="34"/>
        <v>-6148.5472235837487</v>
      </c>
      <c r="AN540" t="s">
        <v>64</v>
      </c>
      <c r="AO540" t="s">
        <v>62</v>
      </c>
      <c r="AP540">
        <f t="shared" si="35"/>
        <v>1</v>
      </c>
    </row>
    <row r="541" spans="1:42" x14ac:dyDescent="0.35">
      <c r="A541" s="48" t="s">
        <v>861</v>
      </c>
      <c r="B541" s="49" t="s">
        <v>2832</v>
      </c>
      <c r="C541" s="49" t="s">
        <v>2273</v>
      </c>
      <c r="D541" s="50">
        <v>43368</v>
      </c>
      <c r="E541" s="50">
        <v>47021</v>
      </c>
      <c r="F541" s="49">
        <v>1000</v>
      </c>
      <c r="G541" s="49" t="s">
        <v>76</v>
      </c>
      <c r="H541" s="49">
        <v>922.25</v>
      </c>
      <c r="I541" s="49" t="s">
        <v>76</v>
      </c>
      <c r="J541" s="49">
        <v>92.224999999999994</v>
      </c>
      <c r="K541" s="49">
        <v>50</v>
      </c>
      <c r="L541" s="51">
        <v>9.1999999999999998E-2</v>
      </c>
      <c r="M541" s="49" t="s">
        <v>93</v>
      </c>
      <c r="N541" s="49">
        <v>1104</v>
      </c>
      <c r="O541" s="49">
        <v>9.9756031444835997</v>
      </c>
      <c r="P541" s="49"/>
      <c r="Q541" s="49"/>
      <c r="R541" s="49" t="s">
        <v>2275</v>
      </c>
      <c r="S541">
        <f t="shared" si="32"/>
        <v>10</v>
      </c>
      <c r="T541" s="5" cm="1">
        <f t="array" ref="T5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1">
        <f>Table1[[#This Row],[Term to Maturity (Years)]]*Table1[[#This Row],[Coupon Frequency2]]</f>
        <v>10</v>
      </c>
      <c r="V541">
        <f>Table1[[#This Row],[Face value]]*Table1[[#This Row],[Current coupon %]]</f>
        <v>92</v>
      </c>
      <c r="W541" s="36">
        <f>RATE(Table1[[#This Row],[Total No. of Coupons]],Table1[[#This Row],[Coupon Amount]],-Table1[[#This Row],[Ask Price]],Table1[[#This Row],[Face value]])</f>
        <v>0.10492224096893621</v>
      </c>
      <c r="X541" s="27">
        <f>Table1[[#This Row],[IRR]]*Table1[[#This Row],[Coupon Frequency2]]</f>
        <v>0.10492224096893621</v>
      </c>
      <c r="Y541" s="19" cm="1">
        <f t="array" ref="Y5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1" s="33">
        <f>DURATION(Table1[[#This Row],[Issue date]],Table1[[#This Row],[Maturity date]],Table1[[#This Row],[Current coupon %]],Table1[[#This Row],[Yield (Annualised)]],Table1[[#This Row],[Coupon Frequency2]])</f>
        <v>6.8130948666160416</v>
      </c>
      <c r="AA541" s="33">
        <f>Table1[[#This Row],[Macaulay Duration in Years]]/(1+Table1[[#This Row],[IRR]])</f>
        <v>6.1661306234920703</v>
      </c>
      <c r="AB541" s="58">
        <f>VLOOKUP(Table1[[#This Row],[Yield Cluster]],'Cluster Details'!$B$3:$C$16,2,0)</f>
        <v>0.11069942689191503</v>
      </c>
      <c r="AC541" s="78">
        <f>PRICE(Table1[[#This Row],[Issue date]],Table1[[#This Row],[Maturity date]],Table1[[#This Row],[Current coupon %]],Table1[[#This Row],[Average Cluster Yield]],100,Table1[[#This Row],[Coupon Frequency2]])*Table1[[#This Row],[Face value]]/100</f>
        <v>890.19696868890833</v>
      </c>
      <c r="AD541" s="58" t="str">
        <f>IF(Table1[[#This Row],[Ask Price]]&gt;Table1[[#This Row],[Calculated Bond Price]],"Rich","Cheap")</f>
        <v>Rich</v>
      </c>
      <c r="AE5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867.74716679085691</v>
      </c>
      <c r="AF5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981.64563354972847</v>
      </c>
      <c r="AG541" s="78">
        <f>(Table1[[#This Row],[P (+ shock)]]+Table1[[#This Row],[P (-shock)]]-2*Table1[[#This Row],[Ask Price]])/(2*Table1[[#This Row],[Ask Price]]*($AF$2^2))</f>
        <v>26.526431773301066</v>
      </c>
      <c r="AH541">
        <v>10.5764966169179</v>
      </c>
      <c r="AI541" s="6">
        <f t="shared" si="33"/>
        <v>9.9756031444835996E-2</v>
      </c>
      <c r="AK541" s="47">
        <f>RATE(Table1[[#This Row],[Total No. of Coupons]],Table1[[#This Row],[Coupon Amount]],-Table1[[#This Row],[Ask Price]],Table1[[#This Row],[Face value]])</f>
        <v>0.10492224096893621</v>
      </c>
      <c r="AL541" s="27">
        <f>Table1[[#This Row],[IRR]]*Table1[[#This Row],[Coupon Frequency2]]</f>
        <v>0.10492224096893621</v>
      </c>
      <c r="AM541" s="5">
        <f t="shared" si="34"/>
        <v>-5686.7139675155622</v>
      </c>
      <c r="AN541" t="s">
        <v>64</v>
      </c>
      <c r="AO541" t="s">
        <v>62</v>
      </c>
      <c r="AP541">
        <f t="shared" si="35"/>
        <v>1</v>
      </c>
    </row>
    <row r="542" spans="1:42" x14ac:dyDescent="0.35">
      <c r="A542" s="48" t="s">
        <v>2833</v>
      </c>
      <c r="B542" s="49" t="s">
        <v>2834</v>
      </c>
      <c r="C542" s="49" t="s">
        <v>2273</v>
      </c>
      <c r="D542" s="50">
        <v>45777</v>
      </c>
      <c r="E542" s="50">
        <v>47603</v>
      </c>
      <c r="F542" s="49">
        <v>1000</v>
      </c>
      <c r="G542" s="49" t="s">
        <v>76</v>
      </c>
      <c r="H542" s="49">
        <v>1000</v>
      </c>
      <c r="I542" s="49" t="s">
        <v>76</v>
      </c>
      <c r="J542" s="49">
        <v>100</v>
      </c>
      <c r="K542" s="49">
        <v>1540</v>
      </c>
      <c r="L542" s="51">
        <v>0.105</v>
      </c>
      <c r="M542" s="49" t="s">
        <v>93</v>
      </c>
      <c r="N542" s="49">
        <v>1686</v>
      </c>
      <c r="O542" s="49">
        <v>10.5</v>
      </c>
      <c r="P542" s="49"/>
      <c r="Q542" s="49"/>
      <c r="R542" s="49" t="s">
        <v>2275</v>
      </c>
      <c r="S542">
        <f t="shared" si="32"/>
        <v>5</v>
      </c>
      <c r="T542" s="5" cm="1">
        <f t="array" ref="T5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2">
        <f>Table1[[#This Row],[Term to Maturity (Years)]]*Table1[[#This Row],[Coupon Frequency2]]</f>
        <v>5</v>
      </c>
      <c r="V542">
        <f>Table1[[#This Row],[Face value]]*Table1[[#This Row],[Current coupon %]]</f>
        <v>105</v>
      </c>
      <c r="W542" s="36">
        <f>RATE(Table1[[#This Row],[Total No. of Coupons]],Table1[[#This Row],[Coupon Amount]],-Table1[[#This Row],[Ask Price]],Table1[[#This Row],[Face value]])</f>
        <v>0.10500000000000012</v>
      </c>
      <c r="X542" s="27">
        <f>Table1[[#This Row],[IRR]]*Table1[[#This Row],[Coupon Frequency2]]</f>
        <v>0.10500000000000012</v>
      </c>
      <c r="Y542" s="19" cm="1">
        <f t="array" ref="Y5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2" s="33">
        <f>DURATION(Table1[[#This Row],[Issue date]],Table1[[#This Row],[Maturity date]],Table1[[#This Row],[Current coupon %]],Table1[[#This Row],[Yield (Annualised)]],Table1[[#This Row],[Coupon Frequency2]])</f>
        <v>4.1358583369310464</v>
      </c>
      <c r="AA542" s="33">
        <f>Table1[[#This Row],[Macaulay Duration in Years]]/(1+Table1[[#This Row],[IRR]])</f>
        <v>3.7428582234670098</v>
      </c>
      <c r="AB542" s="58">
        <f>VLOOKUP(Table1[[#This Row],[Yield Cluster]],'Cluster Details'!$B$3:$C$16,2,0)</f>
        <v>0.11069942689191503</v>
      </c>
      <c r="AC542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978.97251444582798</v>
      </c>
      <c r="AD542" s="58" t="str">
        <f>IF(Table1[[#This Row],[Ask Price]]&gt;Table1[[#This Row],[Calculated Bond Price]],"Rich","Cheap")</f>
        <v>Rich</v>
      </c>
      <c r="AE5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963.50122153020118</v>
      </c>
      <c r="AF5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1038.3970878650662</v>
      </c>
      <c r="AG542" s="78">
        <f>(Table1[[#This Row],[P (+ shock)]]+Table1[[#This Row],[P (-shock)]]-2*Table1[[#This Row],[Ask Price]])/(2*Table1[[#This Row],[Ask Price]]*($AF$2^2))</f>
        <v>9.4915469763373039</v>
      </c>
      <c r="AH542">
        <v>12.174698686326501</v>
      </c>
      <c r="AI542" s="6">
        <f t="shared" si="33"/>
        <v>0.105</v>
      </c>
      <c r="AK542" s="47">
        <f>RATE(Table1[[#This Row],[Total No. of Coupons]],Table1[[#This Row],[Coupon Amount]],-Table1[[#This Row],[Ask Price]],Table1[[#This Row],[Face value]])</f>
        <v>0.10500000000000012</v>
      </c>
      <c r="AL542" s="27">
        <f>Table1[[#This Row],[IRR]]*Table1[[#This Row],[Coupon Frequency2]]</f>
        <v>0.10500000000000012</v>
      </c>
      <c r="AM542" s="5">
        <f t="shared" si="34"/>
        <v>-3742.8582234670098</v>
      </c>
      <c r="AN542" t="s">
        <v>64</v>
      </c>
      <c r="AO542" t="s">
        <v>62</v>
      </c>
      <c r="AP542">
        <f t="shared" si="35"/>
        <v>1</v>
      </c>
    </row>
    <row r="543" spans="1:42" x14ac:dyDescent="0.35">
      <c r="A543" s="48" t="s">
        <v>2835</v>
      </c>
      <c r="B543" s="49" t="s">
        <v>2836</v>
      </c>
      <c r="C543" s="49" t="s">
        <v>2273</v>
      </c>
      <c r="D543" s="50">
        <v>45854</v>
      </c>
      <c r="E543" s="50">
        <v>47680</v>
      </c>
      <c r="F543" s="49">
        <v>1000</v>
      </c>
      <c r="G543" s="49" t="s">
        <v>76</v>
      </c>
      <c r="H543" s="49">
        <v>970</v>
      </c>
      <c r="I543" s="49" t="s">
        <v>76</v>
      </c>
      <c r="J543" s="49">
        <v>97</v>
      </c>
      <c r="K543" s="49">
        <v>20</v>
      </c>
      <c r="L543" s="51">
        <v>9.6999999999999989E-2</v>
      </c>
      <c r="M543" s="49" t="s">
        <v>93</v>
      </c>
      <c r="N543" s="49">
        <v>1763</v>
      </c>
      <c r="O543" s="49">
        <v>9.9999999999999893</v>
      </c>
      <c r="P543" s="49"/>
      <c r="Q543" s="49"/>
      <c r="R543" s="49" t="s">
        <v>2275</v>
      </c>
      <c r="S543">
        <f t="shared" si="32"/>
        <v>5</v>
      </c>
      <c r="T543" s="5" cm="1">
        <f t="array" ref="T5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3">
        <f>Table1[[#This Row],[Term to Maturity (Years)]]*Table1[[#This Row],[Coupon Frequency2]]</f>
        <v>5</v>
      </c>
      <c r="V543">
        <f>Table1[[#This Row],[Face value]]*Table1[[#This Row],[Current coupon %]]</f>
        <v>96.999999999999986</v>
      </c>
      <c r="W543" s="36">
        <f>RATE(Table1[[#This Row],[Total No. of Coupons]],Table1[[#This Row],[Coupon Amount]],-Table1[[#This Row],[Ask Price]],Table1[[#This Row],[Face value]])</f>
        <v>0.10501558145790819</v>
      </c>
      <c r="X543" s="27">
        <f>Table1[[#This Row],[IRR]]*Table1[[#This Row],[Coupon Frequency2]]</f>
        <v>0.10501558145790819</v>
      </c>
      <c r="Y543" s="19" cm="1">
        <f t="array" ref="Y5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3" s="33">
        <f>DURATION(Table1[[#This Row],[Issue date]],Table1[[#This Row],[Maturity date]],Table1[[#This Row],[Current coupon %]],Table1[[#This Row],[Yield (Annualised)]],Table1[[#This Row],[Coupon Frequency2]])</f>
        <v>4.1770300266164506</v>
      </c>
      <c r="AA543" s="33">
        <f>Table1[[#This Row],[Macaulay Duration in Years]]/(1+Table1[[#This Row],[IRR]])</f>
        <v>3.7800643689616251</v>
      </c>
      <c r="AB543" s="58">
        <f>VLOOKUP(Table1[[#This Row],[Yield Cluster]],'Cluster Details'!$B$3:$C$16,2,0)</f>
        <v>0.11069942689191503</v>
      </c>
      <c r="AC543" s="78">
        <f>PRICE(Table1[[#This Row],[Issue date]],Table1[[#This Row],[Maturity date]],Table1[[#This Row],[Current coupon %]],Table1[[#This Row],[Average Cluster Yield]],100,Table1[[#This Row],[Coupon Frequency2]])*Table1[[#This Row],[Face value]]/100</f>
        <v>949.45728640210916</v>
      </c>
      <c r="AD543" s="58" t="str">
        <f>IF(Table1[[#This Row],[Ask Price]]&gt;Table1[[#This Row],[Calculated Bond Price]],"Rich","Cheap")</f>
        <v>Rich</v>
      </c>
      <c r="AE5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934.2478858738906</v>
      </c>
      <c r="AF5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1007.6192836599373</v>
      </c>
      <c r="AG543" s="78">
        <f>(Table1[[#This Row],[P (+ shock)]]+Table1[[#This Row],[P (-shock)]]-2*Table1[[#This Row],[Ask Price]])/(2*Table1[[#This Row],[Ask Price]]*($AF$2^2))</f>
        <v>9.6245852259176221</v>
      </c>
      <c r="AH543">
        <v>10.164261012561999</v>
      </c>
      <c r="AI543" s="6">
        <f t="shared" si="33"/>
        <v>9.9999999999999992E-2</v>
      </c>
      <c r="AK543" s="47">
        <f>RATE(Table1[[#This Row],[Total No. of Coupons]],Table1[[#This Row],[Coupon Amount]],-Table1[[#This Row],[Ask Price]],Table1[[#This Row],[Face value]])</f>
        <v>0.10501558145790819</v>
      </c>
      <c r="AL543" s="27">
        <f>Table1[[#This Row],[IRR]]*Table1[[#This Row],[Coupon Frequency2]]</f>
        <v>0.10501558145790819</v>
      </c>
      <c r="AM543" s="5">
        <f t="shared" si="34"/>
        <v>-3666.6624378927763</v>
      </c>
      <c r="AN543" t="s">
        <v>64</v>
      </c>
      <c r="AO543" t="s">
        <v>62</v>
      </c>
      <c r="AP543">
        <f t="shared" si="35"/>
        <v>1</v>
      </c>
    </row>
    <row r="544" spans="1:42" x14ac:dyDescent="0.35">
      <c r="A544" s="48" t="s">
        <v>125</v>
      </c>
      <c r="B544" s="49" t="s">
        <v>2837</v>
      </c>
      <c r="C544" s="49" t="s">
        <v>2273</v>
      </c>
      <c r="D544" s="50">
        <v>45777</v>
      </c>
      <c r="E544" s="50">
        <v>49429</v>
      </c>
      <c r="F544" s="49">
        <v>1000</v>
      </c>
      <c r="G544" s="49" t="s">
        <v>76</v>
      </c>
      <c r="H544" s="49">
        <v>1029</v>
      </c>
      <c r="I544" s="49" t="s">
        <v>76</v>
      </c>
      <c r="J544" s="49">
        <v>102.899999999999</v>
      </c>
      <c r="K544" s="49">
        <v>6</v>
      </c>
      <c r="L544" s="51">
        <v>0.11</v>
      </c>
      <c r="M544" s="49" t="s">
        <v>93</v>
      </c>
      <c r="N544" s="49">
        <v>3512</v>
      </c>
      <c r="O544" s="49">
        <v>10.689990281827001</v>
      </c>
      <c r="P544" s="49"/>
      <c r="Q544" s="49"/>
      <c r="R544" s="49" t="s">
        <v>2275</v>
      </c>
      <c r="S544">
        <f t="shared" si="32"/>
        <v>10</v>
      </c>
      <c r="T544" s="5" cm="1">
        <f t="array" ref="T5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4">
        <f>Table1[[#This Row],[Term to Maturity (Years)]]*Table1[[#This Row],[Coupon Frequency2]]</f>
        <v>10</v>
      </c>
      <c r="V544">
        <f>Table1[[#This Row],[Face value]]*Table1[[#This Row],[Current coupon %]]</f>
        <v>110</v>
      </c>
      <c r="W544" s="36">
        <f>RATE(Table1[[#This Row],[Total No. of Coupons]],Table1[[#This Row],[Coupon Amount]],-Table1[[#This Row],[Ask Price]],Table1[[#This Row],[Face value]])</f>
        <v>0.10517495698937245</v>
      </c>
      <c r="X544" s="27">
        <f>Table1[[#This Row],[IRR]]*Table1[[#This Row],[Coupon Frequency2]]</f>
        <v>0.10517495698937245</v>
      </c>
      <c r="Y544" s="19" cm="1">
        <f t="array" ref="Y5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4" s="33">
        <f>DURATION(Table1[[#This Row],[Issue date]],Table1[[#This Row],[Maturity date]],Table1[[#This Row],[Current coupon %]],Table1[[#This Row],[Yield (Annualised)]],Table1[[#This Row],[Coupon Frequency2]])</f>
        <v>6.5873767444431746</v>
      </c>
      <c r="AA544" s="33">
        <f>Table1[[#This Row],[Macaulay Duration in Years]]/(1+Table1[[#This Row],[IRR]])</f>
        <v>5.9604831821270805</v>
      </c>
      <c r="AB544" s="58">
        <f>VLOOKUP(Table1[[#This Row],[Yield Cluster]],'Cluster Details'!$B$3:$C$16,2,0)</f>
        <v>0.11069942689191503</v>
      </c>
      <c r="AC544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44" s="58" t="str">
        <f>IF(Table1[[#This Row],[Ask Price]]&gt;Table1[[#This Row],[Calculated Bond Price]],"Rich","Cheap")</f>
        <v>Rich</v>
      </c>
      <c r="AE5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970.173656972348</v>
      </c>
      <c r="AF5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1093.0126771900793</v>
      </c>
      <c r="AG544" s="78">
        <f>(Table1[[#This Row],[P (+ shock)]]+Table1[[#This Row],[P (-shock)]]-2*Table1[[#This Row],[Ask Price]])/(2*Table1[[#This Row],[Ask Price]]*($AF$2^2))</f>
        <v>25.200846270299106</v>
      </c>
      <c r="AH544">
        <v>7.00116341284357</v>
      </c>
      <c r="AI544" s="6">
        <f t="shared" si="33"/>
        <v>0.10689990281827016</v>
      </c>
      <c r="AK544" s="47">
        <f>RATE(Table1[[#This Row],[Total No. of Coupons]],Table1[[#This Row],[Coupon Amount]],-Table1[[#This Row],[Ask Price]],Table1[[#This Row],[Face value]])</f>
        <v>0.10517495698937245</v>
      </c>
      <c r="AL544" s="27">
        <f>Table1[[#This Row],[IRR]]*Table1[[#This Row],[Coupon Frequency2]]</f>
        <v>0.10517495698937245</v>
      </c>
      <c r="AM544" s="5">
        <f t="shared" si="34"/>
        <v>-6133.3371944087658</v>
      </c>
      <c r="AN544" t="s">
        <v>64</v>
      </c>
      <c r="AO544" t="s">
        <v>62</v>
      </c>
      <c r="AP544">
        <f t="shared" si="35"/>
        <v>1</v>
      </c>
    </row>
    <row r="545" spans="1:42" x14ac:dyDescent="0.35">
      <c r="A545" s="48" t="s">
        <v>655</v>
      </c>
      <c r="B545" s="49" t="s">
        <v>2838</v>
      </c>
      <c r="C545" s="49" t="s">
        <v>2273</v>
      </c>
      <c r="D545" s="50">
        <v>45464</v>
      </c>
      <c r="E545" s="50">
        <v>47290</v>
      </c>
      <c r="F545" s="49">
        <v>1000</v>
      </c>
      <c r="G545" s="49" t="s">
        <v>76</v>
      </c>
      <c r="H545" s="49">
        <v>999</v>
      </c>
      <c r="I545" s="49" t="s">
        <v>76</v>
      </c>
      <c r="J545" s="49">
        <v>99.9</v>
      </c>
      <c r="K545" s="49">
        <v>50</v>
      </c>
      <c r="L545" s="51">
        <v>0.105</v>
      </c>
      <c r="M545" s="49" t="s">
        <v>93</v>
      </c>
      <c r="N545" s="49">
        <v>1373</v>
      </c>
      <c r="O545" s="49">
        <v>10.5105105105105</v>
      </c>
      <c r="P545" s="49"/>
      <c r="Q545" s="49"/>
      <c r="R545" s="49" t="s">
        <v>2275</v>
      </c>
      <c r="S545">
        <f t="shared" si="32"/>
        <v>5</v>
      </c>
      <c r="T545" s="5" cm="1">
        <f t="array" ref="T5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5">
        <f>Table1[[#This Row],[Term to Maturity (Years)]]*Table1[[#This Row],[Coupon Frequency2]]</f>
        <v>5</v>
      </c>
      <c r="V545">
        <f>Table1[[#This Row],[Face value]]*Table1[[#This Row],[Current coupon %]]</f>
        <v>105</v>
      </c>
      <c r="W545" s="36">
        <f>RATE(Table1[[#This Row],[Total No. of Coupons]],Table1[[#This Row],[Coupon Amount]],-Table1[[#This Row],[Ask Price]],Table1[[#This Row],[Face value]])</f>
        <v>0.10526735659678801</v>
      </c>
      <c r="X545" s="27">
        <f>Table1[[#This Row],[IRR]]*Table1[[#This Row],[Coupon Frequency2]]</f>
        <v>0.10526735659678801</v>
      </c>
      <c r="Y545" s="19" cm="1">
        <f t="array" ref="Y5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5" s="33">
        <f>DURATION(Table1[[#This Row],[Issue date]],Table1[[#This Row],[Maturity date]],Table1[[#This Row],[Current coupon %]],Table1[[#This Row],[Yield (Annualised)]],Table1[[#This Row],[Coupon Frequency2]])</f>
        <v>4.1353915008184305</v>
      </c>
      <c r="AA545" s="33">
        <f>Table1[[#This Row],[Macaulay Duration in Years]]/(1+Table1[[#This Row],[IRR]])</f>
        <v>3.7415304777946683</v>
      </c>
      <c r="AB545" s="58">
        <f>VLOOKUP(Table1[[#This Row],[Yield Cluster]],'Cluster Details'!$B$3:$C$16,2,0)</f>
        <v>0.11069942689191503</v>
      </c>
      <c r="AC545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978.97251444582798</v>
      </c>
      <c r="AD545" s="58" t="str">
        <f>IF(Table1[[#This Row],[Ask Price]]&gt;Table1[[#This Row],[Calculated Bond Price]],"Rich","Cheap")</f>
        <v>Rich</v>
      </c>
      <c r="AE5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962.55040002157534</v>
      </c>
      <c r="AF5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1037.3448075650192</v>
      </c>
      <c r="AG545" s="78">
        <f>(Table1[[#This Row],[P (+ shock)]]+Table1[[#This Row],[P (-shock)]]-2*Table1[[#This Row],[Ask Price]])/(2*Table1[[#This Row],[Ask Price]]*($AF$2^2))</f>
        <v>9.4855234564291866</v>
      </c>
      <c r="AH545">
        <v>6.6773871852405797</v>
      </c>
      <c r="AI545" s="6">
        <f t="shared" si="33"/>
        <v>0.10510510510510511</v>
      </c>
      <c r="AK545" s="47">
        <f>RATE(Table1[[#This Row],[Total No. of Coupons]],Table1[[#This Row],[Coupon Amount]],-Table1[[#This Row],[Ask Price]],Table1[[#This Row],[Face value]])</f>
        <v>0.10526735659678801</v>
      </c>
      <c r="AL545" s="27">
        <f>Table1[[#This Row],[IRR]]*Table1[[#This Row],[Coupon Frequency2]]</f>
        <v>0.10526735659678801</v>
      </c>
      <c r="AM545" s="5">
        <f t="shared" si="34"/>
        <v>-3737.7889473168734</v>
      </c>
      <c r="AN545" t="s">
        <v>64</v>
      </c>
      <c r="AO545" t="s">
        <v>62</v>
      </c>
      <c r="AP545">
        <f t="shared" si="35"/>
        <v>1</v>
      </c>
    </row>
    <row r="546" spans="1:42" x14ac:dyDescent="0.35">
      <c r="A546" s="48" t="s">
        <v>2839</v>
      </c>
      <c r="B546" s="49" t="s">
        <v>2840</v>
      </c>
      <c r="C546" s="49" t="s">
        <v>2273</v>
      </c>
      <c r="D546" s="50">
        <v>45840</v>
      </c>
      <c r="E546" s="50">
        <v>46936</v>
      </c>
      <c r="F546" s="49">
        <v>1000</v>
      </c>
      <c r="G546" s="49" t="s">
        <v>76</v>
      </c>
      <c r="H546" s="49">
        <v>987</v>
      </c>
      <c r="I546" s="49" t="s">
        <v>76</v>
      </c>
      <c r="J546" s="49">
        <v>98.7</v>
      </c>
      <c r="K546" s="49">
        <v>15</v>
      </c>
      <c r="L546" s="51">
        <v>0.1</v>
      </c>
      <c r="M546" s="49" t="s">
        <v>93</v>
      </c>
      <c r="N546" s="49">
        <v>1019</v>
      </c>
      <c r="O546" s="49">
        <v>10.131712259371801</v>
      </c>
      <c r="P546" s="49"/>
      <c r="Q546" s="49"/>
      <c r="R546" s="49" t="s">
        <v>2275</v>
      </c>
      <c r="S546">
        <f t="shared" si="32"/>
        <v>3</v>
      </c>
      <c r="T546" s="5" cm="1">
        <f t="array" ref="T5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6">
        <f>Table1[[#This Row],[Term to Maturity (Years)]]*Table1[[#This Row],[Coupon Frequency2]]</f>
        <v>3</v>
      </c>
      <c r="V546">
        <f>Table1[[#This Row],[Face value]]*Table1[[#This Row],[Current coupon %]]</f>
        <v>100</v>
      </c>
      <c r="W546" s="36">
        <f>RATE(Table1[[#This Row],[Total No. of Coupons]],Table1[[#This Row],[Coupon Amount]],-Table1[[#This Row],[Ask Price]],Table1[[#This Row],[Face value]])</f>
        <v>0.10527611767900813</v>
      </c>
      <c r="X546" s="27">
        <f>Table1[[#This Row],[IRR]]*Table1[[#This Row],[Coupon Frequency2]]</f>
        <v>0.10527611767900813</v>
      </c>
      <c r="Y546" s="19" cm="1">
        <f t="array" ref="Y5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6" s="33">
        <f>DURATION(Table1[[#This Row],[Issue date]],Table1[[#This Row],[Maturity date]],Table1[[#This Row],[Current coupon %]],Table1[[#This Row],[Yield (Annualised)]],Table1[[#This Row],[Coupon Frequency2]])</f>
        <v>2.7337307497536969</v>
      </c>
      <c r="AA546" s="33">
        <f>Table1[[#This Row],[Macaulay Duration in Years]]/(1+Table1[[#This Row],[IRR]])</f>
        <v>2.4733464389824271</v>
      </c>
      <c r="AB546" s="58">
        <f>VLOOKUP(Table1[[#This Row],[Yield Cluster]],'Cluster Details'!$B$3:$C$16,2,0)</f>
        <v>0.11069942689191503</v>
      </c>
      <c r="AC546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973.88542649689816</v>
      </c>
      <c r="AD546" s="58" t="str">
        <f>IF(Table1[[#This Row],[Ask Price]]&gt;Table1[[#This Row],[Calculated Bond Price]],"Rich","Cheap")</f>
        <v>Rich</v>
      </c>
      <c r="AE5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963.0094396122546</v>
      </c>
      <c r="AF5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1011.8459864320715</v>
      </c>
      <c r="AG546" s="78">
        <f>(Table1[[#This Row],[P (+ shock)]]+Table1[[#This Row],[P (-shock)]]-2*Table1[[#This Row],[Ask Price]])/(2*Table1[[#This Row],[Ask Price]]*($AF$2^2))</f>
        <v>4.3334652701424652</v>
      </c>
      <c r="AH546">
        <v>10.9648030835338</v>
      </c>
      <c r="AI546" s="6">
        <f t="shared" si="33"/>
        <v>0.10131712259371833</v>
      </c>
      <c r="AK546" s="47">
        <f>RATE(Table1[[#This Row],[Total No. of Coupons]],Table1[[#This Row],[Coupon Amount]],-Table1[[#This Row],[Ask Price]],Table1[[#This Row],[Face value]])</f>
        <v>0.10527611767900813</v>
      </c>
      <c r="AL546" s="27">
        <f>Table1[[#This Row],[IRR]]*Table1[[#This Row],[Coupon Frequency2]]</f>
        <v>0.10527611767900813</v>
      </c>
      <c r="AM546" s="5">
        <f t="shared" si="34"/>
        <v>-2441.1929352756556</v>
      </c>
      <c r="AN546" t="s">
        <v>64</v>
      </c>
      <c r="AO546" t="s">
        <v>62</v>
      </c>
      <c r="AP546">
        <f t="shared" si="35"/>
        <v>1</v>
      </c>
    </row>
    <row r="547" spans="1:42" x14ac:dyDescent="0.35">
      <c r="A547" s="48" t="s">
        <v>1022</v>
      </c>
      <c r="B547" s="49" t="s">
        <v>2841</v>
      </c>
      <c r="C547" s="49" t="s">
        <v>2273</v>
      </c>
      <c r="D547" s="50">
        <v>44995</v>
      </c>
      <c r="E547" s="50">
        <v>46821</v>
      </c>
      <c r="F547" s="49">
        <v>1000</v>
      </c>
      <c r="G547" s="49" t="s">
        <v>76</v>
      </c>
      <c r="H547" s="49">
        <v>1007.97</v>
      </c>
      <c r="I547" s="49" t="s">
        <v>76</v>
      </c>
      <c r="J547" s="49">
        <v>100.797</v>
      </c>
      <c r="K547" s="49">
        <v>1</v>
      </c>
      <c r="L547" s="51">
        <v>0.1075</v>
      </c>
      <c r="M547" s="49" t="s">
        <v>93</v>
      </c>
      <c r="N547" s="49">
        <v>904</v>
      </c>
      <c r="O547" s="49">
        <v>10.6649999503953</v>
      </c>
      <c r="P547" s="49"/>
      <c r="Q547" s="49"/>
      <c r="R547" s="49" t="s">
        <v>2275</v>
      </c>
      <c r="S547">
        <f t="shared" si="32"/>
        <v>5</v>
      </c>
      <c r="T547" s="5" cm="1">
        <f t="array" ref="T5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7">
        <f>Table1[[#This Row],[Term to Maturity (Years)]]*Table1[[#This Row],[Coupon Frequency2]]</f>
        <v>5</v>
      </c>
      <c r="V547">
        <f>Table1[[#This Row],[Face value]]*Table1[[#This Row],[Current coupon %]]</f>
        <v>107.5</v>
      </c>
      <c r="W547" s="36">
        <f>RATE(Table1[[#This Row],[Total No. of Coupons]],Table1[[#This Row],[Coupon Amount]],-Table1[[#This Row],[Ask Price]],Table1[[#This Row],[Face value]])</f>
        <v>0.10536862112680748</v>
      </c>
      <c r="X547" s="27">
        <f>Table1[[#This Row],[IRR]]*Table1[[#This Row],[Coupon Frequency2]]</f>
        <v>0.10536862112680748</v>
      </c>
      <c r="Y547" s="19" cm="1">
        <f t="array" ref="Y5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7" s="33">
        <f>DURATION(Table1[[#This Row],[Issue date]],Table1[[#This Row],[Maturity date]],Table1[[#This Row],[Current coupon %]],Table1[[#This Row],[Yield (Annualised)]],Table1[[#This Row],[Coupon Frequency2]])</f>
        <v>4.12005815932622</v>
      </c>
      <c r="AA547" s="33">
        <f>Table1[[#This Row],[Macaulay Duration in Years]]/(1+Table1[[#This Row],[IRR]])</f>
        <v>3.7273160107677494</v>
      </c>
      <c r="AB547" s="58">
        <f>VLOOKUP(Table1[[#This Row],[Yield Cluster]],'Cluster Details'!$B$3:$C$16,2,0)</f>
        <v>0.11069942689191503</v>
      </c>
      <c r="AC547" s="78">
        <f>PRICE(Table1[[#This Row],[Issue date]],Table1[[#This Row],[Maturity date]],Table1[[#This Row],[Current coupon %]],Table1[[#This Row],[Average Cluster Yield]],100,Table1[[#This Row],[Coupon Frequency2]])*Table1[[#This Row],[Face value]]/100</f>
        <v>988.18565032841229</v>
      </c>
      <c r="AD547" s="58" t="str">
        <f>IF(Table1[[#This Row],[Ask Price]]&gt;Table1[[#This Row],[Calculated Bond Price]],"Rich","Cheap")</f>
        <v>Rich</v>
      </c>
      <c r="AE5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971.30292480820981</v>
      </c>
      <c r="AF5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1046.5030167425489</v>
      </c>
      <c r="AG547" s="78">
        <f>(Table1[[#This Row],[P (+ shock)]]+Table1[[#This Row],[P (-shock)]]-2*Table1[[#This Row],[Ask Price]])/(2*Table1[[#This Row],[Ask Price]]*($AF$2^2))</f>
        <v>9.2559379285030019</v>
      </c>
      <c r="AH547">
        <v>9.7446092126943196</v>
      </c>
      <c r="AI547" s="6">
        <f t="shared" si="33"/>
        <v>0.10664999950395349</v>
      </c>
      <c r="AK547" s="47">
        <f>RATE(Table1[[#This Row],[Total No. of Coupons]],Table1[[#This Row],[Coupon Amount]],-Table1[[#This Row],[Ask Price]],Table1[[#This Row],[Face value]])</f>
        <v>0.10536862112680748</v>
      </c>
      <c r="AL547" s="27">
        <f>Table1[[#This Row],[IRR]]*Table1[[#This Row],[Coupon Frequency2]]</f>
        <v>0.10536862112680748</v>
      </c>
      <c r="AM547" s="5">
        <f t="shared" si="34"/>
        <v>-3757.0227193735686</v>
      </c>
      <c r="AN547" t="s">
        <v>64</v>
      </c>
      <c r="AO547" t="s">
        <v>62</v>
      </c>
      <c r="AP547">
        <f t="shared" si="35"/>
        <v>1</v>
      </c>
    </row>
    <row r="548" spans="1:42" x14ac:dyDescent="0.35">
      <c r="A548" s="48" t="s">
        <v>1951</v>
      </c>
      <c r="B548" s="49" t="s">
        <v>2842</v>
      </c>
      <c r="C548" s="49" t="s">
        <v>2273</v>
      </c>
      <c r="D548" s="50">
        <v>45517</v>
      </c>
      <c r="E548" s="50">
        <v>46066</v>
      </c>
      <c r="F548" s="49">
        <v>100000</v>
      </c>
      <c r="G548" s="49" t="s">
        <v>76</v>
      </c>
      <c r="H548" s="49">
        <v>99736</v>
      </c>
      <c r="I548" s="49" t="s">
        <v>76</v>
      </c>
      <c r="J548" s="49">
        <v>99.736000000000004</v>
      </c>
      <c r="K548" s="49">
        <v>8</v>
      </c>
      <c r="L548" s="51">
        <v>0.10400000000000001</v>
      </c>
      <c r="M548" s="49" t="s">
        <v>93</v>
      </c>
      <c r="N548" s="49">
        <v>149</v>
      </c>
      <c r="O548" s="49">
        <v>10.427528675703799</v>
      </c>
      <c r="P548" s="49"/>
      <c r="Q548" s="49"/>
      <c r="R548" s="49" t="s">
        <v>2275</v>
      </c>
      <c r="S548">
        <f t="shared" si="32"/>
        <v>2</v>
      </c>
      <c r="T548" s="5" cm="1">
        <f t="array" ref="T5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8">
        <f>Table1[[#This Row],[Term to Maturity (Years)]]*Table1[[#This Row],[Coupon Frequency2]]</f>
        <v>2</v>
      </c>
      <c r="V548">
        <f>Table1[[#This Row],[Face value]]*Table1[[#This Row],[Current coupon %]]</f>
        <v>10400.000000000002</v>
      </c>
      <c r="W548" s="36">
        <f>RATE(Table1[[#This Row],[Total No. of Coupons]],Table1[[#This Row],[Coupon Amount]],-Table1[[#This Row],[Ask Price]],Table1[[#This Row],[Face value]])</f>
        <v>0.10553244527457302</v>
      </c>
      <c r="X548" s="27">
        <f>Table1[[#This Row],[IRR]]*Table1[[#This Row],[Coupon Frequency2]]</f>
        <v>0.10553244527457302</v>
      </c>
      <c r="Y548" s="19" cm="1">
        <f t="array" ref="Y5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8" s="33">
        <f>DURATION(Table1[[#This Row],[Issue date]],Table1[[#This Row],[Maturity date]],Table1[[#This Row],[Current coupon %]],Table1[[#This Row],[Yield (Annualised)]],Table1[[#This Row],[Coupon Frequency2]])</f>
        <v>1.4056786734729785</v>
      </c>
      <c r="AA548" s="33">
        <f>Table1[[#This Row],[Macaulay Duration in Years]]/(1+Table1[[#This Row],[IRR]])</f>
        <v>1.2714947258955032</v>
      </c>
      <c r="AB548" s="58">
        <f>VLOOKUP(Table1[[#This Row],[Yield Cluster]],'Cluster Details'!$B$3:$C$16,2,0)</f>
        <v>0.11069942689191503</v>
      </c>
      <c r="AC548" s="78">
        <f>PRICE(Table1[[#This Row],[Issue date]],Table1[[#This Row],[Maturity date]],Table1[[#This Row],[Current coupon %]],Table1[[#This Row],[Average Cluster Yield]],100,Table1[[#This Row],[Coupon Frequency2]])*Table1[[#This Row],[Face value]]/100</f>
        <v>98981.719267160879</v>
      </c>
      <c r="AD548" s="58" t="str">
        <f>IF(Table1[[#This Row],[Ask Price]]&gt;Table1[[#This Row],[Calculated Bond Price]],"Rich","Cheap")</f>
        <v>Rich</v>
      </c>
      <c r="AE5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98348.066554854231</v>
      </c>
      <c r="AF5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101015.12836281737</v>
      </c>
      <c r="AG548" s="78">
        <f>(Table1[[#This Row],[P (+ shock)]]+Table1[[#This Row],[P (-shock)]]-2*Table1[[#This Row],[Ask Price]])/(2*Table1[[#This Row],[Ask Price]]*($AF$2^2))</f>
        <v>-5.4546544040459173</v>
      </c>
      <c r="AH548">
        <v>7.7675701712133796</v>
      </c>
      <c r="AI548" s="6">
        <f t="shared" si="33"/>
        <v>0.10427528675703859</v>
      </c>
      <c r="AK548" s="47">
        <f>RATE(Table1[[#This Row],[Total No. of Coupons]],Table1[[#This Row],[Coupon Amount]],-Table1[[#This Row],[Ask Price]],Table1[[#This Row],[Face value]])</f>
        <v>0.10553244527457302</v>
      </c>
      <c r="AL548" s="27">
        <f>Table1[[#This Row],[IRR]]*Table1[[#This Row],[Coupon Frequency2]]</f>
        <v>0.10553244527457302</v>
      </c>
      <c r="AM548" s="5">
        <f t="shared" si="34"/>
        <v>-126813.7979819139</v>
      </c>
      <c r="AN548" t="s">
        <v>64</v>
      </c>
      <c r="AO548" t="s">
        <v>62</v>
      </c>
      <c r="AP548">
        <f t="shared" si="35"/>
        <v>1</v>
      </c>
    </row>
    <row r="549" spans="1:42" x14ac:dyDescent="0.35">
      <c r="A549" s="48" t="s">
        <v>2843</v>
      </c>
      <c r="B549" s="49" t="s">
        <v>2844</v>
      </c>
      <c r="C549" s="49" t="s">
        <v>2273</v>
      </c>
      <c r="D549" s="50">
        <v>45862</v>
      </c>
      <c r="E549" s="50">
        <v>46958</v>
      </c>
      <c r="F549" s="49">
        <v>1000</v>
      </c>
      <c r="G549" s="49" t="s">
        <v>76</v>
      </c>
      <c r="H549" s="49">
        <v>980</v>
      </c>
      <c r="I549" s="49" t="s">
        <v>76</v>
      </c>
      <c r="J549" s="49">
        <v>98</v>
      </c>
      <c r="K549" s="49">
        <v>120</v>
      </c>
      <c r="L549" s="51">
        <v>9.7500000000000003E-2</v>
      </c>
      <c r="M549" s="49" t="s">
        <v>93</v>
      </c>
      <c r="N549" s="49">
        <v>1041</v>
      </c>
      <c r="O549" s="49">
        <v>9.9489795918367303</v>
      </c>
      <c r="P549" s="49"/>
      <c r="Q549" s="49"/>
      <c r="R549" s="49" t="s">
        <v>2275</v>
      </c>
      <c r="S549">
        <f t="shared" si="32"/>
        <v>3</v>
      </c>
      <c r="T549" s="5" cm="1">
        <f t="array" ref="T5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49">
        <f>Table1[[#This Row],[Term to Maturity (Years)]]*Table1[[#This Row],[Coupon Frequency2]]</f>
        <v>3</v>
      </c>
      <c r="V549">
        <f>Table1[[#This Row],[Face value]]*Table1[[#This Row],[Current coupon %]]</f>
        <v>97.5</v>
      </c>
      <c r="W549" s="36">
        <f>RATE(Table1[[#This Row],[Total No. of Coupons]],Table1[[#This Row],[Coupon Amount]],-Table1[[#This Row],[Ask Price]],Table1[[#This Row],[Face value]])</f>
        <v>0.10562201587080847</v>
      </c>
      <c r="X549" s="27">
        <f>Table1[[#This Row],[IRR]]*Table1[[#This Row],[Coupon Frequency2]]</f>
        <v>0.10562201587080847</v>
      </c>
      <c r="Y549" s="19" cm="1">
        <f t="array" ref="Y5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49" s="33">
        <f>DURATION(Table1[[#This Row],[Issue date]],Table1[[#This Row],[Maturity date]],Table1[[#This Row],[Current coupon %]],Table1[[#This Row],[Yield (Annualised)]],Table1[[#This Row],[Coupon Frequency2]])</f>
        <v>2.7386403776254631</v>
      </c>
      <c r="AA549" s="33">
        <f>Table1[[#This Row],[Macaulay Duration in Years]]/(1+Table1[[#This Row],[IRR]])</f>
        <v>2.4770132453164462</v>
      </c>
      <c r="AB549" s="58">
        <f>VLOOKUP(Table1[[#This Row],[Yield Cluster]],'Cluster Details'!$B$3:$C$16,2,0)</f>
        <v>0.11069942689191503</v>
      </c>
      <c r="AC549" s="78">
        <f>PRICE(Table1[[#This Row],[Issue date]],Table1[[#This Row],[Maturity date]],Table1[[#This Row],[Current coupon %]],Table1[[#This Row],[Average Cluster Yield]],100,Table1[[#This Row],[Coupon Frequency2]])*Table1[[#This Row],[Face value]]/100</f>
        <v>967.78356380674882</v>
      </c>
      <c r="AD549" s="58" t="str">
        <f>IF(Table1[[#This Row],[Ask Price]]&gt;Table1[[#This Row],[Calculated Bond Price]],"Rich","Cheap")</f>
        <v>Rich</v>
      </c>
      <c r="AE5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956.14441946844886</v>
      </c>
      <c r="AF5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1004.7065007943748</v>
      </c>
      <c r="AG549" s="78">
        <f>(Table1[[#This Row],[P (+ shock)]]+Table1[[#This Row],[P (-shock)]]-2*Table1[[#This Row],[Ask Price]])/(2*Table1[[#This Row],[Ask Price]]*($AF$2^2))</f>
        <v>4.3414299123664284</v>
      </c>
      <c r="AI549" s="6">
        <f t="shared" si="33"/>
        <v>9.9489795918367346E-2</v>
      </c>
      <c r="AK549" s="47">
        <f>RATE(Table1[[#This Row],[Total No. of Coupons]],Table1[[#This Row],[Coupon Amount]],-Table1[[#This Row],[Ask Price]],Table1[[#This Row],[Face value]])</f>
        <v>0.10562201587080847</v>
      </c>
      <c r="AL549" s="27">
        <f>Table1[[#This Row],[IRR]]*Table1[[#This Row],[Coupon Frequency2]]</f>
        <v>0.10562201587080847</v>
      </c>
      <c r="AM549" s="5">
        <f t="shared" si="34"/>
        <v>-2427.4729804101171</v>
      </c>
      <c r="AN549" t="s">
        <v>69</v>
      </c>
      <c r="AO549" t="s">
        <v>62</v>
      </c>
      <c r="AP549">
        <f t="shared" si="35"/>
        <v>1</v>
      </c>
    </row>
    <row r="550" spans="1:42" x14ac:dyDescent="0.35">
      <c r="A550" s="48" t="s">
        <v>2845</v>
      </c>
      <c r="B550" s="49" t="s">
        <v>2808</v>
      </c>
      <c r="C550" s="49" t="s">
        <v>2273</v>
      </c>
      <c r="D550" s="50">
        <v>45862</v>
      </c>
      <c r="E550" s="50">
        <v>47688</v>
      </c>
      <c r="F550" s="49">
        <v>1000</v>
      </c>
      <c r="G550" s="49" t="s">
        <v>76</v>
      </c>
      <c r="H550" s="49">
        <v>988</v>
      </c>
      <c r="I550" s="49" t="s">
        <v>76</v>
      </c>
      <c r="J550" s="49">
        <v>98.8</v>
      </c>
      <c r="K550" s="49">
        <v>74</v>
      </c>
      <c r="L550" s="51">
        <v>0.10249999999999999</v>
      </c>
      <c r="M550" s="49" t="s">
        <v>93</v>
      </c>
      <c r="N550" s="49">
        <v>1771</v>
      </c>
      <c r="O550" s="49">
        <v>10.374493927125499</v>
      </c>
      <c r="P550" s="49"/>
      <c r="Q550" s="49"/>
      <c r="R550" s="49" t="s">
        <v>2275</v>
      </c>
      <c r="S550">
        <f t="shared" si="32"/>
        <v>5</v>
      </c>
      <c r="T550" s="5" cm="1">
        <f t="array" ref="T5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0">
        <f>Table1[[#This Row],[Term to Maturity (Years)]]*Table1[[#This Row],[Coupon Frequency2]]</f>
        <v>5</v>
      </c>
      <c r="V550">
        <f>Table1[[#This Row],[Face value]]*Table1[[#This Row],[Current coupon %]]</f>
        <v>102.5</v>
      </c>
      <c r="W550" s="36">
        <f>RATE(Table1[[#This Row],[Total No. of Coupons]],Table1[[#This Row],[Coupon Amount]],-Table1[[#This Row],[Ask Price]],Table1[[#This Row],[Face value]])</f>
        <v>0.10571189387247594</v>
      </c>
      <c r="X550" s="27">
        <f>Table1[[#This Row],[IRR]]*Table1[[#This Row],[Coupon Frequency2]]</f>
        <v>0.10571189387247594</v>
      </c>
      <c r="Y550" s="19" cm="1">
        <f t="array" ref="Y5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0" s="33">
        <f>DURATION(Table1[[#This Row],[Issue date]],Table1[[#This Row],[Maturity date]],Table1[[#This Row],[Current coupon %]],Table1[[#This Row],[Yield (Annualised)]],Table1[[#This Row],[Coupon Frequency2]])</f>
        <v>4.1472331667144395</v>
      </c>
      <c r="AA550" s="33">
        <f>Table1[[#This Row],[Macaulay Duration in Years]]/(1+Table1[[#This Row],[IRR]])</f>
        <v>3.7507357836134019</v>
      </c>
      <c r="AB550" s="58">
        <f>VLOOKUP(Table1[[#This Row],[Yield Cluster]],'Cluster Details'!$B$3:$C$16,2,0)</f>
        <v>0.11069942689191503</v>
      </c>
      <c r="AC550" s="78">
        <f>PRICE(Table1[[#This Row],[Issue date]],Table1[[#This Row],[Maturity date]],Table1[[#This Row],[Current coupon %]],Table1[[#This Row],[Average Cluster Yield]],100,Table1[[#This Row],[Coupon Frequency2]])*Table1[[#This Row],[Face value]]/100</f>
        <v>969.74900568216583</v>
      </c>
      <c r="AD550" s="58" t="str">
        <f>IF(Table1[[#This Row],[Ask Price]]&gt;Table1[[#This Row],[Calculated Bond Price]],"Rich","Cheap")</f>
        <v>Rich</v>
      </c>
      <c r="AE5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951.8637743440928</v>
      </c>
      <c r="AF5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1026.0166498876151</v>
      </c>
      <c r="AG550" s="78">
        <f>(Table1[[#This Row],[P (+ shock)]]+Table1[[#This Row],[P (-shock)]]-2*Table1[[#This Row],[Ask Price]])/(2*Table1[[#This Row],[Ask Price]]*($AF$2^2))</f>
        <v>9.5163169620841117</v>
      </c>
      <c r="AH550">
        <v>9.5</v>
      </c>
      <c r="AI550" s="6">
        <f t="shared" si="33"/>
        <v>0.10374493927125505</v>
      </c>
      <c r="AK550" s="47">
        <f>RATE(Table1[[#This Row],[Total No. of Coupons]],Table1[[#This Row],[Coupon Amount]],-Table1[[#This Row],[Ask Price]],Table1[[#This Row],[Face value]])</f>
        <v>0.10571189387247594</v>
      </c>
      <c r="AL550" s="27">
        <f>Table1[[#This Row],[IRR]]*Table1[[#This Row],[Coupon Frequency2]]</f>
        <v>0.10571189387247594</v>
      </c>
      <c r="AM550" s="5">
        <f t="shared" si="34"/>
        <v>-3705.7269542100412</v>
      </c>
      <c r="AN550" t="s">
        <v>64</v>
      </c>
      <c r="AO550" t="s">
        <v>62</v>
      </c>
      <c r="AP550">
        <f t="shared" si="35"/>
        <v>1</v>
      </c>
    </row>
    <row r="551" spans="1:42" x14ac:dyDescent="0.35">
      <c r="A551" s="48" t="s">
        <v>228</v>
      </c>
      <c r="B551" s="49" t="s">
        <v>2846</v>
      </c>
      <c r="C551" s="49" t="s">
        <v>2273</v>
      </c>
      <c r="D551" s="50">
        <v>45128</v>
      </c>
      <c r="E551" s="50">
        <v>48781</v>
      </c>
      <c r="F551" s="49">
        <v>1000</v>
      </c>
      <c r="G551" s="49" t="s">
        <v>76</v>
      </c>
      <c r="H551" s="49">
        <v>990</v>
      </c>
      <c r="I551" s="49" t="s">
        <v>76</v>
      </c>
      <c r="J551" s="49">
        <v>99</v>
      </c>
      <c r="K551" s="49">
        <v>11</v>
      </c>
      <c r="L551" s="51">
        <v>0.1045</v>
      </c>
      <c r="M551" s="49" t="s">
        <v>93</v>
      </c>
      <c r="N551" s="49">
        <v>2864</v>
      </c>
      <c r="O551" s="49">
        <v>10.5555555555555</v>
      </c>
      <c r="P551" s="49"/>
      <c r="Q551" s="49"/>
      <c r="R551" s="49" t="s">
        <v>2275</v>
      </c>
      <c r="S551">
        <f t="shared" si="32"/>
        <v>10</v>
      </c>
      <c r="T551" s="5" cm="1">
        <f t="array" ref="T5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1">
        <f>Table1[[#This Row],[Term to Maturity (Years)]]*Table1[[#This Row],[Coupon Frequency2]]</f>
        <v>10</v>
      </c>
      <c r="V551">
        <f>Table1[[#This Row],[Face value]]*Table1[[#This Row],[Current coupon %]]</f>
        <v>104.5</v>
      </c>
      <c r="W551" s="36">
        <f>RATE(Table1[[#This Row],[Total No. of Coupons]],Table1[[#This Row],[Coupon Amount]],-Table1[[#This Row],[Ask Price]],Table1[[#This Row],[Face value]])</f>
        <v>0.10617084372637371</v>
      </c>
      <c r="X551" s="27">
        <f>Table1[[#This Row],[IRR]]*Table1[[#This Row],[Coupon Frequency2]]</f>
        <v>0.10617084372637371</v>
      </c>
      <c r="Y551" s="19" cm="1">
        <f t="array" ref="Y5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1" s="33">
        <f>DURATION(Table1[[#This Row],[Issue date]],Table1[[#This Row],[Maturity date]],Table1[[#This Row],[Current coupon %]],Table1[[#This Row],[Yield (Annualised)]],Table1[[#This Row],[Coupon Frequency2]])</f>
        <v>6.6400181858952463</v>
      </c>
      <c r="AA551" s="33">
        <f>Table1[[#This Row],[Macaulay Duration in Years]]/(1+Table1[[#This Row],[IRR]])</f>
        <v>6.0027058420080222</v>
      </c>
      <c r="AB551" s="58">
        <f>VLOOKUP(Table1[[#This Row],[Yield Cluster]],'Cluster Details'!$B$3:$C$16,2,0)</f>
        <v>0.11069942689191503</v>
      </c>
      <c r="AC551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51" s="58" t="str">
        <f>IF(Table1[[#This Row],[Ask Price]]&gt;Table1[[#This Row],[Calculated Bond Price]],"Rich","Cheap")</f>
        <v>Rich</v>
      </c>
      <c r="AE5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933.01052668637931</v>
      </c>
      <c r="AF5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1052.0318856346507</v>
      </c>
      <c r="AG551" s="78">
        <f>(Table1[[#This Row],[P (+ shock)]]+Table1[[#This Row],[P (-shock)]]-2*Table1[[#This Row],[Ask Price]])/(2*Table1[[#This Row],[Ask Price]]*($AF$2^2))</f>
        <v>25.466728894091123</v>
      </c>
      <c r="AH551">
        <v>10.016079367104499</v>
      </c>
      <c r="AI551" s="6">
        <f t="shared" si="33"/>
        <v>0.10555555555555556</v>
      </c>
      <c r="AK551" s="47">
        <f>RATE(Table1[[#This Row],[Total No. of Coupons]],Table1[[#This Row],[Coupon Amount]],-Table1[[#This Row],[Ask Price]],Table1[[#This Row],[Face value]])</f>
        <v>0.10617084372637371</v>
      </c>
      <c r="AL551" s="27">
        <f>Table1[[#This Row],[IRR]]*Table1[[#This Row],[Coupon Frequency2]]</f>
        <v>0.10617084372637371</v>
      </c>
      <c r="AM551" s="5">
        <f t="shared" si="34"/>
        <v>-5942.6787835879422</v>
      </c>
      <c r="AN551" t="s">
        <v>64</v>
      </c>
      <c r="AO551" t="s">
        <v>62</v>
      </c>
      <c r="AP551">
        <f t="shared" si="35"/>
        <v>1</v>
      </c>
    </row>
    <row r="552" spans="1:42" x14ac:dyDescent="0.35">
      <c r="A552" s="48" t="s">
        <v>234</v>
      </c>
      <c r="B552" s="49" t="s">
        <v>2847</v>
      </c>
      <c r="C552" s="49" t="s">
        <v>2273</v>
      </c>
      <c r="D552" s="50">
        <v>45043</v>
      </c>
      <c r="E552" s="50">
        <v>48696</v>
      </c>
      <c r="F552" s="49">
        <v>1000</v>
      </c>
      <c r="G552" s="49" t="s">
        <v>76</v>
      </c>
      <c r="H552" s="49">
        <v>990</v>
      </c>
      <c r="I552" s="49" t="s">
        <v>76</v>
      </c>
      <c r="J552" s="49">
        <v>99</v>
      </c>
      <c r="K552" s="49">
        <v>70</v>
      </c>
      <c r="L552" s="51">
        <v>0.1045</v>
      </c>
      <c r="M552" s="49" t="s">
        <v>93</v>
      </c>
      <c r="N552" s="49">
        <v>2779</v>
      </c>
      <c r="O552" s="49">
        <v>10.5555555555555</v>
      </c>
      <c r="P552" s="49"/>
      <c r="Q552" s="49"/>
      <c r="R552" s="49" t="s">
        <v>2275</v>
      </c>
      <c r="S552">
        <f t="shared" si="32"/>
        <v>10</v>
      </c>
      <c r="T552" s="5" cm="1">
        <f t="array" ref="T5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2">
        <f>Table1[[#This Row],[Term to Maturity (Years)]]*Table1[[#This Row],[Coupon Frequency2]]</f>
        <v>10</v>
      </c>
      <c r="V552">
        <f>Table1[[#This Row],[Face value]]*Table1[[#This Row],[Current coupon %]]</f>
        <v>104.5</v>
      </c>
      <c r="W552" s="36">
        <f>RATE(Table1[[#This Row],[Total No. of Coupons]],Table1[[#This Row],[Coupon Amount]],-Table1[[#This Row],[Ask Price]],Table1[[#This Row],[Face value]])</f>
        <v>0.10617084372637371</v>
      </c>
      <c r="X552" s="27">
        <f>Table1[[#This Row],[IRR]]*Table1[[#This Row],[Coupon Frequency2]]</f>
        <v>0.10617084372637371</v>
      </c>
      <c r="Y552" s="19" cm="1">
        <f t="array" ref="Y5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2" s="33">
        <f>DURATION(Table1[[#This Row],[Issue date]],Table1[[#This Row],[Maturity date]],Table1[[#This Row],[Current coupon %]],Table1[[#This Row],[Yield (Annualised)]],Table1[[#This Row],[Coupon Frequency2]])</f>
        <v>6.6400181858952463</v>
      </c>
      <c r="AA552" s="33">
        <f>Table1[[#This Row],[Macaulay Duration in Years]]/(1+Table1[[#This Row],[IRR]])</f>
        <v>6.0027058420080222</v>
      </c>
      <c r="AB552" s="58">
        <f>VLOOKUP(Table1[[#This Row],[Yield Cluster]],'Cluster Details'!$B$3:$C$16,2,0)</f>
        <v>0.11069942689191503</v>
      </c>
      <c r="AC552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52" s="58" t="str">
        <f>IF(Table1[[#This Row],[Ask Price]]&gt;Table1[[#This Row],[Calculated Bond Price]],"Rich","Cheap")</f>
        <v>Rich</v>
      </c>
      <c r="AE5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933.01052668637931</v>
      </c>
      <c r="AF5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1052.0318856346507</v>
      </c>
      <c r="AG552" s="78">
        <f>(Table1[[#This Row],[P (+ shock)]]+Table1[[#This Row],[P (-shock)]]-2*Table1[[#This Row],[Ask Price]])/(2*Table1[[#This Row],[Ask Price]]*($AF$2^2))</f>
        <v>25.466728894091123</v>
      </c>
      <c r="AH552">
        <v>8.4857166497734902</v>
      </c>
      <c r="AI552" s="6">
        <f t="shared" si="33"/>
        <v>0.10555555555555556</v>
      </c>
      <c r="AK552" s="47">
        <f>RATE(Table1[[#This Row],[Total No. of Coupons]],Table1[[#This Row],[Coupon Amount]],-Table1[[#This Row],[Ask Price]],Table1[[#This Row],[Face value]])</f>
        <v>0.10617084372637371</v>
      </c>
      <c r="AL552" s="27">
        <f>Table1[[#This Row],[IRR]]*Table1[[#This Row],[Coupon Frequency2]]</f>
        <v>0.10617084372637371</v>
      </c>
      <c r="AM552" s="5">
        <f t="shared" si="34"/>
        <v>-5942.6787835879422</v>
      </c>
      <c r="AN552" t="s">
        <v>64</v>
      </c>
      <c r="AO552" t="s">
        <v>62</v>
      </c>
      <c r="AP552">
        <f t="shared" si="35"/>
        <v>1</v>
      </c>
    </row>
    <row r="553" spans="1:42" x14ac:dyDescent="0.35">
      <c r="A553" s="48" t="s">
        <v>2848</v>
      </c>
      <c r="B553" s="49" t="s">
        <v>2849</v>
      </c>
      <c r="C553" s="49" t="s">
        <v>2273</v>
      </c>
      <c r="D553" s="50">
        <v>45862</v>
      </c>
      <c r="E553" s="50">
        <v>46592</v>
      </c>
      <c r="F553" s="49">
        <v>1000</v>
      </c>
      <c r="G553" s="49" t="s">
        <v>76</v>
      </c>
      <c r="H553" s="49">
        <v>971.5</v>
      </c>
      <c r="I553" s="49" t="s">
        <v>76</v>
      </c>
      <c r="J553" s="49">
        <v>97.15</v>
      </c>
      <c r="K553" s="49">
        <v>10</v>
      </c>
      <c r="L553" s="51">
        <v>0.09</v>
      </c>
      <c r="M553" s="49" t="s">
        <v>93</v>
      </c>
      <c r="N553" s="49">
        <v>675</v>
      </c>
      <c r="O553" s="49">
        <v>9.2640247040658696</v>
      </c>
      <c r="P553" s="49"/>
      <c r="Q553" s="49"/>
      <c r="R553" s="49" t="s">
        <v>2275</v>
      </c>
      <c r="S553">
        <f t="shared" si="32"/>
        <v>2</v>
      </c>
      <c r="T553" s="5" cm="1">
        <f t="array" ref="T5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3">
        <f>Table1[[#This Row],[Term to Maturity (Years)]]*Table1[[#This Row],[Coupon Frequency2]]</f>
        <v>2</v>
      </c>
      <c r="V553">
        <f>Table1[[#This Row],[Face value]]*Table1[[#This Row],[Current coupon %]]</f>
        <v>90</v>
      </c>
      <c r="W553" s="36">
        <f>RATE(Table1[[#This Row],[Total No. of Coupons]],Table1[[#This Row],[Coupon Amount]],-Table1[[#This Row],[Ask Price]],Table1[[#This Row],[Face value]])</f>
        <v>0.10656626433440805</v>
      </c>
      <c r="X553" s="27">
        <f>Table1[[#This Row],[IRR]]*Table1[[#This Row],[Coupon Frequency2]]</f>
        <v>0.10656626433440805</v>
      </c>
      <c r="Y553" s="19" cm="1">
        <f t="array" ref="Y5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3" s="33">
        <f>DURATION(Table1[[#This Row],[Issue date]],Table1[[#This Row],[Maturity date]],Table1[[#This Row],[Current coupon %]],Table1[[#This Row],[Yield (Annualised)]],Table1[[#This Row],[Coupon Frequency2]])</f>
        <v>1.9162813380216044</v>
      </c>
      <c r="AA553" s="33">
        <f>Table1[[#This Row],[Macaulay Duration in Years]]/(1+Table1[[#This Row],[IRR]])</f>
        <v>1.7317366341131268</v>
      </c>
      <c r="AB553" s="58">
        <f>VLOOKUP(Table1[[#This Row],[Yield Cluster]],'Cluster Details'!$B$3:$C$16,2,0)</f>
        <v>0.11069942689191503</v>
      </c>
      <c r="AC553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964.58464349680571</v>
      </c>
      <c r="AD553" s="58" t="str">
        <f>IF(Table1[[#This Row],[Ask Price]]&gt;Table1[[#This Row],[Calculated Bond Price]],"Rich","Cheap")</f>
        <v>Rich</v>
      </c>
      <c r="AE5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954.89825396423532</v>
      </c>
      <c r="AF5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988.55127315431946</v>
      </c>
      <c r="AG553" s="78">
        <f>(Table1[[#This Row],[P (+ shock)]]+Table1[[#This Row],[P (-shock)]]-2*Table1[[#This Row],[Ask Price]])/(2*Table1[[#This Row],[Ask Price]]*($AF$2^2))</f>
        <v>2.3135724063544512</v>
      </c>
      <c r="AH553">
        <v>2.84487731854087</v>
      </c>
      <c r="AI553" s="6">
        <f t="shared" si="33"/>
        <v>9.2640247040658777E-2</v>
      </c>
      <c r="AK553" s="47">
        <f>RATE(Table1[[#This Row],[Total No. of Coupons]],Table1[[#This Row],[Coupon Amount]],-Table1[[#This Row],[Ask Price]],Table1[[#This Row],[Face value]])</f>
        <v>0.10656626433440805</v>
      </c>
      <c r="AL553" s="27">
        <f>Table1[[#This Row],[IRR]]*Table1[[#This Row],[Coupon Frequency2]]</f>
        <v>0.10656626433440805</v>
      </c>
      <c r="AM553" s="5">
        <f t="shared" si="34"/>
        <v>-1682.3821400409026</v>
      </c>
      <c r="AN553" t="s">
        <v>64</v>
      </c>
      <c r="AO553" t="s">
        <v>62</v>
      </c>
      <c r="AP553">
        <f t="shared" si="35"/>
        <v>1</v>
      </c>
    </row>
    <row r="554" spans="1:42" x14ac:dyDescent="0.35">
      <c r="A554" s="48" t="s">
        <v>775</v>
      </c>
      <c r="B554" s="49" t="s">
        <v>2850</v>
      </c>
      <c r="C554" s="49" t="s">
        <v>2273</v>
      </c>
      <c r="D554" s="50">
        <v>43472</v>
      </c>
      <c r="E554" s="50">
        <v>47125</v>
      </c>
      <c r="F554" s="49">
        <v>1000000</v>
      </c>
      <c r="G554" s="49" t="s">
        <v>76</v>
      </c>
      <c r="H554" s="49">
        <v>862494</v>
      </c>
      <c r="I554" s="49" t="s">
        <v>76</v>
      </c>
      <c r="J554" s="49">
        <v>86.249399999999994</v>
      </c>
      <c r="K554" s="49">
        <v>170</v>
      </c>
      <c r="L554" s="51">
        <v>8.3599999999999994E-2</v>
      </c>
      <c r="M554" s="49" t="s">
        <v>93</v>
      </c>
      <c r="N554" s="49">
        <v>1208</v>
      </c>
      <c r="O554" s="49">
        <v>9.6928210515087603</v>
      </c>
      <c r="P554" s="49" t="s">
        <v>2274</v>
      </c>
      <c r="Q554" s="49"/>
      <c r="R554" s="49" t="s">
        <v>2275</v>
      </c>
      <c r="S554">
        <f t="shared" si="32"/>
        <v>10</v>
      </c>
      <c r="T554" s="5" cm="1">
        <f t="array" ref="T5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4">
        <f>Table1[[#This Row],[Term to Maturity (Years)]]*Table1[[#This Row],[Coupon Frequency2]]</f>
        <v>10</v>
      </c>
      <c r="V554">
        <f>Table1[[#This Row],[Face value]]*Table1[[#This Row],[Current coupon %]]</f>
        <v>83600</v>
      </c>
      <c r="W554" s="36">
        <f>RATE(Table1[[#This Row],[Total No. of Coupons]],Table1[[#This Row],[Coupon Amount]],-Table1[[#This Row],[Ask Price]],Table1[[#This Row],[Face value]])</f>
        <v>0.10661866477785234</v>
      </c>
      <c r="X554" s="27">
        <f>Table1[[#This Row],[IRR]]*Table1[[#This Row],[Coupon Frequency2]]</f>
        <v>0.10661866477785234</v>
      </c>
      <c r="Y554" s="19" cm="1">
        <f t="array" ref="Y5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4" s="33">
        <f>DURATION(Table1[[#This Row],[Issue date]],Table1[[#This Row],[Maturity date]],Table1[[#This Row],[Current coupon %]],Table1[[#This Row],[Yield (Annualised)]],Table1[[#This Row],[Coupon Frequency2]])</f>
        <v>6.9186399444775439</v>
      </c>
      <c r="AA554" s="33">
        <f>Table1[[#This Row],[Macaulay Duration in Years]]/(1+Table1[[#This Row],[IRR]])</f>
        <v>6.2520542664680452</v>
      </c>
      <c r="AB554" s="58">
        <f>VLOOKUP(Table1[[#This Row],[Yield Cluster]],'Cluster Details'!$B$3:$C$16,2,0)</f>
        <v>0.11069942689191503</v>
      </c>
      <c r="AC554" s="78">
        <f>PRICE(Table1[[#This Row],[Issue date]],Table1[[#This Row],[Maturity date]],Table1[[#This Row],[Current coupon %]],Table1[[#This Row],[Average Cluster Yield]],100,Table1[[#This Row],[Coupon Frequency2]])*Table1[[#This Row],[Face value]]/100</f>
        <v>840872.17021543439</v>
      </c>
      <c r="AD554" s="58" t="str">
        <f>IF(Table1[[#This Row],[Ask Price]]&gt;Table1[[#This Row],[Calculated Bond Price]],"Rich","Cheap")</f>
        <v>Rich</v>
      </c>
      <c r="AE5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810826.29388277943</v>
      </c>
      <c r="AF5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918830.63194521004</v>
      </c>
      <c r="AG554" s="78">
        <f>(Table1[[#This Row],[P (+ shock)]]+Table1[[#This Row],[P (-shock)]]-2*Table1[[#This Row],[Ask Price]])/(2*Table1[[#This Row],[Ask Price]]*($AF$2^2))</f>
        <v>27.066424972169976</v>
      </c>
      <c r="AH554">
        <v>10.607857290162899</v>
      </c>
      <c r="AI554" s="6">
        <f t="shared" si="33"/>
        <v>9.692821051508764E-2</v>
      </c>
      <c r="AK554" s="47">
        <f>RATE(Table1[[#This Row],[Total No. of Coupons]],Table1[[#This Row],[Coupon Amount]],-Table1[[#This Row],[Ask Price]],Table1[[#This Row],[Face value]])</f>
        <v>0.10661866477785234</v>
      </c>
      <c r="AL554" s="27">
        <f>Table1[[#This Row],[IRR]]*Table1[[#This Row],[Coupon Frequency2]]</f>
        <v>0.10661866477785234</v>
      </c>
      <c r="AM554" s="5">
        <f t="shared" si="34"/>
        <v>-5392359.2925030906</v>
      </c>
      <c r="AN554" t="s">
        <v>64</v>
      </c>
      <c r="AO554" t="s">
        <v>62</v>
      </c>
      <c r="AP554">
        <f t="shared" si="35"/>
        <v>1</v>
      </c>
    </row>
    <row r="555" spans="1:42" x14ac:dyDescent="0.35">
      <c r="A555" s="48" t="s">
        <v>2851</v>
      </c>
      <c r="B555" s="49" t="s">
        <v>2852</v>
      </c>
      <c r="C555" s="49" t="s">
        <v>2273</v>
      </c>
      <c r="D555" s="50">
        <v>45840</v>
      </c>
      <c r="E555" s="50">
        <v>46570</v>
      </c>
      <c r="F555" s="49">
        <v>1000</v>
      </c>
      <c r="G555" s="49" t="s">
        <v>76</v>
      </c>
      <c r="H555" s="49">
        <v>975</v>
      </c>
      <c r="I555" s="49" t="s">
        <v>76</v>
      </c>
      <c r="J555" s="49">
        <v>97.5</v>
      </c>
      <c r="K555" s="49">
        <v>1</v>
      </c>
      <c r="L555" s="51">
        <v>9.2499999999999999E-2</v>
      </c>
      <c r="M555" s="49" t="s">
        <v>93</v>
      </c>
      <c r="N555" s="49">
        <v>653</v>
      </c>
      <c r="O555" s="49">
        <v>9.4871794871794801</v>
      </c>
      <c r="P555" s="49"/>
      <c r="Q555" s="49"/>
      <c r="R555" s="49" t="s">
        <v>2275</v>
      </c>
      <c r="S555">
        <f t="shared" si="32"/>
        <v>2</v>
      </c>
      <c r="T555" s="5" cm="1">
        <f t="array" ref="T5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5">
        <f>Table1[[#This Row],[Term to Maturity (Years)]]*Table1[[#This Row],[Coupon Frequency2]]</f>
        <v>2</v>
      </c>
      <c r="V555">
        <f>Table1[[#This Row],[Face value]]*Table1[[#This Row],[Current coupon %]]</f>
        <v>92.5</v>
      </c>
      <c r="W555" s="36">
        <f>RATE(Table1[[#This Row],[Total No. of Coupons]],Table1[[#This Row],[Coupon Amount]],-Table1[[#This Row],[Ask Price]],Table1[[#This Row],[Face value]])</f>
        <v>0.10704100542583606</v>
      </c>
      <c r="X555" s="27">
        <f>Table1[[#This Row],[IRR]]*Table1[[#This Row],[Coupon Frequency2]]</f>
        <v>0.10704100542583606</v>
      </c>
      <c r="Y555" s="19" cm="1">
        <f t="array" ref="Y5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5" s="33">
        <f>DURATION(Table1[[#This Row],[Issue date]],Table1[[#This Row],[Maturity date]],Table1[[#This Row],[Current coupon %]],Table1[[#This Row],[Yield (Annualised)]],Table1[[#This Row],[Coupon Frequency2]])</f>
        <v>1.914301462721969</v>
      </c>
      <c r="AA555" s="33">
        <f>Table1[[#This Row],[Macaulay Duration in Years]]/(1+Table1[[#This Row],[IRR]])</f>
        <v>1.7292055608957422</v>
      </c>
      <c r="AB555" s="58">
        <f>VLOOKUP(Table1[[#This Row],[Yield Cluster]],'Cluster Details'!$B$3:$C$16,2,0)</f>
        <v>0.11069942689191503</v>
      </c>
      <c r="AC555" s="78">
        <f>PRICE(Table1[[#This Row],[Issue date]],Table1[[#This Row],[Maturity date]],Table1[[#This Row],[Current coupon %]],Table1[[#This Row],[Average Cluster Yield]],100,Table1[[#This Row],[Coupon Frequency2]])*Table1[[#This Row],[Face value]]/100</f>
        <v>968.86197888972742</v>
      </c>
      <c r="AD555" s="58" t="str">
        <f>IF(Table1[[#This Row],[Ask Price]]&gt;Table1[[#This Row],[Calculated Bond Price]],"Rich","Cheap")</f>
        <v>Rich</v>
      </c>
      <c r="AE5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958.3626204190175</v>
      </c>
      <c r="AF5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992.08750913767506</v>
      </c>
      <c r="AG555" s="78">
        <f>(Table1[[#This Row],[P (+ shock)]]+Table1[[#This Row],[P (-shock)]]-2*Table1[[#This Row],[Ask Price]])/(2*Table1[[#This Row],[Ask Price]]*($AF$2^2))</f>
        <v>2.3083567009868999</v>
      </c>
      <c r="AH555">
        <v>8.6999999999999993</v>
      </c>
      <c r="AI555" s="6">
        <f t="shared" si="33"/>
        <v>9.4871794871794868E-2</v>
      </c>
      <c r="AK555" s="47">
        <f>RATE(Table1[[#This Row],[Total No. of Coupons]],Table1[[#This Row],[Coupon Amount]],-Table1[[#This Row],[Ask Price]],Table1[[#This Row],[Face value]])</f>
        <v>0.10704100542583606</v>
      </c>
      <c r="AL555" s="27">
        <f>Table1[[#This Row],[IRR]]*Table1[[#This Row],[Coupon Frequency2]]</f>
        <v>0.10704100542583606</v>
      </c>
      <c r="AM555" s="5">
        <f t="shared" si="34"/>
        <v>-1685.9754218733485</v>
      </c>
      <c r="AN555" t="s">
        <v>64</v>
      </c>
      <c r="AO555" t="s">
        <v>62</v>
      </c>
      <c r="AP555">
        <f t="shared" si="35"/>
        <v>1</v>
      </c>
    </row>
    <row r="556" spans="1:42" x14ac:dyDescent="0.35">
      <c r="A556" s="48" t="s">
        <v>628</v>
      </c>
      <c r="B556" s="49" t="s">
        <v>2819</v>
      </c>
      <c r="C556" s="49" t="s">
        <v>2273</v>
      </c>
      <c r="D556" s="50">
        <v>45499</v>
      </c>
      <c r="E556" s="50">
        <v>47325</v>
      </c>
      <c r="F556" s="49">
        <v>1000</v>
      </c>
      <c r="G556" s="49" t="s">
        <v>76</v>
      </c>
      <c r="H556" s="49">
        <v>992</v>
      </c>
      <c r="I556" s="49" t="s">
        <v>76</v>
      </c>
      <c r="J556" s="49">
        <v>99.2</v>
      </c>
      <c r="K556" s="49">
        <v>130</v>
      </c>
      <c r="L556" s="51">
        <v>0.105</v>
      </c>
      <c r="M556" s="49" t="s">
        <v>93</v>
      </c>
      <c r="N556" s="49">
        <v>1408</v>
      </c>
      <c r="O556" s="49">
        <v>10.584677419354801</v>
      </c>
      <c r="P556" s="49"/>
      <c r="Q556" s="49"/>
      <c r="R556" s="49" t="s">
        <v>2275</v>
      </c>
      <c r="S556">
        <f t="shared" si="32"/>
        <v>5</v>
      </c>
      <c r="T556" s="5" cm="1">
        <f t="array" ref="T5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6">
        <f>Table1[[#This Row],[Term to Maturity (Years)]]*Table1[[#This Row],[Coupon Frequency2]]</f>
        <v>5</v>
      </c>
      <c r="V556">
        <f>Table1[[#This Row],[Face value]]*Table1[[#This Row],[Current coupon %]]</f>
        <v>105</v>
      </c>
      <c r="W556" s="36">
        <f>RATE(Table1[[#This Row],[Total No. of Coupons]],Table1[[#This Row],[Coupon Amount]],-Table1[[#This Row],[Ask Price]],Table1[[#This Row],[Face value]])</f>
        <v>0.10714906062347972</v>
      </c>
      <c r="X556" s="27">
        <f>Table1[[#This Row],[IRR]]*Table1[[#This Row],[Coupon Frequency2]]</f>
        <v>0.10714906062347972</v>
      </c>
      <c r="Y556" s="19" cm="1">
        <f t="array" ref="Y5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6" s="33">
        <f>DURATION(Table1[[#This Row],[Issue date]],Table1[[#This Row],[Maturity date]],Table1[[#This Row],[Current coupon %]],Table1[[#This Row],[Yield (Annualised)]],Table1[[#This Row],[Coupon Frequency2]])</f>
        <v>4.1321033140156036</v>
      </c>
      <c r="AA556" s="33">
        <f>Table1[[#This Row],[Macaulay Duration in Years]]/(1+Table1[[#This Row],[IRR]])</f>
        <v>3.7322014360818332</v>
      </c>
      <c r="AB556" s="58">
        <f>VLOOKUP(Table1[[#This Row],[Yield Cluster]],'Cluster Details'!$B$3:$C$16,2,0)</f>
        <v>0.11069942689191503</v>
      </c>
      <c r="AC556" s="78">
        <f>PRICE(Table1[[#This Row],[Issue date]],Table1[[#This Row],[Maturity date]],Table1[[#This Row],[Current coupon %]],Table1[[#This Row],[Average Cluster Yield]],100,Table1[[#This Row],[Coupon Frequency2]])*Table1[[#This Row],[Face value]]/100</f>
        <v>978.97251444582798</v>
      </c>
      <c r="AD556" s="58" t="str">
        <f>IF(Table1[[#This Row],[Ask Price]]&gt;Table1[[#This Row],[Calculated Bond Price]],"Rich","Cheap")</f>
        <v>Rich</v>
      </c>
      <c r="AE5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955.89427402061426</v>
      </c>
      <c r="AF5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1029.9792678560243</v>
      </c>
      <c r="AG556" s="78">
        <f>(Table1[[#This Row],[P (+ shock)]]+Table1[[#This Row],[P (-shock)]]-2*Table1[[#This Row],[Ask Price]])/(2*Table1[[#This Row],[Ask Price]]*($AF$2^2))</f>
        <v>9.4432554266062638</v>
      </c>
      <c r="AH556">
        <v>2.8797546880291098</v>
      </c>
      <c r="AI556" s="6">
        <f t="shared" si="33"/>
        <v>0.10584677419354839</v>
      </c>
      <c r="AK556" s="47">
        <f>RATE(Table1[[#This Row],[Total No. of Coupons]],Table1[[#This Row],[Coupon Amount]],-Table1[[#This Row],[Ask Price]],Table1[[#This Row],[Face value]])</f>
        <v>0.10714906062347972</v>
      </c>
      <c r="AL556" s="27">
        <f>Table1[[#This Row],[IRR]]*Table1[[#This Row],[Coupon Frequency2]]</f>
        <v>0.10714906062347972</v>
      </c>
      <c r="AM556" s="5">
        <f t="shared" si="34"/>
        <v>-3702.3438245931784</v>
      </c>
      <c r="AN556" t="s">
        <v>64</v>
      </c>
      <c r="AO556" t="s">
        <v>62</v>
      </c>
      <c r="AP556">
        <f t="shared" si="35"/>
        <v>1</v>
      </c>
    </row>
    <row r="557" spans="1:42" x14ac:dyDescent="0.35">
      <c r="A557" s="48" t="s">
        <v>207</v>
      </c>
      <c r="B557" s="49" t="s">
        <v>2853</v>
      </c>
      <c r="C557" s="49" t="s">
        <v>2273</v>
      </c>
      <c r="D557" s="50">
        <v>45239</v>
      </c>
      <c r="E557" s="50">
        <v>48892</v>
      </c>
      <c r="F557" s="49">
        <v>1000</v>
      </c>
      <c r="G557" s="49" t="s">
        <v>76</v>
      </c>
      <c r="H557" s="49">
        <v>1000</v>
      </c>
      <c r="I557" s="49" t="s">
        <v>76</v>
      </c>
      <c r="J557" s="49">
        <v>100</v>
      </c>
      <c r="K557" s="49">
        <v>196</v>
      </c>
      <c r="L557" s="51">
        <v>0.1075</v>
      </c>
      <c r="M557" s="49" t="s">
        <v>93</v>
      </c>
      <c r="N557" s="49">
        <v>2975</v>
      </c>
      <c r="O557" s="49">
        <v>10.75</v>
      </c>
      <c r="P557" s="49" t="s">
        <v>2279</v>
      </c>
      <c r="Q557" s="49"/>
      <c r="R557" s="49" t="s">
        <v>2275</v>
      </c>
      <c r="S557">
        <f t="shared" si="32"/>
        <v>10</v>
      </c>
      <c r="T557" s="5" cm="1">
        <f t="array" ref="T5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7">
        <f>Table1[[#This Row],[Term to Maturity (Years)]]*Table1[[#This Row],[Coupon Frequency2]]</f>
        <v>10</v>
      </c>
      <c r="V557">
        <f>Table1[[#This Row],[Face value]]*Table1[[#This Row],[Current coupon %]]</f>
        <v>107.5</v>
      </c>
      <c r="W557" s="36">
        <f>RATE(Table1[[#This Row],[Total No. of Coupons]],Table1[[#This Row],[Coupon Amount]],-Table1[[#This Row],[Ask Price]],Table1[[#This Row],[Face value]])</f>
        <v>0.10750000000128665</v>
      </c>
      <c r="X557" s="27">
        <f>Table1[[#This Row],[IRR]]*Table1[[#This Row],[Coupon Frequency2]]</f>
        <v>0.10750000000128665</v>
      </c>
      <c r="Y557" s="19" cm="1">
        <f t="array" ref="Y5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7" s="33">
        <f>DURATION(Table1[[#This Row],[Issue date]],Table1[[#This Row],[Maturity date]],Table1[[#This Row],[Current coupon %]],Table1[[#This Row],[Yield (Annualised)]],Table1[[#This Row],[Coupon Frequency2]])</f>
        <v>6.5912660456966163</v>
      </c>
      <c r="AA557" s="33">
        <f>Table1[[#This Row],[Macaulay Duration in Years]]/(1+Table1[[#This Row],[IRR]])</f>
        <v>5.9514817568297591</v>
      </c>
      <c r="AB557" s="58">
        <f>VLOOKUP(Table1[[#This Row],[Yield Cluster]],'Cluster Details'!$B$3:$C$16,2,0)</f>
        <v>0.11069942689191503</v>
      </c>
      <c r="AC557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57" s="58" t="str">
        <f>IF(Table1[[#This Row],[Ask Price]]&gt;Table1[[#This Row],[Calculated Bond Price]],"Rich","Cheap")</f>
        <v>Rich</v>
      </c>
      <c r="AE5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942.91482252857691</v>
      </c>
      <c r="AF5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1062.1111621061971</v>
      </c>
      <c r="AG557" s="78">
        <f>(Table1[[#This Row],[P (+ shock)]]+Table1[[#This Row],[P (-shock)]]-2*Table1[[#This Row],[Ask Price]])/(2*Table1[[#This Row],[Ask Price]]*($AF$2^2))</f>
        <v>25.129923173869884</v>
      </c>
      <c r="AH557">
        <v>2.9132979074468199</v>
      </c>
      <c r="AI557" s="6">
        <f t="shared" si="33"/>
        <v>0.1075</v>
      </c>
      <c r="AK557" s="47">
        <f>RATE(Table1[[#This Row],[Total No. of Coupons]],Table1[[#This Row],[Coupon Amount]],-Table1[[#This Row],[Ask Price]],Table1[[#This Row],[Face value]])</f>
        <v>0.10750000000128665</v>
      </c>
      <c r="AL557" s="27">
        <f>Table1[[#This Row],[IRR]]*Table1[[#This Row],[Coupon Frequency2]]</f>
        <v>0.10750000000128665</v>
      </c>
      <c r="AM557" s="5">
        <f t="shared" si="34"/>
        <v>-5951.4817568297594</v>
      </c>
      <c r="AN557" t="s">
        <v>64</v>
      </c>
      <c r="AO557" t="s">
        <v>62</v>
      </c>
      <c r="AP557">
        <f t="shared" si="35"/>
        <v>1</v>
      </c>
    </row>
    <row r="558" spans="1:42" x14ac:dyDescent="0.35">
      <c r="A558" s="48" t="s">
        <v>155</v>
      </c>
      <c r="B558" s="49" t="s">
        <v>2854</v>
      </c>
      <c r="C558" s="49" t="s">
        <v>2273</v>
      </c>
      <c r="D558" s="50">
        <v>45476</v>
      </c>
      <c r="E558" s="50">
        <v>49128</v>
      </c>
      <c r="F558" s="49">
        <v>1000</v>
      </c>
      <c r="G558" s="49" t="s">
        <v>76</v>
      </c>
      <c r="H558" s="49">
        <v>1000</v>
      </c>
      <c r="I558" s="49" t="s">
        <v>76</v>
      </c>
      <c r="J558" s="49">
        <v>100</v>
      </c>
      <c r="K558" s="49">
        <v>39</v>
      </c>
      <c r="L558" s="51">
        <v>0.1075</v>
      </c>
      <c r="M558" s="49" t="s">
        <v>93</v>
      </c>
      <c r="N558" s="49">
        <v>3211</v>
      </c>
      <c r="O558" s="49">
        <v>10.75</v>
      </c>
      <c r="P558" s="49"/>
      <c r="Q558" s="49"/>
      <c r="R558" s="49" t="s">
        <v>2275</v>
      </c>
      <c r="S558">
        <f t="shared" si="32"/>
        <v>10</v>
      </c>
      <c r="T558" s="5" cm="1">
        <f t="array" ref="T5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8">
        <f>Table1[[#This Row],[Term to Maturity (Years)]]*Table1[[#This Row],[Coupon Frequency2]]</f>
        <v>10</v>
      </c>
      <c r="V558">
        <f>Table1[[#This Row],[Face value]]*Table1[[#This Row],[Current coupon %]]</f>
        <v>107.5</v>
      </c>
      <c r="W558" s="36">
        <f>RATE(Table1[[#This Row],[Total No. of Coupons]],Table1[[#This Row],[Coupon Amount]],-Table1[[#This Row],[Ask Price]],Table1[[#This Row],[Face value]])</f>
        <v>0.10750000000128665</v>
      </c>
      <c r="X558" s="27">
        <f>Table1[[#This Row],[IRR]]*Table1[[#This Row],[Coupon Frequency2]]</f>
        <v>0.10750000000128665</v>
      </c>
      <c r="Y558" s="19" cm="1">
        <f t="array" ref="Y5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8" s="33">
        <f>DURATION(Table1[[#This Row],[Issue date]],Table1[[#This Row],[Maturity date]],Table1[[#This Row],[Current coupon %]],Table1[[#This Row],[Yield (Annualised)]],Table1[[#This Row],[Coupon Frequency2]])</f>
        <v>6.5912660456966163</v>
      </c>
      <c r="AA558" s="33">
        <f>Table1[[#This Row],[Macaulay Duration in Years]]/(1+Table1[[#This Row],[IRR]])</f>
        <v>5.9514817568297591</v>
      </c>
      <c r="AB558" s="58">
        <f>VLOOKUP(Table1[[#This Row],[Yield Cluster]],'Cluster Details'!$B$3:$C$16,2,0)</f>
        <v>0.11069942689191503</v>
      </c>
      <c r="AC558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58" s="58" t="str">
        <f>IF(Table1[[#This Row],[Ask Price]]&gt;Table1[[#This Row],[Calculated Bond Price]],"Rich","Cheap")</f>
        <v>Rich</v>
      </c>
      <c r="AE5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942.91482252857691</v>
      </c>
      <c r="AF5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1062.1111621061971</v>
      </c>
      <c r="AG558" s="78">
        <f>(Table1[[#This Row],[P (+ shock)]]+Table1[[#This Row],[P (-shock)]]-2*Table1[[#This Row],[Ask Price]])/(2*Table1[[#This Row],[Ask Price]]*($AF$2^2))</f>
        <v>25.129923173869884</v>
      </c>
      <c r="AH558">
        <v>1.4166317342406001</v>
      </c>
      <c r="AI558" s="6">
        <f t="shared" si="33"/>
        <v>0.1075</v>
      </c>
      <c r="AK558" s="47">
        <f>RATE(Table1[[#This Row],[Total No. of Coupons]],Table1[[#This Row],[Coupon Amount]],-Table1[[#This Row],[Ask Price]],Table1[[#This Row],[Face value]])</f>
        <v>0.10750000000128665</v>
      </c>
      <c r="AL558" s="27">
        <f>Table1[[#This Row],[IRR]]*Table1[[#This Row],[Coupon Frequency2]]</f>
        <v>0.10750000000128665</v>
      </c>
      <c r="AM558" s="5">
        <f t="shared" si="34"/>
        <v>-5951.4817568297594</v>
      </c>
      <c r="AN558" t="s">
        <v>64</v>
      </c>
      <c r="AO558" t="s">
        <v>62</v>
      </c>
      <c r="AP558">
        <f t="shared" si="35"/>
        <v>1</v>
      </c>
    </row>
    <row r="559" spans="1:42" x14ac:dyDescent="0.35">
      <c r="A559" s="48" t="s">
        <v>120</v>
      </c>
      <c r="B559" s="49" t="s">
        <v>2855</v>
      </c>
      <c r="C559" s="49" t="s">
        <v>2273</v>
      </c>
      <c r="D559" s="50">
        <v>45840</v>
      </c>
      <c r="E559" s="50">
        <v>49492</v>
      </c>
      <c r="F559" s="49">
        <v>1000</v>
      </c>
      <c r="G559" s="49" t="s">
        <v>76</v>
      </c>
      <c r="H559" s="49">
        <v>1000</v>
      </c>
      <c r="I559" s="49" t="s">
        <v>76</v>
      </c>
      <c r="J559" s="49">
        <v>100</v>
      </c>
      <c r="K559" s="49">
        <v>15</v>
      </c>
      <c r="L559" s="51">
        <v>0.1075</v>
      </c>
      <c r="M559" s="49" t="s">
        <v>93</v>
      </c>
      <c r="N559" s="49">
        <v>3575</v>
      </c>
      <c r="O559" s="49">
        <v>10.75</v>
      </c>
      <c r="P559" s="49"/>
      <c r="Q559" s="49"/>
      <c r="R559" s="49" t="s">
        <v>2275</v>
      </c>
      <c r="S559">
        <f t="shared" si="32"/>
        <v>10</v>
      </c>
      <c r="T559" s="5" cm="1">
        <f t="array" ref="T5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59">
        <f>Table1[[#This Row],[Term to Maturity (Years)]]*Table1[[#This Row],[Coupon Frequency2]]</f>
        <v>10</v>
      </c>
      <c r="V559">
        <f>Table1[[#This Row],[Face value]]*Table1[[#This Row],[Current coupon %]]</f>
        <v>107.5</v>
      </c>
      <c r="W559" s="36">
        <f>RATE(Table1[[#This Row],[Total No. of Coupons]],Table1[[#This Row],[Coupon Amount]],-Table1[[#This Row],[Ask Price]],Table1[[#This Row],[Face value]])</f>
        <v>0.10750000000128665</v>
      </c>
      <c r="X559" s="27">
        <f>Table1[[#This Row],[IRR]]*Table1[[#This Row],[Coupon Frequency2]]</f>
        <v>0.10750000000128665</v>
      </c>
      <c r="Y559" s="19" cm="1">
        <f t="array" ref="Y5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59" s="33">
        <f>DURATION(Table1[[#This Row],[Issue date]],Table1[[#This Row],[Maturity date]],Table1[[#This Row],[Current coupon %]],Table1[[#This Row],[Yield (Annualised)]],Table1[[#This Row],[Coupon Frequency2]])</f>
        <v>6.5912660456966163</v>
      </c>
      <c r="AA559" s="33">
        <f>Table1[[#This Row],[Macaulay Duration in Years]]/(1+Table1[[#This Row],[IRR]])</f>
        <v>5.9514817568297591</v>
      </c>
      <c r="AB559" s="58">
        <f>VLOOKUP(Table1[[#This Row],[Yield Cluster]],'Cluster Details'!$B$3:$C$16,2,0)</f>
        <v>0.11069942689191503</v>
      </c>
      <c r="AC559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59" s="58" t="str">
        <f>IF(Table1[[#This Row],[Ask Price]]&gt;Table1[[#This Row],[Calculated Bond Price]],"Rich","Cheap")</f>
        <v>Rich</v>
      </c>
      <c r="AE5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942.91482252857691</v>
      </c>
      <c r="AF5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1062.1111621061971</v>
      </c>
      <c r="AG559" s="78">
        <f>(Table1[[#This Row],[P (+ shock)]]+Table1[[#This Row],[P (-shock)]]-2*Table1[[#This Row],[Ask Price]])/(2*Table1[[#This Row],[Ask Price]]*($AF$2^2))</f>
        <v>25.129923173869884</v>
      </c>
      <c r="AH559">
        <v>2.8954953621105401</v>
      </c>
      <c r="AI559" s="6">
        <f t="shared" si="33"/>
        <v>0.1075</v>
      </c>
      <c r="AK559" s="47">
        <f>RATE(Table1[[#This Row],[Total No. of Coupons]],Table1[[#This Row],[Coupon Amount]],-Table1[[#This Row],[Ask Price]],Table1[[#This Row],[Face value]])</f>
        <v>0.10750000000128665</v>
      </c>
      <c r="AL559" s="27">
        <f>Table1[[#This Row],[IRR]]*Table1[[#This Row],[Coupon Frequency2]]</f>
        <v>0.10750000000128665</v>
      </c>
      <c r="AM559" s="5">
        <f t="shared" si="34"/>
        <v>-5951.4817568297594</v>
      </c>
      <c r="AN559" t="s">
        <v>64</v>
      </c>
      <c r="AO559" t="s">
        <v>62</v>
      </c>
      <c r="AP559">
        <f t="shared" si="35"/>
        <v>1</v>
      </c>
    </row>
    <row r="560" spans="1:42" x14ac:dyDescent="0.35">
      <c r="A560" s="48" t="s">
        <v>1770</v>
      </c>
      <c r="B560" s="49" t="s">
        <v>2856</v>
      </c>
      <c r="C560" s="49" t="s">
        <v>2273</v>
      </c>
      <c r="D560" s="50">
        <v>45464</v>
      </c>
      <c r="E560" s="50">
        <v>46194</v>
      </c>
      <c r="F560" s="49">
        <v>1000</v>
      </c>
      <c r="G560" s="49" t="s">
        <v>76</v>
      </c>
      <c r="H560" s="49">
        <v>979.8</v>
      </c>
      <c r="I560" s="49" t="s">
        <v>76</v>
      </c>
      <c r="J560" s="49">
        <v>97.98</v>
      </c>
      <c r="K560" s="49">
        <v>100</v>
      </c>
      <c r="L560" s="51">
        <v>9.6000000000000002E-2</v>
      </c>
      <c r="M560" s="49" t="s">
        <v>93</v>
      </c>
      <c r="N560" s="49">
        <v>277</v>
      </c>
      <c r="O560" s="49">
        <v>9.7979179424372305</v>
      </c>
      <c r="P560" s="49"/>
      <c r="Q560" s="49"/>
      <c r="R560" s="49" t="s">
        <v>2275</v>
      </c>
      <c r="S560">
        <f t="shared" si="32"/>
        <v>2</v>
      </c>
      <c r="T560" s="5" cm="1">
        <f t="array" ref="T5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0">
        <f>Table1[[#This Row],[Term to Maturity (Years)]]*Table1[[#This Row],[Coupon Frequency2]]</f>
        <v>2</v>
      </c>
      <c r="V560">
        <f>Table1[[#This Row],[Face value]]*Table1[[#This Row],[Current coupon %]]</f>
        <v>96</v>
      </c>
      <c r="W560" s="36">
        <f>RATE(Table1[[#This Row],[Total No. of Coupons]],Table1[[#This Row],[Coupon Amount]],-Table1[[#This Row],[Ask Price]],Table1[[#This Row],[Face value]])</f>
        <v>0.10776039194548935</v>
      </c>
      <c r="X560" s="27">
        <f>Table1[[#This Row],[IRR]]*Table1[[#This Row],[Coupon Frequency2]]</f>
        <v>0.10776039194548935</v>
      </c>
      <c r="Y560" s="19" cm="1">
        <f t="array" ref="Y5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0" s="33">
        <f>DURATION(Table1[[#This Row],[Issue date]],Table1[[#This Row],[Maturity date]],Table1[[#This Row],[Current coupon %]],Table1[[#This Row],[Yield (Annualised)]],Table1[[#This Row],[Coupon Frequency2]])</f>
        <v>1.911552010582092</v>
      </c>
      <c r="AA560" s="33">
        <f>Table1[[#This Row],[Macaulay Duration in Years]]/(1+Table1[[#This Row],[IRR]])</f>
        <v>1.7256006122632301</v>
      </c>
      <c r="AB560" s="58">
        <f>VLOOKUP(Table1[[#This Row],[Yield Cluster]],'Cluster Details'!$B$3:$C$16,2,0)</f>
        <v>0.11069942689191503</v>
      </c>
      <c r="AC560" s="78">
        <f>PRICE(Table1[[#This Row],[Issue date]],Table1[[#This Row],[Maturity date]],Table1[[#This Row],[Current coupon %]],Table1[[#This Row],[Average Cluster Yield]],100,Table1[[#This Row],[Coupon Frequency2]])*Table1[[#This Row],[Face value]]/100</f>
        <v>974.85024843981807</v>
      </c>
      <c r="AD560" s="58" t="str">
        <f>IF(Table1[[#This Row],[Ask Price]]&gt;Table1[[#This Row],[Calculated Bond Price]],"Rich","Cheap")</f>
        <v>Rich</v>
      </c>
      <c r="AE5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963.11531298638454</v>
      </c>
      <c r="AF5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996.93556693340395</v>
      </c>
      <c r="AG560" s="78">
        <f>(Table1[[#This Row],[P (+ shock)]]+Table1[[#This Row],[P (-shock)]]-2*Table1[[#This Row],[Ask Price]])/(2*Table1[[#This Row],[Ask Price]]*($AF$2^2))</f>
        <v>2.3008773208235174</v>
      </c>
      <c r="AH560">
        <v>2.7656539895052399</v>
      </c>
      <c r="AI560" s="6">
        <f t="shared" si="33"/>
        <v>9.7979179424372329E-2</v>
      </c>
      <c r="AK560" s="47">
        <f>RATE(Table1[[#This Row],[Total No. of Coupons]],Table1[[#This Row],[Coupon Amount]],-Table1[[#This Row],[Ask Price]],Table1[[#This Row],[Face value]])</f>
        <v>0.10776039194548935</v>
      </c>
      <c r="AL560" s="27">
        <f>Table1[[#This Row],[IRR]]*Table1[[#This Row],[Coupon Frequency2]]</f>
        <v>0.10776039194548935</v>
      </c>
      <c r="AM560" s="5">
        <f t="shared" si="34"/>
        <v>-1690.7434798955128</v>
      </c>
      <c r="AN560" t="s">
        <v>64</v>
      </c>
      <c r="AO560" t="s">
        <v>62</v>
      </c>
      <c r="AP560">
        <f t="shared" si="35"/>
        <v>1</v>
      </c>
    </row>
    <row r="561" spans="1:42" x14ac:dyDescent="0.35">
      <c r="A561" s="48" t="s">
        <v>1626</v>
      </c>
      <c r="B561" s="49" t="s">
        <v>2857</v>
      </c>
      <c r="C561" s="49" t="s">
        <v>2273</v>
      </c>
      <c r="D561" s="50">
        <v>45551</v>
      </c>
      <c r="E561" s="50">
        <v>46281</v>
      </c>
      <c r="F561" s="49">
        <v>1000</v>
      </c>
      <c r="G561" s="49" t="s">
        <v>76</v>
      </c>
      <c r="H561" s="49">
        <v>975.2</v>
      </c>
      <c r="I561" s="49" t="s">
        <v>76</v>
      </c>
      <c r="J561" s="49">
        <v>97.52</v>
      </c>
      <c r="K561" s="49">
        <v>10</v>
      </c>
      <c r="L561" s="51">
        <v>9.4E-2</v>
      </c>
      <c r="M561" s="49" t="s">
        <v>93</v>
      </c>
      <c r="N561" s="49">
        <v>364</v>
      </c>
      <c r="O561" s="49">
        <v>9.6390484003281305</v>
      </c>
      <c r="P561" s="49"/>
      <c r="Q561" s="49"/>
      <c r="R561" s="49" t="s">
        <v>2275</v>
      </c>
      <c r="S561">
        <f t="shared" si="32"/>
        <v>2</v>
      </c>
      <c r="T561" s="5" cm="1">
        <f t="array" ref="T5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1">
        <f>Table1[[#This Row],[Term to Maturity (Years)]]*Table1[[#This Row],[Coupon Frequency2]]</f>
        <v>2</v>
      </c>
      <c r="V561">
        <f>Table1[[#This Row],[Face value]]*Table1[[#This Row],[Current coupon %]]</f>
        <v>94</v>
      </c>
      <c r="W561" s="36">
        <f>RATE(Table1[[#This Row],[Total No. of Coupons]],Table1[[#This Row],[Coupon Amount]],-Table1[[#This Row],[Ask Price]],Table1[[#This Row],[Face value]])</f>
        <v>0.1084517893715921</v>
      </c>
      <c r="X561" s="27">
        <f>Table1[[#This Row],[IRR]]*Table1[[#This Row],[Coupon Frequency2]]</f>
        <v>0.1084517893715921</v>
      </c>
      <c r="Y561" s="19" cm="1">
        <f t="array" ref="Y5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1" s="33">
        <f>DURATION(Table1[[#This Row],[Issue date]],Table1[[#This Row],[Maturity date]],Table1[[#This Row],[Current coupon %]],Table1[[#This Row],[Yield (Annualised)]],Table1[[#This Row],[Coupon Frequency2]])</f>
        <v>1.9130404362846241</v>
      </c>
      <c r="AA561" s="33">
        <f>Table1[[#This Row],[Macaulay Duration in Years]]/(1+Table1[[#This Row],[IRR]])</f>
        <v>1.7258670648808032</v>
      </c>
      <c r="AB561" s="58">
        <f>VLOOKUP(Table1[[#This Row],[Yield Cluster]],'Cluster Details'!$B$3:$C$16,2,0)</f>
        <v>0.11069942689191503</v>
      </c>
      <c r="AC561" s="78">
        <f>PRICE(Table1[[#This Row],[Issue date]],Table1[[#This Row],[Maturity date]],Table1[[#This Row],[Current coupon %]],Table1[[#This Row],[Average Cluster Yield]],100,Table1[[#This Row],[Coupon Frequency2]])*Table1[[#This Row],[Face value]]/100</f>
        <v>971.42838012548043</v>
      </c>
      <c r="AD561" s="58" t="str">
        <f>IF(Table1[[#This Row],[Ask Price]]&gt;Table1[[#This Row],[Calculated Bond Price]],"Rich","Cheap")</f>
        <v>Rich</v>
      </c>
      <c r="AE5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958.59100466467964</v>
      </c>
      <c r="AF5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992.25767134145451</v>
      </c>
      <c r="AG561" s="78">
        <f>(Table1[[#This Row],[P (+ shock)]]+Table1[[#This Row],[P (-shock)]]-2*Table1[[#This Row],[Ask Price]])/(2*Table1[[#This Row],[Ask Price]]*($AF$2^2))</f>
        <v>2.3004307123362624</v>
      </c>
      <c r="AH561">
        <v>2.9482452517318101</v>
      </c>
      <c r="AI561" s="6">
        <f t="shared" si="33"/>
        <v>9.6390484003281374E-2</v>
      </c>
      <c r="AK561" s="47">
        <f>RATE(Table1[[#This Row],[Total No. of Coupons]],Table1[[#This Row],[Coupon Amount]],-Table1[[#This Row],[Ask Price]],Table1[[#This Row],[Face value]])</f>
        <v>0.1084517893715921</v>
      </c>
      <c r="AL561" s="27">
        <f>Table1[[#This Row],[IRR]]*Table1[[#This Row],[Coupon Frequency2]]</f>
        <v>0.1084517893715921</v>
      </c>
      <c r="AM561" s="5">
        <f t="shared" si="34"/>
        <v>-1683.0655616717593</v>
      </c>
      <c r="AN561" t="s">
        <v>64</v>
      </c>
      <c r="AO561" t="s">
        <v>62</v>
      </c>
      <c r="AP561">
        <f t="shared" si="35"/>
        <v>1</v>
      </c>
    </row>
    <row r="562" spans="1:42" x14ac:dyDescent="0.35">
      <c r="A562" s="48" t="s">
        <v>791</v>
      </c>
      <c r="B562" s="49" t="s">
        <v>2858</v>
      </c>
      <c r="C562" s="49" t="s">
        <v>2273</v>
      </c>
      <c r="D562" s="50">
        <v>44463</v>
      </c>
      <c r="E562" s="50">
        <v>47109</v>
      </c>
      <c r="F562" s="49">
        <v>1000</v>
      </c>
      <c r="G562" s="49" t="s">
        <v>76</v>
      </c>
      <c r="H562" s="49">
        <v>947</v>
      </c>
      <c r="I562" s="49" t="s">
        <v>76</v>
      </c>
      <c r="J562" s="49">
        <v>94.699999999999903</v>
      </c>
      <c r="K562" s="49">
        <v>20</v>
      </c>
      <c r="L562" s="51">
        <v>9.7500000000000003E-2</v>
      </c>
      <c r="M562" s="49" t="s">
        <v>93</v>
      </c>
      <c r="N562" s="49">
        <v>1192</v>
      </c>
      <c r="O562" s="49">
        <v>10.2956705385427</v>
      </c>
      <c r="P562" s="49" t="s">
        <v>2279</v>
      </c>
      <c r="Q562" s="49"/>
      <c r="R562" s="49" t="s">
        <v>2275</v>
      </c>
      <c r="S562">
        <f t="shared" si="32"/>
        <v>7</v>
      </c>
      <c r="T562" s="5" cm="1">
        <f t="array" ref="T5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2">
        <f>Table1[[#This Row],[Term to Maturity (Years)]]*Table1[[#This Row],[Coupon Frequency2]]</f>
        <v>7</v>
      </c>
      <c r="V562">
        <f>Table1[[#This Row],[Face value]]*Table1[[#This Row],[Current coupon %]]</f>
        <v>97.5</v>
      </c>
      <c r="W562" s="36">
        <f>RATE(Table1[[#This Row],[Total No. of Coupons]],Table1[[#This Row],[Coupon Amount]],-Table1[[#This Row],[Ask Price]],Table1[[#This Row],[Face value]])</f>
        <v>0.10870021767440241</v>
      </c>
      <c r="X562" s="27">
        <f>Table1[[#This Row],[IRR]]*Table1[[#This Row],[Coupon Frequency2]]</f>
        <v>0.10870021767440241</v>
      </c>
      <c r="Y562" s="19" cm="1">
        <f t="array" ref="Y5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2" s="33">
        <f>DURATION(Table1[[#This Row],[Issue date]],Table1[[#This Row],[Maturity date]],Table1[[#This Row],[Current coupon %]],Table1[[#This Row],[Yield (Annualised)]],Table1[[#This Row],[Coupon Frequency2]])</f>
        <v>5.0851433944839695</v>
      </c>
      <c r="AA562" s="33">
        <f>Table1[[#This Row],[Macaulay Duration in Years]]/(1+Table1[[#This Row],[IRR]])</f>
        <v>4.5865810373434508</v>
      </c>
      <c r="AB562" s="58">
        <f>VLOOKUP(Table1[[#This Row],[Yield Cluster]],'Cluster Details'!$B$3:$C$16,2,0)</f>
        <v>0.11069942689191503</v>
      </c>
      <c r="AC562" s="78">
        <f>PRICE(Table1[[#This Row],[Issue date]],Table1[[#This Row],[Maturity date]],Table1[[#This Row],[Current coupon %]],Table1[[#This Row],[Average Cluster Yield]],100,Table1[[#This Row],[Coupon Frequency2]])*Table1[[#This Row],[Face value]]/100</f>
        <v>935.53964952234458</v>
      </c>
      <c r="AD562" s="58" t="str">
        <f>IF(Table1[[#This Row],[Ask Price]]&gt;Table1[[#This Row],[Calculated Bond Price]],"Rich","Cheap")</f>
        <v>Rich</v>
      </c>
      <c r="AE5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899.62498961178392</v>
      </c>
      <c r="AF5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993.13445080276938</v>
      </c>
      <c r="AG562" s="78">
        <f>(Table1[[#This Row],[P (+ shock)]]+Table1[[#This Row],[P (-shock)]]-2*Table1[[#This Row],[Ask Price]])/(2*Table1[[#This Row],[Ask Price]]*($AF$2^2))</f>
        <v>-6.5499450129175818</v>
      </c>
      <c r="AH562">
        <v>10.4309711293356</v>
      </c>
      <c r="AI562" s="6">
        <f t="shared" si="33"/>
        <v>0.10295670538542767</v>
      </c>
      <c r="AK562" s="47">
        <f>RATE(Table1[[#This Row],[Total No. of Coupons]],Table1[[#This Row],[Coupon Amount]],-Table1[[#This Row],[Ask Price]],Table1[[#This Row],[Face value]])</f>
        <v>0.10870021767440241</v>
      </c>
      <c r="AL562" s="27">
        <f>Table1[[#This Row],[IRR]]*Table1[[#This Row],[Coupon Frequency2]]</f>
        <v>0.10870021767440241</v>
      </c>
      <c r="AM562" s="5">
        <f t="shared" si="34"/>
        <v>-4343.4922423642483</v>
      </c>
      <c r="AN562" t="s">
        <v>64</v>
      </c>
      <c r="AO562" t="s">
        <v>62</v>
      </c>
      <c r="AP562">
        <f t="shared" si="35"/>
        <v>1</v>
      </c>
    </row>
    <row r="563" spans="1:42" x14ac:dyDescent="0.35">
      <c r="A563" s="48" t="s">
        <v>928</v>
      </c>
      <c r="B563" s="49" t="s">
        <v>2859</v>
      </c>
      <c r="C563" s="49" t="s">
        <v>2273</v>
      </c>
      <c r="D563" s="50">
        <v>45827</v>
      </c>
      <c r="E563" s="50">
        <v>46923</v>
      </c>
      <c r="F563" s="49">
        <v>100000</v>
      </c>
      <c r="G563" s="49" t="s">
        <v>76</v>
      </c>
      <c r="H563" s="49">
        <v>96510.14</v>
      </c>
      <c r="I563" s="49" t="s">
        <v>76</v>
      </c>
      <c r="J563" s="49">
        <v>96.510140000000007</v>
      </c>
      <c r="K563" s="49">
        <v>1</v>
      </c>
      <c r="L563" s="51">
        <v>9.4499999999999987E-2</v>
      </c>
      <c r="M563" s="49" t="s">
        <v>93</v>
      </c>
      <c r="N563" s="49">
        <v>1006</v>
      </c>
      <c r="O563" s="49">
        <v>9.7917172226669607</v>
      </c>
      <c r="P563" s="49" t="s">
        <v>2279</v>
      </c>
      <c r="Q563" s="49"/>
      <c r="R563" s="49" t="s">
        <v>2275</v>
      </c>
      <c r="S563">
        <f t="shared" si="32"/>
        <v>3</v>
      </c>
      <c r="T563" s="5" cm="1">
        <f t="array" ref="T5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3">
        <f>Table1[[#This Row],[Term to Maturity (Years)]]*Table1[[#This Row],[Coupon Frequency2]]</f>
        <v>3</v>
      </c>
      <c r="V563">
        <f>Table1[[#This Row],[Face value]]*Table1[[#This Row],[Current coupon %]]</f>
        <v>9449.9999999999982</v>
      </c>
      <c r="W563" s="36">
        <f>RATE(Table1[[#This Row],[Total No. of Coupons]],Table1[[#This Row],[Coupon Amount]],-Table1[[#This Row],[Ask Price]],Table1[[#This Row],[Face value]])</f>
        <v>0.10874992415125399</v>
      </c>
      <c r="X563" s="27">
        <f>Table1[[#This Row],[IRR]]*Table1[[#This Row],[Coupon Frequency2]]</f>
        <v>0.10874992415125399</v>
      </c>
      <c r="Y563" s="19" cm="1">
        <f t="array" ref="Y5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3" s="33">
        <f>DURATION(Table1[[#This Row],[Issue date]],Table1[[#This Row],[Maturity date]],Table1[[#This Row],[Current coupon %]],Table1[[#This Row],[Yield (Annualised)]],Table1[[#This Row],[Coupon Frequency2]])</f>
        <v>2.743722669386329</v>
      </c>
      <c r="AA563" s="33">
        <f>Table1[[#This Row],[Macaulay Duration in Years]]/(1+Table1[[#This Row],[IRR]])</f>
        <v>2.4746091157450527</v>
      </c>
      <c r="AB563" s="58">
        <f>VLOOKUP(Table1[[#This Row],[Yield Cluster]],'Cluster Details'!$B$3:$C$16,2,0)</f>
        <v>0.11069942689191503</v>
      </c>
      <c r="AC563" s="78">
        <f>PRICE(Table1[[#This Row],[Issue date]],Table1[[#This Row],[Maturity date]],Table1[[#This Row],[Current coupon %]],Table1[[#This Row],[Average Cluster Yield]],100,Table1[[#This Row],[Coupon Frequency2]])*Table1[[#This Row],[Face value]]/100</f>
        <v>96046.13285785701</v>
      </c>
      <c r="AD563" s="58" t="str">
        <f>IF(Table1[[#This Row],[Ask Price]]&gt;Table1[[#This Row],[Calculated Bond Price]],"Rich","Cheap")</f>
        <v>Rich</v>
      </c>
      <c r="AE5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94163.04290626978</v>
      </c>
      <c r="AF5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98940.776451045327</v>
      </c>
      <c r="AG563" s="78">
        <f>(Table1[[#This Row],[P (+ shock)]]+Table1[[#This Row],[P (-shock)]]-2*Table1[[#This Row],[Ask Price]])/(2*Table1[[#This Row],[Ask Price]]*($AF$2^2))</f>
        <v>4.3280093322374542</v>
      </c>
      <c r="AH563">
        <v>12.7604166666666</v>
      </c>
      <c r="AI563" s="6">
        <f t="shared" si="33"/>
        <v>9.7917172226669638E-2</v>
      </c>
      <c r="AK563" s="47">
        <f>RATE(Table1[[#This Row],[Total No. of Coupons]],Table1[[#This Row],[Coupon Amount]],-Table1[[#This Row],[Ask Price]],Table1[[#This Row],[Face value]])</f>
        <v>0.10874992415125399</v>
      </c>
      <c r="AL563" s="27">
        <f>Table1[[#This Row],[IRR]]*Table1[[#This Row],[Coupon Frequency2]]</f>
        <v>0.10874992415125399</v>
      </c>
      <c r="AM563" s="5">
        <f t="shared" si="34"/>
        <v>-238824.87220583123</v>
      </c>
      <c r="AN563" t="s">
        <v>64</v>
      </c>
      <c r="AO563" t="s">
        <v>62</v>
      </c>
      <c r="AP563">
        <f t="shared" si="35"/>
        <v>1</v>
      </c>
    </row>
    <row r="564" spans="1:42" x14ac:dyDescent="0.35">
      <c r="A564" s="48" t="s">
        <v>1592</v>
      </c>
      <c r="B564" s="49" t="s">
        <v>2860</v>
      </c>
      <c r="C564" s="49" t="s">
        <v>2273</v>
      </c>
      <c r="D564" s="50">
        <v>44285</v>
      </c>
      <c r="E564" s="50">
        <v>46295</v>
      </c>
      <c r="F564" s="49">
        <v>1000000</v>
      </c>
      <c r="G564" s="49" t="s">
        <v>76</v>
      </c>
      <c r="H564" s="49">
        <v>1085500</v>
      </c>
      <c r="I564" s="49" t="s">
        <v>76</v>
      </c>
      <c r="J564" s="49">
        <v>108.55</v>
      </c>
      <c r="K564" s="49">
        <v>1</v>
      </c>
      <c r="L564" s="51">
        <v>0.129</v>
      </c>
      <c r="M564" s="49" t="s">
        <v>93</v>
      </c>
      <c r="N564" s="49">
        <v>378</v>
      </c>
      <c r="O564" s="49">
        <v>11.8839244587747</v>
      </c>
      <c r="P564" s="49"/>
      <c r="Q564" s="49"/>
      <c r="R564" s="49" t="s">
        <v>2275</v>
      </c>
      <c r="S564">
        <f t="shared" si="32"/>
        <v>6</v>
      </c>
      <c r="T564" s="5" cm="1">
        <f t="array" ref="T5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4">
        <f>Table1[[#This Row],[Term to Maturity (Years)]]*Table1[[#This Row],[Coupon Frequency2]]</f>
        <v>6</v>
      </c>
      <c r="V564">
        <f>Table1[[#This Row],[Face value]]*Table1[[#This Row],[Current coupon %]]</f>
        <v>129000</v>
      </c>
      <c r="W564" s="36">
        <f>RATE(Table1[[#This Row],[Total No. of Coupons]],Table1[[#This Row],[Coupon Amount]],-Table1[[#This Row],[Ask Price]],Table1[[#This Row],[Face value]])</f>
        <v>0.10885634353732378</v>
      </c>
      <c r="X564" s="27">
        <f>Table1[[#This Row],[IRR]]*Table1[[#This Row],[Coupon Frequency2]]</f>
        <v>0.10885634353732378</v>
      </c>
      <c r="Y564" s="19" cm="1">
        <f t="array" ref="Y5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4" s="33">
        <f>DURATION(Table1[[#This Row],[Issue date]],Table1[[#This Row],[Maturity date]],Table1[[#This Row],[Current coupon %]],Table1[[#This Row],[Yield (Annualised)]],Table1[[#This Row],[Coupon Frequency2]])</f>
        <v>4.0879363685078003</v>
      </c>
      <c r="AA564" s="33">
        <f>Table1[[#This Row],[Macaulay Duration in Years]]/(1+Table1[[#This Row],[IRR]])</f>
        <v>3.6866239638103324</v>
      </c>
      <c r="AB564" s="58">
        <f>VLOOKUP(Table1[[#This Row],[Yield Cluster]],'Cluster Details'!$B$3:$C$16,2,0)</f>
        <v>0.11069942689191503</v>
      </c>
      <c r="AC564" s="78">
        <f>PRICE(Table1[[#This Row],[Issue date]],Table1[[#This Row],[Maturity date]],Table1[[#This Row],[Current coupon %]],Table1[[#This Row],[Average Cluster Yield]],100,Table1[[#This Row],[Coupon Frequency2]])*Table1[[#This Row],[Face value]]/100</f>
        <v>1070827.1786169526</v>
      </c>
      <c r="AD564" s="58" t="str">
        <f>IF(Table1[[#This Row],[Ask Price]]&gt;Table1[[#This Row],[Calculated Bond Price]],"Rich","Cheap")</f>
        <v>Rich</v>
      </c>
      <c r="AE5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1037516.8857723292</v>
      </c>
      <c r="AF5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1121845.6310453888</v>
      </c>
      <c r="AG564" s="78">
        <f>(Table1[[#This Row],[P (+ shock)]]+Table1[[#This Row],[P (-shock)]]-2*Table1[[#This Row],[Ask Price]])/(2*Table1[[#This Row],[Ask Price]]*($AF$2^2))</f>
        <v>-53.604252336629138</v>
      </c>
      <c r="AH564">
        <v>10.0344960510134</v>
      </c>
      <c r="AI564" s="6">
        <f t="shared" si="33"/>
        <v>0.11883924458774758</v>
      </c>
      <c r="AK564" s="47">
        <f>RATE(Table1[[#This Row],[Total No. of Coupons]],Table1[[#This Row],[Coupon Amount]],-Table1[[#This Row],[Ask Price]],Table1[[#This Row],[Face value]])</f>
        <v>0.10885634353732378</v>
      </c>
      <c r="AL564" s="27">
        <f>Table1[[#This Row],[IRR]]*Table1[[#This Row],[Coupon Frequency2]]</f>
        <v>0.10885634353732378</v>
      </c>
      <c r="AM564" s="5">
        <f t="shared" si="34"/>
        <v>-4001830.3127161157</v>
      </c>
      <c r="AN564" t="s">
        <v>64</v>
      </c>
      <c r="AO564" t="s">
        <v>62</v>
      </c>
      <c r="AP564">
        <f t="shared" si="35"/>
        <v>1</v>
      </c>
    </row>
    <row r="565" spans="1:42" x14ac:dyDescent="0.35">
      <c r="A565" s="48" t="s">
        <v>336</v>
      </c>
      <c r="B565" s="49" t="s">
        <v>2861</v>
      </c>
      <c r="C565" s="49" t="s">
        <v>2273</v>
      </c>
      <c r="D565" s="50">
        <v>45443</v>
      </c>
      <c r="E565" s="50">
        <v>47999</v>
      </c>
      <c r="F565" s="49">
        <v>1000</v>
      </c>
      <c r="G565" s="49" t="s">
        <v>76</v>
      </c>
      <c r="H565" s="49">
        <v>981.64</v>
      </c>
      <c r="I565" s="49" t="s">
        <v>76</v>
      </c>
      <c r="J565" s="49">
        <v>98.164000000000001</v>
      </c>
      <c r="K565" s="49">
        <v>2</v>
      </c>
      <c r="L565" s="51">
        <v>0.105</v>
      </c>
      <c r="M565" s="49" t="s">
        <v>93</v>
      </c>
      <c r="N565" s="49">
        <v>2082</v>
      </c>
      <c r="O565" s="49">
        <v>10.696385640356899</v>
      </c>
      <c r="P565" s="49" t="s">
        <v>2279</v>
      </c>
      <c r="Q565" s="49"/>
      <c r="R565" s="49" t="s">
        <v>2275</v>
      </c>
      <c r="S565">
        <f t="shared" si="32"/>
        <v>7</v>
      </c>
      <c r="T565" s="5" cm="1">
        <f t="array" ref="T5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5">
        <f>Table1[[#This Row],[Term to Maturity (Years)]]*Table1[[#This Row],[Coupon Frequency2]]</f>
        <v>7</v>
      </c>
      <c r="V565">
        <f>Table1[[#This Row],[Face value]]*Table1[[#This Row],[Current coupon %]]</f>
        <v>105</v>
      </c>
      <c r="W565" s="36">
        <f>RATE(Table1[[#This Row],[Total No. of Coupons]],Table1[[#This Row],[Coupon Amount]],-Table1[[#This Row],[Ask Price]],Table1[[#This Row],[Face value]])</f>
        <v>0.10888221174070981</v>
      </c>
      <c r="X565" s="27">
        <f>Table1[[#This Row],[IRR]]*Table1[[#This Row],[Coupon Frequency2]]</f>
        <v>0.10888221174070981</v>
      </c>
      <c r="Y565" s="19" cm="1">
        <f t="array" ref="Y5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5" s="33">
        <f>DURATION(Table1[[#This Row],[Issue date]],Table1[[#This Row],[Maturity date]],Table1[[#This Row],[Current coupon %]],Table1[[#This Row],[Yield (Annualised)]],Table1[[#This Row],[Coupon Frequency2]])</f>
        <v>5.2751303859572589</v>
      </c>
      <c r="AA565" s="33">
        <f>Table1[[#This Row],[Macaulay Duration in Years]]/(1+Table1[[#This Row],[IRR]])</f>
        <v>4.7571602557104988</v>
      </c>
      <c r="AB565" s="58">
        <f>VLOOKUP(Table1[[#This Row],[Yield Cluster]],'Cluster Details'!$B$3:$C$16,2,0)</f>
        <v>0.11069942689191503</v>
      </c>
      <c r="AC565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973.20376409209189</v>
      </c>
      <c r="AD565" s="58" t="str">
        <f>IF(Table1[[#This Row],[Ask Price]]&gt;Table1[[#This Row],[Calculated Bond Price]],"Rich","Cheap")</f>
        <v>Rich</v>
      </c>
      <c r="AE5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936.41977270331688</v>
      </c>
      <c r="AF5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1029.8938841274392</v>
      </c>
      <c r="AG565" s="78">
        <f>(Table1[[#This Row],[P (+ shock)]]+Table1[[#This Row],[P (-shock)]]-2*Table1[[#This Row],[Ask Price]])/(2*Table1[[#This Row],[Ask Price]]*($AF$2^2))</f>
        <v>15.451982553461272</v>
      </c>
      <c r="AH565">
        <v>7.4991833953607996</v>
      </c>
      <c r="AI565" s="6">
        <f t="shared" si="33"/>
        <v>0.10696385640356953</v>
      </c>
      <c r="AK565" s="47">
        <f>RATE(Table1[[#This Row],[Total No. of Coupons]],Table1[[#This Row],[Coupon Amount]],-Table1[[#This Row],[Ask Price]],Table1[[#This Row],[Face value]])</f>
        <v>0.10888221174070981</v>
      </c>
      <c r="AL565" s="27">
        <f>Table1[[#This Row],[IRR]]*Table1[[#This Row],[Coupon Frequency2]]</f>
        <v>0.10888221174070981</v>
      </c>
      <c r="AM565" s="5">
        <f t="shared" si="34"/>
        <v>-4669.818793415654</v>
      </c>
      <c r="AN565" t="s">
        <v>79</v>
      </c>
      <c r="AO565" t="s">
        <v>62</v>
      </c>
      <c r="AP565">
        <f t="shared" si="35"/>
        <v>1</v>
      </c>
    </row>
    <row r="566" spans="1:42" x14ac:dyDescent="0.35">
      <c r="A566" s="48" t="s">
        <v>1120</v>
      </c>
      <c r="B566" s="49" t="s">
        <v>2862</v>
      </c>
      <c r="C566" s="49" t="s">
        <v>2273</v>
      </c>
      <c r="D566" s="50">
        <v>44868</v>
      </c>
      <c r="E566" s="50">
        <v>46694</v>
      </c>
      <c r="F566" s="49">
        <v>1000</v>
      </c>
      <c r="G566" s="49" t="s">
        <v>76</v>
      </c>
      <c r="H566" s="49">
        <v>950.2</v>
      </c>
      <c r="I566" s="49" t="s">
        <v>76</v>
      </c>
      <c r="J566" s="49">
        <v>95.02</v>
      </c>
      <c r="K566" s="49">
        <v>65</v>
      </c>
      <c r="L566" s="51">
        <v>9.5500000000000002E-2</v>
      </c>
      <c r="M566" s="49" t="s">
        <v>93</v>
      </c>
      <c r="N566" s="49">
        <v>777</v>
      </c>
      <c r="O566" s="49">
        <v>10.0505156809092</v>
      </c>
      <c r="P566" s="49" t="s">
        <v>2279</v>
      </c>
      <c r="Q566" s="49"/>
      <c r="R566" s="49" t="s">
        <v>2275</v>
      </c>
      <c r="S566">
        <f t="shared" si="32"/>
        <v>5</v>
      </c>
      <c r="T566" s="5" cm="1">
        <f t="array" ref="T5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6">
        <f>Table1[[#This Row],[Term to Maturity (Years)]]*Table1[[#This Row],[Coupon Frequency2]]</f>
        <v>5</v>
      </c>
      <c r="V566">
        <f>Table1[[#This Row],[Face value]]*Table1[[#This Row],[Current coupon %]]</f>
        <v>95.5</v>
      </c>
      <c r="W566" s="36">
        <f>RATE(Table1[[#This Row],[Total No. of Coupons]],Table1[[#This Row],[Coupon Amount]],-Table1[[#This Row],[Ask Price]],Table1[[#This Row],[Face value]])</f>
        <v>0.10893843792609179</v>
      </c>
      <c r="X566" s="27">
        <f>Table1[[#This Row],[IRR]]*Table1[[#This Row],[Coupon Frequency2]]</f>
        <v>0.10893843792609179</v>
      </c>
      <c r="Y566" s="19" cm="1">
        <f t="array" ref="Y5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6" s="33">
        <f>DURATION(Table1[[#This Row],[Issue date]],Table1[[#This Row],[Maturity date]],Table1[[#This Row],[Current coupon %]],Table1[[#This Row],[Yield (Annualised)]],Table1[[#This Row],[Coupon Frequency2]])</f>
        <v>4.1784278392256358</v>
      </c>
      <c r="AA566" s="33">
        <f>Table1[[#This Row],[Macaulay Duration in Years]]/(1+Table1[[#This Row],[IRR]])</f>
        <v>3.767952932572185</v>
      </c>
      <c r="AB566" s="58">
        <f>VLOOKUP(Table1[[#This Row],[Yield Cluster]],'Cluster Details'!$B$3:$C$16,2,0)</f>
        <v>0.11069942689191503</v>
      </c>
      <c r="AC566" s="78">
        <f>PRICE(Table1[[#This Row],[Issue date]],Table1[[#This Row],[Maturity date]],Table1[[#This Row],[Current coupon %]],Table1[[#This Row],[Average Cluster Yield]],100,Table1[[#This Row],[Coupon Frequency2]])*Table1[[#This Row],[Face value]]/100</f>
        <v>943.92318114391207</v>
      </c>
      <c r="AD566" s="58" t="str">
        <f>IF(Table1[[#This Row],[Ask Price]]&gt;Table1[[#This Row],[Calculated Bond Price]],"Rich","Cheap")</f>
        <v>Rich</v>
      </c>
      <c r="AE5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915.28700896272539</v>
      </c>
      <c r="AF5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986.93018953009334</v>
      </c>
      <c r="AG566" s="78">
        <f>(Table1[[#This Row],[P (+ shock)]]+Table1[[#This Row],[P (-shock)]]-2*Table1[[#This Row],[Ask Price]])/(2*Table1[[#This Row],[Ask Price]]*($AF$2^2))</f>
        <v>9.5621895012551761</v>
      </c>
      <c r="AH566">
        <v>11.271442566932899</v>
      </c>
      <c r="AI566" s="6">
        <f t="shared" si="33"/>
        <v>0.10050515680909282</v>
      </c>
      <c r="AK566" s="47">
        <f>RATE(Table1[[#This Row],[Total No. of Coupons]],Table1[[#This Row],[Coupon Amount]],-Table1[[#This Row],[Ask Price]],Table1[[#This Row],[Face value]])</f>
        <v>0.10893843792609179</v>
      </c>
      <c r="AL566" s="27">
        <f>Table1[[#This Row],[IRR]]*Table1[[#This Row],[Coupon Frequency2]]</f>
        <v>0.10893843792609179</v>
      </c>
      <c r="AM566" s="5">
        <f t="shared" si="34"/>
        <v>-3580.3088765300904</v>
      </c>
      <c r="AN566" t="s">
        <v>64</v>
      </c>
      <c r="AO566" t="s">
        <v>62</v>
      </c>
      <c r="AP566">
        <f t="shared" si="35"/>
        <v>1</v>
      </c>
    </row>
    <row r="567" spans="1:42" x14ac:dyDescent="0.35">
      <c r="A567" s="48" t="s">
        <v>165</v>
      </c>
      <c r="B567" s="49" t="s">
        <v>2863</v>
      </c>
      <c r="C567" s="49" t="s">
        <v>2273</v>
      </c>
      <c r="D567" s="50">
        <v>45411</v>
      </c>
      <c r="E567" s="50">
        <v>49063</v>
      </c>
      <c r="F567" s="49">
        <v>1000</v>
      </c>
      <c r="G567" s="49" t="s">
        <v>76</v>
      </c>
      <c r="H567" s="49">
        <v>971.2</v>
      </c>
      <c r="I567" s="49" t="s">
        <v>76</v>
      </c>
      <c r="J567" s="49">
        <v>97.12</v>
      </c>
      <c r="K567" s="49">
        <v>135</v>
      </c>
      <c r="L567" s="51">
        <v>0.1045</v>
      </c>
      <c r="M567" s="49" t="s">
        <v>93</v>
      </c>
      <c r="N567" s="49">
        <v>3146</v>
      </c>
      <c r="O567" s="49">
        <v>10.7598846787479</v>
      </c>
      <c r="P567" s="49"/>
      <c r="Q567" s="49"/>
      <c r="R567" s="49" t="s">
        <v>2275</v>
      </c>
      <c r="S567">
        <f t="shared" si="32"/>
        <v>10</v>
      </c>
      <c r="T567" s="5" cm="1">
        <f t="array" ref="T5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7">
        <f>Table1[[#This Row],[Term to Maturity (Years)]]*Table1[[#This Row],[Coupon Frequency2]]</f>
        <v>10</v>
      </c>
      <c r="V567">
        <f>Table1[[#This Row],[Face value]]*Table1[[#This Row],[Current coupon %]]</f>
        <v>104.5</v>
      </c>
      <c r="W567" s="36">
        <f>RATE(Table1[[#This Row],[Total No. of Coupons]],Table1[[#This Row],[Coupon Amount]],-Table1[[#This Row],[Ask Price]],Table1[[#This Row],[Face value]])</f>
        <v>0.10937752382356374</v>
      </c>
      <c r="X567" s="27">
        <f>Table1[[#This Row],[IRR]]*Table1[[#This Row],[Coupon Frequency2]]</f>
        <v>0.10937752382356374</v>
      </c>
      <c r="Y567" s="19" cm="1">
        <f t="array" ref="Y5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7" s="33">
        <f>DURATION(Table1[[#This Row],[Issue date]],Table1[[#This Row],[Maturity date]],Table1[[#This Row],[Current coupon %]],Table1[[#This Row],[Yield (Annualised)]],Table1[[#This Row],[Coupon Frequency2]])</f>
        <v>6.6065654577939057</v>
      </c>
      <c r="AA567" s="33">
        <f>Table1[[#This Row],[Macaulay Duration in Years]]/(1+Table1[[#This Row],[IRR]])</f>
        <v>5.9552003857296638</v>
      </c>
      <c r="AB567" s="58">
        <f>VLOOKUP(Table1[[#This Row],[Yield Cluster]],'Cluster Details'!$B$3:$C$16,2,0)</f>
        <v>0.11069942689191503</v>
      </c>
      <c r="AC567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67" s="58" t="str">
        <f>IF(Table1[[#This Row],[Ask Price]]&gt;Table1[[#This Row],[Calculated Bond Price]],"Rich","Cheap")</f>
        <v>Rich</v>
      </c>
      <c r="AE5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915.72404457049572</v>
      </c>
      <c r="AF5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1031.5597427030821</v>
      </c>
      <c r="AG567" s="78">
        <f>(Table1[[#This Row],[P (+ shock)]]+Table1[[#This Row],[P (-shock)]]-2*Table1[[#This Row],[Ask Price]])/(2*Table1[[#This Row],[Ask Price]]*($AF$2^2))</f>
        <v>25.143056391976838</v>
      </c>
      <c r="AI567" s="6">
        <f t="shared" si="33"/>
        <v>0.1075988467874794</v>
      </c>
      <c r="AK567" s="47">
        <f>RATE(Table1[[#This Row],[Total No. of Coupons]],Table1[[#This Row],[Coupon Amount]],-Table1[[#This Row],[Ask Price]],Table1[[#This Row],[Face value]])</f>
        <v>0.10937752382356374</v>
      </c>
      <c r="AL567" s="27">
        <f>Table1[[#This Row],[IRR]]*Table1[[#This Row],[Coupon Frequency2]]</f>
        <v>0.10937752382356374</v>
      </c>
      <c r="AM567" s="5">
        <f t="shared" si="34"/>
        <v>-5783.6906146206502</v>
      </c>
      <c r="AN567" t="s">
        <v>64</v>
      </c>
      <c r="AO567" t="s">
        <v>62</v>
      </c>
      <c r="AP567">
        <f t="shared" si="35"/>
        <v>1</v>
      </c>
    </row>
    <row r="568" spans="1:42" x14ac:dyDescent="0.35">
      <c r="A568" s="48" t="s">
        <v>2134</v>
      </c>
      <c r="B568" s="49" t="s">
        <v>2864</v>
      </c>
      <c r="C568" s="49" t="s">
        <v>2273</v>
      </c>
      <c r="D568" s="50">
        <v>44847</v>
      </c>
      <c r="E568" s="50">
        <v>45943</v>
      </c>
      <c r="F568" s="49">
        <v>1000000</v>
      </c>
      <c r="G568" s="49" t="s">
        <v>76</v>
      </c>
      <c r="H568" s="49">
        <v>1027000</v>
      </c>
      <c r="I568" s="49" t="s">
        <v>76</v>
      </c>
      <c r="J568" s="49">
        <v>102.69999999999899</v>
      </c>
      <c r="K568" s="49">
        <v>1</v>
      </c>
      <c r="L568" s="51">
        <v>0.1206</v>
      </c>
      <c r="M568" s="49" t="s">
        <v>93</v>
      </c>
      <c r="N568" s="49">
        <v>26</v>
      </c>
      <c r="O568" s="49">
        <v>11.742940603699999</v>
      </c>
      <c r="P568" s="49"/>
      <c r="Q568" s="49"/>
      <c r="R568" s="49" t="s">
        <v>2275</v>
      </c>
      <c r="S568">
        <f t="shared" si="32"/>
        <v>3</v>
      </c>
      <c r="T568" s="5" cm="1">
        <f t="array" ref="T5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8">
        <f>Table1[[#This Row],[Term to Maturity (Years)]]*Table1[[#This Row],[Coupon Frequency2]]</f>
        <v>3</v>
      </c>
      <c r="V568">
        <f>Table1[[#This Row],[Face value]]*Table1[[#This Row],[Current coupon %]]</f>
        <v>120600</v>
      </c>
      <c r="W568" s="36">
        <f>RATE(Table1[[#This Row],[Total No. of Coupons]],Table1[[#This Row],[Coupon Amount]],-Table1[[#This Row],[Ask Price]],Table1[[#This Row],[Face value]])</f>
        <v>0.10955970697953493</v>
      </c>
      <c r="X568" s="27">
        <f>Table1[[#This Row],[IRR]]*Table1[[#This Row],[Coupon Frequency2]]</f>
        <v>0.10955970697953493</v>
      </c>
      <c r="Y568" s="19" cm="1">
        <f t="array" ref="Y5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8" s="33">
        <f>DURATION(Table1[[#This Row],[Issue date]],Table1[[#This Row],[Maturity date]],Table1[[#This Row],[Current coupon %]],Table1[[#This Row],[Yield (Annualised)]],Table1[[#This Row],[Coupon Frequency2]])</f>
        <v>2.6929475287622453</v>
      </c>
      <c r="AA568" s="33">
        <f>Table1[[#This Row],[Macaulay Duration in Years]]/(1+Table1[[#This Row],[IRR]])</f>
        <v>2.4270415659676754</v>
      </c>
      <c r="AB568" s="58">
        <f>VLOOKUP(Table1[[#This Row],[Yield Cluster]],'Cluster Details'!$B$3:$C$16,2,0)</f>
        <v>0.11069942689191503</v>
      </c>
      <c r="AC568" s="78">
        <f>PRICE(Table1[[#This Row],[Issue date]],Table1[[#This Row],[Maturity date]],Table1[[#This Row],[Current coupon %]],Table1[[#This Row],[Average Cluster Yield]],100,Table1[[#This Row],[Coupon Frequency2]])*Table1[[#This Row],[Face value]]/100</f>
        <v>1024164.7750637271</v>
      </c>
      <c r="AD568" s="58" t="str">
        <f>IF(Table1[[#This Row],[Ask Price]]&gt;Table1[[#This Row],[Calculated Bond Price]],"Rich","Cheap")</f>
        <v>Rich</v>
      </c>
      <c r="AE5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1002500.4999666703</v>
      </c>
      <c r="AF5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1052364.6796281964</v>
      </c>
      <c r="AG568" s="78">
        <f>(Table1[[#This Row],[P (+ shock)]]+Table1[[#This Row],[P (-shock)]]-2*Table1[[#This Row],[Ask Price]])/(2*Table1[[#This Row],[Ask Price]]*($AF$2^2))</f>
        <v>4.2121694005194676</v>
      </c>
      <c r="AH568">
        <v>10.967298707467901</v>
      </c>
      <c r="AI568" s="6">
        <f t="shared" si="33"/>
        <v>0.11742940603700097</v>
      </c>
      <c r="AK568" s="47">
        <f>RATE(Table1[[#This Row],[Total No. of Coupons]],Table1[[#This Row],[Coupon Amount]],-Table1[[#This Row],[Ask Price]],Table1[[#This Row],[Face value]])</f>
        <v>0.10955970697953493</v>
      </c>
      <c r="AL568" s="27">
        <f>Table1[[#This Row],[IRR]]*Table1[[#This Row],[Coupon Frequency2]]</f>
        <v>0.10955970697953493</v>
      </c>
      <c r="AM568" s="5">
        <f t="shared" si="34"/>
        <v>-2492571.6882488024</v>
      </c>
      <c r="AN568" t="s">
        <v>64</v>
      </c>
      <c r="AO568" t="s">
        <v>62</v>
      </c>
      <c r="AP568">
        <f t="shared" si="35"/>
        <v>1</v>
      </c>
    </row>
    <row r="569" spans="1:42" x14ac:dyDescent="0.35">
      <c r="A569" s="48" t="s">
        <v>124</v>
      </c>
      <c r="B569" s="49" t="s">
        <v>2837</v>
      </c>
      <c r="C569" s="49" t="s">
        <v>2273</v>
      </c>
      <c r="D569" s="50">
        <v>45777</v>
      </c>
      <c r="E569" s="50">
        <v>49429</v>
      </c>
      <c r="F569" s="49">
        <v>1000</v>
      </c>
      <c r="G569" s="49" t="s">
        <v>76</v>
      </c>
      <c r="H569" s="49">
        <v>1001.5</v>
      </c>
      <c r="I569" s="49" t="s">
        <v>76</v>
      </c>
      <c r="J569" s="49">
        <v>100.15</v>
      </c>
      <c r="K569" s="49">
        <v>4</v>
      </c>
      <c r="L569" s="51">
        <v>0.11</v>
      </c>
      <c r="M569" s="49" t="s">
        <v>93</v>
      </c>
      <c r="N569" s="49">
        <v>3512</v>
      </c>
      <c r="O569" s="49">
        <v>10.983524712930601</v>
      </c>
      <c r="P569" s="49"/>
      <c r="Q569" s="49"/>
      <c r="R569" s="49" t="s">
        <v>2275</v>
      </c>
      <c r="S569">
        <f t="shared" si="32"/>
        <v>10</v>
      </c>
      <c r="T569" s="5" cm="1">
        <f t="array" ref="T5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69">
        <f>Table1[[#This Row],[Term to Maturity (Years)]]*Table1[[#This Row],[Coupon Frequency2]]</f>
        <v>10</v>
      </c>
      <c r="V569">
        <f>Table1[[#This Row],[Face value]]*Table1[[#This Row],[Current coupon %]]</f>
        <v>110</v>
      </c>
      <c r="W569" s="36">
        <f>RATE(Table1[[#This Row],[Total No. of Coupons]],Table1[[#This Row],[Coupon Amount]],-Table1[[#This Row],[Ask Price]],Table1[[#This Row],[Face value]])</f>
        <v>0.10974556953177066</v>
      </c>
      <c r="X569" s="27">
        <f>Table1[[#This Row],[IRR]]*Table1[[#This Row],[Coupon Frequency2]]</f>
        <v>0.10974556953177066</v>
      </c>
      <c r="Y569" s="19" cm="1">
        <f t="array" ref="Y5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69" s="33">
        <f>DURATION(Table1[[#This Row],[Issue date]],Table1[[#This Row],[Maturity date]],Table1[[#This Row],[Current coupon %]],Table1[[#This Row],[Yield (Annualised)]],Table1[[#This Row],[Coupon Frequency2]])</f>
        <v>6.5397023326913972</v>
      </c>
      <c r="AA569" s="33">
        <f>Table1[[#This Row],[Macaulay Duration in Years]]/(1+Table1[[#This Row],[IRR]])</f>
        <v>5.8929744909462993</v>
      </c>
      <c r="AB569" s="58">
        <f>VLOOKUP(Table1[[#This Row],[Yield Cluster]],'Cluster Details'!$B$3:$C$16,2,0)</f>
        <v>0.11069942689191503</v>
      </c>
      <c r="AC569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69" s="58" t="str">
        <f>IF(Table1[[#This Row],[Ask Price]]&gt;Table1[[#This Row],[Calculated Bond Price]],"Rich","Cheap")</f>
        <v>Rich</v>
      </c>
      <c r="AE5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944.87796159795471</v>
      </c>
      <c r="AF5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1063.0779640176049</v>
      </c>
      <c r="AG569" s="78">
        <f>(Table1[[#This Row],[P (+ shock)]]+Table1[[#This Row],[P (-shock)]]-2*Table1[[#This Row],[Ask Price]])/(2*Table1[[#This Row],[Ask Price]]*($AF$2^2))</f>
        <v>24.74251430633867</v>
      </c>
      <c r="AI569" s="6">
        <f t="shared" si="33"/>
        <v>0.10983524712930604</v>
      </c>
      <c r="AK569" s="47">
        <f>RATE(Table1[[#This Row],[Total No. of Coupons]],Table1[[#This Row],[Coupon Amount]],-Table1[[#This Row],[Ask Price]],Table1[[#This Row],[Face value]])</f>
        <v>0.10974556953177066</v>
      </c>
      <c r="AL569" s="27">
        <f>Table1[[#This Row],[IRR]]*Table1[[#This Row],[Coupon Frequency2]]</f>
        <v>0.10974556953177066</v>
      </c>
      <c r="AM569" s="5">
        <f t="shared" si="34"/>
        <v>-5901.813952682719</v>
      </c>
      <c r="AN569" t="s">
        <v>503</v>
      </c>
      <c r="AO569" t="s">
        <v>62</v>
      </c>
      <c r="AP569">
        <f t="shared" si="35"/>
        <v>1</v>
      </c>
    </row>
    <row r="570" spans="1:42" x14ac:dyDescent="0.35">
      <c r="A570" s="48" t="s">
        <v>400</v>
      </c>
      <c r="B570" s="49" t="s">
        <v>2865</v>
      </c>
      <c r="C570" s="49" t="s">
        <v>2273</v>
      </c>
      <c r="D570" s="50">
        <v>45287</v>
      </c>
      <c r="E570" s="50">
        <v>47844</v>
      </c>
      <c r="F570" s="49">
        <v>1000</v>
      </c>
      <c r="G570" s="49" t="s">
        <v>76</v>
      </c>
      <c r="H570" s="49">
        <v>977.3</v>
      </c>
      <c r="I570" s="49" t="s">
        <v>76</v>
      </c>
      <c r="J570" s="49">
        <v>97.729999999999905</v>
      </c>
      <c r="K570" s="49">
        <v>3</v>
      </c>
      <c r="L570" s="51">
        <v>0.105</v>
      </c>
      <c r="M570" s="49" t="s">
        <v>93</v>
      </c>
      <c r="N570" s="49">
        <v>1927</v>
      </c>
      <c r="O570" s="49">
        <v>10.7438862171288</v>
      </c>
      <c r="P570" s="49" t="s">
        <v>2279</v>
      </c>
      <c r="Q570" s="49"/>
      <c r="R570" s="49" t="s">
        <v>2275</v>
      </c>
      <c r="S570">
        <f t="shared" si="32"/>
        <v>7</v>
      </c>
      <c r="T570" s="5" cm="1">
        <f t="array" ref="T5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0">
        <f>Table1[[#This Row],[Term to Maturity (Years)]]*Table1[[#This Row],[Coupon Frequency2]]</f>
        <v>7</v>
      </c>
      <c r="V570">
        <f>Table1[[#This Row],[Face value]]*Table1[[#This Row],[Current coupon %]]</f>
        <v>105</v>
      </c>
      <c r="W570" s="36">
        <f>RATE(Table1[[#This Row],[Total No. of Coupons]],Table1[[#This Row],[Coupon Amount]],-Table1[[#This Row],[Ask Price]],Table1[[#This Row],[Face value]])</f>
        <v>0.1098143982401663</v>
      </c>
      <c r="X570" s="27">
        <f>Table1[[#This Row],[IRR]]*Table1[[#This Row],[Coupon Frequency2]]</f>
        <v>0.1098143982401663</v>
      </c>
      <c r="Y570" s="19" cm="1">
        <f t="array" ref="Y5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0" s="33">
        <f>DURATION(Table1[[#This Row],[Issue date]],Table1[[#This Row],[Maturity date]],Table1[[#This Row],[Current coupon %]],Table1[[#This Row],[Yield (Annualised)]],Table1[[#This Row],[Coupon Frequency2]])</f>
        <v>5.2710293275643156</v>
      </c>
      <c r="AA570" s="33">
        <f>Table1[[#This Row],[Macaulay Duration in Years]]/(1+Table1[[#This Row],[IRR]])</f>
        <v>4.7494692228922171</v>
      </c>
      <c r="AB570" s="58">
        <f>VLOOKUP(Table1[[#This Row],[Yield Cluster]],'Cluster Details'!$B$3:$C$16,2,0)</f>
        <v>0.11069942689191503</v>
      </c>
      <c r="AC570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973.20376409209189</v>
      </c>
      <c r="AD570" s="58" t="str">
        <f>IF(Table1[[#This Row],[Ask Price]]&gt;Table1[[#This Row],[Calculated Bond Price]],"Rich","Cheap")</f>
        <v>Rich</v>
      </c>
      <c r="AE5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932.35088416697351</v>
      </c>
      <c r="AF5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1025.2611155161439</v>
      </c>
      <c r="AG570" s="78">
        <f>(Table1[[#This Row],[P (+ shock)]]+Table1[[#This Row],[P (-shock)]]-2*Table1[[#This Row],[Ask Price]])/(2*Table1[[#This Row],[Ask Price]]*($AF$2^2))</f>
        <v>15.409800895925843</v>
      </c>
      <c r="AI570" s="6">
        <f t="shared" si="33"/>
        <v>0.10743886217128824</v>
      </c>
      <c r="AK570" s="47">
        <f>RATE(Table1[[#This Row],[Total No. of Coupons]],Table1[[#This Row],[Coupon Amount]],-Table1[[#This Row],[Ask Price]],Table1[[#This Row],[Face value]])</f>
        <v>0.1098143982401663</v>
      </c>
      <c r="AL570" s="27">
        <f>Table1[[#This Row],[IRR]]*Table1[[#This Row],[Coupon Frequency2]]</f>
        <v>0.1098143982401663</v>
      </c>
      <c r="AM570" s="5">
        <f t="shared" si="34"/>
        <v>-4641.6562715325636</v>
      </c>
      <c r="AN570" t="s">
        <v>69</v>
      </c>
      <c r="AO570" t="s">
        <v>62</v>
      </c>
      <c r="AP570">
        <f t="shared" si="35"/>
        <v>1</v>
      </c>
    </row>
    <row r="571" spans="1:42" x14ac:dyDescent="0.35">
      <c r="A571" s="48" t="s">
        <v>152</v>
      </c>
      <c r="B571" s="49" t="s">
        <v>2866</v>
      </c>
      <c r="C571" s="49" t="s">
        <v>2273</v>
      </c>
      <c r="D571" s="50">
        <v>45499</v>
      </c>
      <c r="E571" s="50">
        <v>49151</v>
      </c>
      <c r="F571" s="49">
        <v>1000</v>
      </c>
      <c r="G571" s="49" t="s">
        <v>76</v>
      </c>
      <c r="H571" s="49">
        <v>1001</v>
      </c>
      <c r="I571" s="49" t="s">
        <v>76</v>
      </c>
      <c r="J571" s="49">
        <v>100.1</v>
      </c>
      <c r="K571" s="49">
        <v>300</v>
      </c>
      <c r="L571" s="51">
        <v>0.11</v>
      </c>
      <c r="M571" s="49" t="s">
        <v>93</v>
      </c>
      <c r="N571" s="49">
        <v>3234</v>
      </c>
      <c r="O571" s="49">
        <v>10.9890109890109</v>
      </c>
      <c r="P571" s="49"/>
      <c r="Q571" s="49"/>
      <c r="R571" s="49" t="s">
        <v>2275</v>
      </c>
      <c r="S571">
        <f t="shared" si="32"/>
        <v>10</v>
      </c>
      <c r="T571" s="5" cm="1">
        <f t="array" ref="T5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1">
        <f>Table1[[#This Row],[Term to Maturity (Years)]]*Table1[[#This Row],[Coupon Frequency2]]</f>
        <v>10</v>
      </c>
      <c r="V571">
        <f>Table1[[#This Row],[Face value]]*Table1[[#This Row],[Current coupon %]]</f>
        <v>110</v>
      </c>
      <c r="W571" s="36">
        <f>RATE(Table1[[#This Row],[Total No. of Coupons]],Table1[[#This Row],[Coupon Amount]],-Table1[[#This Row],[Ask Price]],Table1[[#This Row],[Face value]])</f>
        <v>0.10983031936825167</v>
      </c>
      <c r="X571" s="27">
        <f>Table1[[#This Row],[IRR]]*Table1[[#This Row],[Coupon Frequency2]]</f>
        <v>0.10983031936825167</v>
      </c>
      <c r="Y571" s="19" cm="1">
        <f t="array" ref="Y5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1" s="33">
        <f>DURATION(Table1[[#This Row],[Issue date]],Table1[[#This Row],[Maturity date]],Table1[[#This Row],[Current coupon %]],Table1[[#This Row],[Yield (Annualised)]],Table1[[#This Row],[Coupon Frequency2]])</f>
        <v>6.5388180377644733</v>
      </c>
      <c r="AA571" s="33">
        <f>Table1[[#This Row],[Macaulay Duration in Years]]/(1+Table1[[#This Row],[IRR]])</f>
        <v>5.891727702561381</v>
      </c>
      <c r="AB571" s="58">
        <f>VLOOKUP(Table1[[#This Row],[Yield Cluster]],'Cluster Details'!$B$3:$C$16,2,0)</f>
        <v>0.11069942689191503</v>
      </c>
      <c r="AC571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71" s="58" t="str">
        <f>IF(Table1[[#This Row],[Ask Price]]&gt;Table1[[#This Row],[Calculated Bond Price]],"Rich","Cheap")</f>
        <v>Rich</v>
      </c>
      <c r="AE5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944.41790260016433</v>
      </c>
      <c r="AF5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1062.5338604393487</v>
      </c>
      <c r="AG571" s="78">
        <f>(Table1[[#This Row],[P (+ shock)]]+Table1[[#This Row],[P (-shock)]]-2*Table1[[#This Row],[Ask Price]])/(2*Table1[[#This Row],[Ask Price]]*($AF$2^2))</f>
        <v>24.734081116448678</v>
      </c>
      <c r="AH571">
        <v>2.0644899948828801</v>
      </c>
      <c r="AI571" s="6">
        <f t="shared" si="33"/>
        <v>0.10989010989010989</v>
      </c>
      <c r="AK571" s="47">
        <f>RATE(Table1[[#This Row],[Total No. of Coupons]],Table1[[#This Row],[Coupon Amount]],-Table1[[#This Row],[Ask Price]],Table1[[#This Row],[Face value]])</f>
        <v>0.10983031936825167</v>
      </c>
      <c r="AL571" s="27">
        <f>Table1[[#This Row],[IRR]]*Table1[[#This Row],[Coupon Frequency2]]</f>
        <v>0.10983031936825167</v>
      </c>
      <c r="AM571" s="5">
        <f t="shared" si="34"/>
        <v>-5897.6194302639424</v>
      </c>
      <c r="AN571" t="s">
        <v>64</v>
      </c>
      <c r="AO571" t="s">
        <v>62</v>
      </c>
      <c r="AP571">
        <f t="shared" si="35"/>
        <v>1</v>
      </c>
    </row>
    <row r="572" spans="1:42" x14ac:dyDescent="0.35">
      <c r="A572" s="48" t="s">
        <v>133</v>
      </c>
      <c r="B572" s="49" t="s">
        <v>2867</v>
      </c>
      <c r="C572" s="49" t="s">
        <v>2273</v>
      </c>
      <c r="D572" s="50">
        <v>45681</v>
      </c>
      <c r="E572" s="50">
        <v>49333</v>
      </c>
      <c r="F572" s="49">
        <v>1000</v>
      </c>
      <c r="G572" s="49" t="s">
        <v>76</v>
      </c>
      <c r="H572" s="49">
        <v>1000</v>
      </c>
      <c r="I572" s="49" t="s">
        <v>76</v>
      </c>
      <c r="J572" s="49">
        <v>100</v>
      </c>
      <c r="K572" s="49">
        <v>325</v>
      </c>
      <c r="L572" s="51">
        <v>0.11</v>
      </c>
      <c r="M572" s="49" t="s">
        <v>93</v>
      </c>
      <c r="N572" s="49">
        <v>3416</v>
      </c>
      <c r="O572" s="49">
        <v>11</v>
      </c>
      <c r="P572" s="49"/>
      <c r="Q572" s="49"/>
      <c r="R572" s="49" t="s">
        <v>2275</v>
      </c>
      <c r="S572">
        <f t="shared" si="32"/>
        <v>10</v>
      </c>
      <c r="T572" s="5" cm="1">
        <f t="array" ref="T5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2">
        <f>Table1[[#This Row],[Term to Maturity (Years)]]*Table1[[#This Row],[Coupon Frequency2]]</f>
        <v>10</v>
      </c>
      <c r="V572">
        <f>Table1[[#This Row],[Face value]]*Table1[[#This Row],[Current coupon %]]</f>
        <v>110</v>
      </c>
      <c r="W572" s="36">
        <f>RATE(Table1[[#This Row],[Total No. of Coupons]],Table1[[#This Row],[Coupon Amount]],-Table1[[#This Row],[Ask Price]],Table1[[#This Row],[Face value]])</f>
        <v>0.10999999999999997</v>
      </c>
      <c r="X572" s="27">
        <f>Table1[[#This Row],[IRR]]*Table1[[#This Row],[Coupon Frequency2]]</f>
        <v>0.10999999999999997</v>
      </c>
      <c r="Y572" s="19" cm="1">
        <f t="array" ref="Y5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2" s="33">
        <f>DURATION(Table1[[#This Row],[Issue date]],Table1[[#This Row],[Maturity date]],Table1[[#This Row],[Current coupon %]],Table1[[#This Row],[Yield (Annualised)]],Table1[[#This Row],[Coupon Frequency2]])</f>
        <v>6.5370475323667412</v>
      </c>
      <c r="AA572" s="33">
        <f>Table1[[#This Row],[Macaulay Duration in Years]]/(1+Table1[[#This Row],[IRR]])</f>
        <v>5.8892320111412086</v>
      </c>
      <c r="AB572" s="58">
        <f>VLOOKUP(Table1[[#This Row],[Yield Cluster]],'Cluster Details'!$B$3:$C$16,2,0)</f>
        <v>0.11069942689191503</v>
      </c>
      <c r="AC572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72" s="58" t="str">
        <f>IF(Table1[[#This Row],[Ask Price]]&gt;Table1[[#This Row],[Calculated Bond Price]],"Rich","Cheap")</f>
        <v>Rich</v>
      </c>
      <c r="AE5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943.49776971589188</v>
      </c>
      <c r="AF5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1061.4456710570464</v>
      </c>
      <c r="AG572" s="78">
        <f>(Table1[[#This Row],[P (+ shock)]]+Table1[[#This Row],[P (-shock)]]-2*Table1[[#This Row],[Ask Price]])/(2*Table1[[#This Row],[Ask Price]]*($AF$2^2))</f>
        <v>24.717203864690873</v>
      </c>
      <c r="AH572">
        <v>10.164344782384299</v>
      </c>
      <c r="AI572" s="6">
        <f t="shared" si="33"/>
        <v>0.11</v>
      </c>
      <c r="AK572" s="47">
        <f>RATE(Table1[[#This Row],[Total No. of Coupons]],Table1[[#This Row],[Coupon Amount]],-Table1[[#This Row],[Ask Price]],Table1[[#This Row],[Face value]])</f>
        <v>0.10999999999999997</v>
      </c>
      <c r="AL572" s="27">
        <f>Table1[[#This Row],[IRR]]*Table1[[#This Row],[Coupon Frequency2]]</f>
        <v>0.10999999999999997</v>
      </c>
      <c r="AM572" s="5">
        <f t="shared" si="34"/>
        <v>-5889.2320111412082</v>
      </c>
      <c r="AN572" t="s">
        <v>64</v>
      </c>
      <c r="AO572" t="s">
        <v>62</v>
      </c>
      <c r="AP572">
        <f t="shared" si="35"/>
        <v>1</v>
      </c>
    </row>
    <row r="573" spans="1:42" x14ac:dyDescent="0.35">
      <c r="A573" s="48" t="s">
        <v>126</v>
      </c>
      <c r="B573" s="49" t="s">
        <v>2868</v>
      </c>
      <c r="C573" s="49" t="s">
        <v>2273</v>
      </c>
      <c r="D573" s="50">
        <v>45750</v>
      </c>
      <c r="E573" s="50">
        <v>49402</v>
      </c>
      <c r="F573" s="49">
        <v>1000</v>
      </c>
      <c r="G573" s="49" t="s">
        <v>76</v>
      </c>
      <c r="H573" s="49">
        <v>1000</v>
      </c>
      <c r="I573" s="49" t="s">
        <v>76</v>
      </c>
      <c r="J573" s="49">
        <v>100</v>
      </c>
      <c r="K573" s="49">
        <v>1</v>
      </c>
      <c r="L573" s="51">
        <v>0.11</v>
      </c>
      <c r="M573" s="49" t="s">
        <v>93</v>
      </c>
      <c r="N573" s="49">
        <v>3485</v>
      </c>
      <c r="O573" s="49">
        <v>11</v>
      </c>
      <c r="P573" s="49"/>
      <c r="Q573" s="49"/>
      <c r="R573" s="49" t="s">
        <v>2275</v>
      </c>
      <c r="S573">
        <f t="shared" si="32"/>
        <v>10</v>
      </c>
      <c r="T573" s="5" cm="1">
        <f t="array" ref="T5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3">
        <f>Table1[[#This Row],[Term to Maturity (Years)]]*Table1[[#This Row],[Coupon Frequency2]]</f>
        <v>10</v>
      </c>
      <c r="V573">
        <f>Table1[[#This Row],[Face value]]*Table1[[#This Row],[Current coupon %]]</f>
        <v>110</v>
      </c>
      <c r="W573" s="36">
        <f>RATE(Table1[[#This Row],[Total No. of Coupons]],Table1[[#This Row],[Coupon Amount]],-Table1[[#This Row],[Ask Price]],Table1[[#This Row],[Face value]])</f>
        <v>0.10999999999999997</v>
      </c>
      <c r="X573" s="27">
        <f>Table1[[#This Row],[IRR]]*Table1[[#This Row],[Coupon Frequency2]]</f>
        <v>0.10999999999999997</v>
      </c>
      <c r="Y573" s="19" cm="1">
        <f t="array" ref="Y5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3" s="33">
        <f>DURATION(Table1[[#This Row],[Issue date]],Table1[[#This Row],[Maturity date]],Table1[[#This Row],[Current coupon %]],Table1[[#This Row],[Yield (Annualised)]],Table1[[#This Row],[Coupon Frequency2]])</f>
        <v>6.5370475323667412</v>
      </c>
      <c r="AA573" s="33">
        <f>Table1[[#This Row],[Macaulay Duration in Years]]/(1+Table1[[#This Row],[IRR]])</f>
        <v>5.8892320111412086</v>
      </c>
      <c r="AB573" s="58">
        <f>VLOOKUP(Table1[[#This Row],[Yield Cluster]],'Cluster Details'!$B$3:$C$16,2,0)</f>
        <v>0.11069942689191503</v>
      </c>
      <c r="AC573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73" s="58" t="str">
        <f>IF(Table1[[#This Row],[Ask Price]]&gt;Table1[[#This Row],[Calculated Bond Price]],"Rich","Cheap")</f>
        <v>Rich</v>
      </c>
      <c r="AE57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943.49776971589188</v>
      </c>
      <c r="AF57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1061.4456710570464</v>
      </c>
      <c r="AG573" s="78">
        <f>(Table1[[#This Row],[P (+ shock)]]+Table1[[#This Row],[P (-shock)]]-2*Table1[[#This Row],[Ask Price]])/(2*Table1[[#This Row],[Ask Price]]*($AF$2^2))</f>
        <v>24.717203864690873</v>
      </c>
      <c r="AH573">
        <v>9.3283849256545501</v>
      </c>
      <c r="AI573" s="6">
        <f t="shared" si="33"/>
        <v>0.11</v>
      </c>
      <c r="AK573" s="47">
        <f>RATE(Table1[[#This Row],[Total No. of Coupons]],Table1[[#This Row],[Coupon Amount]],-Table1[[#This Row],[Ask Price]],Table1[[#This Row],[Face value]])</f>
        <v>0.10999999999999997</v>
      </c>
      <c r="AL573" s="27">
        <f>Table1[[#This Row],[IRR]]*Table1[[#This Row],[Coupon Frequency2]]</f>
        <v>0.10999999999999997</v>
      </c>
      <c r="AM573" s="5">
        <f t="shared" si="34"/>
        <v>-5889.2320111412082</v>
      </c>
      <c r="AN573" t="s">
        <v>64</v>
      </c>
      <c r="AO573" t="s">
        <v>62</v>
      </c>
      <c r="AP573">
        <f t="shared" si="35"/>
        <v>1</v>
      </c>
    </row>
    <row r="574" spans="1:42" x14ac:dyDescent="0.35">
      <c r="A574" s="48" t="s">
        <v>563</v>
      </c>
      <c r="B574" s="49" t="s">
        <v>2869</v>
      </c>
      <c r="C574" s="49" t="s">
        <v>2273</v>
      </c>
      <c r="D574" s="50">
        <v>45630</v>
      </c>
      <c r="E574" s="50">
        <v>47455</v>
      </c>
      <c r="F574" s="49">
        <v>1000</v>
      </c>
      <c r="G574" s="49" t="s">
        <v>76</v>
      </c>
      <c r="H574" s="49">
        <v>1000</v>
      </c>
      <c r="I574" s="49" t="s">
        <v>76</v>
      </c>
      <c r="J574" s="49">
        <v>100</v>
      </c>
      <c r="K574" s="49">
        <v>1</v>
      </c>
      <c r="L574" s="51">
        <v>0.11</v>
      </c>
      <c r="M574" s="49" t="s">
        <v>93</v>
      </c>
      <c r="N574" s="49">
        <v>1538</v>
      </c>
      <c r="O574" s="49">
        <v>11</v>
      </c>
      <c r="P574" s="49"/>
      <c r="Q574" s="49"/>
      <c r="R574" s="49" t="s">
        <v>2275</v>
      </c>
      <c r="S574">
        <f t="shared" si="32"/>
        <v>5</v>
      </c>
      <c r="T574" s="5" cm="1">
        <f t="array" ref="T5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4">
        <f>Table1[[#This Row],[Term to Maturity (Years)]]*Table1[[#This Row],[Coupon Frequency2]]</f>
        <v>5</v>
      </c>
      <c r="V574">
        <f>Table1[[#This Row],[Face value]]*Table1[[#This Row],[Current coupon %]]</f>
        <v>110</v>
      </c>
      <c r="W574" s="36">
        <f>RATE(Table1[[#This Row],[Total No. of Coupons]],Table1[[#This Row],[Coupon Amount]],-Table1[[#This Row],[Ask Price]],Table1[[#This Row],[Face value]])</f>
        <v>0.11000000000002166</v>
      </c>
      <c r="X574" s="27">
        <f>Table1[[#This Row],[IRR]]*Table1[[#This Row],[Coupon Frequency2]]</f>
        <v>0.11000000000002166</v>
      </c>
      <c r="Y574" s="19" cm="1">
        <f t="array" ref="Y5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4" s="33">
        <f>DURATION(Table1[[#This Row],[Issue date]],Table1[[#This Row],[Maturity date]],Table1[[#This Row],[Current coupon %]],Table1[[#This Row],[Yield (Annualised)]],Table1[[#This Row],[Coupon Frequency2]])</f>
        <v>4.0996679118130901</v>
      </c>
      <c r="AA574" s="33">
        <f>Table1[[#This Row],[Macaulay Duration in Years]]/(1+Table1[[#This Row],[IRR]])</f>
        <v>3.6933945151468559</v>
      </c>
      <c r="AB574" s="58">
        <f>VLOOKUP(Table1[[#This Row],[Yield Cluster]],'Cluster Details'!$B$3:$C$16,2,0)</f>
        <v>0.11069942689191503</v>
      </c>
      <c r="AC574" s="78">
        <f>PRICE(Table1[[#This Row],[Issue date]],Table1[[#This Row],[Maturity date]],Table1[[#This Row],[Current coupon %]],Table1[[#This Row],[Average Cluster Yield]],100,Table1[[#This Row],[Coupon Frequency2]])*Table1[[#This Row],[Face value]]/100</f>
        <v>997.40490497199733</v>
      </c>
      <c r="AD574" s="58" t="str">
        <f>IF(Table1[[#This Row],[Ask Price]]&gt;Table1[[#This Row],[Calculated Bond Price]],"Rich","Cheap")</f>
        <v>Rich</v>
      </c>
      <c r="AE57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963.95018418940322</v>
      </c>
      <c r="AF57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1037.8771351429652</v>
      </c>
      <c r="AG574" s="78">
        <f>(Table1[[#This Row],[P (+ shock)]]+Table1[[#This Row],[P (-shock)]]-2*Table1[[#This Row],[Ask Price]])/(2*Table1[[#This Row],[Ask Price]]*($AF$2^2))</f>
        <v>9.1365966618423045</v>
      </c>
      <c r="AH574">
        <v>3.56551994361334</v>
      </c>
      <c r="AI574" s="6">
        <f t="shared" si="33"/>
        <v>0.11</v>
      </c>
      <c r="AK574" s="47">
        <f>RATE(Table1[[#This Row],[Total No. of Coupons]],Table1[[#This Row],[Coupon Amount]],-Table1[[#This Row],[Ask Price]],Table1[[#This Row],[Face value]])</f>
        <v>0.11000000000002166</v>
      </c>
      <c r="AL574" s="27">
        <f>Table1[[#This Row],[IRR]]*Table1[[#This Row],[Coupon Frequency2]]</f>
        <v>0.11000000000002166</v>
      </c>
      <c r="AM574" s="5">
        <f t="shared" si="34"/>
        <v>-3693.3945151468561</v>
      </c>
      <c r="AN574" t="s">
        <v>64</v>
      </c>
      <c r="AO574" t="s">
        <v>62</v>
      </c>
      <c r="AP574">
        <f t="shared" si="35"/>
        <v>1</v>
      </c>
    </row>
    <row r="575" spans="1:42" x14ac:dyDescent="0.35">
      <c r="A575" s="48" t="s">
        <v>131</v>
      </c>
      <c r="B575" s="49" t="s">
        <v>2867</v>
      </c>
      <c r="C575" s="49" t="s">
        <v>2273</v>
      </c>
      <c r="D575" s="50">
        <v>45681</v>
      </c>
      <c r="E575" s="50">
        <v>49333</v>
      </c>
      <c r="F575" s="49">
        <v>1000</v>
      </c>
      <c r="G575" s="49" t="s">
        <v>76</v>
      </c>
      <c r="H575" s="49">
        <v>999.98</v>
      </c>
      <c r="I575" s="49" t="s">
        <v>76</v>
      </c>
      <c r="J575" s="49">
        <v>99.998000000000005</v>
      </c>
      <c r="K575" s="49">
        <v>10</v>
      </c>
      <c r="L575" s="51">
        <v>0.11</v>
      </c>
      <c r="M575" s="49" t="s">
        <v>93</v>
      </c>
      <c r="N575" s="49">
        <v>3416</v>
      </c>
      <c r="O575" s="49">
        <v>11.000220004399999</v>
      </c>
      <c r="P575" s="49"/>
      <c r="Q575" s="49"/>
      <c r="R575" s="49" t="s">
        <v>2275</v>
      </c>
      <c r="S575">
        <f t="shared" si="32"/>
        <v>10</v>
      </c>
      <c r="T575" s="5" cm="1">
        <f t="array" ref="T5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5">
        <f>Table1[[#This Row],[Term to Maturity (Years)]]*Table1[[#This Row],[Coupon Frequency2]]</f>
        <v>10</v>
      </c>
      <c r="V575">
        <f>Table1[[#This Row],[Face value]]*Table1[[#This Row],[Current coupon %]]</f>
        <v>110</v>
      </c>
      <c r="W575" s="36">
        <f>RATE(Table1[[#This Row],[Total No. of Coupons]],Table1[[#This Row],[Coupon Amount]],-Table1[[#This Row],[Ask Price]],Table1[[#This Row],[Face value]])</f>
        <v>0.11000339607690261</v>
      </c>
      <c r="X575" s="27">
        <f>Table1[[#This Row],[IRR]]*Table1[[#This Row],[Coupon Frequency2]]</f>
        <v>0.11000339607690261</v>
      </c>
      <c r="Y575" s="19" cm="1">
        <f t="array" ref="Y5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5" s="33">
        <f>DURATION(Table1[[#This Row],[Issue date]],Table1[[#This Row],[Maturity date]],Table1[[#This Row],[Current coupon %]],Table1[[#This Row],[Yield (Annualised)]],Table1[[#This Row],[Coupon Frequency2]])</f>
        <v>6.537012096176845</v>
      </c>
      <c r="AA575" s="33">
        <f>Table1[[#This Row],[Macaulay Duration in Years]]/(1+Table1[[#This Row],[IRR]])</f>
        <v>5.8891820685240059</v>
      </c>
      <c r="AB575" s="58">
        <f>VLOOKUP(Table1[[#This Row],[Yield Cluster]],'Cluster Details'!$B$3:$C$16,2,0)</f>
        <v>0.11069942689191503</v>
      </c>
      <c r="AC575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75" s="58" t="str">
        <f>IF(Table1[[#This Row],[Ask Price]]&gt;Table1[[#This Row],[Calculated Bond Price]],"Rich","Cheap")</f>
        <v>Rich</v>
      </c>
      <c r="AE57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943.47936685558739</v>
      </c>
      <c r="AF57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1061.4239075112821</v>
      </c>
      <c r="AG575" s="78">
        <f>(Table1[[#This Row],[P (+ shock)]]+Table1[[#This Row],[P (-shock)]]-2*Table1[[#This Row],[Ask Price]])/(2*Table1[[#This Row],[Ask Price]]*($AF$2^2))</f>
        <v>24.716866171670659</v>
      </c>
      <c r="AH575">
        <v>9.5138164406280907</v>
      </c>
      <c r="AI575" s="6">
        <f t="shared" si="33"/>
        <v>0.11000220004400088</v>
      </c>
      <c r="AK575" s="47">
        <f>RATE(Table1[[#This Row],[Total No. of Coupons]],Table1[[#This Row],[Coupon Amount]],-Table1[[#This Row],[Ask Price]],Table1[[#This Row],[Face value]])</f>
        <v>0.11000339607690261</v>
      </c>
      <c r="AL575" s="27">
        <f>Table1[[#This Row],[IRR]]*Table1[[#This Row],[Coupon Frequency2]]</f>
        <v>0.11000339607690261</v>
      </c>
      <c r="AM575" s="5">
        <f t="shared" si="34"/>
        <v>-5889.0642848826355</v>
      </c>
      <c r="AN575" t="s">
        <v>69</v>
      </c>
      <c r="AO575" t="s">
        <v>62</v>
      </c>
      <c r="AP575">
        <f t="shared" si="35"/>
        <v>1</v>
      </c>
    </row>
    <row r="576" spans="1:42" x14ac:dyDescent="0.35">
      <c r="A576" s="48" t="s">
        <v>2870</v>
      </c>
      <c r="B576" s="49" t="s">
        <v>2871</v>
      </c>
      <c r="C576" s="49" t="s">
        <v>2273</v>
      </c>
      <c r="D576" s="50">
        <v>45862</v>
      </c>
      <c r="E576" s="50">
        <v>49514</v>
      </c>
      <c r="F576" s="49">
        <v>1000</v>
      </c>
      <c r="G576" s="49" t="s">
        <v>76</v>
      </c>
      <c r="H576" s="49">
        <v>970</v>
      </c>
      <c r="I576" s="49" t="s">
        <v>76</v>
      </c>
      <c r="J576" s="49">
        <v>97</v>
      </c>
      <c r="K576" s="49">
        <v>1</v>
      </c>
      <c r="L576" s="51">
        <v>0.105</v>
      </c>
      <c r="M576" s="49" t="s">
        <v>93</v>
      </c>
      <c r="N576" s="49">
        <v>3597</v>
      </c>
      <c r="O576" s="49">
        <v>10.8247422680412</v>
      </c>
      <c r="P576" s="49"/>
      <c r="Q576" s="49"/>
      <c r="R576" s="49" t="s">
        <v>2275</v>
      </c>
      <c r="S576">
        <f t="shared" si="32"/>
        <v>10</v>
      </c>
      <c r="T576" s="5" cm="1">
        <f t="array" ref="T5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6">
        <f>Table1[[#This Row],[Term to Maturity (Years)]]*Table1[[#This Row],[Coupon Frequency2]]</f>
        <v>10</v>
      </c>
      <c r="V576">
        <f>Table1[[#This Row],[Face value]]*Table1[[#This Row],[Current coupon %]]</f>
        <v>105</v>
      </c>
      <c r="W576" s="36">
        <f>RATE(Table1[[#This Row],[Total No. of Coupons]],Table1[[#This Row],[Coupon Amount]],-Table1[[#This Row],[Ask Price]],Table1[[#This Row],[Face value]])</f>
        <v>0.11009609560729074</v>
      </c>
      <c r="X576" s="27">
        <f>Table1[[#This Row],[IRR]]*Table1[[#This Row],[Coupon Frequency2]]</f>
        <v>0.11009609560729074</v>
      </c>
      <c r="Y576" s="19" cm="1">
        <f t="array" ref="Y5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6" s="33">
        <f>DURATION(Table1[[#This Row],[Issue date]],Table1[[#This Row],[Maturity date]],Table1[[#This Row],[Current coupon %]],Table1[[#This Row],[Yield (Annualised)]],Table1[[#This Row],[Coupon Frequency2]])</f>
        <v>6.593162704437538</v>
      </c>
      <c r="AA576" s="33">
        <f>Table1[[#This Row],[Macaulay Duration in Years]]/(1+Table1[[#This Row],[IRR]])</f>
        <v>5.9392720418773051</v>
      </c>
      <c r="AB576" s="58">
        <f>VLOOKUP(Table1[[#This Row],[Yield Cluster]],'Cluster Details'!$B$3:$C$16,2,0)</f>
        <v>0.11069942689191503</v>
      </c>
      <c r="AC576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966.53296632642775</v>
      </c>
      <c r="AD576" s="58" t="str">
        <f>IF(Table1[[#This Row],[Ask Price]]&gt;Table1[[#This Row],[Calculated Bond Price]],"Rich","Cheap")</f>
        <v>Rich</v>
      </c>
      <c r="AE57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914.73723478792658</v>
      </c>
      <c r="AF57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1030.119934556921</v>
      </c>
      <c r="AG576" s="78">
        <f>(Table1[[#This Row],[P (+ shock)]]+Table1[[#This Row],[P (-shock)]]-2*Table1[[#This Row],[Ask Price]])/(2*Table1[[#This Row],[Ask Price]]*($AF$2^2))</f>
        <v>25.036955385812032</v>
      </c>
      <c r="AH576">
        <v>9.58</v>
      </c>
      <c r="AI576" s="6">
        <f t="shared" si="33"/>
        <v>0.10824742268041238</v>
      </c>
      <c r="AK576" s="47">
        <f>RATE(Table1[[#This Row],[Total No. of Coupons]],Table1[[#This Row],[Coupon Amount]],-Table1[[#This Row],[Ask Price]],Table1[[#This Row],[Face value]])</f>
        <v>0.11009609560729074</v>
      </c>
      <c r="AL576" s="27">
        <f>Table1[[#This Row],[IRR]]*Table1[[#This Row],[Coupon Frequency2]]</f>
        <v>0.11009609560729074</v>
      </c>
      <c r="AM576" s="5">
        <f t="shared" si="34"/>
        <v>-5761.0938806209861</v>
      </c>
      <c r="AN576" t="s">
        <v>64</v>
      </c>
      <c r="AO576" t="s">
        <v>62</v>
      </c>
      <c r="AP576">
        <f t="shared" si="35"/>
        <v>1</v>
      </c>
    </row>
    <row r="577" spans="1:42" x14ac:dyDescent="0.35">
      <c r="A577" s="48" t="s">
        <v>438</v>
      </c>
      <c r="B577" s="49" t="s">
        <v>2872</v>
      </c>
      <c r="C577" s="49" t="s">
        <v>2273</v>
      </c>
      <c r="D577" s="50">
        <v>43973</v>
      </c>
      <c r="E577" s="50">
        <v>47686</v>
      </c>
      <c r="F577" s="49">
        <v>1000000</v>
      </c>
      <c r="G577" s="49" t="s">
        <v>76</v>
      </c>
      <c r="H577" s="49">
        <v>810000</v>
      </c>
      <c r="I577" s="49" t="s">
        <v>76</v>
      </c>
      <c r="J577" s="49">
        <v>81</v>
      </c>
      <c r="K577" s="49">
        <v>1</v>
      </c>
      <c r="L577" s="51">
        <v>7.7899999999999997E-2</v>
      </c>
      <c r="M577" s="49" t="s">
        <v>93</v>
      </c>
      <c r="N577" s="49">
        <v>1769</v>
      </c>
      <c r="O577" s="49">
        <v>9.6172839506172796</v>
      </c>
      <c r="P577" s="49" t="s">
        <v>2282</v>
      </c>
      <c r="Q577" s="49"/>
      <c r="R577" s="49" t="s">
        <v>2275</v>
      </c>
      <c r="S577">
        <f t="shared" si="32"/>
        <v>10</v>
      </c>
      <c r="T577" s="5" cm="1">
        <f t="array" ref="T5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7">
        <f>Table1[[#This Row],[Term to Maturity (Years)]]*Table1[[#This Row],[Coupon Frequency2]]</f>
        <v>10</v>
      </c>
      <c r="V577">
        <f>Table1[[#This Row],[Face value]]*Table1[[#This Row],[Current coupon %]]</f>
        <v>77900</v>
      </c>
      <c r="W577" s="36">
        <f>RATE(Table1[[#This Row],[Total No. of Coupons]],Table1[[#This Row],[Coupon Amount]],-Table1[[#This Row],[Ask Price]],Table1[[#This Row],[Face value]])</f>
        <v>0.11018766258838639</v>
      </c>
      <c r="X577" s="27">
        <f>Table1[[#This Row],[IRR]]*Table1[[#This Row],[Coupon Frequency2]]</f>
        <v>0.11018766258838639</v>
      </c>
      <c r="Y577" s="19" cm="1">
        <f t="array" ref="Y5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7" s="33">
        <f>DURATION(Table1[[#This Row],[Issue date]],Table1[[#This Row],[Maturity date]],Table1[[#This Row],[Current coupon %]],Table1[[#This Row],[Yield (Annualised)]],Table1[[#This Row],[Coupon Frequency2]])</f>
        <v>6.5287829456213871</v>
      </c>
      <c r="AA577" s="33">
        <f>Table1[[#This Row],[Macaulay Duration in Years]]/(1+Table1[[#This Row],[IRR]])</f>
        <v>5.8807921990410383</v>
      </c>
      <c r="AB577" s="58">
        <f>VLOOKUP(Table1[[#This Row],[Yield Cluster]],'Cluster Details'!$B$3:$C$16,2,0)</f>
        <v>0.11069942689191503</v>
      </c>
      <c r="AC577" s="78">
        <f>PRICE(Table1[[#This Row],[Issue date]],Table1[[#This Row],[Maturity date]],Table1[[#This Row],[Current coupon %]],Table1[[#This Row],[Average Cluster Yield]],100,Table1[[#This Row],[Coupon Frequency2]])*Table1[[#This Row],[Face value]]/100</f>
        <v>805028.55797414039</v>
      </c>
      <c r="AD577" s="58" t="str">
        <f>IF(Table1[[#This Row],[Ask Price]]&gt;Table1[[#This Row],[Calculated Bond Price]],"Rich","Cheap")</f>
        <v>Rich</v>
      </c>
      <c r="AE57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758507.86248533393</v>
      </c>
      <c r="AF57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861288.59790216724</v>
      </c>
      <c r="AG577" s="78">
        <f>(Table1[[#This Row],[P (+ shock)]]+Table1[[#This Row],[P (-shock)]]-2*Table1[[#This Row],[Ask Price]])/(2*Table1[[#This Row],[Ask Price]]*($AF$2^2))</f>
        <v>-1.2564173611039067</v>
      </c>
      <c r="AH577">
        <v>10.688268687295301</v>
      </c>
      <c r="AI577" s="6">
        <f t="shared" si="33"/>
        <v>9.6172839506172836E-2</v>
      </c>
      <c r="AK577" s="47">
        <f>RATE(Table1[[#This Row],[Total No. of Coupons]],Table1[[#This Row],[Coupon Amount]],-Table1[[#This Row],[Ask Price]],Table1[[#This Row],[Face value]])</f>
        <v>0.11018766258838639</v>
      </c>
      <c r="AL577" s="27">
        <f>Table1[[#This Row],[IRR]]*Table1[[#This Row],[Coupon Frequency2]]</f>
        <v>0.11018766258838639</v>
      </c>
      <c r="AM577" s="5">
        <f t="shared" si="34"/>
        <v>-4763441.6812232407</v>
      </c>
      <c r="AN577" t="s">
        <v>64</v>
      </c>
      <c r="AO577" t="s">
        <v>62</v>
      </c>
      <c r="AP577">
        <f t="shared" si="35"/>
        <v>1</v>
      </c>
    </row>
    <row r="578" spans="1:42" x14ac:dyDescent="0.35">
      <c r="A578" s="48" t="s">
        <v>2873</v>
      </c>
      <c r="B578" s="49" t="s">
        <v>2874</v>
      </c>
      <c r="C578" s="49" t="s">
        <v>2273</v>
      </c>
      <c r="D578" s="50">
        <v>45854</v>
      </c>
      <c r="E578" s="50">
        <v>46950</v>
      </c>
      <c r="F578" s="49">
        <v>1000</v>
      </c>
      <c r="G578" s="49" t="s">
        <v>76</v>
      </c>
      <c r="H578" s="49">
        <v>961.6</v>
      </c>
      <c r="I578" s="49" t="s">
        <v>76</v>
      </c>
      <c r="J578" s="49">
        <v>96.16</v>
      </c>
      <c r="K578" s="49">
        <v>1</v>
      </c>
      <c r="L578" s="51">
        <v>9.4499999999999987E-2</v>
      </c>
      <c r="M578" s="49" t="s">
        <v>93</v>
      </c>
      <c r="N578" s="49">
        <v>1033</v>
      </c>
      <c r="O578" s="49">
        <v>9.8273710482529104</v>
      </c>
      <c r="P578" s="49"/>
      <c r="Q578" s="49"/>
      <c r="R578" s="49" t="s">
        <v>2275</v>
      </c>
      <c r="S578">
        <f t="shared" si="32"/>
        <v>3</v>
      </c>
      <c r="T578" s="5" cm="1">
        <f t="array" ref="T5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8">
        <f>Table1[[#This Row],[Term to Maturity (Years)]]*Table1[[#This Row],[Coupon Frequency2]]</f>
        <v>3</v>
      </c>
      <c r="V578">
        <f>Table1[[#This Row],[Face value]]*Table1[[#This Row],[Current coupon %]]</f>
        <v>94.499999999999986</v>
      </c>
      <c r="W578" s="36">
        <f>RATE(Table1[[#This Row],[Total No. of Coupons]],Table1[[#This Row],[Coupon Amount]],-Table1[[#This Row],[Ask Price]],Table1[[#This Row],[Face value]])</f>
        <v>0.11021978905430774</v>
      </c>
      <c r="X578" s="27">
        <f>Table1[[#This Row],[IRR]]*Table1[[#This Row],[Coupon Frequency2]]</f>
        <v>0.11021978905430774</v>
      </c>
      <c r="Y578" s="19" cm="1">
        <f t="array" ref="Y5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8" s="33">
        <f>DURATION(Table1[[#This Row],[Issue date]],Table1[[#This Row],[Maturity date]],Table1[[#This Row],[Current coupon %]],Table1[[#This Row],[Yield (Annualised)]],Table1[[#This Row],[Coupon Frequency2]])</f>
        <v>2.7432357350073104</v>
      </c>
      <c r="AA578" s="33">
        <f>Table1[[#This Row],[Macaulay Duration in Years]]/(1+Table1[[#This Row],[IRR]])</f>
        <v>2.4708942878274724</v>
      </c>
      <c r="AB578" s="58">
        <f>VLOOKUP(Table1[[#This Row],[Yield Cluster]],'Cluster Details'!$B$3:$C$16,2,0)</f>
        <v>0.11069942689191503</v>
      </c>
      <c r="AC578" s="78">
        <f>PRICE(Table1[[#This Row],[Issue date]],Table1[[#This Row],[Maturity date]],Table1[[#This Row],[Current coupon %]],Table1[[#This Row],[Average Cluster Yield]],100,Table1[[#This Row],[Coupon Frequency2]])*Table1[[#This Row],[Face value]]/100</f>
        <v>960.46132857857015</v>
      </c>
      <c r="AD578" s="58" t="str">
        <f>IF(Table1[[#This Row],[Ask Price]]&gt;Table1[[#This Row],[Calculated Bond Price]],"Rich","Cheap")</f>
        <v>Rich</v>
      </c>
      <c r="AE57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938.24873033518418</v>
      </c>
      <c r="AF57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985.7812333354982</v>
      </c>
      <c r="AG578" s="78">
        <f>(Table1[[#This Row],[P (+ shock)]]+Table1[[#This Row],[P (-shock)]]-2*Table1[[#This Row],[Ask Price]])/(2*Table1[[#This Row],[Ask Price]]*($AF$2^2))</f>
        <v>4.3155348933143634</v>
      </c>
      <c r="AI578" s="6">
        <f t="shared" si="33"/>
        <v>9.82737104825291E-2</v>
      </c>
      <c r="AK578" s="47">
        <f>RATE(Table1[[#This Row],[Total No. of Coupons]],Table1[[#This Row],[Coupon Amount]],-Table1[[#This Row],[Ask Price]],Table1[[#This Row],[Face value]])</f>
        <v>0.11021978905430774</v>
      </c>
      <c r="AL578" s="27">
        <f>Table1[[#This Row],[IRR]]*Table1[[#This Row],[Coupon Frequency2]]</f>
        <v>0.11021978905430774</v>
      </c>
      <c r="AM578" s="5">
        <f t="shared" si="34"/>
        <v>-2376.0119471748976</v>
      </c>
      <c r="AN578" t="s">
        <v>69</v>
      </c>
      <c r="AO578" t="s">
        <v>62</v>
      </c>
      <c r="AP578">
        <f t="shared" si="35"/>
        <v>1</v>
      </c>
    </row>
    <row r="579" spans="1:42" x14ac:dyDescent="0.35">
      <c r="A579" s="48" t="s">
        <v>167</v>
      </c>
      <c r="B579" s="49" t="s">
        <v>2863</v>
      </c>
      <c r="C579" s="49" t="s">
        <v>2273</v>
      </c>
      <c r="D579" s="50">
        <v>45411</v>
      </c>
      <c r="E579" s="50">
        <v>49063</v>
      </c>
      <c r="F579" s="49">
        <v>1000</v>
      </c>
      <c r="G579" s="49" t="s">
        <v>76</v>
      </c>
      <c r="H579" s="49">
        <v>965</v>
      </c>
      <c r="I579" s="49" t="s">
        <v>76</v>
      </c>
      <c r="J579" s="49">
        <v>96.5</v>
      </c>
      <c r="K579" s="49">
        <v>133</v>
      </c>
      <c r="L579" s="51">
        <v>0.1045</v>
      </c>
      <c r="M579" s="49" t="s">
        <v>93</v>
      </c>
      <c r="N579" s="49">
        <v>3146</v>
      </c>
      <c r="O579" s="49">
        <v>10.8290155440414</v>
      </c>
      <c r="P579" s="49"/>
      <c r="Q579" s="49"/>
      <c r="R579" s="49" t="s">
        <v>2275</v>
      </c>
      <c r="S579">
        <f t="shared" si="32"/>
        <v>10</v>
      </c>
      <c r="T579" s="5" cm="1">
        <f t="array" ref="T5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79">
        <f>Table1[[#This Row],[Term to Maturity (Years)]]*Table1[[#This Row],[Coupon Frequency2]]</f>
        <v>10</v>
      </c>
      <c r="V579">
        <f>Table1[[#This Row],[Face value]]*Table1[[#This Row],[Current coupon %]]</f>
        <v>104.5</v>
      </c>
      <c r="W579" s="36">
        <f>RATE(Table1[[#This Row],[Total No. of Coupons]],Table1[[#This Row],[Coupon Amount]],-Table1[[#This Row],[Ask Price]],Table1[[#This Row],[Face value]])</f>
        <v>0.11045437770882011</v>
      </c>
      <c r="X579" s="27">
        <f>Table1[[#This Row],[IRR]]*Table1[[#This Row],[Coupon Frequency2]]</f>
        <v>0.11045437770882011</v>
      </c>
      <c r="Y579" s="19" cm="1">
        <f t="array" ref="Y5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79" s="33">
        <f>DURATION(Table1[[#This Row],[Issue date]],Table1[[#This Row],[Maturity date]],Table1[[#This Row],[Current coupon %]],Table1[[#This Row],[Yield (Annualised)]],Table1[[#This Row],[Coupon Frequency2]])</f>
        <v>6.5953259106698283</v>
      </c>
      <c r="AA579" s="33">
        <f>Table1[[#This Row],[Macaulay Duration in Years]]/(1+Table1[[#This Row],[IRR]])</f>
        <v>5.939303804878362</v>
      </c>
      <c r="AB579" s="58">
        <f>VLOOKUP(Table1[[#This Row],[Yield Cluster]],'Cluster Details'!$B$3:$C$16,2,0)</f>
        <v>0.11069942689191503</v>
      </c>
      <c r="AC579" s="78">
        <f>PRICE(Table1[[#This Row],[Issue date]],Table1[[#This Row],[Maturity date]],Table1[[#This Row],[Current coupon %]],Table1[[#This Row],[Average Cluster Yield]],100,Table1[[#This Row],[Coupon Frequency2]])*Table1[[#This Row],[Face value]]/100</f>
        <v>963.59696641729215</v>
      </c>
      <c r="AD579" s="58" t="str">
        <f>IF(Table1[[#This Row],[Ask Price]]&gt;Table1[[#This Row],[Calculated Bond Price]],"Rich","Cheap")</f>
        <v>Rich</v>
      </c>
      <c r="AE57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910.02162889278861</v>
      </c>
      <c r="AF57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1024.8101489428786</v>
      </c>
      <c r="AG579" s="78">
        <f>(Table1[[#This Row],[P (+ shock)]]+Table1[[#This Row],[P (-shock)]]-2*Table1[[#This Row],[Ask Price]])/(2*Table1[[#This Row],[Ask Price]]*($AF$2^2))</f>
        <v>25.035118319519448</v>
      </c>
      <c r="AH579">
        <v>12.0369232869232</v>
      </c>
      <c r="AI579" s="6">
        <f t="shared" si="33"/>
        <v>0.10829015544041451</v>
      </c>
      <c r="AK579" s="47">
        <f>RATE(Table1[[#This Row],[Total No. of Coupons]],Table1[[#This Row],[Coupon Amount]],-Table1[[#This Row],[Ask Price]],Table1[[#This Row],[Face value]])</f>
        <v>0.11045437770882011</v>
      </c>
      <c r="AL579" s="27">
        <f>Table1[[#This Row],[IRR]]*Table1[[#This Row],[Coupon Frequency2]]</f>
        <v>0.11045437770882011</v>
      </c>
      <c r="AM579" s="5">
        <f t="shared" si="34"/>
        <v>-5731.4281717076192</v>
      </c>
      <c r="AN579" t="s">
        <v>64</v>
      </c>
      <c r="AO579" t="s">
        <v>62</v>
      </c>
      <c r="AP579">
        <f t="shared" si="35"/>
        <v>1</v>
      </c>
    </row>
    <row r="580" spans="1:42" x14ac:dyDescent="0.35">
      <c r="A580" s="48" t="s">
        <v>2875</v>
      </c>
      <c r="B580" s="49" t="s">
        <v>2876</v>
      </c>
      <c r="C580" s="49" t="s">
        <v>2273</v>
      </c>
      <c r="D580" s="50">
        <v>45827</v>
      </c>
      <c r="E580" s="50">
        <v>47288</v>
      </c>
      <c r="F580" s="49">
        <v>100000</v>
      </c>
      <c r="G580" s="49" t="s">
        <v>76</v>
      </c>
      <c r="H580" s="49">
        <v>94995.93</v>
      </c>
      <c r="I580" s="49" t="s">
        <v>76</v>
      </c>
      <c r="J580" s="49">
        <v>94.995930000000001</v>
      </c>
      <c r="K580" s="49">
        <v>20</v>
      </c>
      <c r="L580" s="51">
        <v>9.4499999999999987E-2</v>
      </c>
      <c r="M580" s="49" t="s">
        <v>93</v>
      </c>
      <c r="N580" s="49">
        <v>1371</v>
      </c>
      <c r="O580" s="49">
        <v>9.9477946055162505</v>
      </c>
      <c r="P580" s="49" t="s">
        <v>2279</v>
      </c>
      <c r="Q580" s="49"/>
      <c r="R580" s="49" t="s">
        <v>2275</v>
      </c>
      <c r="S580">
        <f t="shared" ref="S580:S643" si="36">ROUND(YEARFRAC(D580,E580),0)</f>
        <v>4</v>
      </c>
      <c r="T580" s="5" cm="1">
        <f t="array" ref="T5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0">
        <f>Table1[[#This Row],[Term to Maturity (Years)]]*Table1[[#This Row],[Coupon Frequency2]]</f>
        <v>4</v>
      </c>
      <c r="V580">
        <f>Table1[[#This Row],[Face value]]*Table1[[#This Row],[Current coupon %]]</f>
        <v>9449.9999999999982</v>
      </c>
      <c r="W580" s="36">
        <f>RATE(Table1[[#This Row],[Total No. of Coupons]],Table1[[#This Row],[Coupon Amount]],-Table1[[#This Row],[Ask Price]],Table1[[#This Row],[Face value]])</f>
        <v>0.11065189156293892</v>
      </c>
      <c r="X580" s="27">
        <f>Table1[[#This Row],[IRR]]*Table1[[#This Row],[Coupon Frequency2]]</f>
        <v>0.11065189156293892</v>
      </c>
      <c r="Y580" s="19" cm="1">
        <f t="array" ref="Y5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0" s="33">
        <f>DURATION(Table1[[#This Row],[Issue date]],Table1[[#This Row],[Maturity date]],Table1[[#This Row],[Current coupon %]],Table1[[#This Row],[Yield (Annualised)]],Table1[[#This Row],[Coupon Frequency2]])</f>
        <v>3.4974015140224299</v>
      </c>
      <c r="AA580" s="33">
        <f>Table1[[#This Row],[Macaulay Duration in Years]]/(1+Table1[[#This Row],[IRR]])</f>
        <v>3.1489628213758261</v>
      </c>
      <c r="AB580" s="58">
        <f>VLOOKUP(Table1[[#This Row],[Yield Cluster]],'Cluster Details'!$B$3:$C$16,2,0)</f>
        <v>0.11069942689191503</v>
      </c>
      <c r="AC580" s="78">
        <f>PRICE(Table1[[#This Row],[Issue date]],Table1[[#This Row],[Maturity date]],Table1[[#This Row],[Current coupon %]],Table1[[#This Row],[Average Cluster Yield]],100,Table1[[#This Row],[Coupon Frequency2]])*Table1[[#This Row],[Face value]]/100</f>
        <v>94981.711796744334</v>
      </c>
      <c r="AD580" s="58" t="str">
        <f>IF(Table1[[#This Row],[Ask Price]]&gt;Table1[[#This Row],[Calculated Bond Price]],"Rich","Cheap")</f>
        <v>Rich</v>
      </c>
      <c r="AE58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92067.65037231888</v>
      </c>
      <c r="AF58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98052.681805649365</v>
      </c>
      <c r="AG580" s="78">
        <f>(Table1[[#This Row],[P (+ shock)]]+Table1[[#This Row],[P (-shock)]]-2*Table1[[#This Row],[Ask Price]])/(2*Table1[[#This Row],[Ask Price]]*($AF$2^2))</f>
        <v>6.761983274875254</v>
      </c>
      <c r="AH580">
        <v>11</v>
      </c>
      <c r="AI580" s="6">
        <f t="shared" ref="AI580:AI643" si="37">(L580*F580)/H580</f>
        <v>9.9477946055162567E-2</v>
      </c>
      <c r="AK580" s="47">
        <f>RATE(Table1[[#This Row],[Total No. of Coupons]],Table1[[#This Row],[Coupon Amount]],-Table1[[#This Row],[Ask Price]],Table1[[#This Row],[Face value]])</f>
        <v>0.11065189156293892</v>
      </c>
      <c r="AL580" s="27">
        <f>Table1[[#This Row],[IRR]]*Table1[[#This Row],[Coupon Frequency2]]</f>
        <v>0.11065189156293892</v>
      </c>
      <c r="AM580" s="5">
        <f t="shared" ref="AM580:AM643" si="38">-AA580*H580</f>
        <v>-299138.65175202047</v>
      </c>
      <c r="AN580" t="s">
        <v>64</v>
      </c>
      <c r="AO580" t="s">
        <v>62</v>
      </c>
      <c r="AP580">
        <f t="shared" ref="AP580:AP643" si="39">_xlfn.SWITCH(PROPER(TRIM(M580)),
   "Annual",1,
   "Semi-Annual",2,
   "Quarterly",4,
   "Monthly",12,
   "")</f>
        <v>1</v>
      </c>
    </row>
    <row r="581" spans="1:42" x14ac:dyDescent="0.35">
      <c r="A581" s="48" t="s">
        <v>2877</v>
      </c>
      <c r="B581" s="49" t="s">
        <v>2871</v>
      </c>
      <c r="C581" s="49" t="s">
        <v>2273</v>
      </c>
      <c r="D581" s="50">
        <v>45862</v>
      </c>
      <c r="E581" s="50">
        <v>49514</v>
      </c>
      <c r="F581" s="49">
        <v>1000</v>
      </c>
      <c r="G581" s="49" t="s">
        <v>76</v>
      </c>
      <c r="H581" s="49">
        <v>965.72</v>
      </c>
      <c r="I581" s="49" t="s">
        <v>76</v>
      </c>
      <c r="J581" s="49">
        <v>96.572000000000003</v>
      </c>
      <c r="K581" s="49">
        <v>32</v>
      </c>
      <c r="L581" s="51">
        <v>0.105</v>
      </c>
      <c r="M581" s="49" t="s">
        <v>93</v>
      </c>
      <c r="N581" s="49">
        <v>3597</v>
      </c>
      <c r="O581" s="49">
        <v>10.8727167294868</v>
      </c>
      <c r="P581" s="49"/>
      <c r="Q581" s="49"/>
      <c r="R581" s="49" t="s">
        <v>2275</v>
      </c>
      <c r="S581">
        <f t="shared" si="36"/>
        <v>10</v>
      </c>
      <c r="T581" s="5" cm="1">
        <f t="array" ref="T5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1">
        <f>Table1[[#This Row],[Term to Maturity (Years)]]*Table1[[#This Row],[Coupon Frequency2]]</f>
        <v>10</v>
      </c>
      <c r="V581">
        <f>Table1[[#This Row],[Face value]]*Table1[[#This Row],[Current coupon %]]</f>
        <v>105</v>
      </c>
      <c r="W581" s="36">
        <f>RATE(Table1[[#This Row],[Total No. of Coupons]],Table1[[#This Row],[Coupon Amount]],-Table1[[#This Row],[Ask Price]],Table1[[#This Row],[Face value]])</f>
        <v>0.11084134341896408</v>
      </c>
      <c r="X581" s="27">
        <f>Table1[[#This Row],[IRR]]*Table1[[#This Row],[Coupon Frequency2]]</f>
        <v>0.11084134341896408</v>
      </c>
      <c r="Y581" s="19" cm="1">
        <f t="array" ref="Y5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1" s="33">
        <f>DURATION(Table1[[#This Row],[Issue date]],Table1[[#This Row],[Maturity date]],Table1[[#This Row],[Current coupon %]],Table1[[#This Row],[Yield (Annualised)]],Table1[[#This Row],[Coupon Frequency2]])</f>
        <v>6.5853833820022771</v>
      </c>
      <c r="AA581" s="33">
        <f>Table1[[#This Row],[Macaulay Duration in Years]]/(1+Table1[[#This Row],[IRR]])</f>
        <v>5.9282843774374525</v>
      </c>
      <c r="AB581" s="58">
        <f>VLOOKUP(Table1[[#This Row],[Yield Cluster]],'Cluster Details'!$B$3:$C$16,2,0)</f>
        <v>0.11069942689191503</v>
      </c>
      <c r="AC581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966.53296632642775</v>
      </c>
      <c r="AD581" s="58" t="str">
        <f>IF(Table1[[#This Row],[Ask Price]]&gt;Table1[[#This Row],[Calculated Bond Price]],"Rich","Cheap")</f>
        <v>Cheap</v>
      </c>
      <c r="AE58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910.80029799034787</v>
      </c>
      <c r="AF58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1025.4610481222091</v>
      </c>
      <c r="AG581" s="78">
        <f>(Table1[[#This Row],[P (+ shock)]]+Table1[[#This Row],[P (-shock)]]-2*Table1[[#This Row],[Ask Price]])/(2*Table1[[#This Row],[Ask Price]]*($AF$2^2))</f>
        <v>24.962443112687769</v>
      </c>
      <c r="AI581" s="6">
        <f t="shared" si="37"/>
        <v>0.10872716729486807</v>
      </c>
      <c r="AK581" s="47">
        <f>RATE(Table1[[#This Row],[Total No. of Coupons]],Table1[[#This Row],[Coupon Amount]],-Table1[[#This Row],[Ask Price]],Table1[[#This Row],[Face value]])</f>
        <v>0.11084134341896408</v>
      </c>
      <c r="AL581" s="27">
        <f>Table1[[#This Row],[IRR]]*Table1[[#This Row],[Coupon Frequency2]]</f>
        <v>0.11084134341896408</v>
      </c>
      <c r="AM581" s="5">
        <f t="shared" si="38"/>
        <v>-5725.0627889788966</v>
      </c>
      <c r="AN581" t="s">
        <v>64</v>
      </c>
      <c r="AO581" t="s">
        <v>62</v>
      </c>
      <c r="AP581">
        <f t="shared" si="39"/>
        <v>1</v>
      </c>
    </row>
    <row r="582" spans="1:42" x14ac:dyDescent="0.35">
      <c r="A582" s="48" t="s">
        <v>161</v>
      </c>
      <c r="B582" s="49" t="s">
        <v>2878</v>
      </c>
      <c r="C582" s="49" t="s">
        <v>2273</v>
      </c>
      <c r="D582" s="50">
        <v>45443</v>
      </c>
      <c r="E582" s="50">
        <v>49095</v>
      </c>
      <c r="F582" s="49">
        <v>1000</v>
      </c>
      <c r="G582" s="49" t="s">
        <v>76</v>
      </c>
      <c r="H582" s="49">
        <v>980.1</v>
      </c>
      <c r="I582" s="49" t="s">
        <v>76</v>
      </c>
      <c r="J582" s="49">
        <v>98.009999999999906</v>
      </c>
      <c r="K582" s="49">
        <v>1</v>
      </c>
      <c r="L582" s="51">
        <v>0.1075</v>
      </c>
      <c r="M582" s="49" t="s">
        <v>93</v>
      </c>
      <c r="N582" s="49">
        <v>3178</v>
      </c>
      <c r="O582" s="49">
        <v>10.968268544026101</v>
      </c>
      <c r="P582" s="49" t="s">
        <v>2279</v>
      </c>
      <c r="Q582" s="49"/>
      <c r="R582" s="49" t="s">
        <v>2275</v>
      </c>
      <c r="S582">
        <f t="shared" si="36"/>
        <v>10</v>
      </c>
      <c r="T582" s="5" cm="1">
        <f t="array" ref="T5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2">
        <f>Table1[[#This Row],[Term to Maturity (Years)]]*Table1[[#This Row],[Coupon Frequency2]]</f>
        <v>10</v>
      </c>
      <c r="V582">
        <f>Table1[[#This Row],[Face value]]*Table1[[#This Row],[Current coupon %]]</f>
        <v>107.5</v>
      </c>
      <c r="W582" s="36">
        <f>RATE(Table1[[#This Row],[Total No. of Coupons]],Table1[[#This Row],[Coupon Amount]],-Table1[[#This Row],[Ask Price]],Table1[[#This Row],[Face value]])</f>
        <v>0.1108916927328564</v>
      </c>
      <c r="X582" s="27">
        <f>Table1[[#This Row],[IRR]]*Table1[[#This Row],[Coupon Frequency2]]</f>
        <v>0.1108916927328564</v>
      </c>
      <c r="Y582" s="19" cm="1">
        <f t="array" ref="Y5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2" s="33">
        <f>DURATION(Table1[[#This Row],[Issue date]],Table1[[#This Row],[Maturity date]],Table1[[#This Row],[Current coupon %]],Table1[[#This Row],[Yield (Annualised)]],Table1[[#This Row],[Coupon Frequency2]])</f>
        <v>6.5558728585607939</v>
      </c>
      <c r="AA582" s="33">
        <f>Table1[[#This Row],[Macaulay Duration in Years]]/(1+Table1[[#This Row],[IRR]])</f>
        <v>5.9014509708259455</v>
      </c>
      <c r="AB582" s="58">
        <f>VLOOKUP(Table1[[#This Row],[Yield Cluster]],'Cluster Details'!$B$3:$C$16,2,0)</f>
        <v>0.11069942689191503</v>
      </c>
      <c r="AC582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82" s="58" t="str">
        <f>IF(Table1[[#This Row],[Ask Price]]&gt;Table1[[#This Row],[Calculated Bond Price]],"Rich","Cheap")</f>
        <v>Cheap</v>
      </c>
      <c r="AE58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924.60933960300201</v>
      </c>
      <c r="AF58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1040.4501102491074</v>
      </c>
      <c r="AG582" s="78">
        <f>(Table1[[#This Row],[P (+ shock)]]+Table1[[#This Row],[P (-shock)]]-2*Table1[[#This Row],[Ask Price]])/(2*Table1[[#This Row],[Ask Price]]*($AF$2^2))</f>
        <v>24.790581839146473</v>
      </c>
      <c r="AH582">
        <v>7.7937240134933701</v>
      </c>
      <c r="AI582" s="6">
        <f t="shared" si="37"/>
        <v>0.10968268544026119</v>
      </c>
      <c r="AK582" s="47">
        <f>RATE(Table1[[#This Row],[Total No. of Coupons]],Table1[[#This Row],[Coupon Amount]],-Table1[[#This Row],[Ask Price]],Table1[[#This Row],[Face value]])</f>
        <v>0.1108916927328564</v>
      </c>
      <c r="AL582" s="27">
        <f>Table1[[#This Row],[IRR]]*Table1[[#This Row],[Coupon Frequency2]]</f>
        <v>0.1108916927328564</v>
      </c>
      <c r="AM582" s="5">
        <f t="shared" si="38"/>
        <v>-5784.0120965065089</v>
      </c>
      <c r="AN582" t="s">
        <v>64</v>
      </c>
      <c r="AO582" t="s">
        <v>62</v>
      </c>
      <c r="AP582">
        <f t="shared" si="39"/>
        <v>1</v>
      </c>
    </row>
    <row r="583" spans="1:42" x14ac:dyDescent="0.35">
      <c r="A583" s="48" t="s">
        <v>129</v>
      </c>
      <c r="B583" s="49" t="s">
        <v>2879</v>
      </c>
      <c r="C583" s="49" t="s">
        <v>2273</v>
      </c>
      <c r="D583" s="50">
        <v>45735</v>
      </c>
      <c r="E583" s="50">
        <v>49387</v>
      </c>
      <c r="F583" s="49">
        <v>1000</v>
      </c>
      <c r="G583" s="49" t="s">
        <v>76</v>
      </c>
      <c r="H583" s="49">
        <v>980</v>
      </c>
      <c r="I583" s="49" t="s">
        <v>76</v>
      </c>
      <c r="J583" s="49">
        <v>98</v>
      </c>
      <c r="K583" s="49">
        <v>191</v>
      </c>
      <c r="L583" s="51">
        <v>0.1075</v>
      </c>
      <c r="M583" s="49" t="s">
        <v>93</v>
      </c>
      <c r="N583" s="49">
        <v>3470</v>
      </c>
      <c r="O583" s="49">
        <v>10.969387755102</v>
      </c>
      <c r="P583" s="49" t="s">
        <v>2279</v>
      </c>
      <c r="Q583" s="49"/>
      <c r="R583" s="49" t="s">
        <v>2275</v>
      </c>
      <c r="S583">
        <f t="shared" si="36"/>
        <v>10</v>
      </c>
      <c r="T583" s="5" cm="1">
        <f t="array" ref="T5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3">
        <f>Table1[[#This Row],[Term to Maturity (Years)]]*Table1[[#This Row],[Coupon Frequency2]]</f>
        <v>10</v>
      </c>
      <c r="V583">
        <f>Table1[[#This Row],[Face value]]*Table1[[#This Row],[Current coupon %]]</f>
        <v>107.5</v>
      </c>
      <c r="W583" s="36">
        <f>RATE(Table1[[#This Row],[Total No. of Coupons]],Table1[[#This Row],[Coupon Amount]],-Table1[[#This Row],[Ask Price]],Table1[[#This Row],[Face value]])</f>
        <v>0.11090898302461551</v>
      </c>
      <c r="X583" s="27">
        <f>Table1[[#This Row],[IRR]]*Table1[[#This Row],[Coupon Frequency2]]</f>
        <v>0.11090898302461551</v>
      </c>
      <c r="Y583" s="19" cm="1">
        <f t="array" ref="Y5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3" s="33">
        <f>DURATION(Table1[[#This Row],[Issue date]],Table1[[#This Row],[Maturity date]],Table1[[#This Row],[Current coupon %]],Table1[[#This Row],[Yield (Annualised)]],Table1[[#This Row],[Coupon Frequency2]])</f>
        <v>6.555692379385758</v>
      </c>
      <c r="AA583" s="33">
        <f>Table1[[#This Row],[Macaulay Duration in Years]]/(1+Table1[[#This Row],[IRR]])</f>
        <v>5.9011966592770788</v>
      </c>
      <c r="AB583" s="58">
        <f>VLOOKUP(Table1[[#This Row],[Yield Cluster]],'Cluster Details'!$B$3:$C$16,2,0)</f>
        <v>0.11069942689191503</v>
      </c>
      <c r="AC583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83" s="58" t="str">
        <f>IF(Table1[[#This Row],[Ask Price]]&gt;Table1[[#This Row],[Calculated Bond Price]],"Rich","Cheap")</f>
        <v>Cheap</v>
      </c>
      <c r="AE58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924.51733223790598</v>
      </c>
      <c r="AF58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1040.3412846423366</v>
      </c>
      <c r="AG583" s="78">
        <f>(Table1[[#This Row],[P (+ shock)]]+Table1[[#This Row],[P (-shock)]]-2*Table1[[#This Row],[Ask Price]])/(2*Table1[[#This Row],[Ask Price]]*($AF$2^2))</f>
        <v>24.788861633890853</v>
      </c>
      <c r="AH583">
        <v>8.9040270369314705</v>
      </c>
      <c r="AI583" s="6">
        <f t="shared" si="37"/>
        <v>0.10969387755102041</v>
      </c>
      <c r="AK583" s="47">
        <f>RATE(Table1[[#This Row],[Total No. of Coupons]],Table1[[#This Row],[Coupon Amount]],-Table1[[#This Row],[Ask Price]],Table1[[#This Row],[Face value]])</f>
        <v>0.11090898302461551</v>
      </c>
      <c r="AL583" s="27">
        <f>Table1[[#This Row],[IRR]]*Table1[[#This Row],[Coupon Frequency2]]</f>
        <v>0.11090898302461551</v>
      </c>
      <c r="AM583" s="5">
        <f t="shared" si="38"/>
        <v>-5783.1727260915368</v>
      </c>
      <c r="AN583" t="s">
        <v>64</v>
      </c>
      <c r="AO583" t="s">
        <v>62</v>
      </c>
      <c r="AP583">
        <f t="shared" si="39"/>
        <v>1</v>
      </c>
    </row>
    <row r="584" spans="1:42" x14ac:dyDescent="0.35">
      <c r="A584" s="48" t="s">
        <v>2880</v>
      </c>
      <c r="B584" s="49" t="s">
        <v>2881</v>
      </c>
      <c r="C584" s="49" t="s">
        <v>2273</v>
      </c>
      <c r="D584" s="50">
        <v>45512</v>
      </c>
      <c r="E584" s="50">
        <v>46606</v>
      </c>
      <c r="F584" s="49">
        <v>1000</v>
      </c>
      <c r="G584" s="49" t="s">
        <v>76</v>
      </c>
      <c r="H584" s="49">
        <v>985</v>
      </c>
      <c r="I584" s="49" t="s">
        <v>76</v>
      </c>
      <c r="J584" s="49">
        <v>98.5</v>
      </c>
      <c r="K584" s="49">
        <v>25</v>
      </c>
      <c r="L584" s="51">
        <v>0.105</v>
      </c>
      <c r="M584" s="49" t="s">
        <v>93</v>
      </c>
      <c r="N584" s="49">
        <v>689</v>
      </c>
      <c r="O584" s="49">
        <v>10.6598984771573</v>
      </c>
      <c r="P584" s="49"/>
      <c r="Q584" s="49"/>
      <c r="R584" s="49" t="s">
        <v>2275</v>
      </c>
      <c r="S584">
        <f t="shared" si="36"/>
        <v>3</v>
      </c>
      <c r="T584" s="5" cm="1">
        <f t="array" ref="T5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4">
        <f>Table1[[#This Row],[Term to Maturity (Years)]]*Table1[[#This Row],[Coupon Frequency2]]</f>
        <v>3</v>
      </c>
      <c r="V584">
        <f>Table1[[#This Row],[Face value]]*Table1[[#This Row],[Current coupon %]]</f>
        <v>105</v>
      </c>
      <c r="W584" s="36">
        <f>RATE(Table1[[#This Row],[Total No. of Coupons]],Table1[[#This Row],[Coupon Amount]],-Table1[[#This Row],[Ask Price]],Table1[[#This Row],[Face value]])</f>
        <v>0.11115048206727375</v>
      </c>
      <c r="X584" s="27">
        <f>Table1[[#This Row],[IRR]]*Table1[[#This Row],[Coupon Frequency2]]</f>
        <v>0.11115048206727375</v>
      </c>
      <c r="Y584" s="19" cm="1">
        <f t="array" ref="Y5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4" s="33">
        <f>DURATION(Table1[[#This Row],[Issue date]],Table1[[#This Row],[Maturity date]],Table1[[#This Row],[Current coupon %]],Table1[[#This Row],[Yield (Annualised)]],Table1[[#This Row],[Coupon Frequency2]])</f>
        <v>2.7190117894726678</v>
      </c>
      <c r="AA584" s="33">
        <f>Table1[[#This Row],[Macaulay Duration in Years]]/(1+Table1[[#This Row],[IRR]])</f>
        <v>2.4470239030216678</v>
      </c>
      <c r="AB584" s="58">
        <f>VLOOKUP(Table1[[#This Row],[Yield Cluster]],'Cluster Details'!$B$3:$C$16,2,0)</f>
        <v>0.11069942689191503</v>
      </c>
      <c r="AC584" s="78">
        <f>PRICE(Table1[[#This Row],[Issue date]],Table1[[#This Row],[Maturity date]],Table1[[#This Row],[Current coupon %]],Table1[[#This Row],[Average Cluster Yield]],100,Table1[[#This Row],[Coupon Frequency2]])*Table1[[#This Row],[Face value]]/100</f>
        <v>986.08510890574462</v>
      </c>
      <c r="AD584" s="58" t="str">
        <f>IF(Table1[[#This Row],[Ask Price]]&gt;Table1[[#This Row],[Calculated Bond Price]],"Rich","Cheap")</f>
        <v>Cheap</v>
      </c>
      <c r="AE58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961.29956542944319</v>
      </c>
      <c r="AF58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1009.5324055864717</v>
      </c>
      <c r="AG584" s="78">
        <f>(Table1[[#This Row],[P (+ shock)]]+Table1[[#This Row],[P (-shock)]]-2*Table1[[#This Row],[Ask Price]])/(2*Table1[[#This Row],[Ask Price]]*($AF$2^2))</f>
        <v>4.2232031264713701</v>
      </c>
      <c r="AH584">
        <v>12.060737586785701</v>
      </c>
      <c r="AI584" s="6">
        <f t="shared" si="37"/>
        <v>0.1065989847715736</v>
      </c>
      <c r="AK584" s="47">
        <f>RATE(Table1[[#This Row],[Total No. of Coupons]],Table1[[#This Row],[Coupon Amount]],-Table1[[#This Row],[Ask Price]],Table1[[#This Row],[Face value]])</f>
        <v>0.11115048206727375</v>
      </c>
      <c r="AL584" s="27">
        <f>Table1[[#This Row],[IRR]]*Table1[[#This Row],[Coupon Frequency2]]</f>
        <v>0.11115048206727375</v>
      </c>
      <c r="AM584" s="5">
        <f t="shared" si="38"/>
        <v>-2410.3185444763426</v>
      </c>
      <c r="AN584" t="s">
        <v>64</v>
      </c>
      <c r="AO584" t="s">
        <v>62</v>
      </c>
      <c r="AP584">
        <f t="shared" si="39"/>
        <v>1</v>
      </c>
    </row>
    <row r="585" spans="1:42" x14ac:dyDescent="0.35">
      <c r="A585" s="48" t="s">
        <v>1064</v>
      </c>
      <c r="B585" s="49" t="s">
        <v>2882</v>
      </c>
      <c r="C585" s="49" t="s">
        <v>2273</v>
      </c>
      <c r="D585" s="50">
        <v>45674</v>
      </c>
      <c r="E585" s="50">
        <v>46769</v>
      </c>
      <c r="F585" s="49">
        <v>1000</v>
      </c>
      <c r="G585" s="49" t="s">
        <v>76</v>
      </c>
      <c r="H585" s="49">
        <v>1000</v>
      </c>
      <c r="I585" s="49" t="s">
        <v>76</v>
      </c>
      <c r="J585" s="49">
        <v>100</v>
      </c>
      <c r="K585" s="49">
        <v>8</v>
      </c>
      <c r="L585" s="51">
        <v>0.1115</v>
      </c>
      <c r="M585" s="49" t="s">
        <v>93</v>
      </c>
      <c r="N585" s="49">
        <v>852</v>
      </c>
      <c r="O585" s="49">
        <v>11.15</v>
      </c>
      <c r="P585" s="49"/>
      <c r="Q585" s="49"/>
      <c r="R585" s="49" t="s">
        <v>2275</v>
      </c>
      <c r="S585">
        <f t="shared" si="36"/>
        <v>3</v>
      </c>
      <c r="T585" s="5" cm="1">
        <f t="array" ref="T5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5">
        <f>Table1[[#This Row],[Term to Maturity (Years)]]*Table1[[#This Row],[Coupon Frequency2]]</f>
        <v>3</v>
      </c>
      <c r="V585">
        <f>Table1[[#This Row],[Face value]]*Table1[[#This Row],[Current coupon %]]</f>
        <v>111.5</v>
      </c>
      <c r="W585" s="36">
        <f>RATE(Table1[[#This Row],[Total No. of Coupons]],Table1[[#This Row],[Coupon Amount]],-Table1[[#This Row],[Ask Price]],Table1[[#This Row],[Face value]])</f>
        <v>0.11150000000000036</v>
      </c>
      <c r="X585" s="27">
        <f>Table1[[#This Row],[IRR]]*Table1[[#This Row],[Coupon Frequency2]]</f>
        <v>0.11150000000000036</v>
      </c>
      <c r="Y585" s="19" cm="1">
        <f t="array" ref="Y5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5" s="33">
        <f>DURATION(Table1[[#This Row],[Issue date]],Table1[[#This Row],[Maturity date]],Table1[[#This Row],[Current coupon %]],Table1[[#This Row],[Yield (Annualised)]],Table1[[#This Row],[Coupon Frequency2]])</f>
        <v>2.7091184077475714</v>
      </c>
      <c r="AA585" s="33">
        <f>Table1[[#This Row],[Macaulay Duration in Years]]/(1+Table1[[#This Row],[IRR]])</f>
        <v>2.4373534932501757</v>
      </c>
      <c r="AB585" s="58">
        <f>VLOOKUP(Table1[[#This Row],[Yield Cluster]],'Cluster Details'!$B$3:$C$16,2,0)</f>
        <v>0.11069942689191503</v>
      </c>
      <c r="AC585" s="78">
        <f>PRICE(Table1[[#This Row],[Issue date]],Table1[[#This Row],[Maturity date]],Table1[[#This Row],[Current coupon %]],Table1[[#This Row],[Average Cluster Yield]],100,Table1[[#This Row],[Coupon Frequency2]])*Table1[[#This Row],[Face value]]/100</f>
        <v>1001.9539948715843</v>
      </c>
      <c r="AD585" s="58" t="str">
        <f>IF(Table1[[#This Row],[Ask Price]]&gt;Table1[[#This Row],[Calculated Bond Price]],"Rich","Cheap")</f>
        <v>Cheap</v>
      </c>
      <c r="AE58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976.04346170029748</v>
      </c>
      <c r="AF58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1024.8029947016548</v>
      </c>
      <c r="AG585" s="78">
        <f>(Table1[[#This Row],[P (+ shock)]]+Table1[[#This Row],[P (-shock)]]-2*Table1[[#This Row],[Ask Price]])/(2*Table1[[#This Row],[Ask Price]]*($AF$2^2))</f>
        <v>4.2322820097615477</v>
      </c>
      <c r="AH585">
        <v>8.6521496117707404</v>
      </c>
      <c r="AI585" s="6">
        <f t="shared" si="37"/>
        <v>0.1115</v>
      </c>
      <c r="AK585" s="47">
        <f>RATE(Table1[[#This Row],[Total No. of Coupons]],Table1[[#This Row],[Coupon Amount]],-Table1[[#This Row],[Ask Price]],Table1[[#This Row],[Face value]])</f>
        <v>0.11150000000000036</v>
      </c>
      <c r="AL585" s="27">
        <f>Table1[[#This Row],[IRR]]*Table1[[#This Row],[Coupon Frequency2]]</f>
        <v>0.11150000000000036</v>
      </c>
      <c r="AM585" s="5">
        <f t="shared" si="38"/>
        <v>-2437.3534932501757</v>
      </c>
      <c r="AN585" t="s">
        <v>64</v>
      </c>
      <c r="AO585" t="s">
        <v>62</v>
      </c>
      <c r="AP585">
        <f t="shared" si="39"/>
        <v>1</v>
      </c>
    </row>
    <row r="586" spans="1:42" x14ac:dyDescent="0.35">
      <c r="A586" s="48" t="s">
        <v>623</v>
      </c>
      <c r="B586" s="49" t="s">
        <v>2883</v>
      </c>
      <c r="C586" s="49" t="s">
        <v>2273</v>
      </c>
      <c r="D586" s="50">
        <v>45512</v>
      </c>
      <c r="E586" s="50">
        <v>47337</v>
      </c>
      <c r="F586" s="49">
        <v>1000</v>
      </c>
      <c r="G586" s="49" t="s">
        <v>76</v>
      </c>
      <c r="H586" s="49">
        <v>994</v>
      </c>
      <c r="I586" s="49" t="s">
        <v>76</v>
      </c>
      <c r="J586" s="49">
        <v>99.4</v>
      </c>
      <c r="K586" s="49">
        <v>10</v>
      </c>
      <c r="L586" s="51">
        <v>0.11</v>
      </c>
      <c r="M586" s="49" t="s">
        <v>93</v>
      </c>
      <c r="N586" s="49">
        <v>1420</v>
      </c>
      <c r="O586" s="49">
        <v>11.066398390342</v>
      </c>
      <c r="P586" s="49"/>
      <c r="Q586" s="49"/>
      <c r="R586" s="49" t="s">
        <v>2275</v>
      </c>
      <c r="S586">
        <f t="shared" si="36"/>
        <v>5</v>
      </c>
      <c r="T586" s="5" cm="1">
        <f t="array" ref="T5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6">
        <f>Table1[[#This Row],[Term to Maturity (Years)]]*Table1[[#This Row],[Coupon Frequency2]]</f>
        <v>5</v>
      </c>
      <c r="V586">
        <f>Table1[[#This Row],[Face value]]*Table1[[#This Row],[Current coupon %]]</f>
        <v>110</v>
      </c>
      <c r="W586" s="36">
        <f>RATE(Table1[[#This Row],[Total No. of Coupons]],Table1[[#This Row],[Coupon Amount]],-Table1[[#This Row],[Ask Price]],Table1[[#This Row],[Face value]])</f>
        <v>0.11163008409156604</v>
      </c>
      <c r="X586" s="27">
        <f>Table1[[#This Row],[IRR]]*Table1[[#This Row],[Coupon Frequency2]]</f>
        <v>0.11163008409156604</v>
      </c>
      <c r="Y586" s="19" cm="1">
        <f t="array" ref="Y5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6" s="33">
        <f>DURATION(Table1[[#This Row],[Issue date]],Table1[[#This Row],[Maturity date]],Table1[[#This Row],[Current coupon %]],Table1[[#This Row],[Yield (Annualised)]],Table1[[#This Row],[Coupon Frequency2]])</f>
        <v>4.0967620596942611</v>
      </c>
      <c r="AA586" s="33">
        <f>Table1[[#This Row],[Macaulay Duration in Years]]/(1+Table1[[#This Row],[IRR]])</f>
        <v>3.6853645095815946</v>
      </c>
      <c r="AB586" s="58">
        <f>VLOOKUP(Table1[[#This Row],[Yield Cluster]],'Cluster Details'!$B$3:$C$16,2,0)</f>
        <v>0.11069942689191503</v>
      </c>
      <c r="AC586" s="78">
        <f>PRICE(Table1[[#This Row],[Issue date]],Table1[[#This Row],[Maturity date]],Table1[[#This Row],[Current coupon %]],Table1[[#This Row],[Average Cluster Yield]],100,Table1[[#This Row],[Coupon Frequency2]])*Table1[[#This Row],[Face value]]/100</f>
        <v>997.40490497199733</v>
      </c>
      <c r="AD586" s="58" t="str">
        <f>IF(Table1[[#This Row],[Ask Price]]&gt;Table1[[#This Row],[Calculated Bond Price]],"Rich","Cheap")</f>
        <v>Cheap</v>
      </c>
      <c r="AE58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958.2449188678977</v>
      </c>
      <c r="AF58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1031.5687202906456</v>
      </c>
      <c r="AG586" s="78">
        <f>(Table1[[#This Row],[P (+ shock)]]+Table1[[#This Row],[P (-shock)]]-2*Table1[[#This Row],[Ask Price]])/(2*Table1[[#This Row],[Ask Price]]*($AF$2^2))</f>
        <v>9.1229333930750016</v>
      </c>
      <c r="AH586">
        <v>9.7389329092166896</v>
      </c>
      <c r="AI586" s="6">
        <f t="shared" si="37"/>
        <v>0.11066398390342053</v>
      </c>
      <c r="AK586" s="47">
        <f>RATE(Table1[[#This Row],[Total No. of Coupons]],Table1[[#This Row],[Coupon Amount]],-Table1[[#This Row],[Ask Price]],Table1[[#This Row],[Face value]])</f>
        <v>0.11163008409156604</v>
      </c>
      <c r="AL586" s="27">
        <f>Table1[[#This Row],[IRR]]*Table1[[#This Row],[Coupon Frequency2]]</f>
        <v>0.11163008409156604</v>
      </c>
      <c r="AM586" s="5">
        <f t="shared" si="38"/>
        <v>-3663.2523225241048</v>
      </c>
      <c r="AN586" t="s">
        <v>64</v>
      </c>
      <c r="AO586" t="s">
        <v>62</v>
      </c>
      <c r="AP586">
        <f t="shared" si="39"/>
        <v>1</v>
      </c>
    </row>
    <row r="587" spans="1:42" x14ac:dyDescent="0.35">
      <c r="A587" s="48" t="s">
        <v>183</v>
      </c>
      <c r="B587" s="49" t="s">
        <v>2884</v>
      </c>
      <c r="C587" s="49" t="s">
        <v>2273</v>
      </c>
      <c r="D587" s="50">
        <v>45351</v>
      </c>
      <c r="E587" s="50">
        <v>49003</v>
      </c>
      <c r="F587" s="49">
        <v>100000</v>
      </c>
      <c r="G587" s="49" t="s">
        <v>76</v>
      </c>
      <c r="H587" s="49">
        <v>99310.35</v>
      </c>
      <c r="I587" s="49" t="s">
        <v>76</v>
      </c>
      <c r="J587" s="49">
        <v>99.31035</v>
      </c>
      <c r="K587" s="49">
        <v>5</v>
      </c>
      <c r="L587" s="51">
        <v>0.111</v>
      </c>
      <c r="M587" s="49" t="s">
        <v>93</v>
      </c>
      <c r="N587" s="49">
        <v>3086</v>
      </c>
      <c r="O587" s="49">
        <v>11.1770827511936</v>
      </c>
      <c r="P587" s="49"/>
      <c r="Q587" s="49"/>
      <c r="R587" s="49" t="s">
        <v>2275</v>
      </c>
      <c r="S587">
        <f t="shared" si="36"/>
        <v>10</v>
      </c>
      <c r="T587" s="5" cm="1">
        <f t="array" ref="T5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7">
        <f>Table1[[#This Row],[Term to Maturity (Years)]]*Table1[[#This Row],[Coupon Frequency2]]</f>
        <v>10</v>
      </c>
      <c r="V587">
        <f>Table1[[#This Row],[Face value]]*Table1[[#This Row],[Current coupon %]]</f>
        <v>11100</v>
      </c>
      <c r="W587" s="36">
        <f>RATE(Table1[[#This Row],[Total No. of Coupons]],Table1[[#This Row],[Coupon Amount]],-Table1[[#This Row],[Ask Price]],Table1[[#This Row],[Face value]])</f>
        <v>0.11218176953913828</v>
      </c>
      <c r="X587" s="27">
        <f>Table1[[#This Row],[IRR]]*Table1[[#This Row],[Coupon Frequency2]]</f>
        <v>0.11218176953913828</v>
      </c>
      <c r="Y587" s="19" cm="1">
        <f t="array" ref="Y5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7" s="33">
        <f>DURATION(Table1[[#This Row],[Issue date]],Table1[[#This Row],[Maturity date]],Table1[[#This Row],[Current coupon %]],Table1[[#This Row],[Yield (Annualised)]],Table1[[#This Row],[Coupon Frequency2]])</f>
        <v>6.5032601387144515</v>
      </c>
      <c r="AA587" s="33">
        <f>Table1[[#This Row],[Macaulay Duration in Years]]/(1+Table1[[#This Row],[IRR]])</f>
        <v>5.8472997101986737</v>
      </c>
      <c r="AB587" s="58">
        <f>VLOOKUP(Table1[[#This Row],[Yield Cluster]],'Cluster Details'!$B$3:$C$16,2,0)</f>
        <v>0.11069942689191503</v>
      </c>
      <c r="AC587" s="78">
        <f>PRICE(Table1[[#This Row],[Issue date]],Table1[[#This Row],[Maturity date]],Table1[[#This Row],[Current coupon %]],Table1[[#This Row],[Average Cluster Yield]],100,Table1[[#This Row],[Coupon Frequency2]])*Table1[[#This Row],[Face value]]/100</f>
        <v>100176.49652360519</v>
      </c>
      <c r="AD587" s="58" t="str">
        <f>IF(Table1[[#This Row],[Ask Price]]&gt;Table1[[#This Row],[Calculated Bond Price]],"Rich","Cheap")</f>
        <v>Cheap</v>
      </c>
      <c r="AE58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93738.078726429972</v>
      </c>
      <c r="AF58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105368.00627765252</v>
      </c>
      <c r="AG587" s="78">
        <f>(Table1[[#This Row],[P (+ shock)]]+Table1[[#This Row],[P (-shock)]]-2*Table1[[#This Row],[Ask Price]])/(2*Table1[[#This Row],[Ask Price]]*($AF$2^2))</f>
        <v>24.437785391072619</v>
      </c>
      <c r="AI587" s="6">
        <f t="shared" si="37"/>
        <v>0.11177082751193607</v>
      </c>
      <c r="AK587" s="47">
        <f>RATE(Table1[[#This Row],[Total No. of Coupons]],Table1[[#This Row],[Coupon Amount]],-Table1[[#This Row],[Ask Price]],Table1[[#This Row],[Face value]])</f>
        <v>0.11218176953913828</v>
      </c>
      <c r="AL587" s="27">
        <f>Table1[[#This Row],[IRR]]*Table1[[#This Row],[Coupon Frequency2]]</f>
        <v>0.11218176953913828</v>
      </c>
      <c r="AM587" s="5">
        <f t="shared" si="38"/>
        <v>-580697.38077472884</v>
      </c>
      <c r="AN587" t="s">
        <v>64</v>
      </c>
      <c r="AO587" t="s">
        <v>62</v>
      </c>
      <c r="AP587">
        <f t="shared" si="39"/>
        <v>1</v>
      </c>
    </row>
    <row r="588" spans="1:42" x14ac:dyDescent="0.35">
      <c r="A588" s="48" t="s">
        <v>590</v>
      </c>
      <c r="B588" s="49" t="s">
        <v>2885</v>
      </c>
      <c r="C588" s="49" t="s">
        <v>2273</v>
      </c>
      <c r="D588" s="50">
        <v>45560</v>
      </c>
      <c r="E588" s="50">
        <v>47386</v>
      </c>
      <c r="F588" s="49">
        <v>1000</v>
      </c>
      <c r="G588" s="49" t="s">
        <v>76</v>
      </c>
      <c r="H588" s="49">
        <v>960</v>
      </c>
      <c r="I588" s="49" t="s">
        <v>76</v>
      </c>
      <c r="J588" s="49">
        <v>96</v>
      </c>
      <c r="K588" s="49">
        <v>20</v>
      </c>
      <c r="L588" s="51">
        <v>0.10150000000000001</v>
      </c>
      <c r="M588" s="49" t="s">
        <v>93</v>
      </c>
      <c r="N588" s="49">
        <v>1469</v>
      </c>
      <c r="O588" s="49">
        <v>10.5729166666666</v>
      </c>
      <c r="P588" s="49" t="s">
        <v>2279</v>
      </c>
      <c r="Q588" s="49"/>
      <c r="R588" s="49" t="s">
        <v>2275</v>
      </c>
      <c r="S588">
        <f t="shared" si="36"/>
        <v>5</v>
      </c>
      <c r="T588" s="5" cm="1">
        <f t="array" ref="T5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8">
        <f>Table1[[#This Row],[Term to Maturity (Years)]]*Table1[[#This Row],[Coupon Frequency2]]</f>
        <v>5</v>
      </c>
      <c r="V588">
        <f>Table1[[#This Row],[Face value]]*Table1[[#This Row],[Current coupon %]]</f>
        <v>101.5</v>
      </c>
      <c r="W588" s="36">
        <f>RATE(Table1[[#This Row],[Total No. of Coupons]],Table1[[#This Row],[Coupon Amount]],-Table1[[#This Row],[Ask Price]],Table1[[#This Row],[Face value]])</f>
        <v>0.11238789951384594</v>
      </c>
      <c r="X588" s="27">
        <f>Table1[[#This Row],[IRR]]*Table1[[#This Row],[Coupon Frequency2]]</f>
        <v>0.11238789951384594</v>
      </c>
      <c r="Y588" s="19" cm="1">
        <f t="array" ref="Y5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8" s="33">
        <f>DURATION(Table1[[#This Row],[Issue date]],Table1[[#This Row],[Maturity date]],Table1[[#This Row],[Current coupon %]],Table1[[#This Row],[Yield (Annualised)]],Table1[[#This Row],[Coupon Frequency2]])</f>
        <v>4.140805551645462</v>
      </c>
      <c r="AA588" s="33">
        <f>Table1[[#This Row],[Macaulay Duration in Years]]/(1+Table1[[#This Row],[IRR]])</f>
        <v>3.7224474964669656</v>
      </c>
      <c r="AB588" s="58">
        <f>VLOOKUP(Table1[[#This Row],[Yield Cluster]],'Cluster Details'!$B$3:$C$16,2,0)</f>
        <v>0.11069942689191503</v>
      </c>
      <c r="AC588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966.05960217670099</v>
      </c>
      <c r="AD588" s="58" t="str">
        <f>IF(Table1[[#This Row],[Ask Price]]&gt;Table1[[#This Row],[Calculated Bond Price]],"Rich","Cheap")</f>
        <v>Cheap</v>
      </c>
      <c r="AE58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925.14709775477604</v>
      </c>
      <c r="AF58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996.65459463108812</v>
      </c>
      <c r="AG588" s="78">
        <f>(Table1[[#This Row],[P (+ shock)]]+Table1[[#This Row],[P (-shock)]]-2*Table1[[#This Row],[Ask Price]])/(2*Table1[[#This Row],[Ask Price]]*($AF$2^2))</f>
        <v>9.3838145097085626</v>
      </c>
      <c r="AH588">
        <v>10</v>
      </c>
      <c r="AI588" s="6">
        <f t="shared" si="37"/>
        <v>0.10572916666666667</v>
      </c>
      <c r="AK588" s="47">
        <f>RATE(Table1[[#This Row],[Total No. of Coupons]],Table1[[#This Row],[Coupon Amount]],-Table1[[#This Row],[Ask Price]],Table1[[#This Row],[Face value]])</f>
        <v>0.11238789951384594</v>
      </c>
      <c r="AL588" s="27">
        <f>Table1[[#This Row],[IRR]]*Table1[[#This Row],[Coupon Frequency2]]</f>
        <v>0.11238789951384594</v>
      </c>
      <c r="AM588" s="5">
        <f t="shared" si="38"/>
        <v>-3573.5495966082872</v>
      </c>
      <c r="AN588" t="s">
        <v>64</v>
      </c>
      <c r="AO588" t="s">
        <v>62</v>
      </c>
      <c r="AP588">
        <f t="shared" si="39"/>
        <v>1</v>
      </c>
    </row>
    <row r="589" spans="1:42" x14ac:dyDescent="0.35">
      <c r="A589" s="48" t="s">
        <v>959</v>
      </c>
      <c r="B589" s="49" t="s">
        <v>2886</v>
      </c>
      <c r="C589" s="49" t="s">
        <v>2273</v>
      </c>
      <c r="D589" s="50">
        <v>45777</v>
      </c>
      <c r="E589" s="50">
        <v>46873</v>
      </c>
      <c r="F589" s="49">
        <v>1000</v>
      </c>
      <c r="G589" s="49" t="s">
        <v>76</v>
      </c>
      <c r="H589" s="49">
        <v>969</v>
      </c>
      <c r="I589" s="49" t="s">
        <v>76</v>
      </c>
      <c r="J589" s="49">
        <v>96.899999999999906</v>
      </c>
      <c r="K589" s="49">
        <v>375</v>
      </c>
      <c r="L589" s="51">
        <v>0.1</v>
      </c>
      <c r="M589" s="49" t="s">
        <v>93</v>
      </c>
      <c r="N589" s="49">
        <v>956</v>
      </c>
      <c r="O589" s="49">
        <v>10.319917440660401</v>
      </c>
      <c r="P589" s="49"/>
      <c r="Q589" s="49"/>
      <c r="R589" s="49" t="s">
        <v>2275</v>
      </c>
      <c r="S589">
        <f t="shared" si="36"/>
        <v>3</v>
      </c>
      <c r="T589" s="5" cm="1">
        <f t="array" ref="T5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89">
        <f>Table1[[#This Row],[Term to Maturity (Years)]]*Table1[[#This Row],[Coupon Frequency2]]</f>
        <v>3</v>
      </c>
      <c r="V589">
        <f>Table1[[#This Row],[Face value]]*Table1[[#This Row],[Current coupon %]]</f>
        <v>100</v>
      </c>
      <c r="W589" s="36">
        <f>RATE(Table1[[#This Row],[Total No. of Coupons]],Table1[[#This Row],[Coupon Amount]],-Table1[[#This Row],[Ask Price]],Table1[[#This Row],[Face value]])</f>
        <v>0.1127462401379116</v>
      </c>
      <c r="X589" s="27">
        <f>Table1[[#This Row],[IRR]]*Table1[[#This Row],[Coupon Frequency2]]</f>
        <v>0.1127462401379116</v>
      </c>
      <c r="Y589" s="19" cm="1">
        <f t="array" ref="Y5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89" s="33">
        <f>DURATION(Table1[[#This Row],[Issue date]],Table1[[#This Row],[Maturity date]],Table1[[#This Row],[Current coupon %]],Table1[[#This Row],[Yield (Annualised)]],Table1[[#This Row],[Coupon Frequency2]])</f>
        <v>2.7311686050013564</v>
      </c>
      <c r="AA589" s="33">
        <f>Table1[[#This Row],[Macaulay Duration in Years]]/(1+Table1[[#This Row],[IRR]])</f>
        <v>2.454439751387397</v>
      </c>
      <c r="AB589" s="58">
        <f>VLOOKUP(Table1[[#This Row],[Yield Cluster]],'Cluster Details'!$B$3:$C$16,2,0)</f>
        <v>0.11069942689191503</v>
      </c>
      <c r="AC589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973.88542649689816</v>
      </c>
      <c r="AD589" s="58" t="str">
        <f>IF(Table1[[#This Row],[Ask Price]]&gt;Table1[[#This Row],[Calculated Bond Price]],"Rich","Cheap")</f>
        <v>Cheap</v>
      </c>
      <c r="AE58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945.62415881832567</v>
      </c>
      <c r="AF58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993.20339161260233</v>
      </c>
      <c r="AG589" s="78">
        <f>(Table1[[#This Row],[P (+ shock)]]+Table1[[#This Row],[P (-shock)]]-2*Table1[[#This Row],[Ask Price]])/(2*Table1[[#This Row],[Ask Price]]*($AF$2^2))</f>
        <v>4.2701260625805633</v>
      </c>
      <c r="AI589" s="6">
        <f t="shared" si="37"/>
        <v>0.10319917440660474</v>
      </c>
      <c r="AK589" s="47">
        <f>RATE(Table1[[#This Row],[Total No. of Coupons]],Table1[[#This Row],[Coupon Amount]],-Table1[[#This Row],[Ask Price]],Table1[[#This Row],[Face value]])</f>
        <v>0.1127462401379116</v>
      </c>
      <c r="AL589" s="27">
        <f>Table1[[#This Row],[IRR]]*Table1[[#This Row],[Coupon Frequency2]]</f>
        <v>0.1127462401379116</v>
      </c>
      <c r="AM589" s="5">
        <f t="shared" si="38"/>
        <v>-2378.3521190943875</v>
      </c>
      <c r="AN589" t="s">
        <v>64</v>
      </c>
      <c r="AO589" t="s">
        <v>62</v>
      </c>
      <c r="AP589">
        <f t="shared" si="39"/>
        <v>1</v>
      </c>
    </row>
    <row r="590" spans="1:42" x14ac:dyDescent="0.35">
      <c r="A590" s="48" t="s">
        <v>220</v>
      </c>
      <c r="B590" s="49" t="s">
        <v>2887</v>
      </c>
      <c r="C590" s="49" t="s">
        <v>2273</v>
      </c>
      <c r="D590" s="50">
        <v>45195</v>
      </c>
      <c r="E590" s="50">
        <v>48848</v>
      </c>
      <c r="F590" s="49">
        <v>1000</v>
      </c>
      <c r="G590" s="49" t="s">
        <v>76</v>
      </c>
      <c r="H590" s="49">
        <v>968</v>
      </c>
      <c r="I590" s="49" t="s">
        <v>76</v>
      </c>
      <c r="J590" s="49">
        <v>96.8</v>
      </c>
      <c r="K590" s="49">
        <v>10</v>
      </c>
      <c r="L590" s="51">
        <v>0.1075</v>
      </c>
      <c r="M590" s="49" t="s">
        <v>93</v>
      </c>
      <c r="N590" s="49">
        <v>2931</v>
      </c>
      <c r="O590" s="49">
        <v>11.1053719008264</v>
      </c>
      <c r="P590" s="49" t="s">
        <v>2279</v>
      </c>
      <c r="Q590" s="49"/>
      <c r="R590" s="49" t="s">
        <v>2275</v>
      </c>
      <c r="S590">
        <f t="shared" si="36"/>
        <v>10</v>
      </c>
      <c r="T590" s="5" cm="1">
        <f t="array" ref="T5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0">
        <f>Table1[[#This Row],[Term to Maturity (Years)]]*Table1[[#This Row],[Coupon Frequency2]]</f>
        <v>10</v>
      </c>
      <c r="V590">
        <f>Table1[[#This Row],[Face value]]*Table1[[#This Row],[Current coupon %]]</f>
        <v>107.5</v>
      </c>
      <c r="W590" s="36">
        <f>RATE(Table1[[#This Row],[Total No. of Coupons]],Table1[[#This Row],[Coupon Amount]],-Table1[[#This Row],[Ask Price]],Table1[[#This Row],[Face value]])</f>
        <v>0.11300223120590842</v>
      </c>
      <c r="X590" s="27">
        <f>Table1[[#This Row],[IRR]]*Table1[[#This Row],[Coupon Frequency2]]</f>
        <v>0.11300223120590842</v>
      </c>
      <c r="Y590" s="19" cm="1">
        <f t="array" ref="Y5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0" s="33">
        <f>DURATION(Table1[[#This Row],[Issue date]],Table1[[#This Row],[Maturity date]],Table1[[#This Row],[Current coupon %]],Table1[[#This Row],[Yield (Annualised)]],Table1[[#This Row],[Coupon Frequency2]])</f>
        <v>6.5338395261285864</v>
      </c>
      <c r="AA590" s="33">
        <f>Table1[[#This Row],[Macaulay Duration in Years]]/(1+Table1[[#This Row],[IRR]])</f>
        <v>5.8704639963294092</v>
      </c>
      <c r="AB590" s="58">
        <f>VLOOKUP(Table1[[#This Row],[Yield Cluster]],'Cluster Details'!$B$3:$C$16,2,0)</f>
        <v>0.11069942689191503</v>
      </c>
      <c r="AC590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90" s="58" t="str">
        <f>IF(Table1[[#This Row],[Ask Price]]&gt;Table1[[#This Row],[Calculated Bond Price]],"Rich","Cheap")</f>
        <v>Cheap</v>
      </c>
      <c r="AE59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913.4749750122179</v>
      </c>
      <c r="AF59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1027.2839705375336</v>
      </c>
      <c r="AG590" s="78">
        <f>(Table1[[#This Row],[P (+ shock)]]+Table1[[#This Row],[P (-shock)]]-2*Table1[[#This Row],[Ask Price]])/(2*Table1[[#This Row],[Ask Price]]*($AF$2^2))</f>
        <v>24.581330318963779</v>
      </c>
      <c r="AH590">
        <v>10.000157644165499</v>
      </c>
      <c r="AI590" s="6">
        <f t="shared" si="37"/>
        <v>0.11105371900826447</v>
      </c>
      <c r="AK590" s="47">
        <f>RATE(Table1[[#This Row],[Total No. of Coupons]],Table1[[#This Row],[Coupon Amount]],-Table1[[#This Row],[Ask Price]],Table1[[#This Row],[Face value]])</f>
        <v>0.11300223120590842</v>
      </c>
      <c r="AL590" s="27">
        <f>Table1[[#This Row],[IRR]]*Table1[[#This Row],[Coupon Frequency2]]</f>
        <v>0.11300223120590842</v>
      </c>
      <c r="AM590" s="5">
        <f t="shared" si="38"/>
        <v>-5682.6091484468679</v>
      </c>
      <c r="AN590" t="s">
        <v>64</v>
      </c>
      <c r="AO590" t="s">
        <v>62</v>
      </c>
      <c r="AP590">
        <f t="shared" si="39"/>
        <v>1</v>
      </c>
    </row>
    <row r="591" spans="1:42" x14ac:dyDescent="0.35">
      <c r="A591" s="48" t="s">
        <v>1509</v>
      </c>
      <c r="B591" s="49" t="s">
        <v>2888</v>
      </c>
      <c r="C591" s="49" t="s">
        <v>2273</v>
      </c>
      <c r="D591" s="50">
        <v>45630</v>
      </c>
      <c r="E591" s="50">
        <v>46359</v>
      </c>
      <c r="F591" s="49">
        <v>1000</v>
      </c>
      <c r="G591" s="49" t="s">
        <v>76</v>
      </c>
      <c r="H591" s="49">
        <v>982</v>
      </c>
      <c r="I591" s="49" t="s">
        <v>76</v>
      </c>
      <c r="J591" s="49">
        <v>98.2</v>
      </c>
      <c r="K591" s="49">
        <v>1</v>
      </c>
      <c r="L591" s="51">
        <v>0.10249999999999999</v>
      </c>
      <c r="M591" s="49" t="s">
        <v>93</v>
      </c>
      <c r="N591" s="49">
        <v>442</v>
      </c>
      <c r="O591" s="49">
        <v>10.437881873726999</v>
      </c>
      <c r="P591" s="49"/>
      <c r="Q591" s="49"/>
      <c r="R591" s="49" t="s">
        <v>2275</v>
      </c>
      <c r="S591">
        <f t="shared" si="36"/>
        <v>2</v>
      </c>
      <c r="T591" s="5" cm="1">
        <f t="array" ref="T5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1">
        <f>Table1[[#This Row],[Term to Maturity (Years)]]*Table1[[#This Row],[Coupon Frequency2]]</f>
        <v>2</v>
      </c>
      <c r="V591">
        <f>Table1[[#This Row],[Face value]]*Table1[[#This Row],[Current coupon %]]</f>
        <v>102.5</v>
      </c>
      <c r="W591" s="36">
        <f>RATE(Table1[[#This Row],[Total No. of Coupons]],Table1[[#This Row],[Coupon Amount]],-Table1[[#This Row],[Ask Price]],Table1[[#This Row],[Face value]])</f>
        <v>0.11305344028292824</v>
      </c>
      <c r="X591" s="27">
        <f>Table1[[#This Row],[IRR]]*Table1[[#This Row],[Coupon Frequency2]]</f>
        <v>0.11305344028292824</v>
      </c>
      <c r="Y591" s="19" cm="1">
        <f t="array" ref="Y5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1" s="33">
        <f>DURATION(Table1[[#This Row],[Issue date]],Table1[[#This Row],[Maturity date]],Table1[[#This Row],[Current coupon %]],Table1[[#This Row],[Yield (Annualised)]],Table1[[#This Row],[Coupon Frequency2]])</f>
        <v>1.9034452165909934</v>
      </c>
      <c r="AA591" s="33">
        <f>Table1[[#This Row],[Macaulay Duration in Years]]/(1+Table1[[#This Row],[IRR]])</f>
        <v>1.710111255850532</v>
      </c>
      <c r="AB591" s="58">
        <f>VLOOKUP(Table1[[#This Row],[Yield Cluster]],'Cluster Details'!$B$3:$C$16,2,0)</f>
        <v>0.11069942689191503</v>
      </c>
      <c r="AC591" s="78">
        <f>PRICE(Table1[[#This Row],[Issue date]],Table1[[#This Row],[Maturity date]],Table1[[#This Row],[Current coupon %]],Table1[[#This Row],[Average Cluster Yield]],100,Table1[[#This Row],[Coupon Frequency2]])*Table1[[#This Row],[Face value]]/100</f>
        <v>985.97418756519528</v>
      </c>
      <c r="AD591" s="58" t="str">
        <f>IF(Table1[[#This Row],[Ask Price]]&gt;Table1[[#This Row],[Calculated Bond Price]],"Rich","Cheap")</f>
        <v>Cheap</v>
      </c>
      <c r="AE59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965.42904843697238</v>
      </c>
      <c r="AF59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999.03091006505531</v>
      </c>
      <c r="AG591" s="78">
        <f>(Table1[[#This Row],[P (+ shock)]]+Table1[[#This Row],[P (-shock)]]-2*Table1[[#This Row],[Ask Price]])/(2*Table1[[#This Row],[Ask Price]]*($AF$2^2))</f>
        <v>2.3419475663330078</v>
      </c>
      <c r="AH591">
        <v>11.3594506529329</v>
      </c>
      <c r="AI591" s="6">
        <f t="shared" si="37"/>
        <v>0.10437881873727088</v>
      </c>
      <c r="AK591" s="47">
        <f>RATE(Table1[[#This Row],[Total No. of Coupons]],Table1[[#This Row],[Coupon Amount]],-Table1[[#This Row],[Ask Price]],Table1[[#This Row],[Face value]])</f>
        <v>0.11305344028292824</v>
      </c>
      <c r="AL591" s="27">
        <f>Table1[[#This Row],[IRR]]*Table1[[#This Row],[Coupon Frequency2]]</f>
        <v>0.11305344028292824</v>
      </c>
      <c r="AM591" s="5">
        <f t="shared" si="38"/>
        <v>-1679.3292532452224</v>
      </c>
      <c r="AN591" t="s">
        <v>64</v>
      </c>
      <c r="AO591" t="s">
        <v>62</v>
      </c>
      <c r="AP591">
        <f t="shared" si="39"/>
        <v>1</v>
      </c>
    </row>
    <row r="592" spans="1:42" x14ac:dyDescent="0.35">
      <c r="A592" s="48" t="s">
        <v>2889</v>
      </c>
      <c r="B592" s="49" t="s">
        <v>2890</v>
      </c>
      <c r="C592" s="49" t="s">
        <v>2273</v>
      </c>
      <c r="D592" s="50">
        <v>45870</v>
      </c>
      <c r="E592" s="50">
        <v>46966</v>
      </c>
      <c r="F592" s="49">
        <v>1000</v>
      </c>
      <c r="G592" s="49" t="s">
        <v>76</v>
      </c>
      <c r="H592" s="49">
        <v>950</v>
      </c>
      <c r="I592" s="49" t="s">
        <v>76</v>
      </c>
      <c r="J592" s="49">
        <v>95</v>
      </c>
      <c r="K592" s="49">
        <v>20</v>
      </c>
      <c r="L592" s="51">
        <v>9.2499999999999999E-2</v>
      </c>
      <c r="M592" s="49" t="s">
        <v>93</v>
      </c>
      <c r="N592" s="49">
        <v>1049</v>
      </c>
      <c r="O592" s="49">
        <v>9.7368421052631504</v>
      </c>
      <c r="P592" s="49" t="s">
        <v>2279</v>
      </c>
      <c r="Q592" s="49"/>
      <c r="R592" s="49" t="s">
        <v>2275</v>
      </c>
      <c r="S592">
        <f t="shared" si="36"/>
        <v>3</v>
      </c>
      <c r="T592" s="5" cm="1">
        <f t="array" ref="T5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2">
        <f>Table1[[#This Row],[Term to Maturity (Years)]]*Table1[[#This Row],[Coupon Frequency2]]</f>
        <v>3</v>
      </c>
      <c r="V592">
        <f>Table1[[#This Row],[Face value]]*Table1[[#This Row],[Current coupon %]]</f>
        <v>92.5</v>
      </c>
      <c r="W592" s="36">
        <f>RATE(Table1[[#This Row],[Total No. of Coupons]],Table1[[#This Row],[Coupon Amount]],-Table1[[#This Row],[Ask Price]],Table1[[#This Row],[Face value]])</f>
        <v>0.11306999047008558</v>
      </c>
      <c r="X592" s="27">
        <f>Table1[[#This Row],[IRR]]*Table1[[#This Row],[Coupon Frequency2]]</f>
        <v>0.11306999047008558</v>
      </c>
      <c r="Y592" s="19" cm="1">
        <f t="array" ref="Y5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2" s="33">
        <f>DURATION(Table1[[#This Row],[Issue date]],Table1[[#This Row],[Maturity date]],Table1[[#This Row],[Current coupon %]],Table1[[#This Row],[Yield (Annualised)]],Table1[[#This Row],[Coupon Frequency2]])</f>
        <v>2.7464542197358739</v>
      </c>
      <c r="AA592" s="33">
        <f>Table1[[#This Row],[Macaulay Duration in Years]]/(1+Table1[[#This Row],[IRR]])</f>
        <v>2.4674586892563308</v>
      </c>
      <c r="AB592" s="58">
        <f>VLOOKUP(Table1[[#This Row],[Yield Cluster]],'Cluster Details'!$B$3:$C$16,2,0)</f>
        <v>0.11069942689191503</v>
      </c>
      <c r="AC592" s="78">
        <f>PRICE(Table1[[#This Row],[Issue date]],Table1[[#This Row],[Maturity date]],Table1[[#This Row],[Current coupon %]],Table1[[#This Row],[Average Cluster Yield]],100,Table1[[#This Row],[Coupon Frequency2]])*Table1[[#This Row],[Face value]]/100</f>
        <v>955.57983842645069</v>
      </c>
      <c r="AD592" s="58" t="str">
        <f>IF(Table1[[#This Row],[Ask Price]]&gt;Table1[[#This Row],[Calculated Bond Price]],"Rich","Cheap")</f>
        <v>Cheap</v>
      </c>
      <c r="AE59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926.96165892042666</v>
      </c>
      <c r="AF59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973.85541959292323</v>
      </c>
      <c r="AG592" s="78">
        <f>(Table1[[#This Row],[P (+ shock)]]+Table1[[#This Row],[P (-shock)]]-2*Table1[[#This Row],[Ask Price]])/(2*Table1[[#This Row],[Ask Price]]*($AF$2^2))</f>
        <v>4.3004132281566854</v>
      </c>
      <c r="AH592">
        <v>7.7054503674317303</v>
      </c>
      <c r="AI592" s="6">
        <f t="shared" si="37"/>
        <v>9.7368421052631576E-2</v>
      </c>
      <c r="AK592" s="47">
        <f>RATE(Table1[[#This Row],[Total No. of Coupons]],Table1[[#This Row],[Coupon Amount]],-Table1[[#This Row],[Ask Price]],Table1[[#This Row],[Face value]])</f>
        <v>0.11306999047008558</v>
      </c>
      <c r="AL592" s="27">
        <f>Table1[[#This Row],[IRR]]*Table1[[#This Row],[Coupon Frequency2]]</f>
        <v>0.11306999047008558</v>
      </c>
      <c r="AM592" s="5">
        <f t="shared" si="38"/>
        <v>-2344.0857547935143</v>
      </c>
      <c r="AN592" t="s">
        <v>64</v>
      </c>
      <c r="AO592" t="s">
        <v>62</v>
      </c>
      <c r="AP592">
        <f t="shared" si="39"/>
        <v>1</v>
      </c>
    </row>
    <row r="593" spans="1:42" x14ac:dyDescent="0.35">
      <c r="A593" s="48" t="s">
        <v>633</v>
      </c>
      <c r="B593" s="49" t="s">
        <v>2891</v>
      </c>
      <c r="C593" s="49" t="s">
        <v>2273</v>
      </c>
      <c r="D593" s="50">
        <v>45496</v>
      </c>
      <c r="E593" s="50">
        <v>47322</v>
      </c>
      <c r="F593" s="49">
        <v>100000</v>
      </c>
      <c r="G593" s="49" t="s">
        <v>76</v>
      </c>
      <c r="H593" s="49">
        <v>94200</v>
      </c>
      <c r="I593" s="49" t="s">
        <v>76</v>
      </c>
      <c r="J593" s="49">
        <v>94.199999999999903</v>
      </c>
      <c r="K593" s="49">
        <v>1</v>
      </c>
      <c r="L593" s="51">
        <v>9.7500000000000003E-2</v>
      </c>
      <c r="M593" s="49" t="s">
        <v>93</v>
      </c>
      <c r="N593" s="49">
        <v>1405</v>
      </c>
      <c r="O593" s="49">
        <v>10.3503184713375</v>
      </c>
      <c r="P593" s="49" t="s">
        <v>2279</v>
      </c>
      <c r="Q593" s="49"/>
      <c r="R593" s="49" t="s">
        <v>2275</v>
      </c>
      <c r="S593">
        <f t="shared" si="36"/>
        <v>5</v>
      </c>
      <c r="T593" s="5" cm="1">
        <f t="array" ref="T5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3">
        <f>Table1[[#This Row],[Term to Maturity (Years)]]*Table1[[#This Row],[Coupon Frequency2]]</f>
        <v>5</v>
      </c>
      <c r="V593">
        <f>Table1[[#This Row],[Face value]]*Table1[[#This Row],[Current coupon %]]</f>
        <v>9750</v>
      </c>
      <c r="W593" s="36">
        <f>RATE(Table1[[#This Row],[Total No. of Coupons]],Table1[[#This Row],[Coupon Amount]],-Table1[[#This Row],[Ask Price]],Table1[[#This Row],[Face value]])</f>
        <v>0.11332453253001575</v>
      </c>
      <c r="X593" s="27">
        <f>Table1[[#This Row],[IRR]]*Table1[[#This Row],[Coupon Frequency2]]</f>
        <v>0.11332453253001575</v>
      </c>
      <c r="Y593" s="19" cm="1">
        <f t="array" ref="Y5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3" s="33">
        <f>DURATION(Table1[[#This Row],[Issue date]],Table1[[#This Row],[Maturity date]],Table1[[#This Row],[Current coupon %]],Table1[[#This Row],[Yield (Annualised)]],Table1[[#This Row],[Coupon Frequency2]])</f>
        <v>4.160236300021424</v>
      </c>
      <c r="AA593" s="33">
        <f>Table1[[#This Row],[Macaulay Duration in Years]]/(1+Table1[[#This Row],[IRR]])</f>
        <v>3.7367687304683206</v>
      </c>
      <c r="AB593" s="58">
        <f>VLOOKUP(Table1[[#This Row],[Yield Cluster]],'Cluster Details'!$B$3:$C$16,2,0)</f>
        <v>0.11069942689191503</v>
      </c>
      <c r="AC593" s="78">
        <f>PRICE(Table1[[#This Row],[Issue date]],Table1[[#This Row],[Maturity date]],Table1[[#This Row],[Current coupon %]],Table1[[#This Row],[Average Cluster Yield]],100,Table1[[#This Row],[Coupon Frequency2]])*Table1[[#This Row],[Face value]]/100</f>
        <v>95130.198815484153</v>
      </c>
      <c r="AD593" s="58" t="str">
        <f>IF(Table1[[#This Row],[Ask Price]]&gt;Table1[[#This Row],[Calculated Bond Price]],"Rich","Cheap")</f>
        <v>Cheap</v>
      </c>
      <c r="AE59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90766.996268164236</v>
      </c>
      <c r="AF59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97810.669048435768</v>
      </c>
      <c r="AG593" s="78">
        <f>(Table1[[#This Row],[P (+ shock)]]+Table1[[#This Row],[P (-shock)]]-2*Table1[[#This Row],[Ask Price]])/(2*Table1[[#This Row],[Ask Price]]*($AF$2^2))</f>
        <v>9.4302185031848875</v>
      </c>
      <c r="AH593">
        <v>12.558423954072801</v>
      </c>
      <c r="AI593" s="6">
        <f t="shared" si="37"/>
        <v>0.1035031847133758</v>
      </c>
      <c r="AK593" s="47">
        <f>RATE(Table1[[#This Row],[Total No. of Coupons]],Table1[[#This Row],[Coupon Amount]],-Table1[[#This Row],[Ask Price]],Table1[[#This Row],[Face value]])</f>
        <v>0.11332453253001575</v>
      </c>
      <c r="AL593" s="27">
        <f>Table1[[#This Row],[IRR]]*Table1[[#This Row],[Coupon Frequency2]]</f>
        <v>0.11332453253001575</v>
      </c>
      <c r="AM593" s="5">
        <f t="shared" si="38"/>
        <v>-352003.61441011581</v>
      </c>
      <c r="AN593" t="s">
        <v>64</v>
      </c>
      <c r="AO593" t="s">
        <v>62</v>
      </c>
      <c r="AP593">
        <f t="shared" si="39"/>
        <v>1</v>
      </c>
    </row>
    <row r="594" spans="1:42" x14ac:dyDescent="0.35">
      <c r="A594" s="48" t="s">
        <v>153</v>
      </c>
      <c r="B594" s="49" t="s">
        <v>2866</v>
      </c>
      <c r="C594" s="49" t="s">
        <v>2273</v>
      </c>
      <c r="D594" s="50">
        <v>45499</v>
      </c>
      <c r="E594" s="50">
        <v>49151</v>
      </c>
      <c r="F594" s="49">
        <v>1000</v>
      </c>
      <c r="G594" s="49" t="s">
        <v>76</v>
      </c>
      <c r="H594" s="49">
        <v>980</v>
      </c>
      <c r="I594" s="49" t="s">
        <v>76</v>
      </c>
      <c r="J594" s="49">
        <v>98</v>
      </c>
      <c r="K594" s="49">
        <v>1</v>
      </c>
      <c r="L594" s="51">
        <v>0.11</v>
      </c>
      <c r="M594" s="49" t="s">
        <v>93</v>
      </c>
      <c r="N594" s="49">
        <v>3234</v>
      </c>
      <c r="O594" s="49">
        <v>11.2244897959183</v>
      </c>
      <c r="P594" s="49"/>
      <c r="Q594" s="49"/>
      <c r="R594" s="49" t="s">
        <v>2275</v>
      </c>
      <c r="S594">
        <f t="shared" si="36"/>
        <v>10</v>
      </c>
      <c r="T594" s="5" cm="1">
        <f t="array" ref="T5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4">
        <f>Table1[[#This Row],[Term to Maturity (Years)]]*Table1[[#This Row],[Coupon Frequency2]]</f>
        <v>10</v>
      </c>
      <c r="V594">
        <f>Table1[[#This Row],[Face value]]*Table1[[#This Row],[Current coupon %]]</f>
        <v>110</v>
      </c>
      <c r="W594" s="36">
        <f>RATE(Table1[[#This Row],[Total No. of Coupons]],Table1[[#This Row],[Coupon Amount]],-Table1[[#This Row],[Ask Price]],Table1[[#This Row],[Face value]])</f>
        <v>0.11344523899053199</v>
      </c>
      <c r="X594" s="27">
        <f>Table1[[#This Row],[IRR]]*Table1[[#This Row],[Coupon Frequency2]]</f>
        <v>0.11344523899053199</v>
      </c>
      <c r="Y594" s="19" cm="1">
        <f t="array" ref="Y5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4" s="33">
        <f>DURATION(Table1[[#This Row],[Issue date]],Table1[[#This Row],[Maturity date]],Table1[[#This Row],[Current coupon %]],Table1[[#This Row],[Yield (Annualised)]],Table1[[#This Row],[Coupon Frequency2]])</f>
        <v>6.5010920353648602</v>
      </c>
      <c r="AA594" s="33">
        <f>Table1[[#This Row],[Macaulay Duration in Years]]/(1+Table1[[#This Row],[IRR]])</f>
        <v>5.8387173501759806</v>
      </c>
      <c r="AB594" s="58">
        <f>VLOOKUP(Table1[[#This Row],[Yield Cluster]],'Cluster Details'!$B$3:$C$16,2,0)</f>
        <v>0.11069942689191503</v>
      </c>
      <c r="AC594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594" s="58" t="str">
        <f>IF(Table1[[#This Row],[Ask Price]]&gt;Table1[[#This Row],[Calculated Bond Price]],"Rich","Cheap")</f>
        <v>Cheap</v>
      </c>
      <c r="AE59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925.09090431177276</v>
      </c>
      <c r="AF59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1039.6869050344233</v>
      </c>
      <c r="AG594" s="78">
        <f>(Table1[[#This Row],[P (+ shock)]]+Table1[[#This Row],[P (-shock)]]-2*Table1[[#This Row],[Ask Price]])/(2*Table1[[#This Row],[Ask Price]]*($AF$2^2))</f>
        <v>24.37657829691906</v>
      </c>
      <c r="AH594">
        <v>10.989420308000501</v>
      </c>
      <c r="AI594" s="6">
        <f t="shared" si="37"/>
        <v>0.11224489795918367</v>
      </c>
      <c r="AK594" s="47">
        <f>RATE(Table1[[#This Row],[Total No. of Coupons]],Table1[[#This Row],[Coupon Amount]],-Table1[[#This Row],[Ask Price]],Table1[[#This Row],[Face value]])</f>
        <v>0.11344523899053199</v>
      </c>
      <c r="AL594" s="27">
        <f>Table1[[#This Row],[IRR]]*Table1[[#This Row],[Coupon Frequency2]]</f>
        <v>0.11344523899053199</v>
      </c>
      <c r="AM594" s="5">
        <f t="shared" si="38"/>
        <v>-5721.9430031724614</v>
      </c>
      <c r="AN594" t="s">
        <v>64</v>
      </c>
      <c r="AO594" t="s">
        <v>62</v>
      </c>
      <c r="AP594">
        <f t="shared" si="39"/>
        <v>1</v>
      </c>
    </row>
    <row r="595" spans="1:42" x14ac:dyDescent="0.35">
      <c r="A595" s="48" t="s">
        <v>441</v>
      </c>
      <c r="B595" s="49" t="s">
        <v>2892</v>
      </c>
      <c r="C595" s="49" t="s">
        <v>2273</v>
      </c>
      <c r="D595" s="50">
        <v>45840</v>
      </c>
      <c r="E595" s="50">
        <v>47666</v>
      </c>
      <c r="F595" s="49">
        <v>1000</v>
      </c>
      <c r="G595" s="49" t="s">
        <v>76</v>
      </c>
      <c r="H595" s="49">
        <v>960</v>
      </c>
      <c r="I595" s="49" t="s">
        <v>76</v>
      </c>
      <c r="J595" s="49">
        <v>96</v>
      </c>
      <c r="K595" s="49">
        <v>100</v>
      </c>
      <c r="L595" s="51">
        <v>0.10300000000000001</v>
      </c>
      <c r="M595" s="49" t="s">
        <v>93</v>
      </c>
      <c r="N595" s="49">
        <v>1749</v>
      </c>
      <c r="O595" s="49">
        <v>10.7291666666666</v>
      </c>
      <c r="P595" s="49"/>
      <c r="Q595" s="49"/>
      <c r="R595" s="49" t="s">
        <v>2275</v>
      </c>
      <c r="S595">
        <f t="shared" si="36"/>
        <v>5</v>
      </c>
      <c r="T595" s="5" cm="1">
        <f t="array" ref="T5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5">
        <f>Table1[[#This Row],[Term to Maturity (Years)]]*Table1[[#This Row],[Coupon Frequency2]]</f>
        <v>5</v>
      </c>
      <c r="V595">
        <f>Table1[[#This Row],[Face value]]*Table1[[#This Row],[Current coupon %]]</f>
        <v>103.00000000000001</v>
      </c>
      <c r="W595" s="36">
        <f>RATE(Table1[[#This Row],[Total No. of Coupons]],Table1[[#This Row],[Coupon Amount]],-Table1[[#This Row],[Ask Price]],Table1[[#This Row],[Face value]])</f>
        <v>0.11393001342338929</v>
      </c>
      <c r="X595" s="27">
        <f>Table1[[#This Row],[IRR]]*Table1[[#This Row],[Coupon Frequency2]]</f>
        <v>0.11393001342338929</v>
      </c>
      <c r="Y595" s="19" cm="1">
        <f t="array" ref="Y5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5" s="33">
        <f>DURATION(Table1[[#This Row],[Issue date]],Table1[[#This Row],[Maturity date]],Table1[[#This Row],[Current coupon %]],Table1[[#This Row],[Yield (Annualised)]],Table1[[#This Row],[Coupon Frequency2]])</f>
        <v>4.1303956971327196</v>
      </c>
      <c r="AA595" s="33">
        <f>Table1[[#This Row],[Macaulay Duration in Years]]/(1+Table1[[#This Row],[IRR]])</f>
        <v>3.7079490159700126</v>
      </c>
      <c r="AB595" s="58">
        <f>VLOOKUP(Table1[[#This Row],[Yield Cluster]],'Cluster Details'!$B$3:$C$16,2,0)</f>
        <v>0.11069942689191503</v>
      </c>
      <c r="AC595" s="78">
        <f>PRICE(Table1[[#This Row],[Issue date]],Table1[[#This Row],[Maturity date]],Table1[[#This Row],[Current coupon %]],Table1[[#This Row],[Average Cluster Yield]],100,Table1[[#This Row],[Coupon Frequency2]])*Table1[[#This Row],[Face value]]/100</f>
        <v>971.59370743489819</v>
      </c>
      <c r="AD595" s="58" t="str">
        <f>IF(Table1[[#This Row],[Ask Price]]&gt;Table1[[#This Row],[Calculated Bond Price]],"Rich","Cheap")</f>
        <v>Cheap</v>
      </c>
      <c r="AE59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925.28080021900973</v>
      </c>
      <c r="AF59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996.50962932908772</v>
      </c>
      <c r="AG595" s="78">
        <f>(Table1[[#This Row],[P (+ shock)]]+Table1[[#This Row],[P (-shock)]]-2*Table1[[#This Row],[Ask Price]])/(2*Table1[[#This Row],[Ask Price]]*($AF$2^2))</f>
        <v>9.325153896341476</v>
      </c>
      <c r="AH595">
        <v>15.5056225352907</v>
      </c>
      <c r="AI595" s="6">
        <f t="shared" si="37"/>
        <v>0.10729166666666669</v>
      </c>
      <c r="AK595" s="47">
        <f>RATE(Table1[[#This Row],[Total No. of Coupons]],Table1[[#This Row],[Coupon Amount]],-Table1[[#This Row],[Ask Price]],Table1[[#This Row],[Face value]])</f>
        <v>0.11393001342338929</v>
      </c>
      <c r="AL595" s="27">
        <f>Table1[[#This Row],[IRR]]*Table1[[#This Row],[Coupon Frequency2]]</f>
        <v>0.11393001342338929</v>
      </c>
      <c r="AM595" s="5">
        <f t="shared" si="38"/>
        <v>-3559.6310553312119</v>
      </c>
      <c r="AN595" t="s">
        <v>64</v>
      </c>
      <c r="AO595" t="s">
        <v>62</v>
      </c>
      <c r="AP595">
        <f t="shared" si="39"/>
        <v>1</v>
      </c>
    </row>
    <row r="596" spans="1:42" x14ac:dyDescent="0.35">
      <c r="A596" s="48" t="s">
        <v>1729</v>
      </c>
      <c r="B596" s="49" t="s">
        <v>2893</v>
      </c>
      <c r="C596" s="49" t="s">
        <v>2273</v>
      </c>
      <c r="D596" s="50">
        <v>45128</v>
      </c>
      <c r="E596" s="50">
        <v>46224</v>
      </c>
      <c r="F596" s="49">
        <v>1000</v>
      </c>
      <c r="G596" s="49" t="s">
        <v>76</v>
      </c>
      <c r="H596" s="49">
        <v>955.7</v>
      </c>
      <c r="I596" s="49" t="s">
        <v>76</v>
      </c>
      <c r="J596" s="49">
        <v>95.57</v>
      </c>
      <c r="K596" s="49">
        <v>1</v>
      </c>
      <c r="L596" s="51">
        <v>9.6000000000000002E-2</v>
      </c>
      <c r="M596" s="49" t="s">
        <v>93</v>
      </c>
      <c r="N596" s="49">
        <v>307</v>
      </c>
      <c r="O596" s="49">
        <v>10.0449931987025</v>
      </c>
      <c r="P596" s="49"/>
      <c r="Q596" s="49"/>
      <c r="R596" s="49" t="s">
        <v>2275</v>
      </c>
      <c r="S596">
        <f t="shared" si="36"/>
        <v>3</v>
      </c>
      <c r="T596" s="5" cm="1">
        <f t="array" ref="T5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6">
        <f>Table1[[#This Row],[Term to Maturity (Years)]]*Table1[[#This Row],[Coupon Frequency2]]</f>
        <v>3</v>
      </c>
      <c r="V596">
        <f>Table1[[#This Row],[Face value]]*Table1[[#This Row],[Current coupon %]]</f>
        <v>96</v>
      </c>
      <c r="W596" s="36">
        <f>RATE(Table1[[#This Row],[Total No. of Coupons]],Table1[[#This Row],[Coupon Amount]],-Table1[[#This Row],[Ask Price]],Table1[[#This Row],[Face value]])</f>
        <v>0.11426268901494498</v>
      </c>
      <c r="X596" s="27">
        <f>Table1[[#This Row],[IRR]]*Table1[[#This Row],[Coupon Frequency2]]</f>
        <v>0.11426268901494498</v>
      </c>
      <c r="Y596" s="19" cm="1">
        <f t="array" ref="Y5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6" s="33">
        <f>DURATION(Table1[[#This Row],[Issue date]],Table1[[#This Row],[Maturity date]],Table1[[#This Row],[Current coupon %]],Table1[[#This Row],[Yield (Annualised)]],Table1[[#This Row],[Coupon Frequency2]])</f>
        <v>2.738796690833547</v>
      </c>
      <c r="AA596" s="33">
        <f>Table1[[#This Row],[Macaulay Duration in Years]]/(1+Table1[[#This Row],[IRR]])</f>
        <v>2.4579452563872155</v>
      </c>
      <c r="AB596" s="58">
        <f>VLOOKUP(Table1[[#This Row],[Yield Cluster]],'Cluster Details'!$B$3:$C$16,2,0)</f>
        <v>0.11069942689191503</v>
      </c>
      <c r="AC596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964.12244619265959</v>
      </c>
      <c r="AD596" s="58" t="str">
        <f>IF(Table1[[#This Row],[Ask Price]]&gt;Table1[[#This Row],[Calculated Bond Price]],"Rich","Cheap")</f>
        <v>Cheap</v>
      </c>
      <c r="AE59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932.61195184187181</v>
      </c>
      <c r="AF59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979.60514403326079</v>
      </c>
      <c r="AG596" s="78">
        <f>(Table1[[#This Row],[P (+ shock)]]+Table1[[#This Row],[P (-shock)]]-2*Table1[[#This Row],[Ask Price]])/(2*Table1[[#This Row],[Ask Price]]*($AF$2^2))</f>
        <v>4.2748554731218409</v>
      </c>
      <c r="AH596">
        <v>10.631494804156601</v>
      </c>
      <c r="AI596" s="6">
        <f t="shared" si="37"/>
        <v>0.10044993198702522</v>
      </c>
      <c r="AK596" s="47">
        <f>RATE(Table1[[#This Row],[Total No. of Coupons]],Table1[[#This Row],[Coupon Amount]],-Table1[[#This Row],[Ask Price]],Table1[[#This Row],[Face value]])</f>
        <v>0.11426268901494498</v>
      </c>
      <c r="AL596" s="27">
        <f>Table1[[#This Row],[IRR]]*Table1[[#This Row],[Coupon Frequency2]]</f>
        <v>0.11426268901494498</v>
      </c>
      <c r="AM596" s="5">
        <f t="shared" si="38"/>
        <v>-2349.0582815292619</v>
      </c>
      <c r="AN596" t="s">
        <v>79</v>
      </c>
      <c r="AO596" t="s">
        <v>62</v>
      </c>
      <c r="AP596">
        <f t="shared" si="39"/>
        <v>1</v>
      </c>
    </row>
    <row r="597" spans="1:42" x14ac:dyDescent="0.35">
      <c r="A597" s="48" t="s">
        <v>2894</v>
      </c>
      <c r="B597" s="49" t="s">
        <v>2895</v>
      </c>
      <c r="C597" s="49" t="s">
        <v>2273</v>
      </c>
      <c r="D597" s="50">
        <v>45866</v>
      </c>
      <c r="E597" s="50">
        <v>46595</v>
      </c>
      <c r="F597" s="49">
        <v>1000</v>
      </c>
      <c r="G597" s="49" t="s">
        <v>76</v>
      </c>
      <c r="H597" s="49">
        <v>979.8</v>
      </c>
      <c r="I597" s="49" t="s">
        <v>76</v>
      </c>
      <c r="J597" s="49">
        <v>97.98</v>
      </c>
      <c r="K597" s="49">
        <v>40</v>
      </c>
      <c r="L597" s="51">
        <v>0.10249999999999999</v>
      </c>
      <c r="M597" s="49" t="s">
        <v>93</v>
      </c>
      <c r="N597" s="49">
        <v>678</v>
      </c>
      <c r="O597" s="49">
        <v>10.461318636456401</v>
      </c>
      <c r="P597" s="49"/>
      <c r="Q597" s="49"/>
      <c r="R597" s="49" t="s">
        <v>2275</v>
      </c>
      <c r="S597">
        <f t="shared" si="36"/>
        <v>2</v>
      </c>
      <c r="T597" s="5" cm="1">
        <f t="array" ref="T5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7">
        <f>Table1[[#This Row],[Term to Maturity (Years)]]*Table1[[#This Row],[Coupon Frequency2]]</f>
        <v>2</v>
      </c>
      <c r="V597">
        <f>Table1[[#This Row],[Face value]]*Table1[[#This Row],[Current coupon %]]</f>
        <v>102.5</v>
      </c>
      <c r="W597" s="36">
        <f>RATE(Table1[[#This Row],[Total No. of Coupons]],Table1[[#This Row],[Coupon Amount]],-Table1[[#This Row],[Ask Price]],Table1[[#This Row],[Face value]])</f>
        <v>0.11436385076876114</v>
      </c>
      <c r="X597" s="27">
        <f>Table1[[#This Row],[IRR]]*Table1[[#This Row],[Coupon Frequency2]]</f>
        <v>0.11436385076876114</v>
      </c>
      <c r="Y597" s="19" cm="1">
        <f t="array" ref="Y5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7" s="33">
        <f>DURATION(Table1[[#This Row],[Issue date]],Table1[[#This Row],[Maturity date]],Table1[[#This Row],[Current coupon %]],Table1[[#This Row],[Yield (Annualised)]],Table1[[#This Row],[Coupon Frequency2]])</f>
        <v>1.9033451763252334</v>
      </c>
      <c r="AA597" s="33">
        <f>Table1[[#This Row],[Macaulay Duration in Years]]/(1+Table1[[#This Row],[IRR]])</f>
        <v>1.7080105165042649</v>
      </c>
      <c r="AB597" s="58">
        <f>VLOOKUP(Table1[[#This Row],[Yield Cluster]],'Cluster Details'!$B$3:$C$16,2,0)</f>
        <v>0.11069942689191503</v>
      </c>
      <c r="AC597" s="78">
        <f>PRICE(Table1[[#This Row],[Issue date]],Table1[[#This Row],[Maturity date]],Table1[[#This Row],[Current coupon %]],Table1[[#This Row],[Average Cluster Yield]],100,Table1[[#This Row],[Coupon Frequency2]])*Table1[[#This Row],[Face value]]/100</f>
        <v>985.97418756519528</v>
      </c>
      <c r="AD597" s="58" t="str">
        <f>IF(Table1[[#This Row],[Ask Price]]&gt;Table1[[#This Row],[Calculated Bond Price]],"Rich","Cheap")</f>
        <v>Cheap</v>
      </c>
      <c r="AE59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963.28874525578317</v>
      </c>
      <c r="AF59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996.7742398724514</v>
      </c>
      <c r="AG597" s="78">
        <f>(Table1[[#This Row],[P (+ shock)]]+Table1[[#This Row],[P (-shock)]]-2*Table1[[#This Row],[Ask Price]])/(2*Table1[[#This Row],[Ask Price]]*($AF$2^2))</f>
        <v>2.3626511953193368</v>
      </c>
      <c r="AH597">
        <v>9.8741790616157594</v>
      </c>
      <c r="AI597" s="6">
        <f t="shared" si="37"/>
        <v>0.1046131863645642</v>
      </c>
      <c r="AK597" s="47">
        <f>RATE(Table1[[#This Row],[Total No. of Coupons]],Table1[[#This Row],[Coupon Amount]],-Table1[[#This Row],[Ask Price]],Table1[[#This Row],[Face value]])</f>
        <v>0.11436385076876114</v>
      </c>
      <c r="AL597" s="27">
        <f>Table1[[#This Row],[IRR]]*Table1[[#This Row],[Coupon Frequency2]]</f>
        <v>0.11436385076876114</v>
      </c>
      <c r="AM597" s="5">
        <f t="shared" si="38"/>
        <v>-1673.5087040708788</v>
      </c>
      <c r="AN597" t="s">
        <v>64</v>
      </c>
      <c r="AO597" t="s">
        <v>62</v>
      </c>
      <c r="AP597">
        <f t="shared" si="39"/>
        <v>1</v>
      </c>
    </row>
    <row r="598" spans="1:42" x14ac:dyDescent="0.35">
      <c r="A598" s="48" t="s">
        <v>175</v>
      </c>
      <c r="B598" s="49" t="s">
        <v>2896</v>
      </c>
      <c r="C598" s="49" t="s">
        <v>2273</v>
      </c>
      <c r="D598" s="50">
        <v>45377</v>
      </c>
      <c r="E598" s="50">
        <v>49029</v>
      </c>
      <c r="F598" s="49">
        <v>1000</v>
      </c>
      <c r="G598" s="49" t="s">
        <v>76</v>
      </c>
      <c r="H598" s="49">
        <v>960</v>
      </c>
      <c r="I598" s="49" t="s">
        <v>76</v>
      </c>
      <c r="J598" s="49">
        <v>96</v>
      </c>
      <c r="K598" s="49">
        <v>100</v>
      </c>
      <c r="L598" s="51">
        <v>0.1075</v>
      </c>
      <c r="M598" s="49" t="s">
        <v>93</v>
      </c>
      <c r="N598" s="49">
        <v>3112</v>
      </c>
      <c r="O598" s="49">
        <v>11.1979166666666</v>
      </c>
      <c r="P598" s="49" t="s">
        <v>2279</v>
      </c>
      <c r="Q598" s="49"/>
      <c r="R598" s="49" t="s">
        <v>2275</v>
      </c>
      <c r="S598">
        <f t="shared" si="36"/>
        <v>10</v>
      </c>
      <c r="T598" s="5" cm="1">
        <f t="array" ref="T5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8">
        <f>Table1[[#This Row],[Term to Maturity (Years)]]*Table1[[#This Row],[Coupon Frequency2]]</f>
        <v>10</v>
      </c>
      <c r="V598">
        <f>Table1[[#This Row],[Face value]]*Table1[[#This Row],[Current coupon %]]</f>
        <v>107.5</v>
      </c>
      <c r="W598" s="36">
        <f>RATE(Table1[[#This Row],[Total No. of Coupons]],Table1[[#This Row],[Coupon Amount]],-Table1[[#This Row],[Ask Price]],Table1[[#This Row],[Face value]])</f>
        <v>0.1144183861387726</v>
      </c>
      <c r="X598" s="27">
        <f>Table1[[#This Row],[IRR]]*Table1[[#This Row],[Coupon Frequency2]]</f>
        <v>0.1144183861387726</v>
      </c>
      <c r="Y598" s="19" cm="1">
        <f t="array" ref="Y5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8" s="33">
        <f>DURATION(Table1[[#This Row],[Issue date]],Table1[[#This Row],[Maturity date]],Table1[[#This Row],[Current coupon %]],Table1[[#This Row],[Yield (Annualised)]],Table1[[#This Row],[Coupon Frequency2]])</f>
        <v>6.5190522244310465</v>
      </c>
      <c r="AA598" s="33">
        <f>Table1[[#This Row],[Macaulay Duration in Years]]/(1+Table1[[#This Row],[IRR]])</f>
        <v>5.8497349877887457</v>
      </c>
      <c r="AB598" s="58">
        <f>VLOOKUP(Table1[[#This Row],[Yield Cluster]],'Cluster Details'!$B$3:$C$16,2,0)</f>
        <v>0.11069942689191503</v>
      </c>
      <c r="AC598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598" s="58" t="str">
        <f>IF(Table1[[#This Row],[Ask Price]]&gt;Table1[[#This Row],[Calculated Bond Price]],"Rich","Cheap")</f>
        <v>Cheap</v>
      </c>
      <c r="AE59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906.1117654434878</v>
      </c>
      <c r="AF59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1018.5810491465996</v>
      </c>
      <c r="AG598" s="78">
        <f>(Table1[[#This Row],[P (+ shock)]]+Table1[[#This Row],[P (-shock)]]-2*Table1[[#This Row],[Ask Price]])/(2*Table1[[#This Row],[Ask Price]]*($AF$2^2))</f>
        <v>24.441742656705401</v>
      </c>
      <c r="AI598" s="6">
        <f t="shared" si="37"/>
        <v>0.11197916666666667</v>
      </c>
      <c r="AK598" s="47">
        <f>RATE(Table1[[#This Row],[Total No. of Coupons]],Table1[[#This Row],[Coupon Amount]],-Table1[[#This Row],[Ask Price]],Table1[[#This Row],[Face value]])</f>
        <v>0.1144183861387726</v>
      </c>
      <c r="AL598" s="27">
        <f>Table1[[#This Row],[IRR]]*Table1[[#This Row],[Coupon Frequency2]]</f>
        <v>0.1144183861387726</v>
      </c>
      <c r="AM598" s="5">
        <f t="shared" si="38"/>
        <v>-5615.7455882771956</v>
      </c>
      <c r="AN598" t="s">
        <v>64</v>
      </c>
      <c r="AO598" t="s">
        <v>62</v>
      </c>
      <c r="AP598">
        <f t="shared" si="39"/>
        <v>1</v>
      </c>
    </row>
    <row r="599" spans="1:42" x14ac:dyDescent="0.35">
      <c r="A599" s="48" t="s">
        <v>689</v>
      </c>
      <c r="B599" s="49" t="s">
        <v>2802</v>
      </c>
      <c r="C599" s="49" t="s">
        <v>2273</v>
      </c>
      <c r="D599" s="50">
        <v>45411</v>
      </c>
      <c r="E599" s="50">
        <v>47237</v>
      </c>
      <c r="F599" s="49">
        <v>1000</v>
      </c>
      <c r="G599" s="49" t="s">
        <v>76</v>
      </c>
      <c r="H599" s="49">
        <v>950</v>
      </c>
      <c r="I599" s="49" t="s">
        <v>76</v>
      </c>
      <c r="J599" s="49">
        <v>95</v>
      </c>
      <c r="K599" s="49">
        <v>13</v>
      </c>
      <c r="L599" s="51">
        <v>0.10099999999999999</v>
      </c>
      <c r="M599" s="49" t="s">
        <v>93</v>
      </c>
      <c r="N599" s="49">
        <v>1320</v>
      </c>
      <c r="O599" s="49">
        <v>10.6315789473684</v>
      </c>
      <c r="P599" s="49"/>
      <c r="Q599" s="49"/>
      <c r="R599" s="49" t="s">
        <v>2275</v>
      </c>
      <c r="S599">
        <f t="shared" si="36"/>
        <v>5</v>
      </c>
      <c r="T599" s="5" cm="1">
        <f t="array" ref="T5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599">
        <f>Table1[[#This Row],[Term to Maturity (Years)]]*Table1[[#This Row],[Coupon Frequency2]]</f>
        <v>5</v>
      </c>
      <c r="V599">
        <f>Table1[[#This Row],[Face value]]*Table1[[#This Row],[Current coupon %]]</f>
        <v>100.99999999999999</v>
      </c>
      <c r="W599" s="36">
        <f>RATE(Table1[[#This Row],[Total No. of Coupons]],Table1[[#This Row],[Coupon Amount]],-Table1[[#This Row],[Ask Price]],Table1[[#This Row],[Face value]])</f>
        <v>0.11468843551701191</v>
      </c>
      <c r="X599" s="27">
        <f>Table1[[#This Row],[IRR]]*Table1[[#This Row],[Coupon Frequency2]]</f>
        <v>0.11468843551701191</v>
      </c>
      <c r="Y599" s="19" cm="1">
        <f t="array" ref="Y5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599" s="33">
        <f>DURATION(Table1[[#This Row],[Issue date]],Table1[[#This Row],[Maturity date]],Table1[[#This Row],[Current coupon %]],Table1[[#This Row],[Yield (Annualised)]],Table1[[#This Row],[Coupon Frequency2]])</f>
        <v>4.1394161605709581</v>
      </c>
      <c r="AA599" s="33">
        <f>Table1[[#This Row],[Macaulay Duration in Years]]/(1+Table1[[#This Row],[IRR]])</f>
        <v>3.7135185300913478</v>
      </c>
      <c r="AB599" s="58">
        <f>VLOOKUP(Table1[[#This Row],[Yield Cluster]],'Cluster Details'!$B$3:$C$16,2,0)</f>
        <v>0.11069942689191503</v>
      </c>
      <c r="AC599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964.21490042396863</v>
      </c>
      <c r="AD599" s="58" t="str">
        <f>IF(Table1[[#This Row],[Ask Price]]&gt;Table1[[#This Row],[Calculated Bond Price]],"Rich","Cheap")</f>
        <v>Cheap</v>
      </c>
      <c r="AE59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915.59105961538751</v>
      </c>
      <c r="AF59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986.18379825525165</v>
      </c>
      <c r="AG599" s="78">
        <f>(Table1[[#This Row],[P (+ shock)]]+Table1[[#This Row],[P (-shock)]]-2*Table1[[#This Row],[Ask Price]])/(2*Table1[[#This Row],[Ask Price]]*($AF$2^2))</f>
        <v>9.3413572138902765</v>
      </c>
      <c r="AH599">
        <v>10.7511265133011</v>
      </c>
      <c r="AI599" s="6">
        <f t="shared" si="37"/>
        <v>0.1063157894736842</v>
      </c>
      <c r="AK599" s="47">
        <f>RATE(Table1[[#This Row],[Total No. of Coupons]],Table1[[#This Row],[Coupon Amount]],-Table1[[#This Row],[Ask Price]],Table1[[#This Row],[Face value]])</f>
        <v>0.11468843551701191</v>
      </c>
      <c r="AL599" s="27">
        <f>Table1[[#This Row],[IRR]]*Table1[[#This Row],[Coupon Frequency2]]</f>
        <v>0.11468843551701191</v>
      </c>
      <c r="AM599" s="5">
        <f t="shared" si="38"/>
        <v>-3527.8426035867806</v>
      </c>
      <c r="AN599" t="s">
        <v>64</v>
      </c>
      <c r="AO599" t="s">
        <v>62</v>
      </c>
      <c r="AP599">
        <f t="shared" si="39"/>
        <v>1</v>
      </c>
    </row>
    <row r="600" spans="1:42" x14ac:dyDescent="0.35">
      <c r="A600" s="48" t="s">
        <v>2897</v>
      </c>
      <c r="B600" s="49" t="s">
        <v>2898</v>
      </c>
      <c r="C600" s="49" t="s">
        <v>2273</v>
      </c>
      <c r="D600" s="50">
        <v>45870</v>
      </c>
      <c r="E600" s="50">
        <v>48427</v>
      </c>
      <c r="F600" s="49">
        <v>1000</v>
      </c>
      <c r="G600" s="49" t="s">
        <v>76</v>
      </c>
      <c r="H600" s="49">
        <v>924.7</v>
      </c>
      <c r="I600" s="49" t="s">
        <v>76</v>
      </c>
      <c r="J600" s="49">
        <v>92.47</v>
      </c>
      <c r="K600" s="49">
        <v>20</v>
      </c>
      <c r="L600" s="51">
        <v>9.849999999999999E-2</v>
      </c>
      <c r="M600" s="49" t="s">
        <v>93</v>
      </c>
      <c r="N600" s="49">
        <v>2510</v>
      </c>
      <c r="O600" s="49">
        <v>10.652103384881499</v>
      </c>
      <c r="P600" s="49" t="s">
        <v>2279</v>
      </c>
      <c r="Q600" s="49"/>
      <c r="R600" s="49" t="s">
        <v>2275</v>
      </c>
      <c r="S600">
        <f t="shared" si="36"/>
        <v>7</v>
      </c>
      <c r="T600" s="5" cm="1">
        <f t="array" ref="T6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0">
        <f>Table1[[#This Row],[Term to Maturity (Years)]]*Table1[[#This Row],[Coupon Frequency2]]</f>
        <v>7</v>
      </c>
      <c r="V600">
        <f>Table1[[#This Row],[Face value]]*Table1[[#This Row],[Current coupon %]]</f>
        <v>98.499999999999986</v>
      </c>
      <c r="W600" s="36">
        <f>RATE(Table1[[#This Row],[Total No. of Coupons]],Table1[[#This Row],[Coupon Amount]],-Table1[[#This Row],[Ask Price]],Table1[[#This Row],[Face value]])</f>
        <v>0.11472450862406341</v>
      </c>
      <c r="X600" s="27">
        <f>Table1[[#This Row],[IRR]]*Table1[[#This Row],[Coupon Frequency2]]</f>
        <v>0.11472450862406341</v>
      </c>
      <c r="Y600" s="19" cm="1">
        <f t="array" ref="Y6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0" s="33">
        <f>DURATION(Table1[[#This Row],[Issue date]],Table1[[#This Row],[Maturity date]],Table1[[#This Row],[Current coupon %]],Table1[[#This Row],[Yield (Annualised)]],Table1[[#This Row],[Coupon Frequency2]])</f>
        <v>5.3041775723713824</v>
      </c>
      <c r="AA600" s="33">
        <f>Table1[[#This Row],[Macaulay Duration in Years]]/(1+Table1[[#This Row],[IRR]])</f>
        <v>4.7582855955311167</v>
      </c>
      <c r="AB600" s="58">
        <f>VLOOKUP(Table1[[#This Row],[Yield Cluster]],'Cluster Details'!$B$3:$C$16,2,0)</f>
        <v>0.11069942689191503</v>
      </c>
      <c r="AC600" s="78">
        <f>PRICE(Table1[[#This Row],[Issue date]],Table1[[#This Row],[Maturity date]],Table1[[#This Row],[Current coupon %]],Table1[[#This Row],[Average Cluster Yield]],100,Table1[[#This Row],[Coupon Frequency2]])*Table1[[#This Row],[Face value]]/100</f>
        <v>942.64358028686024</v>
      </c>
      <c r="AD600" s="58" t="str">
        <f>IF(Table1[[#This Row],[Ask Price]]&gt;Table1[[#This Row],[Calculated Bond Price]],"Rich","Cheap")</f>
        <v>Cheap</v>
      </c>
      <c r="AE60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882.08958654426908</v>
      </c>
      <c r="AF60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970.1621403359494</v>
      </c>
      <c r="AG600" s="78">
        <f>(Table1[[#This Row],[P (+ shock)]]+Table1[[#This Row],[P (-shock)]]-2*Table1[[#This Row],[Ask Price]])/(2*Table1[[#This Row],[Ask Price]]*($AF$2^2))</f>
        <v>15.41974089011784</v>
      </c>
      <c r="AH600">
        <v>9.9788700169578206</v>
      </c>
      <c r="AI600" s="6">
        <f t="shared" si="37"/>
        <v>0.10652103384881581</v>
      </c>
      <c r="AK600" s="47">
        <f>RATE(Table1[[#This Row],[Total No. of Coupons]],Table1[[#This Row],[Coupon Amount]],-Table1[[#This Row],[Ask Price]],Table1[[#This Row],[Face value]])</f>
        <v>0.11472450862406341</v>
      </c>
      <c r="AL600" s="27">
        <f>Table1[[#This Row],[IRR]]*Table1[[#This Row],[Coupon Frequency2]]</f>
        <v>0.11472450862406341</v>
      </c>
      <c r="AM600" s="5">
        <f t="shared" si="38"/>
        <v>-4399.9866901876239</v>
      </c>
      <c r="AN600" t="s">
        <v>64</v>
      </c>
      <c r="AO600" t="s">
        <v>62</v>
      </c>
      <c r="AP600">
        <f t="shared" si="39"/>
        <v>1</v>
      </c>
    </row>
    <row r="601" spans="1:42" x14ac:dyDescent="0.35">
      <c r="A601" s="48" t="s">
        <v>2899</v>
      </c>
      <c r="B601" s="49" t="s">
        <v>2900</v>
      </c>
      <c r="C601" s="49" t="s">
        <v>2273</v>
      </c>
      <c r="D601" s="50">
        <v>43622</v>
      </c>
      <c r="E601" s="50">
        <v>47275</v>
      </c>
      <c r="F601" s="49">
        <v>1000000</v>
      </c>
      <c r="G601" s="49" t="s">
        <v>76</v>
      </c>
      <c r="H601" s="49">
        <v>864000</v>
      </c>
      <c r="I601" s="49" t="s">
        <v>76</v>
      </c>
      <c r="J601" s="49">
        <v>86.4</v>
      </c>
      <c r="K601" s="49">
        <v>3</v>
      </c>
      <c r="L601" s="51">
        <v>9.1199999999999989E-2</v>
      </c>
      <c r="M601" s="49" t="s">
        <v>93</v>
      </c>
      <c r="N601" s="49">
        <v>1358</v>
      </c>
      <c r="O601" s="49">
        <v>10.5555555555555</v>
      </c>
      <c r="P601" s="49"/>
      <c r="Q601" s="49"/>
      <c r="R601" s="49" t="s">
        <v>2275</v>
      </c>
      <c r="S601">
        <f t="shared" si="36"/>
        <v>10</v>
      </c>
      <c r="T601" s="5" cm="1">
        <f t="array" ref="T6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1">
        <f>Table1[[#This Row],[Term to Maturity (Years)]]*Table1[[#This Row],[Coupon Frequency2]]</f>
        <v>10</v>
      </c>
      <c r="V601">
        <f>Table1[[#This Row],[Face value]]*Table1[[#This Row],[Current coupon %]]</f>
        <v>91199.999999999985</v>
      </c>
      <c r="W601" s="36">
        <f>RATE(Table1[[#This Row],[Total No. of Coupons]],Table1[[#This Row],[Coupon Amount]],-Table1[[#This Row],[Ask Price]],Table1[[#This Row],[Face value]])</f>
        <v>0.11475541251782956</v>
      </c>
      <c r="X601" s="27">
        <f>Table1[[#This Row],[IRR]]*Table1[[#This Row],[Coupon Frequency2]]</f>
        <v>0.11475541251782956</v>
      </c>
      <c r="Y601" s="19" cm="1">
        <f t="array" ref="Y6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1" s="33">
        <f>DURATION(Table1[[#This Row],[Issue date]],Table1[[#This Row],[Maturity date]],Table1[[#This Row],[Current coupon %]],Table1[[#This Row],[Yield (Annualised)]],Table1[[#This Row],[Coupon Frequency2]])</f>
        <v>6.7218834049296596</v>
      </c>
      <c r="AA601" s="33">
        <f>Table1[[#This Row],[Macaulay Duration in Years]]/(1+Table1[[#This Row],[IRR]])</f>
        <v>6.0299177106010671</v>
      </c>
      <c r="AB601" s="58">
        <f>VLOOKUP(Table1[[#This Row],[Yield Cluster]],'Cluster Details'!$B$3:$C$16,2,0)</f>
        <v>0.11069942689191503</v>
      </c>
      <c r="AC601" s="78">
        <f>PRICE(Table1[[#This Row],[Issue date]],Table1[[#This Row],[Maturity date]],Table1[[#This Row],[Current coupon %]],Table1[[#This Row],[Average Cluster Yield]],100,Table1[[#This Row],[Coupon Frequency2]])*Table1[[#This Row],[Face value]]/100</f>
        <v>885499.36883429182</v>
      </c>
      <c r="AD601" s="58" t="str">
        <f>IF(Table1[[#This Row],[Ask Price]]&gt;Table1[[#This Row],[Calculated Bond Price]],"Rich","Cheap")</f>
        <v>Cheap</v>
      </c>
      <c r="AE60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814038.85017109429</v>
      </c>
      <c r="AF60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918382.56905404222</v>
      </c>
      <c r="AG601" s="78">
        <f>(Table1[[#This Row],[P (+ shock)]]+Table1[[#This Row],[P (-shock)]]-2*Table1[[#This Row],[Ask Price]])/(2*Table1[[#This Row],[Ask Price]]*($AF$2^2))</f>
        <v>25.586916812132618</v>
      </c>
      <c r="AH601">
        <v>5.6158958891867696</v>
      </c>
      <c r="AI601" s="6">
        <f t="shared" si="37"/>
        <v>0.10555555555555554</v>
      </c>
      <c r="AK601" s="47">
        <f>RATE(Table1[[#This Row],[Total No. of Coupons]],Table1[[#This Row],[Coupon Amount]],-Table1[[#This Row],[Ask Price]],Table1[[#This Row],[Face value]])</f>
        <v>0.11475541251782956</v>
      </c>
      <c r="AL601" s="27">
        <f>Table1[[#This Row],[IRR]]*Table1[[#This Row],[Coupon Frequency2]]</f>
        <v>0.11475541251782956</v>
      </c>
      <c r="AM601" s="5">
        <f t="shared" si="38"/>
        <v>-5209848.9019593224</v>
      </c>
      <c r="AN601" t="s">
        <v>69</v>
      </c>
      <c r="AO601" t="s">
        <v>62</v>
      </c>
      <c r="AP601">
        <f t="shared" si="39"/>
        <v>1</v>
      </c>
    </row>
    <row r="602" spans="1:42" x14ac:dyDescent="0.35">
      <c r="A602" s="48" t="s">
        <v>2901</v>
      </c>
      <c r="B602" s="49" t="s">
        <v>2902</v>
      </c>
      <c r="C602" s="49" t="s">
        <v>2273</v>
      </c>
      <c r="D602" s="50">
        <v>45827</v>
      </c>
      <c r="E602" s="50">
        <v>47653</v>
      </c>
      <c r="F602" s="49">
        <v>100000</v>
      </c>
      <c r="G602" s="49" t="s">
        <v>76</v>
      </c>
      <c r="H602" s="49">
        <v>92487.22</v>
      </c>
      <c r="I602" s="49" t="s">
        <v>76</v>
      </c>
      <c r="J602" s="49">
        <v>92.487219999999994</v>
      </c>
      <c r="K602" s="49">
        <v>20</v>
      </c>
      <c r="L602" s="51">
        <v>9.5000000000000001E-2</v>
      </c>
      <c r="M602" s="49" t="s">
        <v>93</v>
      </c>
      <c r="N602" s="49">
        <v>1736</v>
      </c>
      <c r="O602" s="49">
        <v>10.271689429090801</v>
      </c>
      <c r="P602" s="49" t="s">
        <v>2279</v>
      </c>
      <c r="Q602" s="49"/>
      <c r="R602" s="49" t="s">
        <v>2275</v>
      </c>
      <c r="S602">
        <f t="shared" si="36"/>
        <v>5</v>
      </c>
      <c r="T602" s="5" cm="1">
        <f t="array" ref="T6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2">
        <f>Table1[[#This Row],[Term to Maturity (Years)]]*Table1[[#This Row],[Coupon Frequency2]]</f>
        <v>5</v>
      </c>
      <c r="V602">
        <f>Table1[[#This Row],[Face value]]*Table1[[#This Row],[Current coupon %]]</f>
        <v>9500</v>
      </c>
      <c r="W602" s="36">
        <f>RATE(Table1[[#This Row],[Total No. of Coupons]],Table1[[#This Row],[Coupon Amount]],-Table1[[#This Row],[Ask Price]],Table1[[#This Row],[Face value]])</f>
        <v>0.11561527194600928</v>
      </c>
      <c r="X602" s="27">
        <f>Table1[[#This Row],[IRR]]*Table1[[#This Row],[Coupon Frequency2]]</f>
        <v>0.11561527194600928</v>
      </c>
      <c r="Y602" s="19" cm="1">
        <f t="array" ref="Y6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2" s="33">
        <f>DURATION(Table1[[#This Row],[Issue date]],Table1[[#This Row],[Maturity date]],Table1[[#This Row],[Current coupon %]],Table1[[#This Row],[Yield (Annualised)]],Table1[[#This Row],[Coupon Frequency2]])</f>
        <v>4.1698560914804927</v>
      </c>
      <c r="AA602" s="33">
        <f>Table1[[#This Row],[Macaulay Duration in Years]]/(1+Table1[[#This Row],[IRR]])</f>
        <v>3.7377187246700716</v>
      </c>
      <c r="AB602" s="58">
        <f>VLOOKUP(Table1[[#This Row],[Yield Cluster]],'Cluster Details'!$B$3:$C$16,2,0)</f>
        <v>0.11069942689191503</v>
      </c>
      <c r="AC602" s="78">
        <f>PRICE(Table1[[#This Row],[Issue date]],Table1[[#This Row],[Maturity date]],Table1[[#This Row],[Current coupon %]],Table1[[#This Row],[Average Cluster Yield]],100,Table1[[#This Row],[Coupon Frequency2]])*Table1[[#This Row],[Face value]]/100</f>
        <v>94207.847939117957</v>
      </c>
      <c r="AD602" s="58" t="str">
        <f>IF(Table1[[#This Row],[Ask Price]]&gt;Table1[[#This Row],[Calculated Bond Price]],"Rich","Cheap")</f>
        <v>Cheap</v>
      </c>
      <c r="AE60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89115.692204750827</v>
      </c>
      <c r="AF60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96033.043399422691</v>
      </c>
      <c r="AG602" s="78">
        <f>(Table1[[#This Row],[P (+ shock)]]+Table1[[#This Row],[P (-shock)]]-2*Table1[[#This Row],[Ask Price]])/(2*Table1[[#This Row],[Ask Price]]*($AF$2^2))</f>
        <v>9.4226858680313601</v>
      </c>
      <c r="AH602">
        <v>11.2088728507747</v>
      </c>
      <c r="AI602" s="6">
        <f t="shared" si="37"/>
        <v>0.10271689429090851</v>
      </c>
      <c r="AK602" s="47">
        <f>RATE(Table1[[#This Row],[Total No. of Coupons]],Table1[[#This Row],[Coupon Amount]],-Table1[[#This Row],[Ask Price]],Table1[[#This Row],[Face value]])</f>
        <v>0.11561527194600928</v>
      </c>
      <c r="AL602" s="27">
        <f>Table1[[#This Row],[IRR]]*Table1[[#This Row],[Coupon Frequency2]]</f>
        <v>0.11561527194600928</v>
      </c>
      <c r="AM602" s="5">
        <f t="shared" si="38"/>
        <v>-345691.21398668032</v>
      </c>
      <c r="AN602" t="s">
        <v>64</v>
      </c>
      <c r="AO602" t="s">
        <v>62</v>
      </c>
      <c r="AP602">
        <f t="shared" si="39"/>
        <v>1</v>
      </c>
    </row>
    <row r="603" spans="1:42" x14ac:dyDescent="0.35">
      <c r="A603" s="48" t="s">
        <v>2903</v>
      </c>
      <c r="B603" s="49" t="s">
        <v>2904</v>
      </c>
      <c r="C603" s="49" t="s">
        <v>2273</v>
      </c>
      <c r="D603" s="50">
        <v>45870</v>
      </c>
      <c r="E603" s="50">
        <v>47696</v>
      </c>
      <c r="F603" s="49">
        <v>1000</v>
      </c>
      <c r="G603" s="49" t="s">
        <v>76</v>
      </c>
      <c r="H603" s="49">
        <v>930.3</v>
      </c>
      <c r="I603" s="49" t="s">
        <v>76</v>
      </c>
      <c r="J603" s="49">
        <v>93.029999999999902</v>
      </c>
      <c r="K603" s="49">
        <v>20</v>
      </c>
      <c r="L603" s="51">
        <v>9.6500000000000002E-2</v>
      </c>
      <c r="M603" s="49" t="s">
        <v>93</v>
      </c>
      <c r="N603" s="49">
        <v>1779</v>
      </c>
      <c r="O603" s="49">
        <v>10.372997957648</v>
      </c>
      <c r="P603" s="49" t="s">
        <v>2279</v>
      </c>
      <c r="Q603" s="49"/>
      <c r="R603" s="49" t="s">
        <v>2275</v>
      </c>
      <c r="S603">
        <f t="shared" si="36"/>
        <v>5</v>
      </c>
      <c r="T603" s="5" cm="1">
        <f t="array" ref="T6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3">
        <f>Table1[[#This Row],[Term to Maturity (Years)]]*Table1[[#This Row],[Coupon Frequency2]]</f>
        <v>5</v>
      </c>
      <c r="V603">
        <f>Table1[[#This Row],[Face value]]*Table1[[#This Row],[Current coupon %]]</f>
        <v>96.5</v>
      </c>
      <c r="W603" s="36">
        <f>RATE(Table1[[#This Row],[Total No. of Coupons]],Table1[[#This Row],[Coupon Amount]],-Table1[[#This Row],[Ask Price]],Table1[[#This Row],[Face value]])</f>
        <v>0.11562639970550319</v>
      </c>
      <c r="X603" s="27">
        <f>Table1[[#This Row],[IRR]]*Table1[[#This Row],[Coupon Frequency2]]</f>
        <v>0.11562639970550319</v>
      </c>
      <c r="Y603" s="19" cm="1">
        <f t="array" ref="Y6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3" s="33">
        <f>DURATION(Table1[[#This Row],[Issue date]],Table1[[#This Row],[Maturity date]],Table1[[#This Row],[Current coupon %]],Table1[[#This Row],[Yield (Annualised)]],Table1[[#This Row],[Coupon Frequency2]])</f>
        <v>4.1616843147651581</v>
      </c>
      <c r="AA603" s="33">
        <f>Table1[[#This Row],[Macaulay Duration in Years]]/(1+Table1[[#This Row],[IRR]])</f>
        <v>3.7303566102986951</v>
      </c>
      <c r="AB603" s="58">
        <f>VLOOKUP(Table1[[#This Row],[Yield Cluster]],'Cluster Details'!$B$3:$C$16,2,0)</f>
        <v>0.11069942689191503</v>
      </c>
      <c r="AC603" s="78">
        <f>PRICE(Table1[[#This Row],[Issue date]],Table1[[#This Row],[Maturity date]],Table1[[#This Row],[Current coupon %]],Table1[[#This Row],[Average Cluster Yield]],100,Table1[[#This Row],[Coupon Frequency2]])*Table1[[#This Row],[Face value]]/100</f>
        <v>947.6125846493768</v>
      </c>
      <c r="AD603" s="58" t="str">
        <f>IF(Table1[[#This Row],[Ask Price]]&gt;Table1[[#This Row],[Calculated Bond Price]],"Rich","Cheap")</f>
        <v>Cheap</v>
      </c>
      <c r="AE60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896.45297444565108</v>
      </c>
      <c r="AF60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965.89535204051674</v>
      </c>
      <c r="AG603" s="78">
        <f>(Table1[[#This Row],[P (+ shock)]]+Table1[[#This Row],[P (-shock)]]-2*Table1[[#This Row],[Ask Price]])/(2*Table1[[#This Row],[Ask Price]]*($AF$2^2))</f>
        <v>9.3965736115662981</v>
      </c>
      <c r="AH603">
        <v>11.215736310473099</v>
      </c>
      <c r="AI603" s="6">
        <f t="shared" si="37"/>
        <v>0.10372997957648071</v>
      </c>
      <c r="AK603" s="47">
        <f>RATE(Table1[[#This Row],[Total No. of Coupons]],Table1[[#This Row],[Coupon Amount]],-Table1[[#This Row],[Ask Price]],Table1[[#This Row],[Face value]])</f>
        <v>0.11562639970550319</v>
      </c>
      <c r="AL603" s="27">
        <f>Table1[[#This Row],[IRR]]*Table1[[#This Row],[Coupon Frequency2]]</f>
        <v>0.11562639970550319</v>
      </c>
      <c r="AM603" s="5">
        <f t="shared" si="38"/>
        <v>-3470.3507545608759</v>
      </c>
      <c r="AN603" t="s">
        <v>64</v>
      </c>
      <c r="AO603" t="s">
        <v>62</v>
      </c>
      <c r="AP603">
        <f t="shared" si="39"/>
        <v>1</v>
      </c>
    </row>
    <row r="604" spans="1:42" x14ac:dyDescent="0.35">
      <c r="A604" s="48" t="s">
        <v>1651</v>
      </c>
      <c r="B604" s="49" t="s">
        <v>2905</v>
      </c>
      <c r="C604" s="49" t="s">
        <v>2273</v>
      </c>
      <c r="D604" s="50">
        <v>45173</v>
      </c>
      <c r="E604" s="50">
        <v>46269</v>
      </c>
      <c r="F604" s="49">
        <v>100000</v>
      </c>
      <c r="G604" s="49" t="s">
        <v>76</v>
      </c>
      <c r="H604" s="49">
        <v>98000</v>
      </c>
      <c r="I604" s="49" t="s">
        <v>76</v>
      </c>
      <c r="J604" s="49">
        <v>98</v>
      </c>
      <c r="K604" s="49">
        <v>9</v>
      </c>
      <c r="L604" s="51">
        <v>0.1075</v>
      </c>
      <c r="M604" s="49" t="s">
        <v>93</v>
      </c>
      <c r="N604" s="49">
        <v>352</v>
      </c>
      <c r="O604" s="49">
        <v>10.969387755102</v>
      </c>
      <c r="P604" s="49"/>
      <c r="Q604" s="49"/>
      <c r="R604" s="49" t="s">
        <v>2275</v>
      </c>
      <c r="S604">
        <f t="shared" si="36"/>
        <v>3</v>
      </c>
      <c r="T604" s="5" cm="1">
        <f t="array" ref="T6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4">
        <f>Table1[[#This Row],[Term to Maturity (Years)]]*Table1[[#This Row],[Coupon Frequency2]]</f>
        <v>3</v>
      </c>
      <c r="V604">
        <f>Table1[[#This Row],[Face value]]*Table1[[#This Row],[Current coupon %]]</f>
        <v>10750</v>
      </c>
      <c r="W604" s="36">
        <f>RATE(Table1[[#This Row],[Total No. of Coupons]],Table1[[#This Row],[Coupon Amount]],-Table1[[#This Row],[Ask Price]],Table1[[#This Row],[Face value]])</f>
        <v>0.11576646822953528</v>
      </c>
      <c r="X604" s="27">
        <f>Table1[[#This Row],[IRR]]*Table1[[#This Row],[Coupon Frequency2]]</f>
        <v>0.11576646822953528</v>
      </c>
      <c r="Y604" s="19" cm="1">
        <f t="array" ref="Y6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4" s="33">
        <f>DURATION(Table1[[#This Row],[Issue date]],Table1[[#This Row],[Maturity date]],Table1[[#This Row],[Current coupon %]],Table1[[#This Row],[Yield (Annualised)]],Table1[[#This Row],[Coupon Frequency2]])</f>
        <v>2.7152626989591373</v>
      </c>
      <c r="AA604" s="33">
        <f>Table1[[#This Row],[Macaulay Duration in Years]]/(1+Table1[[#This Row],[IRR]])</f>
        <v>2.4335403296960831</v>
      </c>
      <c r="AB604" s="58">
        <f>VLOOKUP(Table1[[#This Row],[Yield Cluster]],'Cluster Details'!$B$3:$C$16,2,0)</f>
        <v>0.11069942689191503</v>
      </c>
      <c r="AC604" s="78">
        <f>PRICE(Table1[[#This Row],[Issue date]],Table1[[#This Row],[Maturity date]],Table1[[#This Row],[Current coupon %]],Table1[[#This Row],[Average Cluster Yield]],100,Table1[[#This Row],[Coupon Frequency2]])*Table1[[#This Row],[Face value]]/100</f>
        <v>99219.101456734556</v>
      </c>
      <c r="AD604" s="58" t="str">
        <f>IF(Table1[[#This Row],[Ask Price]]&gt;Table1[[#This Row],[Calculated Bond Price]],"Rich","Cheap")</f>
        <v>Cheap</v>
      </c>
      <c r="AE60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95655.813669884374</v>
      </c>
      <c r="AF60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100426.76449948343</v>
      </c>
      <c r="AG604" s="78">
        <f>(Table1[[#This Row],[P (+ shock)]]+Table1[[#This Row],[P (-shock)]]-2*Table1[[#This Row],[Ask Price]])/(2*Table1[[#This Row],[Ask Price]]*($AF$2^2))</f>
        <v>4.2131719065204081</v>
      </c>
      <c r="AH604">
        <v>5.4506125367313896</v>
      </c>
      <c r="AI604" s="6">
        <f t="shared" si="37"/>
        <v>0.10969387755102041</v>
      </c>
      <c r="AK604" s="47">
        <f>RATE(Table1[[#This Row],[Total No. of Coupons]],Table1[[#This Row],[Coupon Amount]],-Table1[[#This Row],[Ask Price]],Table1[[#This Row],[Face value]])</f>
        <v>0.11576646822953528</v>
      </c>
      <c r="AL604" s="27">
        <f>Table1[[#This Row],[IRR]]*Table1[[#This Row],[Coupon Frequency2]]</f>
        <v>0.11576646822953528</v>
      </c>
      <c r="AM604" s="5">
        <f t="shared" si="38"/>
        <v>-238486.95231021615</v>
      </c>
      <c r="AN604" t="s">
        <v>64</v>
      </c>
      <c r="AO604" t="s">
        <v>62</v>
      </c>
      <c r="AP604">
        <f t="shared" si="39"/>
        <v>1</v>
      </c>
    </row>
    <row r="605" spans="1:42" x14ac:dyDescent="0.35">
      <c r="A605" s="48" t="s">
        <v>2906</v>
      </c>
      <c r="B605" s="49" t="s">
        <v>2907</v>
      </c>
      <c r="C605" s="49" t="s">
        <v>2273</v>
      </c>
      <c r="D605" s="50">
        <v>45870</v>
      </c>
      <c r="E605" s="50">
        <v>49522</v>
      </c>
      <c r="F605" s="49">
        <v>1000</v>
      </c>
      <c r="G605" s="49" t="s">
        <v>76</v>
      </c>
      <c r="H605" s="49">
        <v>900</v>
      </c>
      <c r="I605" s="49" t="s">
        <v>76</v>
      </c>
      <c r="J605" s="49">
        <v>90</v>
      </c>
      <c r="K605" s="49">
        <v>1</v>
      </c>
      <c r="L605" s="51">
        <v>9.9499999999999991E-2</v>
      </c>
      <c r="M605" s="49" t="s">
        <v>93</v>
      </c>
      <c r="N605" s="49">
        <v>3605</v>
      </c>
      <c r="O605" s="49">
        <v>11.0555555555555</v>
      </c>
      <c r="P605" s="49" t="s">
        <v>2279</v>
      </c>
      <c r="Q605" s="49"/>
      <c r="R605" s="49" t="s">
        <v>2275</v>
      </c>
      <c r="S605">
        <f t="shared" si="36"/>
        <v>10</v>
      </c>
      <c r="T605" s="5" cm="1">
        <f t="array" ref="T6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5">
        <f>Table1[[#This Row],[Term to Maturity (Years)]]*Table1[[#This Row],[Coupon Frequency2]]</f>
        <v>10</v>
      </c>
      <c r="V605">
        <f>Table1[[#This Row],[Face value]]*Table1[[#This Row],[Current coupon %]]</f>
        <v>99.499999999999986</v>
      </c>
      <c r="W605" s="36">
        <f>RATE(Table1[[#This Row],[Total No. of Coupons]],Table1[[#This Row],[Coupon Amount]],-Table1[[#This Row],[Ask Price]],Table1[[#This Row],[Face value]])</f>
        <v>0.1169802009201738</v>
      </c>
      <c r="X605" s="27">
        <f>Table1[[#This Row],[IRR]]*Table1[[#This Row],[Coupon Frequency2]]</f>
        <v>0.1169802009201738</v>
      </c>
      <c r="Y605" s="19" cm="1">
        <f t="array" ref="Y6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5" s="33">
        <f>DURATION(Table1[[#This Row],[Issue date]],Table1[[#This Row],[Maturity date]],Table1[[#This Row],[Current coupon %]],Table1[[#This Row],[Yield (Annualised)]],Table1[[#This Row],[Coupon Frequency2]])</f>
        <v>6.5882389866275064</v>
      </c>
      <c r="AA605" s="33">
        <f>Table1[[#This Row],[Macaulay Duration in Years]]/(1+Table1[[#This Row],[IRR]])</f>
        <v>5.8982594151624923</v>
      </c>
      <c r="AB605" s="58">
        <f>VLOOKUP(Table1[[#This Row],[Yield Cluster]],'Cluster Details'!$B$3:$C$16,2,0)</f>
        <v>0.11069942689191503</v>
      </c>
      <c r="AC605" s="78">
        <f>PRICE(Table1[[#This Row],[Issue date]],Table1[[#This Row],[Maturity date]],Table1[[#This Row],[Current coupon %]],Table1[[#This Row],[Average Cluster Yield]],100,Table1[[#This Row],[Coupon Frequency2]])*Table1[[#This Row],[Face value]]/100</f>
        <v>934.23696732593874</v>
      </c>
      <c r="AD605" s="58" t="str">
        <f>IF(Table1[[#This Row],[Ask Price]]&gt;Table1[[#This Row],[Calculated Bond Price]],"Rich","Cheap")</f>
        <v>Cheap</v>
      </c>
      <c r="AE60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849.0685903117718</v>
      </c>
      <c r="AF60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955.3839322048575</v>
      </c>
      <c r="AG605" s="78">
        <f>(Table1[[#This Row],[P (+ shock)]]+Table1[[#This Row],[P (-shock)]]-2*Table1[[#This Row],[Ask Price]])/(2*Table1[[#This Row],[Ask Price]]*($AF$2^2))</f>
        <v>24.736236203496748</v>
      </c>
      <c r="AH605">
        <v>7.9190060177790604</v>
      </c>
      <c r="AI605" s="6">
        <f t="shared" si="37"/>
        <v>0.11055555555555555</v>
      </c>
      <c r="AK605" s="47">
        <f>RATE(Table1[[#This Row],[Total No. of Coupons]],Table1[[#This Row],[Coupon Amount]],-Table1[[#This Row],[Ask Price]],Table1[[#This Row],[Face value]])</f>
        <v>0.1169802009201738</v>
      </c>
      <c r="AL605" s="27">
        <f>Table1[[#This Row],[IRR]]*Table1[[#This Row],[Coupon Frequency2]]</f>
        <v>0.1169802009201738</v>
      </c>
      <c r="AM605" s="5">
        <f t="shared" si="38"/>
        <v>-5308.4334736462433</v>
      </c>
      <c r="AN605" t="s">
        <v>79</v>
      </c>
      <c r="AO605" t="s">
        <v>62</v>
      </c>
      <c r="AP605">
        <f t="shared" si="39"/>
        <v>1</v>
      </c>
    </row>
    <row r="606" spans="1:42" x14ac:dyDescent="0.35">
      <c r="A606" s="48" t="s">
        <v>751</v>
      </c>
      <c r="B606" s="49" t="s">
        <v>2908</v>
      </c>
      <c r="C606" s="49" t="s">
        <v>2273</v>
      </c>
      <c r="D606" s="50">
        <v>45322</v>
      </c>
      <c r="E606" s="50">
        <v>47149</v>
      </c>
      <c r="F606" s="49">
        <v>1000</v>
      </c>
      <c r="G606" s="49" t="s">
        <v>76</v>
      </c>
      <c r="H606" s="49">
        <v>927.5</v>
      </c>
      <c r="I606" s="49" t="s">
        <v>76</v>
      </c>
      <c r="J606" s="49">
        <v>92.75</v>
      </c>
      <c r="K606" s="49">
        <v>11</v>
      </c>
      <c r="L606" s="51">
        <v>9.7500000000000003E-2</v>
      </c>
      <c r="M606" s="49" t="s">
        <v>93</v>
      </c>
      <c r="N606" s="49">
        <v>1232</v>
      </c>
      <c r="O606" s="49">
        <v>10.512129380053899</v>
      </c>
      <c r="P606" s="49"/>
      <c r="Q606" s="49"/>
      <c r="R606" s="49" t="s">
        <v>2275</v>
      </c>
      <c r="S606">
        <f t="shared" si="36"/>
        <v>5</v>
      </c>
      <c r="T606" s="5" cm="1">
        <f t="array" ref="T6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6">
        <f>Table1[[#This Row],[Term to Maturity (Years)]]*Table1[[#This Row],[Coupon Frequency2]]</f>
        <v>5</v>
      </c>
      <c r="V606">
        <f>Table1[[#This Row],[Face value]]*Table1[[#This Row],[Current coupon %]]</f>
        <v>97.5</v>
      </c>
      <c r="W606" s="36">
        <f>RATE(Table1[[#This Row],[Total No. of Coupons]],Table1[[#This Row],[Coupon Amount]],-Table1[[#This Row],[Ask Price]],Table1[[#This Row],[Face value]])</f>
        <v>0.11748715471423968</v>
      </c>
      <c r="X606" s="27">
        <f>Table1[[#This Row],[IRR]]*Table1[[#This Row],[Coupon Frequency2]]</f>
        <v>0.11748715471423968</v>
      </c>
      <c r="Y606" s="19" cm="1">
        <f t="array" ref="Y6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6" s="33">
        <f>DURATION(Table1[[#This Row],[Issue date]],Table1[[#This Row],[Maturity date]],Table1[[#This Row],[Current coupon %]],Table1[[#This Row],[Yield (Annualised)]],Table1[[#This Row],[Coupon Frequency2]])</f>
        <v>4.1531167924111969</v>
      </c>
      <c r="AA606" s="33">
        <f>Table1[[#This Row],[Macaulay Duration in Years]]/(1+Table1[[#This Row],[IRR]])</f>
        <v>3.7164783280871077</v>
      </c>
      <c r="AB606" s="58">
        <f>VLOOKUP(Table1[[#This Row],[Yield Cluster]],'Cluster Details'!$B$3:$C$16,2,0)</f>
        <v>0.11069942689191503</v>
      </c>
      <c r="AC606" s="78">
        <f>PRICE(Table1[[#This Row],[Issue date]],Table1[[#This Row],[Maturity date]],Table1[[#This Row],[Current coupon %]],Table1[[#This Row],[Average Cluster Yield]],100,Table1[[#This Row],[Coupon Frequency2]])*Table1[[#This Row],[Face value]]/100</f>
        <v>951.30198815484164</v>
      </c>
      <c r="AD606" s="58" t="str">
        <f>IF(Table1[[#This Row],[Ask Price]]&gt;Table1[[#This Row],[Calculated Bond Price]],"Rich","Cheap")</f>
        <v>Cheap</v>
      </c>
      <c r="AE60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893.87834724777804</v>
      </c>
      <c r="AF60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962.8539869847873</v>
      </c>
      <c r="AG606" s="78">
        <f>(Table1[[#This Row],[P (+ shock)]]+Table1[[#This Row],[P (-shock)]]-2*Table1[[#This Row],[Ask Price]])/(2*Table1[[#This Row],[Ask Price]]*($AF$2^2))</f>
        <v>9.3387290165247201</v>
      </c>
      <c r="AI606" s="6">
        <f t="shared" si="37"/>
        <v>0.10512129380053908</v>
      </c>
      <c r="AK606" s="47">
        <f>RATE(Table1[[#This Row],[Total No. of Coupons]],Table1[[#This Row],[Coupon Amount]],-Table1[[#This Row],[Ask Price]],Table1[[#This Row],[Face value]])</f>
        <v>0.11748715471423968</v>
      </c>
      <c r="AL606" s="27">
        <f>Table1[[#This Row],[IRR]]*Table1[[#This Row],[Coupon Frequency2]]</f>
        <v>0.11748715471423968</v>
      </c>
      <c r="AM606" s="5">
        <f t="shared" si="38"/>
        <v>-3447.0336493007921</v>
      </c>
      <c r="AN606" t="s">
        <v>64</v>
      </c>
      <c r="AO606" t="s">
        <v>62</v>
      </c>
      <c r="AP606">
        <f t="shared" si="39"/>
        <v>1</v>
      </c>
    </row>
    <row r="607" spans="1:42" x14ac:dyDescent="0.35">
      <c r="A607" s="48" t="s">
        <v>492</v>
      </c>
      <c r="B607" s="49" t="s">
        <v>2909</v>
      </c>
      <c r="C607" s="49" t="s">
        <v>2273</v>
      </c>
      <c r="D607" s="50">
        <v>42094</v>
      </c>
      <c r="E607" s="50">
        <v>47572</v>
      </c>
      <c r="F607" s="49">
        <v>1000000</v>
      </c>
      <c r="G607" s="49" t="s">
        <v>76</v>
      </c>
      <c r="H607" s="49">
        <v>1000000</v>
      </c>
      <c r="I607" s="49" t="s">
        <v>76</v>
      </c>
      <c r="J607" s="49">
        <v>100</v>
      </c>
      <c r="K607" s="49">
        <v>1</v>
      </c>
      <c r="L607" s="51">
        <v>0.11749999999999999</v>
      </c>
      <c r="M607" s="49" t="s">
        <v>93</v>
      </c>
      <c r="N607" s="49">
        <v>1655</v>
      </c>
      <c r="O607" s="49">
        <v>11.75</v>
      </c>
      <c r="P607" s="49"/>
      <c r="Q607" s="49"/>
      <c r="R607" s="49" t="s">
        <v>2275</v>
      </c>
      <c r="S607">
        <f t="shared" si="36"/>
        <v>15</v>
      </c>
      <c r="T607" s="5" cm="1">
        <f t="array" ref="T6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7">
        <f>Table1[[#This Row],[Term to Maturity (Years)]]*Table1[[#This Row],[Coupon Frequency2]]</f>
        <v>15</v>
      </c>
      <c r="V607">
        <f>Table1[[#This Row],[Face value]]*Table1[[#This Row],[Current coupon %]]</f>
        <v>117500</v>
      </c>
      <c r="W607" s="36">
        <f>RATE(Table1[[#This Row],[Total No. of Coupons]],Table1[[#This Row],[Coupon Amount]],-Table1[[#This Row],[Ask Price]],Table1[[#This Row],[Face value]])</f>
        <v>0.11749999999999999</v>
      </c>
      <c r="X607" s="27">
        <f>Table1[[#This Row],[IRR]]*Table1[[#This Row],[Coupon Frequency2]]</f>
        <v>0.11749999999999999</v>
      </c>
      <c r="Y607" s="19" cm="1">
        <f t="array" ref="Y6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7" s="33">
        <f>DURATION(Table1[[#This Row],[Issue date]],Table1[[#This Row],[Maturity date]],Table1[[#This Row],[Current coupon %]],Table1[[#This Row],[Yield (Annualised)]],Table1[[#This Row],[Coupon Frequency2]])</f>
        <v>7.7138509197772276</v>
      </c>
      <c r="AA607" s="33">
        <f>Table1[[#This Row],[Macaulay Duration in Years]]/(1+Table1[[#This Row],[IRR]])</f>
        <v>6.9027748722838727</v>
      </c>
      <c r="AB607" s="58">
        <f>VLOOKUP(Table1[[#This Row],[Yield Cluster]],'Cluster Details'!$B$3:$C$16,2,0)</f>
        <v>0.11069942689191503</v>
      </c>
      <c r="AC607" s="78">
        <f>PRICE(Table1[[#This Row],[Issue date]],Table1[[#This Row],[Maturity date]],Table1[[#This Row],[Current coupon %]],Table1[[#This Row],[Average Cluster Yield]],100,Table1[[#This Row],[Coupon Frequency2]])*Table1[[#This Row],[Face value]]/100</f>
        <v>1048713.8066495727</v>
      </c>
      <c r="AD607" s="58" t="str">
        <f>IF(Table1[[#This Row],[Ask Price]]&gt;Table1[[#This Row],[Calculated Bond Price]],"Rich","Cheap")</f>
        <v>Cheap</v>
      </c>
      <c r="AE60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934532.70311141235</v>
      </c>
      <c r="AF60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1072912.1703159045</v>
      </c>
      <c r="AG607" s="78">
        <f>(Table1[[#This Row],[P (+ shock)]]+Table1[[#This Row],[P (-shock)]]-2*Table1[[#This Row],[Ask Price]])/(2*Table1[[#This Row],[Ask Price]]*($AF$2^2))</f>
        <v>37.224367136585059</v>
      </c>
      <c r="AI607" s="6">
        <f t="shared" si="37"/>
        <v>0.11749999999999999</v>
      </c>
      <c r="AK607" s="47">
        <f>RATE(Table1[[#This Row],[Total No. of Coupons]],Table1[[#This Row],[Coupon Amount]],-Table1[[#This Row],[Ask Price]],Table1[[#This Row],[Face value]])</f>
        <v>0.11749999999999999</v>
      </c>
      <c r="AL607" s="27">
        <f>Table1[[#This Row],[IRR]]*Table1[[#This Row],[Coupon Frequency2]]</f>
        <v>0.11749999999999999</v>
      </c>
      <c r="AM607" s="5">
        <f t="shared" si="38"/>
        <v>-6902774.8722838722</v>
      </c>
      <c r="AN607" t="s">
        <v>64</v>
      </c>
      <c r="AO607" t="s">
        <v>62</v>
      </c>
      <c r="AP607">
        <f t="shared" si="39"/>
        <v>1</v>
      </c>
    </row>
    <row r="608" spans="1:42" x14ac:dyDescent="0.35">
      <c r="A608" s="48" t="s">
        <v>2910</v>
      </c>
      <c r="B608" s="49" t="s">
        <v>2911</v>
      </c>
      <c r="C608" s="49" t="s">
        <v>2273</v>
      </c>
      <c r="D608" s="50">
        <v>45870</v>
      </c>
      <c r="E608" s="50">
        <v>46600</v>
      </c>
      <c r="F608" s="49">
        <v>1000</v>
      </c>
      <c r="G608" s="49" t="s">
        <v>76</v>
      </c>
      <c r="H608" s="49">
        <v>951.2</v>
      </c>
      <c r="I608" s="49" t="s">
        <v>76</v>
      </c>
      <c r="J608" s="49">
        <v>95.12</v>
      </c>
      <c r="K608" s="49">
        <v>110</v>
      </c>
      <c r="L608" s="51">
        <v>0.09</v>
      </c>
      <c r="M608" s="49" t="s">
        <v>93</v>
      </c>
      <c r="N608" s="49">
        <v>683</v>
      </c>
      <c r="O608" s="49">
        <v>9.4617325483599597</v>
      </c>
      <c r="P608" s="49" t="s">
        <v>2279</v>
      </c>
      <c r="Q608" s="49"/>
      <c r="R608" s="49" t="s">
        <v>2275</v>
      </c>
      <c r="S608">
        <f t="shared" si="36"/>
        <v>2</v>
      </c>
      <c r="T608" s="5" cm="1">
        <f t="array" ref="T6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8">
        <f>Table1[[#This Row],[Term to Maturity (Years)]]*Table1[[#This Row],[Coupon Frequency2]]</f>
        <v>2</v>
      </c>
      <c r="V608">
        <f>Table1[[#This Row],[Face value]]*Table1[[#This Row],[Current coupon %]]</f>
        <v>90</v>
      </c>
      <c r="W608" s="36">
        <f>RATE(Table1[[#This Row],[Total No. of Coupons]],Table1[[#This Row],[Coupon Amount]],-Table1[[#This Row],[Ask Price]],Table1[[#This Row],[Face value]])</f>
        <v>0.11883050178123716</v>
      </c>
      <c r="X608" s="27">
        <f>Table1[[#This Row],[IRR]]*Table1[[#This Row],[Coupon Frequency2]]</f>
        <v>0.11883050178123716</v>
      </c>
      <c r="Y608" s="19" cm="1">
        <f t="array" ref="Y6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8" s="33">
        <f>DURATION(Table1[[#This Row],[Issue date]],Table1[[#This Row],[Maturity date]],Table1[[#This Row],[Current coupon %]],Table1[[#This Row],[Yield (Annualised)]],Table1[[#This Row],[Coupon Frequency2]])</f>
        <v>1.9154319395717545</v>
      </c>
      <c r="AA608" s="33">
        <f>Table1[[#This Row],[Macaulay Duration in Years]]/(1+Table1[[#This Row],[IRR]])</f>
        <v>1.7119947449790525</v>
      </c>
      <c r="AB608" s="58">
        <f>VLOOKUP(Table1[[#This Row],[Yield Cluster]],'Cluster Details'!$B$3:$C$16,2,0)</f>
        <v>0.11069942689191503</v>
      </c>
      <c r="AC608" s="78">
        <f>PRICE(Table1[[#This Row],[Issue date]],Table1[[#This Row],[Maturity date]],Table1[[#This Row],[Current coupon %]],Table1[[#This Row],[Average Cluster Yield]],100,Table1[[#This Row],[Coupon Frequency2]])*Table1[[#This Row],[Face value]]/100</f>
        <v>964.58464349680571</v>
      </c>
      <c r="AD608" s="58" t="str">
        <f>IF(Table1[[#This Row],[Ask Price]]&gt;Table1[[#This Row],[Calculated Bond Price]],"Rich","Cheap")</f>
        <v>Cheap</v>
      </c>
      <c r="AE60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935.12810041909586</v>
      </c>
      <c r="AF60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967.70217780162022</v>
      </c>
      <c r="AG608" s="78">
        <f>(Table1[[#This Row],[P (+ shock)]]+Table1[[#This Row],[P (-shock)]]-2*Table1[[#This Row],[Ask Price]])/(2*Table1[[#This Row],[Ask Price]]*($AF$2^2))</f>
        <v>2.261765247666057</v>
      </c>
      <c r="AH608">
        <v>10.787264642038201</v>
      </c>
      <c r="AI608" s="6">
        <f t="shared" si="37"/>
        <v>9.4617325483599662E-2</v>
      </c>
      <c r="AK608" s="47">
        <f>RATE(Table1[[#This Row],[Total No. of Coupons]],Table1[[#This Row],[Coupon Amount]],-Table1[[#This Row],[Ask Price]],Table1[[#This Row],[Face value]])</f>
        <v>0.11883050178123716</v>
      </c>
      <c r="AL608" s="27">
        <f>Table1[[#This Row],[IRR]]*Table1[[#This Row],[Coupon Frequency2]]</f>
        <v>0.11883050178123716</v>
      </c>
      <c r="AM608" s="5">
        <f t="shared" si="38"/>
        <v>-1628.4494014240747</v>
      </c>
      <c r="AN608" t="s">
        <v>64</v>
      </c>
      <c r="AO608" t="s">
        <v>62</v>
      </c>
      <c r="AP608">
        <f t="shared" si="39"/>
        <v>1</v>
      </c>
    </row>
    <row r="609" spans="1:42" x14ac:dyDescent="0.35">
      <c r="A609" s="48" t="s">
        <v>1707</v>
      </c>
      <c r="B609" s="49" t="s">
        <v>2912</v>
      </c>
      <c r="C609" s="49" t="s">
        <v>2273</v>
      </c>
      <c r="D609" s="50">
        <v>44407</v>
      </c>
      <c r="E609" s="50">
        <v>46232</v>
      </c>
      <c r="F609" s="49">
        <v>1000</v>
      </c>
      <c r="G609" s="49" t="s">
        <v>76</v>
      </c>
      <c r="H609" s="49">
        <v>977</v>
      </c>
      <c r="I609" s="49" t="s">
        <v>76</v>
      </c>
      <c r="J609" s="49">
        <v>97.7</v>
      </c>
      <c r="K609" s="49">
        <v>31</v>
      </c>
      <c r="L609" s="51">
        <v>0.115</v>
      </c>
      <c r="M609" s="49" t="s">
        <v>93</v>
      </c>
      <c r="N609" s="49">
        <v>315</v>
      </c>
      <c r="O609" s="49">
        <v>11.7707267144319</v>
      </c>
      <c r="P609" s="49"/>
      <c r="Q609" s="49"/>
      <c r="R609" s="49" t="s">
        <v>2275</v>
      </c>
      <c r="S609">
        <f t="shared" si="36"/>
        <v>5</v>
      </c>
      <c r="T609" s="5" cm="1">
        <f t="array" ref="T6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09">
        <f>Table1[[#This Row],[Term to Maturity (Years)]]*Table1[[#This Row],[Coupon Frequency2]]</f>
        <v>5</v>
      </c>
      <c r="V609">
        <f>Table1[[#This Row],[Face value]]*Table1[[#This Row],[Current coupon %]]</f>
        <v>115</v>
      </c>
      <c r="W609" s="36">
        <f>RATE(Table1[[#This Row],[Total No. of Coupons]],Table1[[#This Row],[Coupon Amount]],-Table1[[#This Row],[Ask Price]],Table1[[#This Row],[Face value]])</f>
        <v>0.12140260871861371</v>
      </c>
      <c r="X609" s="27">
        <f>Table1[[#This Row],[IRR]]*Table1[[#This Row],[Coupon Frequency2]]</f>
        <v>0.12140260871861371</v>
      </c>
      <c r="Y609" s="19" cm="1">
        <f t="array" ref="Y6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09" s="33">
        <f>DURATION(Table1[[#This Row],[Issue date]],Table1[[#This Row],[Maturity date]],Table1[[#This Row],[Current coupon %]],Table1[[#This Row],[Yield (Annualised)]],Table1[[#This Row],[Coupon Frequency2]])</f>
        <v>4.0551951427106463</v>
      </c>
      <c r="AA609" s="33">
        <f>Table1[[#This Row],[Macaulay Duration in Years]]/(1+Table1[[#This Row],[IRR]])</f>
        <v>3.616181299367915</v>
      </c>
      <c r="AB609" s="58">
        <f>VLOOKUP(Table1[[#This Row],[Yield Cluster]],'Cluster Details'!$B$3:$C$16,2,0)</f>
        <v>0.11069942689191503</v>
      </c>
      <c r="AC609" s="78">
        <f>PRICE(Table1[[#This Row],[Issue date]],Table1[[#This Row],[Maturity date]],Table1[[#This Row],[Current coupon %]],Table1[[#This Row],[Average Cluster Yield]],100,Table1[[#This Row],[Coupon Frequency2]])*Table1[[#This Row],[Face value]]/100</f>
        <v>1015.8434142591666</v>
      </c>
      <c r="AD609" s="58" t="str">
        <f>IF(Table1[[#This Row],[Ask Price]]&gt;Table1[[#This Row],[Calculated Bond Price]],"Rich","Cheap")</f>
        <v>Cheap</v>
      </c>
      <c r="AE60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942.5089560366356</v>
      </c>
      <c r="AF60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1013.2266925637364</v>
      </c>
      <c r="AG609" s="78">
        <f>(Table1[[#This Row],[P (+ shock)]]+Table1[[#This Row],[P (-shock)]]-2*Table1[[#This Row],[Ask Price]])/(2*Table1[[#This Row],[Ask Price]]*($AF$2^2))</f>
        <v>8.8825414553319337</v>
      </c>
      <c r="AH609">
        <v>7.4254932742327702</v>
      </c>
      <c r="AI609" s="6">
        <f t="shared" si="37"/>
        <v>0.11770726714431934</v>
      </c>
      <c r="AK609" s="47">
        <f>RATE(Table1[[#This Row],[Total No. of Coupons]],Table1[[#This Row],[Coupon Amount]],-Table1[[#This Row],[Ask Price]],Table1[[#This Row],[Face value]])</f>
        <v>0.12140260871861371</v>
      </c>
      <c r="AL609" s="27">
        <f>Table1[[#This Row],[IRR]]*Table1[[#This Row],[Coupon Frequency2]]</f>
        <v>0.12140260871861371</v>
      </c>
      <c r="AM609" s="5">
        <f t="shared" si="38"/>
        <v>-3533.0091294824529</v>
      </c>
      <c r="AN609" t="s">
        <v>79</v>
      </c>
      <c r="AO609" t="s">
        <v>62</v>
      </c>
      <c r="AP609">
        <f t="shared" si="39"/>
        <v>1</v>
      </c>
    </row>
    <row r="610" spans="1:42" x14ac:dyDescent="0.35">
      <c r="A610" s="48" t="s">
        <v>770</v>
      </c>
      <c r="B610" s="49" t="s">
        <v>2913</v>
      </c>
      <c r="C610" s="49" t="s">
        <v>2273</v>
      </c>
      <c r="D610" s="50">
        <v>43483</v>
      </c>
      <c r="E610" s="50">
        <v>47136</v>
      </c>
      <c r="F610" s="49">
        <v>1000</v>
      </c>
      <c r="G610" s="49" t="s">
        <v>76</v>
      </c>
      <c r="H610" s="49">
        <v>840.79998999999998</v>
      </c>
      <c r="I610" s="49" t="s">
        <v>76</v>
      </c>
      <c r="J610" s="49">
        <v>84.079999000000001</v>
      </c>
      <c r="K610" s="49">
        <v>1600</v>
      </c>
      <c r="L610" s="51">
        <v>9.35E-2</v>
      </c>
      <c r="M610" s="49" t="s">
        <v>93</v>
      </c>
      <c r="N610" s="49">
        <v>1219</v>
      </c>
      <c r="O610" s="49">
        <v>11.1203616926779</v>
      </c>
      <c r="P610" s="49"/>
      <c r="Q610" s="49"/>
      <c r="R610" s="49" t="s">
        <v>2275</v>
      </c>
      <c r="S610">
        <f t="shared" si="36"/>
        <v>10</v>
      </c>
      <c r="T610" s="5" cm="1">
        <f t="array" ref="T6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0">
        <f>Table1[[#This Row],[Term to Maturity (Years)]]*Table1[[#This Row],[Coupon Frequency2]]</f>
        <v>10</v>
      </c>
      <c r="V610">
        <f>Table1[[#This Row],[Face value]]*Table1[[#This Row],[Current coupon %]]</f>
        <v>93.5</v>
      </c>
      <c r="W610" s="36">
        <f>RATE(Table1[[#This Row],[Total No. of Coupons]],Table1[[#This Row],[Coupon Amount]],-Table1[[#This Row],[Ask Price]],Table1[[#This Row],[Face value]])</f>
        <v>0.12189476572328214</v>
      </c>
      <c r="X610" s="27">
        <f>Table1[[#This Row],[IRR]]*Table1[[#This Row],[Coupon Frequency2]]</f>
        <v>0.12189476572328214</v>
      </c>
      <c r="Y610" s="19" cm="1">
        <f t="array" ref="Y6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0" s="33">
        <f>DURATION(Table1[[#This Row],[Issue date]],Table1[[#This Row],[Maturity date]],Table1[[#This Row],[Current coupon %]],Table1[[#This Row],[Yield (Annualised)]],Table1[[#This Row],[Coupon Frequency2]])</f>
        <v>6.6154797031175487</v>
      </c>
      <c r="AA610" s="33">
        <f>Table1[[#This Row],[Macaulay Duration in Years]]/(1+Table1[[#This Row],[IRR]])</f>
        <v>5.8967025297177225</v>
      </c>
      <c r="AB610" s="58">
        <f>VLOOKUP(Table1[[#This Row],[Yield Cluster]],'Cluster Details'!$B$3:$C$16,2,0)</f>
        <v>0.11069942689191503</v>
      </c>
      <c r="AC610" s="78">
        <f>PRICE(Table1[[#This Row],[Issue date]],Table1[[#This Row],[Maturity date]],Table1[[#This Row],[Current coupon %]],Table1[[#This Row],[Average Cluster Yield]],100,Table1[[#This Row],[Coupon Frequency2]])*Table1[[#This Row],[Face value]]/100</f>
        <v>899.00496841631457</v>
      </c>
      <c r="AD610" s="58" t="str">
        <f>IF(Table1[[#This Row],[Ask Price]]&gt;Table1[[#This Row],[Calculated Bond Price]],"Rich","Cheap")</f>
        <v>Cheap</v>
      </c>
      <c r="AE6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793.22884625984454</v>
      </c>
      <c r="AF6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892.5242955580087</v>
      </c>
      <c r="AG610" s="78">
        <f>(Table1[[#This Row],[P (+ shock)]]+Table1[[#This Row],[P (-shock)]]-2*Table1[[#This Row],[Ask Price]])/(2*Table1[[#This Row],[Ask Price]]*($AF$2^2))</f>
        <v>24.697679990774549</v>
      </c>
      <c r="AH610">
        <v>13.697928706295899</v>
      </c>
      <c r="AI610" s="6">
        <f t="shared" si="37"/>
        <v>0.11120361692677946</v>
      </c>
      <c r="AK610" s="47">
        <f>RATE(Table1[[#This Row],[Total No. of Coupons]],Table1[[#This Row],[Coupon Amount]],-Table1[[#This Row],[Ask Price]],Table1[[#This Row],[Face value]])</f>
        <v>0.12189476572328214</v>
      </c>
      <c r="AL610" s="27">
        <f>Table1[[#This Row],[IRR]]*Table1[[#This Row],[Coupon Frequency2]]</f>
        <v>0.12189476572328214</v>
      </c>
      <c r="AM610" s="5">
        <f t="shared" si="38"/>
        <v>-4957.9474280196355</v>
      </c>
      <c r="AN610" t="s">
        <v>64</v>
      </c>
      <c r="AO610" t="s">
        <v>62</v>
      </c>
      <c r="AP610">
        <f t="shared" si="39"/>
        <v>1</v>
      </c>
    </row>
    <row r="611" spans="1:42" x14ac:dyDescent="0.35">
      <c r="A611" s="48" t="s">
        <v>1752</v>
      </c>
      <c r="B611" s="49" t="s">
        <v>2914</v>
      </c>
      <c r="C611" s="49" t="s">
        <v>2273</v>
      </c>
      <c r="D611" s="50">
        <v>42551</v>
      </c>
      <c r="E611" s="50">
        <v>46203</v>
      </c>
      <c r="F611" s="49">
        <v>1000000</v>
      </c>
      <c r="G611" s="49" t="s">
        <v>76</v>
      </c>
      <c r="H611" s="49">
        <v>820000</v>
      </c>
      <c r="I611" s="49" t="s">
        <v>76</v>
      </c>
      <c r="J611" s="49">
        <v>82</v>
      </c>
      <c r="K611" s="49">
        <v>1</v>
      </c>
      <c r="L611" s="51">
        <v>0.09</v>
      </c>
      <c r="M611" s="49" t="s">
        <v>93</v>
      </c>
      <c r="N611" s="49">
        <v>286</v>
      </c>
      <c r="O611" s="49">
        <v>10.9756097560975</v>
      </c>
      <c r="P611" s="49" t="s">
        <v>2279</v>
      </c>
      <c r="Q611" s="49"/>
      <c r="R611" s="49" t="s">
        <v>2275</v>
      </c>
      <c r="S611">
        <f t="shared" si="36"/>
        <v>10</v>
      </c>
      <c r="T611" s="5" cm="1">
        <f t="array" ref="T6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1">
        <f>Table1[[#This Row],[Term to Maturity (Years)]]*Table1[[#This Row],[Coupon Frequency2]]</f>
        <v>10</v>
      </c>
      <c r="V611">
        <f>Table1[[#This Row],[Face value]]*Table1[[#This Row],[Current coupon %]]</f>
        <v>90000</v>
      </c>
      <c r="W611" s="36">
        <f>RATE(Table1[[#This Row],[Total No. of Coupons]],Table1[[#This Row],[Coupon Amount]],-Table1[[#This Row],[Ask Price]],Table1[[#This Row],[Face value]])</f>
        <v>0.12213622759929377</v>
      </c>
      <c r="X611" s="27">
        <f>Table1[[#This Row],[IRR]]*Table1[[#This Row],[Coupon Frequency2]]</f>
        <v>0.12213622759929377</v>
      </c>
      <c r="Y611" s="19" cm="1">
        <f t="array" ref="Y6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1" s="33">
        <f>DURATION(Table1[[#This Row],[Issue date]],Table1[[#This Row],[Maturity date]],Table1[[#This Row],[Current coupon %]],Table1[[#This Row],[Yield (Annualised)]],Table1[[#This Row],[Coupon Frequency2]])</f>
        <v>6.6617975767422326</v>
      </c>
      <c r="AA611" s="33">
        <f>Table1[[#This Row],[Macaulay Duration in Years]]/(1+Table1[[#This Row],[IRR]])</f>
        <v>5.9367101898087089</v>
      </c>
      <c r="AB611" s="58">
        <f>VLOOKUP(Table1[[#This Row],[Yield Cluster]],'Cluster Details'!$B$3:$C$16,2,0)</f>
        <v>0.11069942689191503</v>
      </c>
      <c r="AC611" s="78">
        <f>PRICE(Table1[[#This Row],[Issue date]],Table1[[#This Row],[Maturity date]],Table1[[#This Row],[Current coupon %]],Table1[[#This Row],[Average Cluster Yield]],100,Table1[[#This Row],[Coupon Frequency2]])*Table1[[#This Row],[Face value]]/100</f>
        <v>878452.96905236691</v>
      </c>
      <c r="AD611" s="58" t="str">
        <f>IF(Table1[[#This Row],[Ask Price]]&gt;Table1[[#This Row],[Calculated Bond Price]],"Rich","Cheap")</f>
        <v>Cheap</v>
      </c>
      <c r="AE6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773297.41010703833</v>
      </c>
      <c r="AF6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870794.18355919584</v>
      </c>
      <c r="AG611" s="78">
        <f>(Table1[[#This Row],[P (+ shock)]]+Table1[[#This Row],[P (-shock)]]-2*Table1[[#This Row],[Ask Price]])/(2*Table1[[#This Row],[Ask Price]]*($AF$2^2))</f>
        <v>24.948741867280816</v>
      </c>
      <c r="AI611" s="6">
        <f t="shared" si="37"/>
        <v>0.10975609756097561</v>
      </c>
      <c r="AK611" s="47">
        <f>RATE(Table1[[#This Row],[Total No. of Coupons]],Table1[[#This Row],[Coupon Amount]],-Table1[[#This Row],[Ask Price]],Table1[[#This Row],[Face value]])</f>
        <v>0.12213622759929377</v>
      </c>
      <c r="AL611" s="27">
        <f>Table1[[#This Row],[IRR]]*Table1[[#This Row],[Coupon Frequency2]]</f>
        <v>0.12213622759929377</v>
      </c>
      <c r="AM611" s="5">
        <f t="shared" si="38"/>
        <v>-4868102.3556431411</v>
      </c>
      <c r="AN611" t="s">
        <v>69</v>
      </c>
      <c r="AO611" t="s">
        <v>62</v>
      </c>
      <c r="AP611">
        <f t="shared" si="39"/>
        <v>1</v>
      </c>
    </row>
    <row r="612" spans="1:42" x14ac:dyDescent="0.35">
      <c r="A612" s="48" t="s">
        <v>750</v>
      </c>
      <c r="B612" s="49" t="s">
        <v>2915</v>
      </c>
      <c r="C612" s="49" t="s">
        <v>2273</v>
      </c>
      <c r="D612" s="50">
        <v>45322</v>
      </c>
      <c r="E612" s="50">
        <v>47149</v>
      </c>
      <c r="F612" s="49">
        <v>1000</v>
      </c>
      <c r="G612" s="49" t="s">
        <v>76</v>
      </c>
      <c r="H612" s="49">
        <v>870</v>
      </c>
      <c r="I612" s="49" t="s">
        <v>76</v>
      </c>
      <c r="J612" s="49">
        <v>87</v>
      </c>
      <c r="K612" s="49">
        <v>50</v>
      </c>
      <c r="L612" s="51">
        <v>8.5999999999999993E-2</v>
      </c>
      <c r="M612" s="49" t="s">
        <v>93</v>
      </c>
      <c r="N612" s="49">
        <v>1232</v>
      </c>
      <c r="O612" s="49">
        <v>9.8850574712643606</v>
      </c>
      <c r="P612" s="49"/>
      <c r="Q612" s="49"/>
      <c r="R612" s="49" t="s">
        <v>2275</v>
      </c>
      <c r="S612">
        <f t="shared" si="36"/>
        <v>5</v>
      </c>
      <c r="T612" s="5" cm="1">
        <f t="array" ref="T6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2">
        <f>Table1[[#This Row],[Term to Maturity (Years)]]*Table1[[#This Row],[Coupon Frequency2]]</f>
        <v>5</v>
      </c>
      <c r="V612">
        <f>Table1[[#This Row],[Face value]]*Table1[[#This Row],[Current coupon %]]</f>
        <v>86</v>
      </c>
      <c r="W612" s="36">
        <f>RATE(Table1[[#This Row],[Total No. of Coupons]],Table1[[#This Row],[Coupon Amount]],-Table1[[#This Row],[Ask Price]],Table1[[#This Row],[Face value]])</f>
        <v>0.12226592071704523</v>
      </c>
      <c r="X612" s="27">
        <f>Table1[[#This Row],[IRR]]*Table1[[#This Row],[Coupon Frequency2]]</f>
        <v>0.12226592071704523</v>
      </c>
      <c r="Y612" s="19" cm="1">
        <f t="array" ref="Y6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2" s="33">
        <f>DURATION(Table1[[#This Row],[Issue date]],Table1[[#This Row],[Maturity date]],Table1[[#This Row],[Current coupon %]],Table1[[#This Row],[Yield (Annualised)]],Table1[[#This Row],[Coupon Frequency2]])</f>
        <v>4.2100348721016205</v>
      </c>
      <c r="AA612" s="33">
        <f>Table1[[#This Row],[Macaulay Duration in Years]]/(1+Table1[[#This Row],[IRR]])</f>
        <v>3.7513701471142578</v>
      </c>
      <c r="AB612" s="58">
        <f>VLOOKUP(Table1[[#This Row],[Yield Cluster]],'Cluster Details'!$B$3:$C$16,2,0)</f>
        <v>0.11069942689191503</v>
      </c>
      <c r="AC612" s="78">
        <f>PRICE(Table1[[#This Row],[Issue date]],Table1[[#This Row],[Maturity date]],Table1[[#This Row],[Current coupon %]],Table1[[#This Row],[Average Cluster Yield]],100,Table1[[#This Row],[Coupon Frequency2]])*Table1[[#This Row],[Face value]]/100</f>
        <v>908.87384784199594</v>
      </c>
      <c r="AD612" s="58" t="str">
        <f>IF(Table1[[#This Row],[Ask Price]]&gt;Table1[[#This Row],[Calculated Bond Price]],"Rich","Cheap")</f>
        <v>Cheap</v>
      </c>
      <c r="AE6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838.16771808113288</v>
      </c>
      <c r="AF6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903.47466859283475</v>
      </c>
      <c r="AG612" s="78">
        <f>(Table1[[#This Row],[P (+ shock)]]+Table1[[#This Row],[P (-shock)]]-2*Table1[[#This Row],[Ask Price]])/(2*Table1[[#This Row],[Ask Price]]*($AF$2^2))</f>
        <v>9.4390038733771338</v>
      </c>
      <c r="AI612" s="6">
        <f t="shared" si="37"/>
        <v>9.8850574712643677E-2</v>
      </c>
      <c r="AK612" s="47">
        <f>RATE(Table1[[#This Row],[Total No. of Coupons]],Table1[[#This Row],[Coupon Amount]],-Table1[[#This Row],[Ask Price]],Table1[[#This Row],[Face value]])</f>
        <v>0.12226592071704523</v>
      </c>
      <c r="AL612" s="27">
        <f>Table1[[#This Row],[IRR]]*Table1[[#This Row],[Coupon Frequency2]]</f>
        <v>0.12226592071704523</v>
      </c>
      <c r="AM612" s="5">
        <f t="shared" si="38"/>
        <v>-3263.6920279894043</v>
      </c>
      <c r="AN612" t="s">
        <v>69</v>
      </c>
      <c r="AO612" t="s">
        <v>62</v>
      </c>
      <c r="AP612">
        <f t="shared" si="39"/>
        <v>1</v>
      </c>
    </row>
    <row r="613" spans="1:42" x14ac:dyDescent="0.35">
      <c r="A613" s="48" t="s">
        <v>1676</v>
      </c>
      <c r="B613" s="49" t="s">
        <v>2916</v>
      </c>
      <c r="C613" s="49" t="s">
        <v>2273</v>
      </c>
      <c r="D613" s="50">
        <v>44243</v>
      </c>
      <c r="E613" s="50">
        <v>46252</v>
      </c>
      <c r="F613" s="49">
        <v>1000000</v>
      </c>
      <c r="G613" s="49" t="s">
        <v>76</v>
      </c>
      <c r="H613" s="49">
        <v>890000</v>
      </c>
      <c r="I613" s="49" t="s">
        <v>76</v>
      </c>
      <c r="J613" s="49">
        <v>89</v>
      </c>
      <c r="K613" s="49">
        <v>1</v>
      </c>
      <c r="L613" s="51">
        <v>9.7500000000000003E-2</v>
      </c>
      <c r="M613" s="49" t="s">
        <v>93</v>
      </c>
      <c r="N613" s="49">
        <v>335</v>
      </c>
      <c r="O613" s="49">
        <v>10.9550561797752</v>
      </c>
      <c r="P613" s="49"/>
      <c r="Q613" s="49"/>
      <c r="R613" s="49" t="s">
        <v>2275</v>
      </c>
      <c r="S613">
        <f t="shared" si="36"/>
        <v>6</v>
      </c>
      <c r="T613" s="5" cm="1">
        <f t="array" ref="T6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3">
        <f>Table1[[#This Row],[Term to Maturity (Years)]]*Table1[[#This Row],[Coupon Frequency2]]</f>
        <v>6</v>
      </c>
      <c r="V613">
        <f>Table1[[#This Row],[Face value]]*Table1[[#This Row],[Current coupon %]]</f>
        <v>97500</v>
      </c>
      <c r="W613" s="36">
        <f>RATE(Table1[[#This Row],[Total No. of Coupons]],Table1[[#This Row],[Coupon Amount]],-Table1[[#This Row],[Ask Price]],Table1[[#This Row],[Face value]])</f>
        <v>0.12460465603586542</v>
      </c>
      <c r="X613" s="27">
        <f>Table1[[#This Row],[IRR]]*Table1[[#This Row],[Coupon Frequency2]]</f>
        <v>0.12460465603586542</v>
      </c>
      <c r="Y613" s="19" cm="1">
        <f t="array" ref="Y6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3" s="33">
        <f>DURATION(Table1[[#This Row],[Issue date]],Table1[[#This Row],[Maturity date]],Table1[[#This Row],[Current coupon %]],Table1[[#This Row],[Yield (Annualised)]],Table1[[#This Row],[Coupon Frequency2]])</f>
        <v>4.2430736573512577</v>
      </c>
      <c r="AA613" s="33">
        <f>Table1[[#This Row],[Macaulay Duration in Years]]/(1+Table1[[#This Row],[IRR]])</f>
        <v>3.7729469059000054</v>
      </c>
      <c r="AB613" s="58">
        <f>VLOOKUP(Table1[[#This Row],[Yield Cluster]],'Cluster Details'!$B$3:$C$16,2,0)</f>
        <v>0.11069942689191503</v>
      </c>
      <c r="AC613" s="78">
        <f>PRICE(Table1[[#This Row],[Issue date]],Table1[[#This Row],[Maturity date]],Table1[[#This Row],[Current coupon %]],Table1[[#This Row],[Average Cluster Yield]],100,Table1[[#This Row],[Coupon Frequency2]])*Table1[[#This Row],[Face value]]/100</f>
        <v>946376.68692729366</v>
      </c>
      <c r="AD613" s="58" t="str">
        <f>IF(Table1[[#This Row],[Ask Price]]&gt;Table1[[#This Row],[Calculated Bond Price]],"Rich","Cheap")</f>
        <v>Cheap</v>
      </c>
      <c r="AE6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860342.09767090681</v>
      </c>
      <c r="AF6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931556.12144959043</v>
      </c>
      <c r="AG613" s="78">
        <f>(Table1[[#This Row],[P (+ shock)]]+Table1[[#This Row],[P (-shock)]]-2*Table1[[#This Row],[Ask Price]])/(2*Table1[[#This Row],[Ask Price]]*($AF$2^2))</f>
        <v>66.843927643243532</v>
      </c>
      <c r="AH613">
        <v>1.7715641458809499</v>
      </c>
      <c r="AI613" s="6">
        <f t="shared" si="37"/>
        <v>0.10955056179775281</v>
      </c>
      <c r="AK613" s="47">
        <f>RATE(Table1[[#This Row],[Total No. of Coupons]],Table1[[#This Row],[Coupon Amount]],-Table1[[#This Row],[Ask Price]],Table1[[#This Row],[Face value]])</f>
        <v>0.12460465603586542</v>
      </c>
      <c r="AL613" s="27">
        <f>Table1[[#This Row],[IRR]]*Table1[[#This Row],[Coupon Frequency2]]</f>
        <v>0.12460465603586542</v>
      </c>
      <c r="AM613" s="5">
        <f t="shared" si="38"/>
        <v>-3357922.7462510047</v>
      </c>
      <c r="AN613" t="s">
        <v>64</v>
      </c>
      <c r="AO613" t="s">
        <v>62</v>
      </c>
      <c r="AP613">
        <f t="shared" si="39"/>
        <v>1</v>
      </c>
    </row>
    <row r="614" spans="1:42" x14ac:dyDescent="0.35">
      <c r="A614" s="48" t="s">
        <v>359</v>
      </c>
      <c r="B614" s="49" t="s">
        <v>2917</v>
      </c>
      <c r="C614" s="49" t="s">
        <v>2273</v>
      </c>
      <c r="D614" s="50">
        <v>45377</v>
      </c>
      <c r="E614" s="50">
        <v>47933</v>
      </c>
      <c r="F614" s="49">
        <v>1000</v>
      </c>
      <c r="G614" s="49" t="s">
        <v>76</v>
      </c>
      <c r="H614" s="49">
        <v>911</v>
      </c>
      <c r="I614" s="49" t="s">
        <v>76</v>
      </c>
      <c r="J614" s="49">
        <v>91.1</v>
      </c>
      <c r="K614" s="49">
        <v>2</v>
      </c>
      <c r="L614" s="51">
        <v>0.105</v>
      </c>
      <c r="M614" s="49" t="s">
        <v>93</v>
      </c>
      <c r="N614" s="49">
        <v>2016</v>
      </c>
      <c r="O614" s="49">
        <v>11.5257958287596</v>
      </c>
      <c r="P614" s="49" t="s">
        <v>2279</v>
      </c>
      <c r="Q614" s="49"/>
      <c r="R614" s="49" t="s">
        <v>2275</v>
      </c>
      <c r="S614">
        <f t="shared" si="36"/>
        <v>7</v>
      </c>
      <c r="T614" s="5" cm="1">
        <f t="array" ref="T6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4">
        <f>Table1[[#This Row],[Term to Maturity (Years)]]*Table1[[#This Row],[Coupon Frequency2]]</f>
        <v>7</v>
      </c>
      <c r="V614">
        <f>Table1[[#This Row],[Face value]]*Table1[[#This Row],[Current coupon %]]</f>
        <v>105</v>
      </c>
      <c r="W614" s="36">
        <f>RATE(Table1[[#This Row],[Total No. of Coupons]],Table1[[#This Row],[Coupon Amount]],-Table1[[#This Row],[Ask Price]],Table1[[#This Row],[Face value]])</f>
        <v>0.12479917626064729</v>
      </c>
      <c r="X614" s="27">
        <f>Table1[[#This Row],[IRR]]*Table1[[#This Row],[Coupon Frequency2]]</f>
        <v>0.12479917626064729</v>
      </c>
      <c r="Y614" s="19" cm="1">
        <f t="array" ref="Y6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4" s="33">
        <f>DURATION(Table1[[#This Row],[Issue date]],Table1[[#This Row],[Maturity date]],Table1[[#This Row],[Current coupon %]],Table1[[#This Row],[Yield (Annualised)]],Table1[[#This Row],[Coupon Frequency2]])</f>
        <v>5.2047400179235623</v>
      </c>
      <c r="AA614" s="33">
        <f>Table1[[#This Row],[Macaulay Duration in Years]]/(1+Table1[[#This Row],[IRR]])</f>
        <v>4.6272615839091609</v>
      </c>
      <c r="AB614" s="58">
        <f>VLOOKUP(Table1[[#This Row],[Yield Cluster]],'Cluster Details'!$B$3:$C$16,2,0)</f>
        <v>0.11069942689191503</v>
      </c>
      <c r="AC614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973.20376409209189</v>
      </c>
      <c r="AD614" s="58" t="str">
        <f>IF(Table1[[#This Row],[Ask Price]]&gt;Table1[[#This Row],[Calculated Bond Price]],"Rich","Cheap")</f>
        <v>Cheap</v>
      </c>
      <c r="AE6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870.15522308003051</v>
      </c>
      <c r="AF6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954.53165419732238</v>
      </c>
      <c r="AG614" s="78">
        <f>(Table1[[#This Row],[P (+ shock)]]+Table1[[#This Row],[P (-shock)]]-2*Table1[[#This Row],[Ask Price]])/(2*Table1[[#This Row],[Ask Price]]*($AF$2^2))</f>
        <v>14.746856626524577</v>
      </c>
      <c r="AH614">
        <v>10.373958027566999</v>
      </c>
      <c r="AI614" s="6">
        <f t="shared" si="37"/>
        <v>0.11525795828759605</v>
      </c>
      <c r="AK614" s="47">
        <f>RATE(Table1[[#This Row],[Total No. of Coupons]],Table1[[#This Row],[Coupon Amount]],-Table1[[#This Row],[Ask Price]],Table1[[#This Row],[Face value]])</f>
        <v>0.12479917626064729</v>
      </c>
      <c r="AL614" s="27">
        <f>Table1[[#This Row],[IRR]]*Table1[[#This Row],[Coupon Frequency2]]</f>
        <v>0.12479917626064729</v>
      </c>
      <c r="AM614" s="5">
        <f t="shared" si="38"/>
        <v>-4215.4353029412459</v>
      </c>
      <c r="AN614" t="s">
        <v>64</v>
      </c>
      <c r="AO614" t="s">
        <v>62</v>
      </c>
      <c r="AP614">
        <f t="shared" si="39"/>
        <v>1</v>
      </c>
    </row>
    <row r="615" spans="1:42" x14ac:dyDescent="0.35">
      <c r="A615" s="48" t="s">
        <v>147</v>
      </c>
      <c r="B615" s="49" t="s">
        <v>2918</v>
      </c>
      <c r="C615" s="49" t="s">
        <v>2273</v>
      </c>
      <c r="D615" s="50">
        <v>45560</v>
      </c>
      <c r="E615" s="50">
        <v>49212</v>
      </c>
      <c r="F615" s="49">
        <v>1000</v>
      </c>
      <c r="G615" s="49" t="s">
        <v>76</v>
      </c>
      <c r="H615" s="49">
        <v>900</v>
      </c>
      <c r="I615" s="49" t="s">
        <v>76</v>
      </c>
      <c r="J615" s="49">
        <v>90</v>
      </c>
      <c r="K615" s="49">
        <v>17</v>
      </c>
      <c r="L615" s="51">
        <v>0.1075</v>
      </c>
      <c r="M615" s="49" t="s">
        <v>93</v>
      </c>
      <c r="N615" s="49">
        <v>3295</v>
      </c>
      <c r="O615" s="49">
        <v>11.9444444444444</v>
      </c>
      <c r="P615" s="49" t="s">
        <v>2279</v>
      </c>
      <c r="Q615" s="49"/>
      <c r="R615" s="49" t="s">
        <v>2275</v>
      </c>
      <c r="S615">
        <f t="shared" si="36"/>
        <v>10</v>
      </c>
      <c r="T615" s="5" cm="1">
        <f t="array" ref="T6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5">
        <f>Table1[[#This Row],[Term to Maturity (Years)]]*Table1[[#This Row],[Coupon Frequency2]]</f>
        <v>10</v>
      </c>
      <c r="V615">
        <f>Table1[[#This Row],[Face value]]*Table1[[#This Row],[Current coupon %]]</f>
        <v>107.5</v>
      </c>
      <c r="W615" s="36">
        <f>RATE(Table1[[#This Row],[Total No. of Coupons]],Table1[[#This Row],[Coupon Amount]],-Table1[[#This Row],[Ask Price]],Table1[[#This Row],[Face value]])</f>
        <v>0.12560650926723241</v>
      </c>
      <c r="X615" s="27">
        <f>Table1[[#This Row],[IRR]]*Table1[[#This Row],[Coupon Frequency2]]</f>
        <v>0.12560650926723241</v>
      </c>
      <c r="Y615" s="19" cm="1">
        <f t="array" ref="Y6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5" s="33">
        <f>DURATION(Table1[[#This Row],[Issue date]],Table1[[#This Row],[Maturity date]],Table1[[#This Row],[Current coupon %]],Table1[[#This Row],[Yield (Annualised)]],Table1[[#This Row],[Coupon Frequency2]])</f>
        <v>6.4021934440876072</v>
      </c>
      <c r="AA615" s="33">
        <f>Table1[[#This Row],[Macaulay Duration in Years]]/(1+Table1[[#This Row],[IRR]])</f>
        <v>5.6877722289074377</v>
      </c>
      <c r="AB615" s="58">
        <f>VLOOKUP(Table1[[#This Row],[Yield Cluster]],'Cluster Details'!$B$3:$C$16,2,0)</f>
        <v>0.11069942689191503</v>
      </c>
      <c r="AC615" s="78">
        <f>PRICE(Table1[[#This Row],[Issue date]],Table1[[#This Row],[Maturity date]],Table1[[#This Row],[Current coupon %]],Table1[[#This Row],[Average Cluster Yield]],100,Table1[[#This Row],[Coupon Frequency2]])*Table1[[#This Row],[Face value]]/100</f>
        <v>981.21296587210452</v>
      </c>
      <c r="AD615" s="58" t="str">
        <f>IF(Table1[[#This Row],[Ask Price]]&gt;Table1[[#This Row],[Calculated Bond Price]],"Rich","Cheap")</f>
        <v>Cheap</v>
      </c>
      <c r="AE6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850.84437473062576</v>
      </c>
      <c r="AF6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953.36076643939202</v>
      </c>
      <c r="AG615" s="78">
        <f>(Table1[[#This Row],[P (+ shock)]]+Table1[[#This Row],[P (-shock)]]-2*Table1[[#This Row],[Ask Price]])/(2*Table1[[#This Row],[Ask Price]]*($AF$2^2))</f>
        <v>23.361895388987044</v>
      </c>
      <c r="AH615">
        <v>7.3480350146914697</v>
      </c>
      <c r="AI615" s="6">
        <f t="shared" si="37"/>
        <v>0.11944444444444445</v>
      </c>
      <c r="AK615" s="47">
        <f>RATE(Table1[[#This Row],[Total No. of Coupons]],Table1[[#This Row],[Coupon Amount]],-Table1[[#This Row],[Ask Price]],Table1[[#This Row],[Face value]])</f>
        <v>0.12560650926723241</v>
      </c>
      <c r="AL615" s="27">
        <f>Table1[[#This Row],[IRR]]*Table1[[#This Row],[Coupon Frequency2]]</f>
        <v>0.12560650926723241</v>
      </c>
      <c r="AM615" s="5">
        <f t="shared" si="38"/>
        <v>-5118.9950060166939</v>
      </c>
      <c r="AN615" t="s">
        <v>64</v>
      </c>
      <c r="AO615" t="s">
        <v>62</v>
      </c>
      <c r="AP615">
        <f t="shared" si="39"/>
        <v>1</v>
      </c>
    </row>
    <row r="616" spans="1:42" x14ac:dyDescent="0.35">
      <c r="A616" s="48" t="s">
        <v>538</v>
      </c>
      <c r="B616" s="49" t="s">
        <v>2919</v>
      </c>
      <c r="C616" s="49" t="s">
        <v>2273</v>
      </c>
      <c r="D616" s="50">
        <v>45674</v>
      </c>
      <c r="E616" s="50">
        <v>47499</v>
      </c>
      <c r="F616" s="49">
        <v>1000</v>
      </c>
      <c r="G616" s="49" t="s">
        <v>76</v>
      </c>
      <c r="H616" s="49">
        <v>982.8</v>
      </c>
      <c r="I616" s="49" t="s">
        <v>76</v>
      </c>
      <c r="J616" s="49">
        <v>98.28</v>
      </c>
      <c r="K616" s="49">
        <v>100</v>
      </c>
      <c r="L616" s="51">
        <v>0.121</v>
      </c>
      <c r="M616" s="49" t="s">
        <v>93</v>
      </c>
      <c r="N616" s="49">
        <v>1582</v>
      </c>
      <c r="O616" s="49">
        <v>12.311762311762299</v>
      </c>
      <c r="P616" s="49"/>
      <c r="Q616" s="49"/>
      <c r="R616" s="49" t="s">
        <v>2275</v>
      </c>
      <c r="S616">
        <f t="shared" si="36"/>
        <v>5</v>
      </c>
      <c r="T616" s="5" cm="1">
        <f t="array" ref="T6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6">
        <f>Table1[[#This Row],[Term to Maturity (Years)]]*Table1[[#This Row],[Coupon Frequency2]]</f>
        <v>5</v>
      </c>
      <c r="V616">
        <f>Table1[[#This Row],[Face value]]*Table1[[#This Row],[Current coupon %]]</f>
        <v>121</v>
      </c>
      <c r="W616" s="36">
        <f>RATE(Table1[[#This Row],[Total No. of Coupons]],Table1[[#This Row],[Coupon Amount]],-Table1[[#This Row],[Ask Price]],Table1[[#This Row],[Face value]])</f>
        <v>0.1258406775982846</v>
      </c>
      <c r="X616" s="27">
        <f>Table1[[#This Row],[IRR]]*Table1[[#This Row],[Coupon Frequency2]]</f>
        <v>0.1258406775982846</v>
      </c>
      <c r="Y616" s="19" cm="1">
        <f t="array" ref="Y6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6" s="33">
        <f>DURATION(Table1[[#This Row],[Issue date]],Table1[[#This Row],[Maturity date]],Table1[[#This Row],[Current coupon %]],Table1[[#This Row],[Yield (Annualised)]],Table1[[#This Row],[Coupon Frequency2]])</f>
        <v>4.0192146748220701</v>
      </c>
      <c r="AA616" s="33">
        <f>Table1[[#This Row],[Macaulay Duration in Years]]/(1+Table1[[#This Row],[IRR]])</f>
        <v>3.5699675405192468</v>
      </c>
      <c r="AB616" s="58">
        <f>VLOOKUP(Table1[[#This Row],[Yield Cluster]],'Cluster Details'!$B$3:$C$16,2,0)</f>
        <v>0.11069942689191503</v>
      </c>
      <c r="AC616" s="78">
        <f>PRICE(Table1[[#This Row],[Issue date]],Table1[[#This Row],[Maturity date]],Table1[[#This Row],[Current coupon %]],Table1[[#This Row],[Average Cluster Yield]],100,Table1[[#This Row],[Coupon Frequency2]])*Table1[[#This Row],[Face value]]/100</f>
        <v>1037.9696254037701</v>
      </c>
      <c r="AD616" s="58" t="str">
        <f>IF(Table1[[#This Row],[Ask Price]]&gt;Table1[[#This Row],[Calculated Bond Price]],"Rich","Cheap")</f>
        <v>Cheap</v>
      </c>
      <c r="AE6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948.53682412184889</v>
      </c>
      <c r="AF6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1018.7655691694346</v>
      </c>
      <c r="AG616" s="78">
        <f>(Table1[[#This Row],[P (+ shock)]]+Table1[[#This Row],[P (-shock)]]-2*Table1[[#This Row],[Ask Price]])/(2*Table1[[#This Row],[Ask Price]]*($AF$2^2))</f>
        <v>8.660934530339043</v>
      </c>
      <c r="AH616">
        <v>6.7254740590715203</v>
      </c>
      <c r="AI616" s="6">
        <f t="shared" si="37"/>
        <v>0.12311762311762313</v>
      </c>
      <c r="AK616" s="47">
        <f>RATE(Table1[[#This Row],[Total No. of Coupons]],Table1[[#This Row],[Coupon Amount]],-Table1[[#This Row],[Ask Price]],Table1[[#This Row],[Face value]])</f>
        <v>0.1258406775982846</v>
      </c>
      <c r="AL616" s="27">
        <f>Table1[[#This Row],[IRR]]*Table1[[#This Row],[Coupon Frequency2]]</f>
        <v>0.1258406775982846</v>
      </c>
      <c r="AM616" s="5">
        <f t="shared" si="38"/>
        <v>-3508.5640988223154</v>
      </c>
      <c r="AN616" t="s">
        <v>64</v>
      </c>
      <c r="AO616" t="s">
        <v>62</v>
      </c>
      <c r="AP616">
        <f t="shared" si="39"/>
        <v>1</v>
      </c>
    </row>
    <row r="617" spans="1:42" x14ac:dyDescent="0.35">
      <c r="A617" s="48" t="s">
        <v>1098</v>
      </c>
      <c r="B617" s="49" t="s">
        <v>2920</v>
      </c>
      <c r="C617" s="49" t="s">
        <v>2273</v>
      </c>
      <c r="D617" s="50">
        <v>45630</v>
      </c>
      <c r="E617" s="50">
        <v>46724</v>
      </c>
      <c r="F617" s="49">
        <v>1000</v>
      </c>
      <c r="G617" s="49" t="s">
        <v>76</v>
      </c>
      <c r="H617" s="49">
        <v>950</v>
      </c>
      <c r="I617" s="49" t="s">
        <v>76</v>
      </c>
      <c r="J617" s="49">
        <v>95</v>
      </c>
      <c r="K617" s="49">
        <v>3</v>
      </c>
      <c r="L617" s="51">
        <v>0.105</v>
      </c>
      <c r="M617" s="49" t="s">
        <v>93</v>
      </c>
      <c r="N617" s="49">
        <v>807</v>
      </c>
      <c r="O617" s="49">
        <v>11.052631578947301</v>
      </c>
      <c r="P617" s="49"/>
      <c r="Q617" s="49"/>
      <c r="R617" s="49" t="s">
        <v>2275</v>
      </c>
      <c r="S617">
        <f t="shared" si="36"/>
        <v>3</v>
      </c>
      <c r="T617" s="5" cm="1">
        <f t="array" ref="T6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7">
        <f>Table1[[#This Row],[Term to Maturity (Years)]]*Table1[[#This Row],[Coupon Frequency2]]</f>
        <v>3</v>
      </c>
      <c r="V617">
        <f>Table1[[#This Row],[Face value]]*Table1[[#This Row],[Current coupon %]]</f>
        <v>105</v>
      </c>
      <c r="W617" s="36">
        <f>RATE(Table1[[#This Row],[Total No. of Coupons]],Table1[[#This Row],[Coupon Amount]],-Table1[[#This Row],[Ask Price]],Table1[[#This Row],[Face value]])</f>
        <v>0.12603362461541986</v>
      </c>
      <c r="X617" s="27">
        <f>Table1[[#This Row],[IRR]]*Table1[[#This Row],[Coupon Frequency2]]</f>
        <v>0.12603362461541986</v>
      </c>
      <c r="Y617" s="19" cm="1">
        <f t="array" ref="Y6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7" s="33">
        <f>DURATION(Table1[[#This Row],[Issue date]],Table1[[#This Row],[Maturity date]],Table1[[#This Row],[Current coupon %]],Table1[[#This Row],[Yield (Annualised)]],Table1[[#This Row],[Coupon Frequency2]])</f>
        <v>2.7137421771854164</v>
      </c>
      <c r="AA617" s="33">
        <f>Table1[[#This Row],[Macaulay Duration in Years]]/(1+Table1[[#This Row],[IRR]])</f>
        <v>2.4100010140569781</v>
      </c>
      <c r="AB617" s="58">
        <f>VLOOKUP(Table1[[#This Row],[Yield Cluster]],'Cluster Details'!$B$3:$C$16,2,0)</f>
        <v>0.11069942689191503</v>
      </c>
      <c r="AC617" s="78">
        <f>PRICE(Table1[[#This Row],[Issue date]],Table1[[#This Row],[Maturity date]],Table1[[#This Row],[Current coupon %]],Table1[[#This Row],[Average Cluster Yield]],100,Table1[[#This Row],[Coupon Frequency2]])*Table1[[#This Row],[Face value]]/100</f>
        <v>986.08510890574462</v>
      </c>
      <c r="AD617" s="58" t="str">
        <f>IF(Table1[[#This Row],[Ask Price]]&gt;Table1[[#This Row],[Calculated Bond Price]],"Rich","Cheap")</f>
        <v>Cheap</v>
      </c>
      <c r="AE6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927.50607207084624</v>
      </c>
      <c r="AF6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973.32260797240303</v>
      </c>
      <c r="AG617" s="78">
        <f>(Table1[[#This Row],[P (+ shock)]]+Table1[[#This Row],[P (-shock)]]-2*Table1[[#This Row],[Ask Price]])/(2*Table1[[#This Row],[Ask Price]]*($AF$2^2))</f>
        <v>4.3614739118383063</v>
      </c>
      <c r="AH617">
        <v>21.168070774369902</v>
      </c>
      <c r="AI617" s="6">
        <f t="shared" si="37"/>
        <v>0.11052631578947368</v>
      </c>
      <c r="AK617" s="47">
        <f>RATE(Table1[[#This Row],[Total No. of Coupons]],Table1[[#This Row],[Coupon Amount]],-Table1[[#This Row],[Ask Price]],Table1[[#This Row],[Face value]])</f>
        <v>0.12603362461541986</v>
      </c>
      <c r="AL617" s="27">
        <f>Table1[[#This Row],[IRR]]*Table1[[#This Row],[Coupon Frequency2]]</f>
        <v>0.12603362461541986</v>
      </c>
      <c r="AM617" s="5">
        <f t="shared" si="38"/>
        <v>-2289.500963354129</v>
      </c>
      <c r="AN617" t="s">
        <v>64</v>
      </c>
      <c r="AO617" t="s">
        <v>62</v>
      </c>
      <c r="AP617">
        <f t="shared" si="39"/>
        <v>1</v>
      </c>
    </row>
    <row r="618" spans="1:42" x14ac:dyDescent="0.35">
      <c r="A618" s="48" t="s">
        <v>427</v>
      </c>
      <c r="B618" s="49" t="s">
        <v>2921</v>
      </c>
      <c r="C618" s="49" t="s">
        <v>2273</v>
      </c>
      <c r="D618" s="50">
        <v>45195</v>
      </c>
      <c r="E618" s="50">
        <v>47752</v>
      </c>
      <c r="F618" s="49">
        <v>1000</v>
      </c>
      <c r="G618" s="49" t="s">
        <v>76</v>
      </c>
      <c r="H618" s="49">
        <v>901.19</v>
      </c>
      <c r="I618" s="49" t="s">
        <v>76</v>
      </c>
      <c r="J618" s="49">
        <v>90.119</v>
      </c>
      <c r="K618" s="49">
        <v>125</v>
      </c>
      <c r="L618" s="51">
        <v>0.105</v>
      </c>
      <c r="M618" s="49" t="s">
        <v>93</v>
      </c>
      <c r="N618" s="49">
        <v>1835</v>
      </c>
      <c r="O618" s="49">
        <v>11.651261110309701</v>
      </c>
      <c r="P618" s="49" t="s">
        <v>2279</v>
      </c>
      <c r="Q618" s="49"/>
      <c r="R618" s="49" t="s">
        <v>2275</v>
      </c>
      <c r="S618">
        <f t="shared" si="36"/>
        <v>7</v>
      </c>
      <c r="T618" s="5" cm="1">
        <f t="array" ref="T6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8">
        <f>Table1[[#This Row],[Term to Maturity (Years)]]*Table1[[#This Row],[Coupon Frequency2]]</f>
        <v>7</v>
      </c>
      <c r="V618">
        <f>Table1[[#This Row],[Face value]]*Table1[[#This Row],[Current coupon %]]</f>
        <v>105</v>
      </c>
      <c r="W618" s="36">
        <f>RATE(Table1[[#This Row],[Total No. of Coupons]],Table1[[#This Row],[Coupon Amount]],-Table1[[#This Row],[Ask Price]],Table1[[#This Row],[Face value]])</f>
        <v>0.12714374427246769</v>
      </c>
      <c r="X618" s="27">
        <f>Table1[[#This Row],[IRR]]*Table1[[#This Row],[Coupon Frequency2]]</f>
        <v>0.12714374427246769</v>
      </c>
      <c r="Y618" s="19" cm="1">
        <f t="array" ref="Y6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8" s="33">
        <f>DURATION(Table1[[#This Row],[Issue date]],Table1[[#This Row],[Maturity date]],Table1[[#This Row],[Current coupon %]],Table1[[#This Row],[Yield (Annualised)]],Table1[[#This Row],[Coupon Frequency2]])</f>
        <v>5.1943094967847641</v>
      </c>
      <c r="AA618" s="33">
        <f>Table1[[#This Row],[Macaulay Duration in Years]]/(1+Table1[[#This Row],[IRR]])</f>
        <v>4.6083824917446634</v>
      </c>
      <c r="AB618" s="58">
        <f>VLOOKUP(Table1[[#This Row],[Yield Cluster]],'Cluster Details'!$B$3:$C$16,2,0)</f>
        <v>0.11069942689191503</v>
      </c>
      <c r="AC618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973.20376409209189</v>
      </c>
      <c r="AD618" s="58" t="str">
        <f>IF(Table1[[#This Row],[Ask Price]]&gt;Table1[[#This Row],[Calculated Bond Price]],"Rich","Cheap")</f>
        <v>Cheap</v>
      </c>
      <c r="AE6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860.94638250306252</v>
      </c>
      <c r="AF6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944.07332244444262</v>
      </c>
      <c r="AG618" s="78">
        <f>(Table1[[#This Row],[P (+ shock)]]+Table1[[#This Row],[P (-shock)]]-2*Table1[[#This Row],[Ask Price]])/(2*Table1[[#This Row],[Ask Price]]*($AF$2^2))</f>
        <v>14.64566266550297</v>
      </c>
      <c r="AI618" s="6">
        <f t="shared" si="37"/>
        <v>0.11651261110309701</v>
      </c>
      <c r="AK618" s="47">
        <f>RATE(Table1[[#This Row],[Total No. of Coupons]],Table1[[#This Row],[Coupon Amount]],-Table1[[#This Row],[Ask Price]],Table1[[#This Row],[Face value]])</f>
        <v>0.12714374427246769</v>
      </c>
      <c r="AL618" s="27">
        <f>Table1[[#This Row],[IRR]]*Table1[[#This Row],[Coupon Frequency2]]</f>
        <v>0.12714374427246769</v>
      </c>
      <c r="AM618" s="5">
        <f t="shared" si="38"/>
        <v>-4153.0282177353738</v>
      </c>
      <c r="AN618" t="s">
        <v>69</v>
      </c>
      <c r="AO618" t="s">
        <v>62</v>
      </c>
      <c r="AP618">
        <f t="shared" si="39"/>
        <v>1</v>
      </c>
    </row>
    <row r="619" spans="1:42" x14ac:dyDescent="0.35">
      <c r="A619" s="48" t="s">
        <v>708</v>
      </c>
      <c r="B619" s="49" t="s">
        <v>2922</v>
      </c>
      <c r="C619" s="49" t="s">
        <v>2273</v>
      </c>
      <c r="D619" s="50">
        <v>45377</v>
      </c>
      <c r="E619" s="50">
        <v>47203</v>
      </c>
      <c r="F619" s="49">
        <v>1000</v>
      </c>
      <c r="G619" s="49" t="s">
        <v>76</v>
      </c>
      <c r="H619" s="49">
        <v>901.2</v>
      </c>
      <c r="I619" s="49" t="s">
        <v>76</v>
      </c>
      <c r="J619" s="49">
        <v>90.12</v>
      </c>
      <c r="K619" s="49">
        <v>1</v>
      </c>
      <c r="L619" s="51">
        <v>0.10150000000000001</v>
      </c>
      <c r="M619" s="49" t="s">
        <v>93</v>
      </c>
      <c r="N619" s="49">
        <v>1286</v>
      </c>
      <c r="O619" s="49">
        <v>11.262760763426501</v>
      </c>
      <c r="P619" s="49" t="s">
        <v>2279</v>
      </c>
      <c r="Q619" s="49"/>
      <c r="R619" s="49" t="s">
        <v>2275</v>
      </c>
      <c r="S619">
        <f t="shared" si="36"/>
        <v>5</v>
      </c>
      <c r="T619" s="5" cm="1">
        <f t="array" ref="T6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19">
        <f>Table1[[#This Row],[Term to Maturity (Years)]]*Table1[[#This Row],[Coupon Frequency2]]</f>
        <v>5</v>
      </c>
      <c r="V619">
        <f>Table1[[#This Row],[Face value]]*Table1[[#This Row],[Current coupon %]]</f>
        <v>101.5</v>
      </c>
      <c r="W619" s="36">
        <f>RATE(Table1[[#This Row],[Total No. of Coupons]],Table1[[#This Row],[Coupon Amount]],-Table1[[#This Row],[Ask Price]],Table1[[#This Row],[Face value]])</f>
        <v>0.12956013530636451</v>
      </c>
      <c r="X619" s="27">
        <f>Table1[[#This Row],[IRR]]*Table1[[#This Row],[Coupon Frequency2]]</f>
        <v>0.12956013530636451</v>
      </c>
      <c r="Y619" s="19" cm="1">
        <f t="array" ref="Y6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19" s="33">
        <f>DURATION(Table1[[#This Row],[Issue date]],Table1[[#This Row],[Maturity date]],Table1[[#This Row],[Current coupon %]],Table1[[#This Row],[Yield (Annualised)]],Table1[[#This Row],[Coupon Frequency2]])</f>
        <v>4.1108651201971282</v>
      </c>
      <c r="AA619" s="33">
        <f>Table1[[#This Row],[Macaulay Duration in Years]]/(1+Table1[[#This Row],[IRR]])</f>
        <v>3.6393503910990632</v>
      </c>
      <c r="AB619" s="58">
        <f>VLOOKUP(Table1[[#This Row],[Yield Cluster]],'Cluster Details'!$B$3:$C$16,2,0)</f>
        <v>0.11069942689191503</v>
      </c>
      <c r="AC619" s="78">
        <f>PRICE(Table1[[#This Row],[Issue date]],Table1[[#This Row],[Maturity date]],Table1[[#This Row],[Current coupon %]],Table1[[#This Row],[Average Cluster Yield]],100,Table1[[#This Row],[Coupon Frequency2]])*Table1[[#This Row],[Face value]]/100</f>
        <v>966.05960217670099</v>
      </c>
      <c r="AD619" s="58" t="str">
        <f>IF(Table1[[#This Row],[Ask Price]]&gt;Table1[[#This Row],[Calculated Bond Price]],"Rich","Cheap")</f>
        <v>Cheap</v>
      </c>
      <c r="AE6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869.19822149703236</v>
      </c>
      <c r="AF6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934.82625010470758</v>
      </c>
      <c r="AG619" s="78">
        <f>(Table1[[#This Row],[P (+ shock)]]+Table1[[#This Row],[P (-shock)]]-2*Table1[[#This Row],[Ask Price]])/(2*Table1[[#This Row],[Ask Price]]*($AF$2^2))</f>
        <v>9.0128251317131021</v>
      </c>
      <c r="AH619">
        <v>24.6477975393638</v>
      </c>
      <c r="AI619" s="6">
        <f t="shared" si="37"/>
        <v>0.11262760763426542</v>
      </c>
      <c r="AK619" s="47">
        <f>RATE(Table1[[#This Row],[Total No. of Coupons]],Table1[[#This Row],[Coupon Amount]],-Table1[[#This Row],[Ask Price]],Table1[[#This Row],[Face value]])</f>
        <v>0.12956013530636451</v>
      </c>
      <c r="AL619" s="27">
        <f>Table1[[#This Row],[IRR]]*Table1[[#This Row],[Coupon Frequency2]]</f>
        <v>0.12956013530636451</v>
      </c>
      <c r="AM619" s="5">
        <f t="shared" si="38"/>
        <v>-3279.7825724584759</v>
      </c>
      <c r="AN619" t="s">
        <v>64</v>
      </c>
      <c r="AO619" t="s">
        <v>62</v>
      </c>
      <c r="AP619">
        <f t="shared" si="39"/>
        <v>1</v>
      </c>
    </row>
    <row r="620" spans="1:42" x14ac:dyDescent="0.35">
      <c r="A620" s="48" t="s">
        <v>2923</v>
      </c>
      <c r="B620" s="49" t="s">
        <v>2924</v>
      </c>
      <c r="C620" s="49" t="s">
        <v>2273</v>
      </c>
      <c r="D620" s="50">
        <v>45735</v>
      </c>
      <c r="E620" s="50">
        <v>46831</v>
      </c>
      <c r="F620" s="49">
        <v>1000</v>
      </c>
      <c r="G620" s="49" t="s">
        <v>76</v>
      </c>
      <c r="H620" s="49">
        <v>925</v>
      </c>
      <c r="I620" s="49" t="s">
        <v>76</v>
      </c>
      <c r="J620" s="49">
        <v>92.5</v>
      </c>
      <c r="K620" s="49">
        <v>100</v>
      </c>
      <c r="L620" s="51">
        <v>9.9000000000000005E-2</v>
      </c>
      <c r="M620" s="49" t="s">
        <v>93</v>
      </c>
      <c r="N620" s="49">
        <v>914</v>
      </c>
      <c r="O620" s="49">
        <v>10.7027027027027</v>
      </c>
      <c r="P620" s="49" t="s">
        <v>2279</v>
      </c>
      <c r="Q620" s="49"/>
      <c r="R620" s="49" t="s">
        <v>2275</v>
      </c>
      <c r="S620">
        <f t="shared" si="36"/>
        <v>3</v>
      </c>
      <c r="T620" s="5" cm="1">
        <f t="array" ref="T6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20">
        <f>Table1[[#This Row],[Term to Maturity (Years)]]*Table1[[#This Row],[Coupon Frequency2]]</f>
        <v>3</v>
      </c>
      <c r="V620">
        <f>Table1[[#This Row],[Face value]]*Table1[[#This Row],[Current coupon %]]</f>
        <v>99</v>
      </c>
      <c r="W620" s="36">
        <f>RATE(Table1[[#This Row],[Total No. of Coupons]],Table1[[#This Row],[Coupon Amount]],-Table1[[#This Row],[Ask Price]],Table1[[#This Row],[Face value]])</f>
        <v>0.13080772118680353</v>
      </c>
      <c r="X620" s="27">
        <f>Table1[[#This Row],[IRR]]*Table1[[#This Row],[Coupon Frequency2]]</f>
        <v>0.13080772118680353</v>
      </c>
      <c r="Y620" s="19" cm="1">
        <f t="array" ref="Y6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0" s="33">
        <f>DURATION(Table1[[#This Row],[Issue date]],Table1[[#This Row],[Maturity date]],Table1[[#This Row],[Current coupon %]],Table1[[#This Row],[Yield (Annualised)]],Table1[[#This Row],[Coupon Frequency2]])</f>
        <v>2.7270087757834887</v>
      </c>
      <c r="AA620" s="33">
        <f>Table1[[#This Row],[Macaulay Duration in Years]]/(1+Table1[[#This Row],[IRR]])</f>
        <v>2.4115583265751339</v>
      </c>
      <c r="AB620" s="58">
        <f>VLOOKUP(Table1[[#This Row],[Yield Cluster]],'Cluster Details'!$B$3:$C$16,2,0)</f>
        <v>0.11069942689191503</v>
      </c>
      <c r="AC620" s="78">
        <f>PRICE(Table1[[#This Row],[Issue date]],Table1[[#This Row],[Maturity date]],Table1[[#This Row],[Current coupon %]],Table1[[#This Row],[Average Cluster Yield]],100,Table1[[#This Row],[Coupon Frequency2]])*Table1[[#This Row],[Face value]]/100</f>
        <v>971.44468142083849</v>
      </c>
      <c r="AD620" s="58" t="str">
        <f>IF(Table1[[#This Row],[Ask Price]]&gt;Table1[[#This Row],[Calculated Bond Price]],"Rich","Cheap")</f>
        <v>Cheap</v>
      </c>
      <c r="AE6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903.06925599630335</v>
      </c>
      <c r="AF6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947.69414848340739</v>
      </c>
      <c r="AG620" s="78">
        <f>(Table1[[#This Row],[P (+ shock)]]+Table1[[#This Row],[P (-shock)]]-2*Table1[[#This Row],[Ask Price]])/(2*Table1[[#This Row],[Ask Price]]*($AF$2^2))</f>
        <v>4.1265107011391544</v>
      </c>
      <c r="AH620">
        <v>12.204043322628401</v>
      </c>
      <c r="AI620" s="6">
        <f t="shared" si="37"/>
        <v>0.10702702702702703</v>
      </c>
      <c r="AK620" s="47">
        <f>RATE(Table1[[#This Row],[Total No. of Coupons]],Table1[[#This Row],[Coupon Amount]],-Table1[[#This Row],[Ask Price]],Table1[[#This Row],[Face value]])</f>
        <v>0.13080772118680353</v>
      </c>
      <c r="AL620" s="27">
        <f>Table1[[#This Row],[IRR]]*Table1[[#This Row],[Coupon Frequency2]]</f>
        <v>0.13080772118680353</v>
      </c>
      <c r="AM620" s="5">
        <f t="shared" si="38"/>
        <v>-2230.6914520819987</v>
      </c>
      <c r="AN620" t="s">
        <v>64</v>
      </c>
      <c r="AO620" t="s">
        <v>62</v>
      </c>
      <c r="AP620">
        <f t="shared" si="39"/>
        <v>1</v>
      </c>
    </row>
    <row r="621" spans="1:42" x14ac:dyDescent="0.35">
      <c r="A621" s="48" t="s">
        <v>398</v>
      </c>
      <c r="B621" s="49" t="s">
        <v>2925</v>
      </c>
      <c r="C621" s="49" t="s">
        <v>2273</v>
      </c>
      <c r="D621" s="50">
        <v>44195</v>
      </c>
      <c r="E621" s="50">
        <v>47847</v>
      </c>
      <c r="F621" s="49">
        <v>1000000</v>
      </c>
      <c r="G621" s="49" t="s">
        <v>76</v>
      </c>
      <c r="H621" s="49">
        <v>965330</v>
      </c>
      <c r="I621" s="49" t="s">
        <v>76</v>
      </c>
      <c r="J621" s="49">
        <v>96.533000000000001</v>
      </c>
      <c r="K621" s="49">
        <v>50</v>
      </c>
      <c r="L621" s="51">
        <v>6.4899999999999999E-2</v>
      </c>
      <c r="M621" s="49" t="s">
        <v>65</v>
      </c>
      <c r="N621" s="49">
        <v>1930</v>
      </c>
      <c r="O621" s="49">
        <v>6.7230895134306401</v>
      </c>
      <c r="P621" s="49"/>
      <c r="Q621" s="49"/>
      <c r="R621" s="49" t="s">
        <v>2275</v>
      </c>
      <c r="S621">
        <f t="shared" si="36"/>
        <v>10</v>
      </c>
      <c r="T621" s="5" cm="1">
        <f t="array" ref="T6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21">
        <f>Table1[[#This Row],[Term to Maturity (Years)]]*Table1[[#This Row],[Coupon Frequency2]]</f>
        <v>20</v>
      </c>
      <c r="V621">
        <f>Table1[[#This Row],[Face value]]*Table1[[#This Row],[Current coupon %]]</f>
        <v>64900</v>
      </c>
      <c r="W621" s="36">
        <f>RATE(Table1[[#This Row],[Total No. of Coupons]],Table1[[#This Row],[Coupon Amount]],-Table1[[#This Row],[Ask Price]],Table1[[#This Row],[Face value]])</f>
        <v>6.8125066418270583E-2</v>
      </c>
      <c r="X621" s="27">
        <f>Table1[[#This Row],[IRR]]*Table1[[#This Row],[Coupon Frequency2]]</f>
        <v>0.13625013283654117</v>
      </c>
      <c r="Y621" s="19" cm="1">
        <f t="array" ref="Y6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1" s="33">
        <f>DURATION(Table1[[#This Row],[Issue date]],Table1[[#This Row],[Maturity date]],Table1[[#This Row],[Current coupon %]],Table1[[#This Row],[Yield (Annualised)]],Table1[[#This Row],[Coupon Frequency2]])</f>
        <v>6.7094780682290223</v>
      </c>
      <c r="AA621" s="33">
        <f>Table1[[#This Row],[Macaulay Duration in Years]]/(1+Table1[[#This Row],[IRR]])</f>
        <v>6.2815472449568333</v>
      </c>
      <c r="AB621" s="58">
        <f>VLOOKUP(Table1[[#This Row],[Yield Cluster]],'Cluster Details'!$B$3:$C$16,2,0)</f>
        <v>0.11069942689191503</v>
      </c>
      <c r="AC621" s="78">
        <f>PRICE(Table1[[#This Row],[Issue date]],Table1[[#This Row],[Maturity date]],Table1[[#This Row],[Current coupon %]],Table1[[#This Row],[Average Cluster Yield]],100,Table1[[#This Row],[Coupon Frequency2]])*Table1[[#This Row],[Face value]]/100</f>
        <v>727131.92501233739</v>
      </c>
      <c r="AD621" s="58" t="str">
        <f>IF(Table1[[#This Row],[Ask Price]]&gt;Table1[[#This Row],[Calculated Bond Price]],"Rich","Cheap")</f>
        <v>Rich</v>
      </c>
      <c r="AE6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579358.88191292982</v>
      </c>
      <c r="AF6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656914.21253968612</v>
      </c>
      <c r="AG621" s="78">
        <f>(Table1[[#This Row],[P (+ shock)]]+Table1[[#This Row],[P (-shock)]]-2*Table1[[#This Row],[Ask Price]])/(2*Table1[[#This Row],[Ask Price]]*($AF$2^2))</f>
        <v>-3596.629678697358</v>
      </c>
      <c r="AH621">
        <v>9.3848290655782307</v>
      </c>
      <c r="AI621" s="6">
        <f t="shared" si="37"/>
        <v>6.7230895134306398E-2</v>
      </c>
      <c r="AK621" s="47">
        <f>RATE(Table1[[#This Row],[Total No. of Coupons]],Table1[[#This Row],[Coupon Amount]],-Table1[[#This Row],[Ask Price]],Table1[[#This Row],[Face value]])</f>
        <v>6.8125066418270583E-2</v>
      </c>
      <c r="AL621" s="27">
        <f>Table1[[#This Row],[IRR]]*Table1[[#This Row],[Coupon Frequency2]]</f>
        <v>0.13625013283654117</v>
      </c>
      <c r="AM621" s="5">
        <f t="shared" si="38"/>
        <v>-6063766.0019741794</v>
      </c>
      <c r="AN621" t="s">
        <v>64</v>
      </c>
      <c r="AO621" t="s">
        <v>62</v>
      </c>
      <c r="AP621">
        <f t="shared" si="39"/>
        <v>2</v>
      </c>
    </row>
    <row r="622" spans="1:42" x14ac:dyDescent="0.35">
      <c r="A622" s="48" t="s">
        <v>135</v>
      </c>
      <c r="B622" s="49" t="s">
        <v>2926</v>
      </c>
      <c r="C622" s="49" t="s">
        <v>2273</v>
      </c>
      <c r="D622" s="50">
        <v>45663</v>
      </c>
      <c r="E622" s="50">
        <v>49315</v>
      </c>
      <c r="F622" s="49">
        <v>1000</v>
      </c>
      <c r="G622" s="49" t="s">
        <v>76</v>
      </c>
      <c r="H622" s="49">
        <v>860</v>
      </c>
      <c r="I622" s="49" t="s">
        <v>76</v>
      </c>
      <c r="J622" s="49">
        <v>86</v>
      </c>
      <c r="K622" s="49">
        <v>100</v>
      </c>
      <c r="L622" s="51">
        <v>0.11</v>
      </c>
      <c r="M622" s="49" t="s">
        <v>93</v>
      </c>
      <c r="N622" s="49">
        <v>3398</v>
      </c>
      <c r="O622" s="49">
        <v>12.790697674418601</v>
      </c>
      <c r="P622" s="49"/>
      <c r="Q622" s="49"/>
      <c r="R622" s="49" t="s">
        <v>2275</v>
      </c>
      <c r="S622">
        <f t="shared" si="36"/>
        <v>10</v>
      </c>
      <c r="T622" s="5" cm="1">
        <f t="array" ref="T6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22">
        <f>Table1[[#This Row],[Term to Maturity (Years)]]*Table1[[#This Row],[Coupon Frequency2]]</f>
        <v>10</v>
      </c>
      <c r="V622">
        <f>Table1[[#This Row],[Face value]]*Table1[[#This Row],[Current coupon %]]</f>
        <v>110</v>
      </c>
      <c r="W622" s="36">
        <f>RATE(Table1[[#This Row],[Total No. of Coupons]],Table1[[#This Row],[Coupon Amount]],-Table1[[#This Row],[Ask Price]],Table1[[#This Row],[Face value]])</f>
        <v>0.13647127483476268</v>
      </c>
      <c r="X622" s="27">
        <f>Table1[[#This Row],[IRR]]*Table1[[#This Row],[Coupon Frequency2]]</f>
        <v>0.13647127483476268</v>
      </c>
      <c r="Y622" s="19" cm="1">
        <f t="array" ref="Y6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2" s="33">
        <f>DURATION(Table1[[#This Row],[Issue date]],Table1[[#This Row],[Maturity date]],Table1[[#This Row],[Current coupon %]],Table1[[#This Row],[Yield (Annualised)]],Table1[[#This Row],[Coupon Frequency2]])</f>
        <v>6.2608758291441182</v>
      </c>
      <c r="AA622" s="33">
        <f>Table1[[#This Row],[Macaulay Duration in Years]]/(1+Table1[[#This Row],[IRR]])</f>
        <v>5.5090489023177627</v>
      </c>
      <c r="AB622" s="58">
        <f>VLOOKUP(Table1[[#This Row],[Yield Cluster]],'Cluster Details'!$B$3:$C$16,2,0)</f>
        <v>0.11069942689191503</v>
      </c>
      <c r="AC622" s="78">
        <f>PRICE(Table1[[#This Row],[Issue date]],Table1[[#This Row],[Maturity date]],Table1[[#This Row],[Current coupon %]],Table1[[#This Row],[Average Cluster Yield]],100,Table1[[#This Row],[Coupon Frequency2]])*Table1[[#This Row],[Face value]]/100</f>
        <v>995.89296541778106</v>
      </c>
      <c r="AD622" s="58" t="str">
        <f>IF(Table1[[#This Row],[Ask Price]]&gt;Table1[[#This Row],[Calculated Bond Price]],"Rich","Cheap")</f>
        <v>Cheap</v>
      </c>
      <c r="AE6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814.47023346801643</v>
      </c>
      <c r="AF6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909.34803461298998</v>
      </c>
      <c r="AG622" s="78">
        <f>(Table1[[#This Row],[P (+ shock)]]+Table1[[#This Row],[P (-shock)]]-2*Table1[[#This Row],[Ask Price]])/(2*Table1[[#This Row],[Ask Price]]*($AF$2^2))</f>
        <v>22.199233029107024</v>
      </c>
      <c r="AI622" s="6">
        <f t="shared" si="37"/>
        <v>0.12790697674418605</v>
      </c>
      <c r="AK622" s="47">
        <f>RATE(Table1[[#This Row],[Total No. of Coupons]],Table1[[#This Row],[Coupon Amount]],-Table1[[#This Row],[Ask Price]],Table1[[#This Row],[Face value]])</f>
        <v>0.13647127483476268</v>
      </c>
      <c r="AL622" s="27">
        <f>Table1[[#This Row],[IRR]]*Table1[[#This Row],[Coupon Frequency2]]</f>
        <v>0.13647127483476268</v>
      </c>
      <c r="AM622" s="5">
        <f t="shared" si="38"/>
        <v>-4737.7820559932761</v>
      </c>
      <c r="AN622" t="s">
        <v>64</v>
      </c>
      <c r="AO622" t="s">
        <v>62</v>
      </c>
      <c r="AP622">
        <f t="shared" si="39"/>
        <v>1</v>
      </c>
    </row>
    <row r="623" spans="1:42" x14ac:dyDescent="0.35">
      <c r="A623" s="48" t="s">
        <v>1160</v>
      </c>
      <c r="B623" s="49" t="s">
        <v>2927</v>
      </c>
      <c r="C623" s="49" t="s">
        <v>2273</v>
      </c>
      <c r="D623" s="50">
        <v>45560</v>
      </c>
      <c r="E623" s="50">
        <v>46655</v>
      </c>
      <c r="F623" s="49">
        <v>1000</v>
      </c>
      <c r="G623" s="49" t="s">
        <v>76</v>
      </c>
      <c r="H623" s="49">
        <v>909</v>
      </c>
      <c r="I623" s="49" t="s">
        <v>76</v>
      </c>
      <c r="J623" s="49">
        <v>90.9</v>
      </c>
      <c r="K623" s="49">
        <v>14</v>
      </c>
      <c r="L623" s="51">
        <v>9.9000000000000005E-2</v>
      </c>
      <c r="M623" s="49" t="s">
        <v>93</v>
      </c>
      <c r="N623" s="49">
        <v>738</v>
      </c>
      <c r="O623" s="49">
        <v>10.8910891089108</v>
      </c>
      <c r="P623" s="49" t="s">
        <v>2279</v>
      </c>
      <c r="Q623" s="49"/>
      <c r="R623" s="49" t="s">
        <v>2275</v>
      </c>
      <c r="S623">
        <f t="shared" si="36"/>
        <v>3</v>
      </c>
      <c r="T623" s="5" cm="1">
        <f t="array" ref="T6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23">
        <f>Table1[[#This Row],[Term to Maturity (Years)]]*Table1[[#This Row],[Coupon Frequency2]]</f>
        <v>3</v>
      </c>
      <c r="V623">
        <f>Table1[[#This Row],[Face value]]*Table1[[#This Row],[Current coupon %]]</f>
        <v>99</v>
      </c>
      <c r="W623" s="36">
        <f>RATE(Table1[[#This Row],[Total No. of Coupons]],Table1[[#This Row],[Coupon Amount]],-Table1[[#This Row],[Ask Price]],Table1[[#This Row],[Face value]])</f>
        <v>0.13806966566925133</v>
      </c>
      <c r="X623" s="27">
        <f>Table1[[#This Row],[IRR]]*Table1[[#This Row],[Coupon Frequency2]]</f>
        <v>0.13806966566925133</v>
      </c>
      <c r="Y623" s="19" cm="1">
        <f t="array" ref="Y6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3" s="33">
        <f>DURATION(Table1[[#This Row],[Issue date]],Table1[[#This Row],[Maturity date]],Table1[[#This Row],[Current coupon %]],Table1[[#This Row],[Yield (Annualised)]],Table1[[#This Row],[Coupon Frequency2]])</f>
        <v>2.7245162541737709</v>
      </c>
      <c r="AA623" s="33">
        <f>Table1[[#This Row],[Macaulay Duration in Years]]/(1+Table1[[#This Row],[IRR]])</f>
        <v>2.3939802073290446</v>
      </c>
      <c r="AB623" s="58">
        <f>VLOOKUP(Table1[[#This Row],[Yield Cluster]],'Cluster Details'!$B$3:$C$16,2,0)</f>
        <v>0.11069942689191503</v>
      </c>
      <c r="AC623" s="78">
        <f>PRICE(Table1[[#This Row],[Issue date]],Table1[[#This Row],[Maturity date]],Table1[[#This Row],[Current coupon %]],Table1[[#This Row],[Average Cluster Yield]],100,Table1[[#This Row],[Coupon Frequency2]])*Table1[[#This Row],[Face value]]/100</f>
        <v>971.44468142083849</v>
      </c>
      <c r="AD623" s="58" t="str">
        <f>IF(Table1[[#This Row],[Ask Price]]&gt;Table1[[#This Row],[Calculated Bond Price]],"Rich","Cheap")</f>
        <v>Cheap</v>
      </c>
      <c r="AE6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887.60327068045763</v>
      </c>
      <c r="AF6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931.13648155112662</v>
      </c>
      <c r="AG623" s="78">
        <f>(Table1[[#This Row],[P (+ shock)]]+Table1[[#This Row],[P (-shock)]]-2*Table1[[#This Row],[Ask Price]])/(2*Table1[[#This Row],[Ask Price]]*($AF$2^2))</f>
        <v>4.0690441781305511</v>
      </c>
      <c r="AI623" s="6">
        <f t="shared" si="37"/>
        <v>0.10891089108910891</v>
      </c>
      <c r="AK623" s="47">
        <f>RATE(Table1[[#This Row],[Total No. of Coupons]],Table1[[#This Row],[Coupon Amount]],-Table1[[#This Row],[Ask Price]],Table1[[#This Row],[Face value]])</f>
        <v>0.13806966566925133</v>
      </c>
      <c r="AL623" s="27">
        <f>Table1[[#This Row],[IRR]]*Table1[[#This Row],[Coupon Frequency2]]</f>
        <v>0.13806966566925133</v>
      </c>
      <c r="AM623" s="5">
        <f t="shared" si="38"/>
        <v>-2176.1280084621017</v>
      </c>
      <c r="AN623" t="s">
        <v>64</v>
      </c>
      <c r="AO623" t="s">
        <v>62</v>
      </c>
      <c r="AP623">
        <f t="shared" si="39"/>
        <v>1</v>
      </c>
    </row>
    <row r="624" spans="1:42" x14ac:dyDescent="0.35">
      <c r="A624" s="48" t="s">
        <v>988</v>
      </c>
      <c r="B624" s="49" t="s">
        <v>2928</v>
      </c>
      <c r="C624" s="49" t="s">
        <v>2273</v>
      </c>
      <c r="D624" s="50">
        <v>43193</v>
      </c>
      <c r="E624" s="50">
        <v>46846</v>
      </c>
      <c r="F624" s="49">
        <v>1000000</v>
      </c>
      <c r="G624" s="49" t="s">
        <v>76</v>
      </c>
      <c r="H624" s="49">
        <v>1080878.8</v>
      </c>
      <c r="I624" s="49" t="s">
        <v>76</v>
      </c>
      <c r="J624" s="49">
        <v>108.08788</v>
      </c>
      <c r="K624" s="49">
        <v>6</v>
      </c>
      <c r="L624" s="51">
        <v>7.85E-2</v>
      </c>
      <c r="M624" s="49" t="s">
        <v>65</v>
      </c>
      <c r="N624" s="49">
        <v>929</v>
      </c>
      <c r="O624" s="49">
        <v>7.2626089067525399</v>
      </c>
      <c r="P624" s="49" t="s">
        <v>2282</v>
      </c>
      <c r="Q624" s="49"/>
      <c r="R624" s="49" t="s">
        <v>2275</v>
      </c>
      <c r="S624">
        <f t="shared" si="36"/>
        <v>10</v>
      </c>
      <c r="T624" s="5" cm="1">
        <f t="array" ref="T6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24">
        <f>Table1[[#This Row],[Term to Maturity (Years)]]*Table1[[#This Row],[Coupon Frequency2]]</f>
        <v>20</v>
      </c>
      <c r="V624">
        <f>Table1[[#This Row],[Face value]]*Table1[[#This Row],[Current coupon %]]</f>
        <v>78500</v>
      </c>
      <c r="W624" s="36">
        <f>RATE(Table1[[#This Row],[Total No. of Coupons]],Table1[[#This Row],[Coupon Amount]],-Table1[[#This Row],[Ask Price]],Table1[[#This Row],[Face value]])</f>
        <v>7.0817064191477166E-2</v>
      </c>
      <c r="X624" s="27">
        <f>Table1[[#This Row],[IRR]]*Table1[[#This Row],[Coupon Frequency2]]</f>
        <v>0.14163412838295433</v>
      </c>
      <c r="Y624" s="19" cm="1">
        <f t="array" ref="Y6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4" s="33">
        <f>DURATION(Table1[[#This Row],[Issue date]],Table1[[#This Row],[Maturity date]],Table1[[#This Row],[Current coupon %]],Table1[[#This Row],[Yield (Annualised)]],Table1[[#This Row],[Coupon Frequency2]])</f>
        <v>6.3777151246546593</v>
      </c>
      <c r="AA624" s="33">
        <f>Table1[[#This Row],[Macaulay Duration in Years]]/(1+Table1[[#This Row],[IRR]])</f>
        <v>5.9559334063005123</v>
      </c>
      <c r="AB624" s="58">
        <f>VLOOKUP(Table1[[#This Row],[Yield Cluster]],'Cluster Details'!$B$3:$C$16,2,0)</f>
        <v>0.11069942689191503</v>
      </c>
      <c r="AC624" s="78">
        <f>PRICE(Table1[[#This Row],[Issue date]],Table1[[#This Row],[Maturity date]],Table1[[#This Row],[Current coupon %]],Table1[[#This Row],[Average Cluster Yield]],100,Table1[[#This Row],[Coupon Frequency2]])*Table1[[#This Row],[Face value]]/100</f>
        <v>808159.26687384257</v>
      </c>
      <c r="AD624" s="58" t="str">
        <f>IF(Table1[[#This Row],[Ask Price]]&gt;Table1[[#This Row],[Calculated Bond Price]],"Rich","Cheap")</f>
        <v>Rich</v>
      </c>
      <c r="AE6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629522.51271119178</v>
      </c>
      <c r="AF6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709160.96394153894</v>
      </c>
      <c r="AG624" s="78">
        <f>(Table1[[#This Row],[P (+ shock)]]+Table1[[#This Row],[P (-shock)]]-2*Table1[[#This Row],[Ask Price]])/(2*Table1[[#This Row],[Ask Price]]*($AF$2^2))</f>
        <v>-3807.4302287512219</v>
      </c>
      <c r="AH624">
        <v>13.3712213869051</v>
      </c>
      <c r="AI624" s="6">
        <f t="shared" si="37"/>
        <v>7.2626089067525421E-2</v>
      </c>
      <c r="AK624" s="47">
        <f>RATE(Table1[[#This Row],[Total No. of Coupons]],Table1[[#This Row],[Coupon Amount]],-Table1[[#This Row],[Ask Price]],Table1[[#This Row],[Face value]])</f>
        <v>7.0817064191477166E-2</v>
      </c>
      <c r="AL624" s="27">
        <f>Table1[[#This Row],[IRR]]*Table1[[#This Row],[Coupon Frequency2]]</f>
        <v>0.14163412838295433</v>
      </c>
      <c r="AM624" s="5">
        <f t="shared" si="38"/>
        <v>-6437642.1530820103</v>
      </c>
      <c r="AN624" t="s">
        <v>64</v>
      </c>
      <c r="AO624" t="s">
        <v>62</v>
      </c>
      <c r="AP624">
        <f t="shared" si="39"/>
        <v>2</v>
      </c>
    </row>
    <row r="625" spans="1:42" x14ac:dyDescent="0.35">
      <c r="A625" s="48" t="s">
        <v>2929</v>
      </c>
      <c r="B625" s="49" t="s">
        <v>2930</v>
      </c>
      <c r="C625" s="49" t="s">
        <v>2273</v>
      </c>
      <c r="D625" s="50">
        <v>45827</v>
      </c>
      <c r="E625" s="50">
        <v>49479</v>
      </c>
      <c r="F625" s="49">
        <v>100000</v>
      </c>
      <c r="G625" s="49" t="s">
        <v>76</v>
      </c>
      <c r="H625" s="49">
        <v>77000</v>
      </c>
      <c r="I625" s="49" t="s">
        <v>76</v>
      </c>
      <c r="J625" s="49">
        <v>77</v>
      </c>
      <c r="K625" s="49">
        <v>5</v>
      </c>
      <c r="L625" s="51">
        <v>9.7500000000000003E-2</v>
      </c>
      <c r="M625" s="49" t="s">
        <v>93</v>
      </c>
      <c r="N625" s="49">
        <v>3562</v>
      </c>
      <c r="O625" s="49">
        <v>12.662337662337601</v>
      </c>
      <c r="P625" s="49" t="s">
        <v>2279</v>
      </c>
      <c r="Q625" s="49"/>
      <c r="R625" s="49" t="s">
        <v>2275</v>
      </c>
      <c r="S625">
        <f t="shared" si="36"/>
        <v>10</v>
      </c>
      <c r="T625" s="5" cm="1">
        <f t="array" ref="T6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25">
        <f>Table1[[#This Row],[Term to Maturity (Years)]]*Table1[[#This Row],[Coupon Frequency2]]</f>
        <v>10</v>
      </c>
      <c r="V625">
        <f>Table1[[#This Row],[Face value]]*Table1[[#This Row],[Current coupon %]]</f>
        <v>9750</v>
      </c>
      <c r="W625" s="36">
        <f>RATE(Table1[[#This Row],[Total No. of Coupons]],Table1[[#This Row],[Coupon Amount]],-Table1[[#This Row],[Ask Price]],Table1[[#This Row],[Face value]])</f>
        <v>0.14192604392185745</v>
      </c>
      <c r="X625" s="27">
        <f>Table1[[#This Row],[IRR]]*Table1[[#This Row],[Coupon Frequency2]]</f>
        <v>0.14192604392185745</v>
      </c>
      <c r="Y625" s="19" cm="1">
        <f t="array" ref="Y6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5" s="33">
        <f>DURATION(Table1[[#This Row],[Issue date]],Table1[[#This Row],[Maturity date]],Table1[[#This Row],[Current coupon %]],Table1[[#This Row],[Yield (Annualised)]],Table1[[#This Row],[Coupon Frequency2]])</f>
        <v>6.3526980139193814</v>
      </c>
      <c r="AA625" s="33">
        <f>Table1[[#This Row],[Macaulay Duration in Years]]/(1+Table1[[#This Row],[IRR]])</f>
        <v>5.5631431192352236</v>
      </c>
      <c r="AB625" s="58">
        <f>VLOOKUP(Table1[[#This Row],[Yield Cluster]],'Cluster Details'!$B$3:$C$16,2,0)</f>
        <v>0.11069942689191503</v>
      </c>
      <c r="AC625" s="78">
        <f>PRICE(Table1[[#This Row],[Issue date]],Table1[[#This Row],[Maturity date]],Table1[[#This Row],[Current coupon %]],Table1[[#This Row],[Average Cluster Yield]],100,Table1[[#This Row],[Coupon Frequency2]])*Table1[[#This Row],[Face value]]/100</f>
        <v>92249.296768939734</v>
      </c>
      <c r="AD625" s="58" t="str">
        <f>IF(Table1[[#This Row],[Ask Price]]&gt;Table1[[#This Row],[Calculated Bond Price]],"Rich","Cheap")</f>
        <v>Cheap</v>
      </c>
      <c r="AE6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72884.165269886027</v>
      </c>
      <c r="AF6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81462.506813333006</v>
      </c>
      <c r="AG625" s="78">
        <f>(Table1[[#This Row],[P (+ shock)]]+Table1[[#This Row],[P (-shock)]]-2*Table1[[#This Row],[Ask Price]])/(2*Table1[[#This Row],[Ask Price]]*($AF$2^2))</f>
        <v>22.511174235003093</v>
      </c>
      <c r="AH625">
        <v>10.9025833983389</v>
      </c>
      <c r="AI625" s="6">
        <f t="shared" si="37"/>
        <v>0.12662337662337661</v>
      </c>
      <c r="AK625" s="47">
        <f>RATE(Table1[[#This Row],[Total No. of Coupons]],Table1[[#This Row],[Coupon Amount]],-Table1[[#This Row],[Ask Price]],Table1[[#This Row],[Face value]])</f>
        <v>0.14192604392185745</v>
      </c>
      <c r="AL625" s="27">
        <f>Table1[[#This Row],[IRR]]*Table1[[#This Row],[Coupon Frequency2]]</f>
        <v>0.14192604392185745</v>
      </c>
      <c r="AM625" s="5">
        <f t="shared" si="38"/>
        <v>-428362.02018111222</v>
      </c>
      <c r="AN625" t="s">
        <v>64</v>
      </c>
      <c r="AO625" t="s">
        <v>62</v>
      </c>
      <c r="AP625">
        <f t="shared" si="39"/>
        <v>1</v>
      </c>
    </row>
    <row r="626" spans="1:42" x14ac:dyDescent="0.35">
      <c r="A626" s="48" t="s">
        <v>421</v>
      </c>
      <c r="B626" s="49" t="s">
        <v>2931</v>
      </c>
      <c r="C626" s="49" t="s">
        <v>2273</v>
      </c>
      <c r="D626" s="50">
        <v>44116</v>
      </c>
      <c r="E626" s="50">
        <v>47767</v>
      </c>
      <c r="F626" s="49">
        <v>1000000</v>
      </c>
      <c r="G626" s="49" t="s">
        <v>76</v>
      </c>
      <c r="H626" s="49">
        <v>985587</v>
      </c>
      <c r="I626" s="49" t="s">
        <v>76</v>
      </c>
      <c r="J626" s="49">
        <v>98.558700000000002</v>
      </c>
      <c r="K626" s="49">
        <v>1</v>
      </c>
      <c r="L626" s="51">
        <v>7.0499999999999993E-2</v>
      </c>
      <c r="M626" s="49" t="s">
        <v>65</v>
      </c>
      <c r="N626" s="49">
        <v>1850</v>
      </c>
      <c r="O626" s="49">
        <v>7.1530975956460399</v>
      </c>
      <c r="P626" s="49"/>
      <c r="Q626" s="49"/>
      <c r="R626" s="49" t="s">
        <v>2275</v>
      </c>
      <c r="S626">
        <f t="shared" si="36"/>
        <v>10</v>
      </c>
      <c r="T626" s="5" cm="1">
        <f t="array" ref="T6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26">
        <f>Table1[[#This Row],[Term to Maturity (Years)]]*Table1[[#This Row],[Coupon Frequency2]]</f>
        <v>20</v>
      </c>
      <c r="V626">
        <f>Table1[[#This Row],[Face value]]*Table1[[#This Row],[Current coupon %]]</f>
        <v>70500</v>
      </c>
      <c r="W626" s="36">
        <f>RATE(Table1[[#This Row],[Total No. of Coupons]],Table1[[#This Row],[Coupon Amount]],-Table1[[#This Row],[Ask Price]],Table1[[#This Row],[Face value]])</f>
        <v>7.1880432687608881E-2</v>
      </c>
      <c r="X626" s="27">
        <f>Table1[[#This Row],[IRR]]*Table1[[#This Row],[Coupon Frequency2]]</f>
        <v>0.14376086537521776</v>
      </c>
      <c r="Y626" s="19" cm="1">
        <f t="array" ref="Y6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6" s="33">
        <f>DURATION(Table1[[#This Row],[Issue date]],Table1[[#This Row],[Maturity date]],Table1[[#This Row],[Current coupon %]],Table1[[#This Row],[Yield (Annualised)]],Table1[[#This Row],[Coupon Frequency2]])</f>
        <v>6.499737019811656</v>
      </c>
      <c r="AA626" s="33">
        <f>Table1[[#This Row],[Macaulay Duration in Years]]/(1+Table1[[#This Row],[IRR]])</f>
        <v>6.0638638616756557</v>
      </c>
      <c r="AB626" s="58">
        <f>VLOOKUP(Table1[[#This Row],[Yield Cluster]],'Cluster Details'!$B$3:$C$16,2,0)</f>
        <v>0.11069942689191503</v>
      </c>
      <c r="AC626" s="78">
        <f>PRICE(Table1[[#This Row],[Issue date]],Table1[[#This Row],[Maturity date]],Table1[[#This Row],[Current coupon %]],Table1[[#This Row],[Average Cluster Yield]],100,Table1[[#This Row],[Coupon Frequency2]])*Table1[[#This Row],[Face value]]/100</f>
        <v>760527.93419248413</v>
      </c>
      <c r="AD626" s="58" t="str">
        <f>IF(Table1[[#This Row],[Ask Price]]&gt;Table1[[#This Row],[Calculated Bond Price]],"Rich","Cheap")</f>
        <v>Rich</v>
      </c>
      <c r="AE6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581644.1336373972</v>
      </c>
      <c r="AF6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656666.36142957956</v>
      </c>
      <c r="AG626" s="78">
        <f>(Table1[[#This Row],[P (+ shock)]]+Table1[[#This Row],[P (-shock)]]-2*Table1[[#This Row],[Ask Price]])/(2*Table1[[#This Row],[Ask Price]]*($AF$2^2))</f>
        <v>-3717.9036702646408</v>
      </c>
      <c r="AH626">
        <v>9.5974570592644906</v>
      </c>
      <c r="AI626" s="6">
        <f t="shared" si="37"/>
        <v>7.1530975956460463E-2</v>
      </c>
      <c r="AK626" s="47">
        <f>RATE(Table1[[#This Row],[Total No. of Coupons]],Table1[[#This Row],[Coupon Amount]],-Table1[[#This Row],[Ask Price]],Table1[[#This Row],[Face value]])</f>
        <v>7.1880432687608881E-2</v>
      </c>
      <c r="AL626" s="27">
        <f>Table1[[#This Row],[IRR]]*Table1[[#This Row],[Coupon Frequency2]]</f>
        <v>0.14376086537521776</v>
      </c>
      <c r="AM626" s="5">
        <f t="shared" si="38"/>
        <v>-5976465.3918373249</v>
      </c>
      <c r="AN626" t="s">
        <v>64</v>
      </c>
      <c r="AO626" t="s">
        <v>62</v>
      </c>
      <c r="AP626">
        <f t="shared" si="39"/>
        <v>2</v>
      </c>
    </row>
    <row r="627" spans="1:42" x14ac:dyDescent="0.35">
      <c r="A627" s="48" t="s">
        <v>78</v>
      </c>
      <c r="B627" s="49" t="s">
        <v>2932</v>
      </c>
      <c r="C627" s="49" t="s">
        <v>2273</v>
      </c>
      <c r="D627" s="50">
        <v>44859</v>
      </c>
      <c r="E627" s="50">
        <v>53990</v>
      </c>
      <c r="F627" s="49">
        <v>400</v>
      </c>
      <c r="G627" s="49" t="s">
        <v>76</v>
      </c>
      <c r="H627" s="49">
        <v>426</v>
      </c>
      <c r="I627" s="49" t="s">
        <v>76</v>
      </c>
      <c r="J627" s="49">
        <v>106.5</v>
      </c>
      <c r="K627" s="49">
        <v>73</v>
      </c>
      <c r="L627" s="51">
        <v>7.9000000000000001E-2</v>
      </c>
      <c r="M627" s="49" t="s">
        <v>65</v>
      </c>
      <c r="N627" s="49">
        <v>8073</v>
      </c>
      <c r="O627" s="49">
        <v>7.4178403755868496</v>
      </c>
      <c r="P627" s="49"/>
      <c r="Q627" s="49"/>
      <c r="R627" s="49" t="s">
        <v>2275</v>
      </c>
      <c r="S627">
        <f t="shared" si="36"/>
        <v>25</v>
      </c>
      <c r="T627" s="5" cm="1">
        <f t="array" ref="T6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27">
        <f>Table1[[#This Row],[Term to Maturity (Years)]]*Table1[[#This Row],[Coupon Frequency2]]</f>
        <v>50</v>
      </c>
      <c r="V627">
        <f>Table1[[#This Row],[Face value]]*Table1[[#This Row],[Current coupon %]]</f>
        <v>31.6</v>
      </c>
      <c r="W627" s="36">
        <f>RATE(Table1[[#This Row],[Total No. of Coupons]],Table1[[#This Row],[Coupon Amount]],-Table1[[#This Row],[Ask Price]],Table1[[#This Row],[Face value]])</f>
        <v>7.4047702862198514E-2</v>
      </c>
      <c r="X627" s="27">
        <f>Table1[[#This Row],[IRR]]*Table1[[#This Row],[Coupon Frequency2]]</f>
        <v>0.14809540572439703</v>
      </c>
      <c r="Y627" s="19" cm="1">
        <f t="array" ref="Y6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7" s="33">
        <f>DURATION(Table1[[#This Row],[Issue date]],Table1[[#This Row],[Maturity date]],Table1[[#This Row],[Current coupon %]],Table1[[#This Row],[Yield (Annualised)]],Table1[[#This Row],[Coupon Frequency2]])</f>
        <v>7.4792778509922391</v>
      </c>
      <c r="AA627" s="33">
        <f>Table1[[#This Row],[Macaulay Duration in Years]]/(1+Table1[[#This Row],[IRR]])</f>
        <v>6.9636365601461927</v>
      </c>
      <c r="AB627" s="58">
        <f>VLOOKUP(Table1[[#This Row],[Yield Cluster]],'Cluster Details'!$B$3:$C$16,2,0)</f>
        <v>0.11069942689191503</v>
      </c>
      <c r="AC627" s="78">
        <f>PRICE(Table1[[#This Row],[Issue date]],Table1[[#This Row],[Maturity date]],Table1[[#This Row],[Current coupon %]],Table1[[#This Row],[Average Cluster Yield]],100,Table1[[#This Row],[Coupon Frequency2]])*Table1[[#This Row],[Face value]]/100</f>
        <v>293.20489132283183</v>
      </c>
      <c r="AD627" s="58" t="str">
        <f>IF(Table1[[#This Row],[Ask Price]]&gt;Table1[[#This Row],[Calculated Bond Price]],"Rich","Cheap")</f>
        <v>Rich</v>
      </c>
      <c r="AE6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204.33853511766364</v>
      </c>
      <c r="AF6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234.90278356441161</v>
      </c>
      <c r="AG627" s="78">
        <f>(Table1[[#This Row],[P (+ shock)]]+Table1[[#This Row],[P (-shock)]]-2*Table1[[#This Row],[Ask Price]])/(2*Table1[[#This Row],[Ask Price]]*($AF$2^2))</f>
        <v>-4844.5854614779901</v>
      </c>
      <c r="AH627">
        <v>10.827699774657599</v>
      </c>
      <c r="AI627" s="6">
        <f t="shared" si="37"/>
        <v>7.4178403755868552E-2</v>
      </c>
      <c r="AK627" s="47">
        <f>RATE(Table1[[#This Row],[Total No. of Coupons]],Table1[[#This Row],[Coupon Amount]],-Table1[[#This Row],[Ask Price]],Table1[[#This Row],[Face value]])</f>
        <v>7.4047702862198514E-2</v>
      </c>
      <c r="AL627" s="27">
        <f>Table1[[#This Row],[IRR]]*Table1[[#This Row],[Coupon Frequency2]]</f>
        <v>0.14809540572439703</v>
      </c>
      <c r="AM627" s="5">
        <f t="shared" si="38"/>
        <v>-2966.5091746222779</v>
      </c>
      <c r="AN627" t="s">
        <v>64</v>
      </c>
      <c r="AO627" t="s">
        <v>62</v>
      </c>
      <c r="AP627">
        <f t="shared" si="39"/>
        <v>2</v>
      </c>
    </row>
    <row r="628" spans="1:42" x14ac:dyDescent="0.35">
      <c r="A628" s="48" t="s">
        <v>1639</v>
      </c>
      <c r="B628" s="49" t="s">
        <v>2933</v>
      </c>
      <c r="C628" s="49" t="s">
        <v>2273</v>
      </c>
      <c r="D628" s="50">
        <v>45181</v>
      </c>
      <c r="E628" s="50">
        <v>46276</v>
      </c>
      <c r="F628" s="49">
        <v>1000</v>
      </c>
      <c r="G628" s="49" t="s">
        <v>76</v>
      </c>
      <c r="H628" s="49">
        <v>886.02</v>
      </c>
      <c r="I628" s="49" t="s">
        <v>76</v>
      </c>
      <c r="J628" s="49">
        <v>88.602000000000004</v>
      </c>
      <c r="K628" s="49">
        <v>3</v>
      </c>
      <c r="L628" s="51">
        <v>0.1</v>
      </c>
      <c r="M628" s="49" t="s">
        <v>93</v>
      </c>
      <c r="N628" s="49">
        <v>359</v>
      </c>
      <c r="O628" s="49">
        <v>11.2864269429583</v>
      </c>
      <c r="P628" s="49"/>
      <c r="Q628" s="49"/>
      <c r="R628" s="49" t="s">
        <v>2275</v>
      </c>
      <c r="S628">
        <f t="shared" si="36"/>
        <v>3</v>
      </c>
      <c r="T628" s="5" cm="1">
        <f t="array" ref="T6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28">
        <f>Table1[[#This Row],[Term to Maturity (Years)]]*Table1[[#This Row],[Coupon Frequency2]]</f>
        <v>3</v>
      </c>
      <c r="V628">
        <f>Table1[[#This Row],[Face value]]*Table1[[#This Row],[Current coupon %]]</f>
        <v>100</v>
      </c>
      <c r="W628" s="36">
        <f>RATE(Table1[[#This Row],[Total No. of Coupons]],Table1[[#This Row],[Coupon Amount]],-Table1[[#This Row],[Ask Price]],Table1[[#This Row],[Face value]])</f>
        <v>0.14991344896764958</v>
      </c>
      <c r="X628" s="27">
        <f>Table1[[#This Row],[IRR]]*Table1[[#This Row],[Coupon Frequency2]]</f>
        <v>0.14991344896764958</v>
      </c>
      <c r="Y628" s="19" cm="1">
        <f t="array" ref="Y6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3</v>
      </c>
      <c r="Z628" s="33">
        <f>DURATION(Table1[[#This Row],[Issue date]],Table1[[#This Row],[Maturity date]],Table1[[#This Row],[Current coupon %]],Table1[[#This Row],[Yield (Annualised)]],Table1[[#This Row],[Coupon Frequency2]])</f>
        <v>2.715567312374926</v>
      </c>
      <c r="AA628" s="33">
        <f>Table1[[#This Row],[Macaulay Duration in Years]]/(1+Table1[[#This Row],[IRR]])</f>
        <v>2.3615406140460951</v>
      </c>
      <c r="AB628" s="58">
        <f>VLOOKUP(Table1[[#This Row],[Yield Cluster]],'Cluster Details'!$B$3:$C$16,2,0)</f>
        <v>0.11069942689191503</v>
      </c>
      <c r="AC628" s="78">
        <f>PRICE(Table1[[#This Row],[Issue date]],Table1[[#This Row],[Maturity date]],Table1[[#This Row],[Current coupon %]],Table1[[#This Row],[Average Cluster Yield]],100,Table1[[#This Row],[Coupon Frequency2]])*Table1[[#This Row],[Face value]]/100</f>
        <v>973.89171281672418</v>
      </c>
      <c r="AD628" s="58" t="str">
        <f>IF(Table1[[#This Row],[Ask Price]]&gt;Table1[[#This Row],[Calculated Bond Price]],"Rich","Cheap")</f>
        <v>Cheap</v>
      </c>
      <c r="AE6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865.50082998657524</v>
      </c>
      <c r="AF6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907.37452577417764</v>
      </c>
      <c r="AG628" s="78">
        <f>(Table1[[#This Row],[P (+ shock)]]+Table1[[#This Row],[P (-shock)]]-2*Table1[[#This Row],[Ask Price]])/(2*Table1[[#This Row],[Ask Price]]*($AF$2^2))</f>
        <v>4.7140908825586232</v>
      </c>
      <c r="AH628">
        <v>11.592127783651501</v>
      </c>
      <c r="AI628" s="6">
        <f t="shared" si="37"/>
        <v>0.11286426942958398</v>
      </c>
      <c r="AK628" s="47">
        <f>RATE(Table1[[#This Row],[Total No. of Coupons]],Table1[[#This Row],[Coupon Amount]],-Table1[[#This Row],[Ask Price]],Table1[[#This Row],[Face value]])</f>
        <v>0.14991344896764958</v>
      </c>
      <c r="AL628" s="27">
        <f>Table1[[#This Row],[IRR]]*Table1[[#This Row],[Coupon Frequency2]]</f>
        <v>0.14991344896764958</v>
      </c>
      <c r="AM628" s="5">
        <f t="shared" si="38"/>
        <v>-2092.372214857121</v>
      </c>
      <c r="AN628" t="s">
        <v>64</v>
      </c>
      <c r="AO628" t="s">
        <v>62</v>
      </c>
      <c r="AP628">
        <f t="shared" si="39"/>
        <v>1</v>
      </c>
    </row>
    <row r="629" spans="1:42" x14ac:dyDescent="0.35">
      <c r="A629" s="48" t="s">
        <v>1345</v>
      </c>
      <c r="B629" s="49" t="s">
        <v>2934</v>
      </c>
      <c r="C629" s="49" t="s">
        <v>2273</v>
      </c>
      <c r="D629" s="50">
        <v>42816</v>
      </c>
      <c r="E629" s="50">
        <v>46468</v>
      </c>
      <c r="F629" s="49">
        <v>1000000</v>
      </c>
      <c r="G629" s="49" t="s">
        <v>76</v>
      </c>
      <c r="H629" s="49">
        <v>1023047.1</v>
      </c>
      <c r="I629" s="49" t="s">
        <v>76</v>
      </c>
      <c r="J629" s="49">
        <v>102.30470999999901</v>
      </c>
      <c r="K629" s="49">
        <v>1</v>
      </c>
      <c r="L629" s="51">
        <v>7.7499999999999999E-2</v>
      </c>
      <c r="M629" s="49" t="s">
        <v>65</v>
      </c>
      <c r="N629" s="49">
        <v>551</v>
      </c>
      <c r="O629" s="49">
        <v>7.5754087959391097</v>
      </c>
      <c r="P629" s="49" t="s">
        <v>2282</v>
      </c>
      <c r="Q629" s="49"/>
      <c r="R629" s="49" t="s">
        <v>2275</v>
      </c>
      <c r="S629">
        <f t="shared" si="36"/>
        <v>10</v>
      </c>
      <c r="T629" s="5" cm="1">
        <f t="array" ref="T6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29">
        <f>Table1[[#This Row],[Term to Maturity (Years)]]*Table1[[#This Row],[Coupon Frequency2]]</f>
        <v>20</v>
      </c>
      <c r="V629">
        <f>Table1[[#This Row],[Face value]]*Table1[[#This Row],[Current coupon %]]</f>
        <v>77500</v>
      </c>
      <c r="W629" s="36">
        <f>RATE(Table1[[#This Row],[Total No. of Coupons]],Table1[[#This Row],[Coupon Amount]],-Table1[[#This Row],[Ask Price]],Table1[[#This Row],[Face value]])</f>
        <v>7.5235213865681036E-2</v>
      </c>
      <c r="X629" s="27">
        <f>Table1[[#This Row],[IRR]]*Table1[[#This Row],[Coupon Frequency2]]</f>
        <v>0.15047042773136207</v>
      </c>
      <c r="Y629" s="19" cm="1">
        <f t="array" ref="Y6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29" s="33">
        <f>DURATION(Table1[[#This Row],[Issue date]],Table1[[#This Row],[Maturity date]],Table1[[#This Row],[Current coupon %]],Table1[[#This Row],[Yield (Annualised)]],Table1[[#This Row],[Coupon Frequency2]])</f>
        <v>6.2897496729796689</v>
      </c>
      <c r="AA629" s="33">
        <f>Table1[[#This Row],[Macaulay Duration in Years]]/(1+Table1[[#This Row],[IRR]])</f>
        <v>5.8496500038970893</v>
      </c>
      <c r="AB629" s="58">
        <f>VLOOKUP(Table1[[#This Row],[Yield Cluster]],'Cluster Details'!$B$3:$C$16,2,0)</f>
        <v>0.1712257899185532</v>
      </c>
      <c r="AC629" s="78">
        <f>PRICE(Table1[[#This Row],[Issue date]],Table1[[#This Row],[Maturity date]],Table1[[#This Row],[Current coupon %]],Table1[[#This Row],[Average Cluster Yield]],100,Table1[[#This Row],[Coupon Frequency2]])*Table1[[#This Row],[Face value]]/100</f>
        <v>558492.9139737807</v>
      </c>
      <c r="AD629" s="58" t="str">
        <f>IF(Table1[[#This Row],[Ask Price]]&gt;Table1[[#This Row],[Calculated Bond Price]],"Rich","Cheap")</f>
        <v>Rich</v>
      </c>
      <c r="AE6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593404.00856874825</v>
      </c>
      <c r="AF6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667054.11249920365</v>
      </c>
      <c r="AG629" s="78">
        <f>(Table1[[#This Row],[P (+ shock)]]+Table1[[#This Row],[P (-shock)]]-2*Table1[[#This Row],[Ask Price]])/(2*Table1[[#This Row],[Ask Price]]*($AF$2^2))</f>
        <v>-3839.6867501606134</v>
      </c>
      <c r="AH629">
        <v>10.6630327666913</v>
      </c>
      <c r="AI629" s="6">
        <f t="shared" si="37"/>
        <v>7.575408795939112E-2</v>
      </c>
      <c r="AK629" s="47">
        <f>RATE(Table1[[#This Row],[Total No. of Coupons]],Table1[[#This Row],[Coupon Amount]],-Table1[[#This Row],[Ask Price]],Table1[[#This Row],[Face value]])</f>
        <v>7.5235213865681036E-2</v>
      </c>
      <c r="AL629" s="27">
        <f>Table1[[#This Row],[IRR]]*Table1[[#This Row],[Coupon Frequency2]]</f>
        <v>0.15047042773136207</v>
      </c>
      <c r="AM629" s="5">
        <f t="shared" si="38"/>
        <v>-5984467.4725019056</v>
      </c>
      <c r="AN629" t="s">
        <v>64</v>
      </c>
      <c r="AO629" t="s">
        <v>62</v>
      </c>
      <c r="AP629">
        <f t="shared" si="39"/>
        <v>2</v>
      </c>
    </row>
    <row r="630" spans="1:42" x14ac:dyDescent="0.35">
      <c r="A630" s="48" t="s">
        <v>111</v>
      </c>
      <c r="B630" s="49" t="s">
        <v>2935</v>
      </c>
      <c r="C630" s="49" t="s">
        <v>2273</v>
      </c>
      <c r="D630" s="50">
        <v>44859</v>
      </c>
      <c r="E630" s="50">
        <v>49607</v>
      </c>
      <c r="F630" s="49">
        <v>300</v>
      </c>
      <c r="G630" s="49" t="s">
        <v>76</v>
      </c>
      <c r="H630" s="49">
        <v>311.16000000000003</v>
      </c>
      <c r="I630" s="49" t="s">
        <v>76</v>
      </c>
      <c r="J630" s="49">
        <v>103.72</v>
      </c>
      <c r="K630" s="49">
        <v>35</v>
      </c>
      <c r="L630" s="51">
        <v>7.9000000000000001E-2</v>
      </c>
      <c r="M630" s="49" t="s">
        <v>65</v>
      </c>
      <c r="N630" s="49">
        <v>3690</v>
      </c>
      <c r="O630" s="49">
        <v>7.61666023910528</v>
      </c>
      <c r="P630" s="49"/>
      <c r="Q630" s="49"/>
      <c r="R630" s="49" t="s">
        <v>2275</v>
      </c>
      <c r="S630">
        <f t="shared" si="36"/>
        <v>13</v>
      </c>
      <c r="T630" s="5" cm="1">
        <f t="array" ref="T6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30">
        <f>Table1[[#This Row],[Term to Maturity (Years)]]*Table1[[#This Row],[Coupon Frequency2]]</f>
        <v>26</v>
      </c>
      <c r="V630">
        <f>Table1[[#This Row],[Face value]]*Table1[[#This Row],[Current coupon %]]</f>
        <v>23.7</v>
      </c>
      <c r="W630" s="36">
        <f>RATE(Table1[[#This Row],[Total No. of Coupons]],Table1[[#This Row],[Coupon Amount]],-Table1[[#This Row],[Ask Price]],Table1[[#This Row],[Face value]])</f>
        <v>7.5687466178733565E-2</v>
      </c>
      <c r="X630" s="27">
        <f>Table1[[#This Row],[IRR]]*Table1[[#This Row],[Coupon Frequency2]]</f>
        <v>0.15137493235746713</v>
      </c>
      <c r="Y630" s="19" cm="1">
        <f t="array" ref="Y6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0" s="33">
        <f>DURATION(Table1[[#This Row],[Issue date]],Table1[[#This Row],[Maturity date]],Table1[[#This Row],[Current coupon %]],Table1[[#This Row],[Yield (Annualised)]],Table1[[#This Row],[Coupon Frequency2]])</f>
        <v>6.8810333584763628</v>
      </c>
      <c r="AA630" s="33">
        <f>Table1[[#This Row],[Macaulay Duration in Years]]/(1+Table1[[#This Row],[IRR]])</f>
        <v>6.396870443159953</v>
      </c>
      <c r="AB630" s="58">
        <f>VLOOKUP(Table1[[#This Row],[Yield Cluster]],'Cluster Details'!$B$3:$C$16,2,0)</f>
        <v>0.1712257899185532</v>
      </c>
      <c r="AC630" s="78">
        <f>PRICE(Table1[[#This Row],[Issue date]],Table1[[#This Row],[Maturity date]],Table1[[#This Row],[Current coupon %]],Table1[[#This Row],[Average Cluster Yield]],100,Table1[[#This Row],[Coupon Frequency2]])*Table1[[#This Row],[Face value]]/100</f>
        <v>157.50586961469452</v>
      </c>
      <c r="AD630" s="58" t="str">
        <f>IF(Table1[[#This Row],[Ask Price]]&gt;Table1[[#This Row],[Calculated Bond Price]],"Rich","Cheap")</f>
        <v>Rich</v>
      </c>
      <c r="AE6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167.22762372383568</v>
      </c>
      <c r="AF6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190.05379571190508</v>
      </c>
      <c r="AG630" s="78">
        <f>(Table1[[#This Row],[P (+ shock)]]+Table1[[#This Row],[P (-shock)]]-2*Table1[[#This Row],[Ask Price]])/(2*Table1[[#This Row],[Ask Price]]*($AF$2^2))</f>
        <v>-4258.8793637398649</v>
      </c>
      <c r="AH630">
        <v>10.2473152761374</v>
      </c>
      <c r="AI630" s="6">
        <f t="shared" si="37"/>
        <v>7.6166602391052829E-2</v>
      </c>
      <c r="AK630" s="47">
        <f>RATE(Table1[[#This Row],[Total No. of Coupons]],Table1[[#This Row],[Coupon Amount]],-Table1[[#This Row],[Ask Price]],Table1[[#This Row],[Face value]])</f>
        <v>7.5687466178733565E-2</v>
      </c>
      <c r="AL630" s="27">
        <f>Table1[[#This Row],[IRR]]*Table1[[#This Row],[Coupon Frequency2]]</f>
        <v>0.15137493235746713</v>
      </c>
      <c r="AM630" s="5">
        <f t="shared" si="38"/>
        <v>-1990.4502070936512</v>
      </c>
      <c r="AN630" t="s">
        <v>64</v>
      </c>
      <c r="AO630" t="s">
        <v>62</v>
      </c>
      <c r="AP630">
        <f t="shared" si="39"/>
        <v>2</v>
      </c>
    </row>
    <row r="631" spans="1:42" x14ac:dyDescent="0.35">
      <c r="A631" s="48" t="s">
        <v>88</v>
      </c>
      <c r="B631" s="49" t="s">
        <v>2936</v>
      </c>
      <c r="C631" s="49" t="s">
        <v>2273</v>
      </c>
      <c r="D631" s="50">
        <v>44859</v>
      </c>
      <c r="E631" s="50">
        <v>51434</v>
      </c>
      <c r="F631" s="49">
        <v>300</v>
      </c>
      <c r="G631" s="49" t="s">
        <v>76</v>
      </c>
      <c r="H631" s="49">
        <v>311.08</v>
      </c>
      <c r="I631" s="49" t="s">
        <v>76</v>
      </c>
      <c r="J631" s="49">
        <v>103.693333333333</v>
      </c>
      <c r="K631" s="49">
        <v>35</v>
      </c>
      <c r="L631" s="51">
        <v>7.9000000000000001E-2</v>
      </c>
      <c r="M631" s="49" t="s">
        <v>65</v>
      </c>
      <c r="N631" s="49">
        <v>5517</v>
      </c>
      <c r="O631" s="49">
        <v>7.6186190047576101</v>
      </c>
      <c r="P631" s="49"/>
      <c r="Q631" s="49"/>
      <c r="R631" s="49" t="s">
        <v>2275</v>
      </c>
      <c r="S631">
        <f t="shared" si="36"/>
        <v>18</v>
      </c>
      <c r="T631" s="5" cm="1">
        <f t="array" ref="T6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31">
        <f>Table1[[#This Row],[Term to Maturity (Years)]]*Table1[[#This Row],[Coupon Frequency2]]</f>
        <v>36</v>
      </c>
      <c r="V631">
        <f>Table1[[#This Row],[Face value]]*Table1[[#This Row],[Current coupon %]]</f>
        <v>23.7</v>
      </c>
      <c r="W631" s="36">
        <f>RATE(Table1[[#This Row],[Total No. of Coupons]],Table1[[#This Row],[Coupon Amount]],-Table1[[#This Row],[Ask Price]],Table1[[#This Row],[Face value]])</f>
        <v>7.5977396529619504E-2</v>
      </c>
      <c r="X631" s="27">
        <f>Table1[[#This Row],[IRR]]*Table1[[#This Row],[Coupon Frequency2]]</f>
        <v>0.15195479305923901</v>
      </c>
      <c r="Y631" s="19" cm="1">
        <f t="array" ref="Y6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1" s="33">
        <f>DURATION(Table1[[#This Row],[Issue date]],Table1[[#This Row],[Maturity date]],Table1[[#This Row],[Current coupon %]],Table1[[#This Row],[Yield (Annualised)]],Table1[[#This Row],[Coupon Frequency2]])</f>
        <v>7.2826358948396077</v>
      </c>
      <c r="AA631" s="33">
        <f>Table1[[#This Row],[Macaulay Duration in Years]]/(1+Table1[[#This Row],[IRR]])</f>
        <v>6.7683911561046726</v>
      </c>
      <c r="AB631" s="58">
        <f>VLOOKUP(Table1[[#This Row],[Yield Cluster]],'Cluster Details'!$B$3:$C$16,2,0)</f>
        <v>0.1712257899185532</v>
      </c>
      <c r="AC631" s="78">
        <f>PRICE(Table1[[#This Row],[Issue date]],Table1[[#This Row],[Maturity date]],Table1[[#This Row],[Current coupon %]],Table1[[#This Row],[Average Cluster Yield]],100,Table1[[#This Row],[Coupon Frequency2]])*Table1[[#This Row],[Face value]]/100</f>
        <v>146.81035245259648</v>
      </c>
      <c r="AD631" s="58" t="str">
        <f>IF(Table1[[#This Row],[Ask Price]]&gt;Table1[[#This Row],[Calculated Bond Price]],"Rich","Cheap")</f>
        <v>Rich</v>
      </c>
      <c r="AE6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155.65187529756386</v>
      </c>
      <c r="AF6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178.22417325506504</v>
      </c>
      <c r="AG631" s="78">
        <f>(Table1[[#This Row],[P (+ shock)]]+Table1[[#This Row],[P (-shock)]]-2*Table1[[#This Row],[Ask Price]])/(2*Table1[[#This Row],[Ask Price]]*($AF$2^2))</f>
        <v>-4633.5982938049865</v>
      </c>
      <c r="AH631">
        <v>9.5707226975159898</v>
      </c>
      <c r="AI631" s="6">
        <f t="shared" si="37"/>
        <v>7.6186190047576194E-2</v>
      </c>
      <c r="AK631" s="47">
        <f>RATE(Table1[[#This Row],[Total No. of Coupons]],Table1[[#This Row],[Coupon Amount]],-Table1[[#This Row],[Ask Price]],Table1[[#This Row],[Face value]])</f>
        <v>7.5977396529619504E-2</v>
      </c>
      <c r="AL631" s="27">
        <f>Table1[[#This Row],[IRR]]*Table1[[#This Row],[Coupon Frequency2]]</f>
        <v>0.15195479305923901</v>
      </c>
      <c r="AM631" s="5">
        <f t="shared" si="38"/>
        <v>-2105.5111208410412</v>
      </c>
      <c r="AN631" t="s">
        <v>64</v>
      </c>
      <c r="AO631" t="s">
        <v>62</v>
      </c>
      <c r="AP631">
        <f t="shared" si="39"/>
        <v>2</v>
      </c>
    </row>
    <row r="632" spans="1:42" x14ac:dyDescent="0.35">
      <c r="A632" s="48" t="s">
        <v>735</v>
      </c>
      <c r="B632" s="49" t="s">
        <v>2937</v>
      </c>
      <c r="C632" s="49" t="s">
        <v>2273</v>
      </c>
      <c r="D632" s="50">
        <v>43510</v>
      </c>
      <c r="E632" s="50">
        <v>47163</v>
      </c>
      <c r="F632" s="49">
        <v>1000000</v>
      </c>
      <c r="G632" s="49" t="s">
        <v>76</v>
      </c>
      <c r="H632" s="49">
        <v>1055977</v>
      </c>
      <c r="I632" s="49" t="s">
        <v>76</v>
      </c>
      <c r="J632" s="49">
        <v>105.59769999999899</v>
      </c>
      <c r="K632" s="49">
        <v>155</v>
      </c>
      <c r="L632" s="51">
        <v>8.2400000000000001E-2</v>
      </c>
      <c r="M632" s="49" t="s">
        <v>65</v>
      </c>
      <c r="N632" s="49">
        <v>1246</v>
      </c>
      <c r="O632" s="49">
        <v>7.8032002590965499</v>
      </c>
      <c r="P632" s="49" t="s">
        <v>2274</v>
      </c>
      <c r="Q632" s="49"/>
      <c r="R632" s="49" t="s">
        <v>2275</v>
      </c>
      <c r="S632">
        <f t="shared" si="36"/>
        <v>10</v>
      </c>
      <c r="T632" s="5" cm="1">
        <f t="array" ref="T6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32">
        <f>Table1[[#This Row],[Term to Maturity (Years)]]*Table1[[#This Row],[Coupon Frequency2]]</f>
        <v>20</v>
      </c>
      <c r="V632">
        <f>Table1[[#This Row],[Face value]]*Table1[[#This Row],[Current coupon %]]</f>
        <v>82400</v>
      </c>
      <c r="W632" s="36">
        <f>RATE(Table1[[#This Row],[Total No. of Coupons]],Table1[[#This Row],[Coupon Amount]],-Table1[[#This Row],[Ask Price]],Table1[[#This Row],[Face value]])</f>
        <v>7.6832349675408682E-2</v>
      </c>
      <c r="X632" s="27">
        <f>Table1[[#This Row],[IRR]]*Table1[[#This Row],[Coupon Frequency2]]</f>
        <v>0.15366469935081736</v>
      </c>
      <c r="Y632" s="19" cm="1">
        <f t="array" ref="Y6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2" s="33">
        <f>DURATION(Table1[[#This Row],[Issue date]],Table1[[#This Row],[Maturity date]],Table1[[#This Row],[Current coupon %]],Table1[[#This Row],[Yield (Annualised)]],Table1[[#This Row],[Coupon Frequency2]])</f>
        <v>6.1674065074757296</v>
      </c>
      <c r="AA632" s="33">
        <f>Table1[[#This Row],[Macaulay Duration in Years]]/(1+Table1[[#This Row],[IRR]])</f>
        <v>5.7273599825774006</v>
      </c>
      <c r="AB632" s="58">
        <f>VLOOKUP(Table1[[#This Row],[Yield Cluster]],'Cluster Details'!$B$3:$C$16,2,0)</f>
        <v>0.1712257899185532</v>
      </c>
      <c r="AC632" s="78">
        <f>PRICE(Table1[[#This Row],[Issue date]],Table1[[#This Row],[Maturity date]],Table1[[#This Row],[Current coupon %]],Table1[[#This Row],[Average Cluster Yield]],100,Table1[[#This Row],[Coupon Frequency2]])*Table1[[#This Row],[Face value]]/100</f>
        <v>581574.97840245522</v>
      </c>
      <c r="AD632" s="58" t="str">
        <f>IF(Table1[[#This Row],[Ask Price]]&gt;Table1[[#This Row],[Calculated Bond Price]],"Rich","Cheap")</f>
        <v>Rich</v>
      </c>
      <c r="AE6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606447.12901073159</v>
      </c>
      <c r="AF6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680051.21965185914</v>
      </c>
      <c r="AG632" s="78">
        <f>(Table1[[#This Row],[P (+ shock)]]+Table1[[#This Row],[P (-shock)]]-2*Table1[[#This Row],[Ask Price]])/(2*Table1[[#This Row],[Ask Price]]*($AF$2^2))</f>
        <v>-3908.492568197079</v>
      </c>
      <c r="AH632">
        <v>11.5895185649344</v>
      </c>
      <c r="AI632" s="6">
        <f t="shared" si="37"/>
        <v>7.803200259096553E-2</v>
      </c>
      <c r="AK632" s="47">
        <f>RATE(Table1[[#This Row],[Total No. of Coupons]],Table1[[#This Row],[Coupon Amount]],-Table1[[#This Row],[Ask Price]],Table1[[#This Row],[Face value]])</f>
        <v>7.6832349675408682E-2</v>
      </c>
      <c r="AL632" s="27">
        <f>Table1[[#This Row],[IRR]]*Table1[[#This Row],[Coupon Frequency2]]</f>
        <v>0.15366469935081736</v>
      </c>
      <c r="AM632" s="5">
        <f t="shared" si="38"/>
        <v>-6047960.4123221356</v>
      </c>
      <c r="AN632" t="s">
        <v>64</v>
      </c>
      <c r="AO632" t="s">
        <v>62</v>
      </c>
      <c r="AP632">
        <f t="shared" si="39"/>
        <v>2</v>
      </c>
    </row>
    <row r="633" spans="1:42" x14ac:dyDescent="0.35">
      <c r="A633" s="48" t="s">
        <v>253</v>
      </c>
      <c r="B633" s="49" t="s">
        <v>2938</v>
      </c>
      <c r="C633" s="49" t="s">
        <v>2273</v>
      </c>
      <c r="D633" s="50">
        <v>44880</v>
      </c>
      <c r="E633" s="50">
        <v>48533</v>
      </c>
      <c r="F633" s="49">
        <v>1000000</v>
      </c>
      <c r="G633" s="49" t="s">
        <v>76</v>
      </c>
      <c r="H633" s="49">
        <v>1029901.7</v>
      </c>
      <c r="I633" s="49" t="s">
        <v>76</v>
      </c>
      <c r="J633" s="49">
        <v>102.990169999999</v>
      </c>
      <c r="K633" s="49">
        <v>1</v>
      </c>
      <c r="L633" s="51">
        <v>0.08</v>
      </c>
      <c r="M633" s="49" t="s">
        <v>65</v>
      </c>
      <c r="N633" s="49">
        <v>2616</v>
      </c>
      <c r="O633" s="49">
        <v>7.7677316194351302</v>
      </c>
      <c r="P633" s="49"/>
      <c r="Q633" s="49"/>
      <c r="R633" s="49" t="s">
        <v>2275</v>
      </c>
      <c r="S633">
        <f t="shared" si="36"/>
        <v>10</v>
      </c>
      <c r="T633" s="5" cm="1">
        <f t="array" ref="T6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33">
        <f>Table1[[#This Row],[Term to Maturity (Years)]]*Table1[[#This Row],[Coupon Frequency2]]</f>
        <v>20</v>
      </c>
      <c r="V633">
        <f>Table1[[#This Row],[Face value]]*Table1[[#This Row],[Current coupon %]]</f>
        <v>80000</v>
      </c>
      <c r="W633" s="36">
        <f>RATE(Table1[[#This Row],[Total No. of Coupons]],Table1[[#This Row],[Coupon Amount]],-Table1[[#This Row],[Ask Price]],Table1[[#This Row],[Face value]])</f>
        <v>7.7021633291589967E-2</v>
      </c>
      <c r="X633" s="27">
        <f>Table1[[#This Row],[IRR]]*Table1[[#This Row],[Coupon Frequency2]]</f>
        <v>0.15404326658317993</v>
      </c>
      <c r="Y633" s="19" cm="1">
        <f t="array" ref="Y6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3" s="33">
        <f>DURATION(Table1[[#This Row],[Issue date]],Table1[[#This Row],[Maturity date]],Table1[[#This Row],[Current coupon %]],Table1[[#This Row],[Yield (Annualised)]],Table1[[#This Row],[Coupon Frequency2]])</f>
        <v>6.2032035899599274</v>
      </c>
      <c r="AA633" s="33">
        <f>Table1[[#This Row],[Macaulay Duration in Years]]/(1+Table1[[#This Row],[IRR]])</f>
        <v>5.7595905209459133</v>
      </c>
      <c r="AB633" s="58">
        <f>VLOOKUP(Table1[[#This Row],[Yield Cluster]],'Cluster Details'!$B$3:$C$16,2,0)</f>
        <v>0.1712257899185532</v>
      </c>
      <c r="AC633" s="78">
        <f>PRICE(Table1[[#This Row],[Issue date]],Table1[[#This Row],[Maturity date]],Table1[[#This Row],[Current coupon %]],Table1[[#This Row],[Average Cluster Yield]],100,Table1[[#This Row],[Coupon Frequency2]])*Table1[[#This Row],[Face value]]/100</f>
        <v>570269.4774577982</v>
      </c>
      <c r="AD633" s="58" t="str">
        <f>IF(Table1[[#This Row],[Ask Price]]&gt;Table1[[#This Row],[Calculated Bond Price]],"Rich","Cheap")</f>
        <v>Rich</v>
      </c>
      <c r="AE6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593559.07272691804</v>
      </c>
      <c r="AF6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666028.00890832883</v>
      </c>
      <c r="AG633" s="78">
        <f>(Table1[[#This Row],[P (+ shock)]]+Table1[[#This Row],[P (-shock)]]-2*Table1[[#This Row],[Ask Price]])/(2*Table1[[#This Row],[Ask Price]]*($AF$2^2))</f>
        <v>-3884.9159990936655</v>
      </c>
      <c r="AI633" s="6">
        <f t="shared" si="37"/>
        <v>7.7677316194351365E-2</v>
      </c>
      <c r="AK633" s="47">
        <f>RATE(Table1[[#This Row],[Total No. of Coupons]],Table1[[#This Row],[Coupon Amount]],-Table1[[#This Row],[Ask Price]],Table1[[#This Row],[Face value]])</f>
        <v>7.7021633291589967E-2</v>
      </c>
      <c r="AL633" s="27">
        <f>Table1[[#This Row],[IRR]]*Table1[[#This Row],[Coupon Frequency2]]</f>
        <v>0.15404326658317993</v>
      </c>
      <c r="AM633" s="5">
        <f t="shared" si="38"/>
        <v>-5931812.0688260812</v>
      </c>
      <c r="AN633" t="s">
        <v>69</v>
      </c>
      <c r="AO633" t="s">
        <v>62</v>
      </c>
      <c r="AP633">
        <f t="shared" si="39"/>
        <v>2</v>
      </c>
    </row>
    <row r="634" spans="1:42" x14ac:dyDescent="0.35">
      <c r="A634" s="48" t="s">
        <v>709</v>
      </c>
      <c r="B634" s="49" t="s">
        <v>2939</v>
      </c>
      <c r="C634" s="49" t="s">
        <v>2273</v>
      </c>
      <c r="D634" s="50">
        <v>43549</v>
      </c>
      <c r="E634" s="50">
        <v>47202</v>
      </c>
      <c r="F634" s="49">
        <v>1000000</v>
      </c>
      <c r="G634" s="49" t="s">
        <v>76</v>
      </c>
      <c r="H634" s="49">
        <v>1058198</v>
      </c>
      <c r="I634" s="49" t="s">
        <v>76</v>
      </c>
      <c r="J634" s="49">
        <v>105.8198</v>
      </c>
      <c r="K634" s="49">
        <v>50</v>
      </c>
      <c r="L634" s="51">
        <v>8.3000000000000004E-2</v>
      </c>
      <c r="M634" s="49" t="s">
        <v>65</v>
      </c>
      <c r="N634" s="49">
        <v>1285</v>
      </c>
      <c r="O634" s="49">
        <v>7.8435226677805101</v>
      </c>
      <c r="P634" s="49"/>
      <c r="Q634" s="49"/>
      <c r="R634" s="49" t="s">
        <v>2275</v>
      </c>
      <c r="S634">
        <f t="shared" si="36"/>
        <v>10</v>
      </c>
      <c r="T634" s="5" cm="1">
        <f t="array" ref="T6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34">
        <f>Table1[[#This Row],[Term to Maturity (Years)]]*Table1[[#This Row],[Coupon Frequency2]]</f>
        <v>20</v>
      </c>
      <c r="V634">
        <f>Table1[[#This Row],[Face value]]*Table1[[#This Row],[Current coupon %]]</f>
        <v>83000</v>
      </c>
      <c r="W634" s="36">
        <f>RATE(Table1[[#This Row],[Total No. of Coupons]],Table1[[#This Row],[Coupon Amount]],-Table1[[#This Row],[Ask Price]],Table1[[#This Row],[Face value]])</f>
        <v>7.7195569836920164E-2</v>
      </c>
      <c r="X634" s="27">
        <f>Table1[[#This Row],[IRR]]*Table1[[#This Row],[Coupon Frequency2]]</f>
        <v>0.15439113967384033</v>
      </c>
      <c r="Y634" s="19" cm="1">
        <f t="array" ref="Y6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4" s="33">
        <f>DURATION(Table1[[#This Row],[Issue date]],Table1[[#This Row],[Maturity date]],Table1[[#This Row],[Current coupon %]],Table1[[#This Row],[Yield (Annualised)]],Table1[[#This Row],[Coupon Frequency2]])</f>
        <v>6.1488639338634377</v>
      </c>
      <c r="AA634" s="33">
        <f>Table1[[#This Row],[Macaulay Duration in Years]]/(1+Table1[[#This Row],[IRR]])</f>
        <v>5.7082150224534738</v>
      </c>
      <c r="AB634" s="58">
        <f>VLOOKUP(Table1[[#This Row],[Yield Cluster]],'Cluster Details'!$B$3:$C$16,2,0)</f>
        <v>0.1712257899185532</v>
      </c>
      <c r="AC634" s="78">
        <f>PRICE(Table1[[#This Row],[Issue date]],Table1[[#This Row],[Maturity date]],Table1[[#This Row],[Current coupon %]],Table1[[#This Row],[Average Cluster Yield]],100,Table1[[#This Row],[Coupon Frequency2]])*Table1[[#This Row],[Face value]]/100</f>
        <v>584401.35363861942</v>
      </c>
      <c r="AD634" s="58" t="str">
        <f>IF(Table1[[#This Row],[Ask Price]]&gt;Table1[[#This Row],[Calculated Bond Price]],"Rich","Cheap")</f>
        <v>Rich</v>
      </c>
      <c r="AE6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606889.5200315821</v>
      </c>
      <c r="AF6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680286.83879670978</v>
      </c>
      <c r="AG634" s="78">
        <f>(Table1[[#This Row],[P (+ shock)]]+Table1[[#This Row],[P (-shock)]]-2*Table1[[#This Row],[Ask Price]])/(2*Table1[[#This Row],[Ask Price]]*($AF$2^2))</f>
        <v>-3918.0741277705506</v>
      </c>
      <c r="AH634">
        <v>11.299113316521501</v>
      </c>
      <c r="AI634" s="6">
        <f t="shared" si="37"/>
        <v>7.84352266778051E-2</v>
      </c>
      <c r="AK634" s="47">
        <f>RATE(Table1[[#This Row],[Total No. of Coupons]],Table1[[#This Row],[Coupon Amount]],-Table1[[#This Row],[Ask Price]],Table1[[#This Row],[Face value]])</f>
        <v>7.7195569836920164E-2</v>
      </c>
      <c r="AL634" s="27">
        <f>Table1[[#This Row],[IRR]]*Table1[[#This Row],[Coupon Frequency2]]</f>
        <v>0.15439113967384033</v>
      </c>
      <c r="AM634" s="5">
        <f t="shared" si="38"/>
        <v>-6040421.7203302206</v>
      </c>
      <c r="AN634" t="s">
        <v>64</v>
      </c>
      <c r="AO634" t="s">
        <v>62</v>
      </c>
      <c r="AP634">
        <f t="shared" si="39"/>
        <v>2</v>
      </c>
    </row>
    <row r="635" spans="1:42" x14ac:dyDescent="0.35">
      <c r="A635" s="48" t="s">
        <v>2940</v>
      </c>
      <c r="B635" s="49" t="s">
        <v>2941</v>
      </c>
      <c r="C635" s="49" t="s">
        <v>2273</v>
      </c>
      <c r="D635" s="50">
        <v>43371</v>
      </c>
      <c r="E635" s="50">
        <v>47024</v>
      </c>
      <c r="F635" s="49">
        <v>1000000</v>
      </c>
      <c r="G635" s="49" t="s">
        <v>76</v>
      </c>
      <c r="H635" s="49">
        <v>1093218</v>
      </c>
      <c r="I635" s="49" t="s">
        <v>76</v>
      </c>
      <c r="J635" s="49">
        <v>109.3218</v>
      </c>
      <c r="K635" s="49">
        <v>250</v>
      </c>
      <c r="L635" s="51">
        <v>8.6999999999999994E-2</v>
      </c>
      <c r="M635" s="49" t="s">
        <v>65</v>
      </c>
      <c r="N635" s="49">
        <v>1107</v>
      </c>
      <c r="O635" s="49">
        <v>7.9581565616372902</v>
      </c>
      <c r="P635" s="49"/>
      <c r="Q635" s="49"/>
      <c r="R635" s="49" t="s">
        <v>2275</v>
      </c>
      <c r="S635">
        <f t="shared" si="36"/>
        <v>10</v>
      </c>
      <c r="T635" s="5" cm="1">
        <f t="array" ref="T6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35">
        <f>Table1[[#This Row],[Term to Maturity (Years)]]*Table1[[#This Row],[Coupon Frequency2]]</f>
        <v>20</v>
      </c>
      <c r="V635">
        <f>Table1[[#This Row],[Face value]]*Table1[[#This Row],[Current coupon %]]</f>
        <v>87000</v>
      </c>
      <c r="W635" s="36">
        <f>RATE(Table1[[#This Row],[Total No. of Coupons]],Table1[[#This Row],[Coupon Amount]],-Table1[[#This Row],[Ask Price]],Table1[[#This Row],[Face value]])</f>
        <v>7.7669595533182284E-2</v>
      </c>
      <c r="X635" s="27">
        <f>Table1[[#This Row],[IRR]]*Table1[[#This Row],[Coupon Frequency2]]</f>
        <v>0.15533919106636457</v>
      </c>
      <c r="Y635" s="19" cm="1">
        <f t="array" ref="Y6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5" s="33">
        <f>DURATION(Table1[[#This Row],[Issue date]],Table1[[#This Row],[Maturity date]],Table1[[#This Row],[Current coupon %]],Table1[[#This Row],[Yield (Annualised)]],Table1[[#This Row],[Coupon Frequency2]])</f>
        <v>6.0742007164266472</v>
      </c>
      <c r="AA635" s="33">
        <f>Table1[[#This Row],[Macaulay Duration in Years]]/(1+Table1[[#This Row],[IRR]])</f>
        <v>5.6364220922660495</v>
      </c>
      <c r="AB635" s="58">
        <f>VLOOKUP(Table1[[#This Row],[Yield Cluster]],'Cluster Details'!$B$3:$C$16,2,0)</f>
        <v>0.1712257899185532</v>
      </c>
      <c r="AC635" s="78">
        <f>PRICE(Table1[[#This Row],[Issue date]],Table1[[#This Row],[Maturity date]],Table1[[#This Row],[Current coupon %]],Table1[[#This Row],[Average Cluster Yield]],100,Table1[[#This Row],[Coupon Frequency2]])*Table1[[#This Row],[Face value]]/100</f>
        <v>603243.8552130477</v>
      </c>
      <c r="AD635" s="58" t="str">
        <f>IF(Table1[[#This Row],[Ask Price]]&gt;Table1[[#This Row],[Calculated Bond Price]],"Rich","Cheap")</f>
        <v>Rich</v>
      </c>
      <c r="AE6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622948.49473642046</v>
      </c>
      <c r="AF6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697286.34004483582</v>
      </c>
      <c r="AG635" s="78">
        <f>(Table1[[#This Row],[P (+ shock)]]+Table1[[#This Row],[P (-shock)]]-2*Table1[[#This Row],[Ask Price]])/(2*Table1[[#This Row],[Ask Price]]*($AF$2^2))</f>
        <v>-3961.7037279789743</v>
      </c>
      <c r="AH635">
        <v>11.358291769324699</v>
      </c>
      <c r="AI635" s="6">
        <f t="shared" si="37"/>
        <v>7.9581565616372946E-2</v>
      </c>
      <c r="AK635" s="47">
        <f>RATE(Table1[[#This Row],[Total No. of Coupons]],Table1[[#This Row],[Coupon Amount]],-Table1[[#This Row],[Ask Price]],Table1[[#This Row],[Face value]])</f>
        <v>7.7669595533182284E-2</v>
      </c>
      <c r="AL635" s="27">
        <f>Table1[[#This Row],[IRR]]*Table1[[#This Row],[Coupon Frequency2]]</f>
        <v>0.15533919106636457</v>
      </c>
      <c r="AM635" s="5">
        <f t="shared" si="38"/>
        <v>-6161838.0868629059</v>
      </c>
      <c r="AN635" t="s">
        <v>64</v>
      </c>
      <c r="AO635" t="s">
        <v>62</v>
      </c>
      <c r="AP635">
        <f t="shared" si="39"/>
        <v>2</v>
      </c>
    </row>
    <row r="636" spans="1:42" x14ac:dyDescent="0.35">
      <c r="A636" s="48" t="s">
        <v>197</v>
      </c>
      <c r="B636" s="49" t="s">
        <v>2942</v>
      </c>
      <c r="C636" s="49" t="s">
        <v>2273</v>
      </c>
      <c r="D636" s="50">
        <v>45287</v>
      </c>
      <c r="E636" s="50">
        <v>48940</v>
      </c>
      <c r="F636" s="49">
        <v>1000</v>
      </c>
      <c r="G636" s="49" t="s">
        <v>76</v>
      </c>
      <c r="H636" s="49">
        <v>762</v>
      </c>
      <c r="I636" s="49" t="s">
        <v>76</v>
      </c>
      <c r="J636" s="49">
        <v>76.2</v>
      </c>
      <c r="K636" s="49">
        <v>10</v>
      </c>
      <c r="L636" s="51">
        <v>0.1075</v>
      </c>
      <c r="M636" s="49" t="s">
        <v>93</v>
      </c>
      <c r="N636" s="49">
        <v>3023</v>
      </c>
      <c r="O636" s="49">
        <v>14.107611548556401</v>
      </c>
      <c r="P636" s="49" t="s">
        <v>2279</v>
      </c>
      <c r="Q636" s="49"/>
      <c r="R636" s="49" t="s">
        <v>2275</v>
      </c>
      <c r="S636">
        <f t="shared" si="36"/>
        <v>10</v>
      </c>
      <c r="T636" s="5" cm="1">
        <f t="array" ref="T6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36">
        <f>Table1[[#This Row],[Term to Maturity (Years)]]*Table1[[#This Row],[Coupon Frequency2]]</f>
        <v>10</v>
      </c>
      <c r="V636">
        <f>Table1[[#This Row],[Face value]]*Table1[[#This Row],[Current coupon %]]</f>
        <v>107.5</v>
      </c>
      <c r="W636" s="36">
        <f>RATE(Table1[[#This Row],[Total No. of Coupons]],Table1[[#This Row],[Coupon Amount]],-Table1[[#This Row],[Ask Price]],Table1[[#This Row],[Face value]])</f>
        <v>0.15601366824435825</v>
      </c>
      <c r="X636" s="27">
        <f>Table1[[#This Row],[IRR]]*Table1[[#This Row],[Coupon Frequency2]]</f>
        <v>0.15601366824435825</v>
      </c>
      <c r="Y636" s="19" cm="1">
        <f t="array" ref="Y6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6" s="33">
        <f>DURATION(Table1[[#This Row],[Issue date]],Table1[[#This Row],[Maturity date]],Table1[[#This Row],[Current coupon %]],Table1[[#This Row],[Yield (Annualised)]],Table1[[#This Row],[Coupon Frequency2]])</f>
        <v>6.0856716465030454</v>
      </c>
      <c r="AA636" s="33">
        <f>Table1[[#This Row],[Macaulay Duration in Years]]/(1+Table1[[#This Row],[IRR]])</f>
        <v>5.2643595951122055</v>
      </c>
      <c r="AB636" s="58">
        <f>VLOOKUP(Table1[[#This Row],[Yield Cluster]],'Cluster Details'!$B$3:$C$16,2,0)</f>
        <v>0.1712257899185532</v>
      </c>
      <c r="AC636" s="78">
        <f>PRICE(Table1[[#This Row],[Issue date]],Table1[[#This Row],[Maturity date]],Table1[[#This Row],[Current coupon %]],Table1[[#This Row],[Average Cluster Yield]],100,Table1[[#This Row],[Coupon Frequency2]])*Table1[[#This Row],[Face value]]/100</f>
        <v>704.44556622352309</v>
      </c>
      <c r="AD636" s="58" t="str">
        <f>IF(Table1[[#This Row],[Ask Price]]&gt;Table1[[#This Row],[Calculated Bond Price]],"Rich","Cheap")</f>
        <v>Rich</v>
      </c>
      <c r="AE6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723.40826370714228</v>
      </c>
      <c r="AF6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803.73549569542195</v>
      </c>
      <c r="AG636" s="78">
        <f>(Table1[[#This Row],[P (+ shock)]]+Table1[[#This Row],[P (-shock)]]-2*Table1[[#This Row],[Ask Price]])/(2*Table1[[#This Row],[Ask Price]]*($AF$2^2))</f>
        <v>20.628342536510683</v>
      </c>
      <c r="AH636">
        <v>10.0770999802702</v>
      </c>
      <c r="AI636" s="6">
        <f t="shared" si="37"/>
        <v>0.14107611548556431</v>
      </c>
      <c r="AK636" s="47">
        <f>RATE(Table1[[#This Row],[Total No. of Coupons]],Table1[[#This Row],[Coupon Amount]],-Table1[[#This Row],[Ask Price]],Table1[[#This Row],[Face value]])</f>
        <v>0.15601366824435825</v>
      </c>
      <c r="AL636" s="27">
        <f>Table1[[#This Row],[IRR]]*Table1[[#This Row],[Coupon Frequency2]]</f>
        <v>0.15601366824435825</v>
      </c>
      <c r="AM636" s="5">
        <f t="shared" si="38"/>
        <v>-4011.4420114755007</v>
      </c>
      <c r="AN636" t="s">
        <v>64</v>
      </c>
      <c r="AO636" t="s">
        <v>62</v>
      </c>
      <c r="AP636">
        <f t="shared" si="39"/>
        <v>1</v>
      </c>
    </row>
    <row r="637" spans="1:42" x14ac:dyDescent="0.35">
      <c r="A637" s="48" t="s">
        <v>137</v>
      </c>
      <c r="B637" s="49" t="s">
        <v>2943</v>
      </c>
      <c r="C637" s="49" t="s">
        <v>2273</v>
      </c>
      <c r="D637" s="50">
        <v>45653</v>
      </c>
      <c r="E637" s="50">
        <v>49305</v>
      </c>
      <c r="F637" s="49">
        <v>1000</v>
      </c>
      <c r="G637" s="49" t="s">
        <v>76</v>
      </c>
      <c r="H637" s="49">
        <v>760</v>
      </c>
      <c r="I637" s="49" t="s">
        <v>76</v>
      </c>
      <c r="J637" s="49">
        <v>76</v>
      </c>
      <c r="K637" s="49">
        <v>100</v>
      </c>
      <c r="L637" s="51">
        <v>0.1075</v>
      </c>
      <c r="M637" s="49" t="s">
        <v>93</v>
      </c>
      <c r="N637" s="49">
        <v>3388</v>
      </c>
      <c r="O637" s="49">
        <v>14.1447368421052</v>
      </c>
      <c r="P637" s="49" t="s">
        <v>2279</v>
      </c>
      <c r="Q637" s="49"/>
      <c r="R637" s="49" t="s">
        <v>2275</v>
      </c>
      <c r="S637">
        <f t="shared" si="36"/>
        <v>10</v>
      </c>
      <c r="T637" s="5" cm="1">
        <f t="array" ref="T6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37">
        <f>Table1[[#This Row],[Term to Maturity (Years)]]*Table1[[#This Row],[Coupon Frequency2]]</f>
        <v>10</v>
      </c>
      <c r="V637">
        <f>Table1[[#This Row],[Face value]]*Table1[[#This Row],[Current coupon %]]</f>
        <v>107.5</v>
      </c>
      <c r="W637" s="36">
        <f>RATE(Table1[[#This Row],[Total No. of Coupons]],Table1[[#This Row],[Coupon Amount]],-Table1[[#This Row],[Ask Price]],Table1[[#This Row],[Face value]])</f>
        <v>0.15651321759329101</v>
      </c>
      <c r="X637" s="27">
        <f>Table1[[#This Row],[IRR]]*Table1[[#This Row],[Coupon Frequency2]]</f>
        <v>0.15651321759329101</v>
      </c>
      <c r="Y637" s="19" cm="1">
        <f t="array" ref="Y6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7" s="33">
        <f>DURATION(Table1[[#This Row],[Issue date]],Table1[[#This Row],[Maturity date]],Table1[[#This Row],[Current coupon %]],Table1[[#This Row],[Yield (Annualised)]],Table1[[#This Row],[Coupon Frequency2]])</f>
        <v>6.0805008416927206</v>
      </c>
      <c r="AA637" s="33">
        <f>Table1[[#This Row],[Macaulay Duration in Years]]/(1+Table1[[#This Row],[IRR]])</f>
        <v>5.257614655149613</v>
      </c>
      <c r="AB637" s="58">
        <f>VLOOKUP(Table1[[#This Row],[Yield Cluster]],'Cluster Details'!$B$3:$C$16,2,0)</f>
        <v>0.1712257899185532</v>
      </c>
      <c r="AC637" s="78">
        <f>PRICE(Table1[[#This Row],[Issue date]],Table1[[#This Row],[Maturity date]],Table1[[#This Row],[Current coupon %]],Table1[[#This Row],[Average Cluster Yield]],100,Table1[[#This Row],[Coupon Frequency2]])*Table1[[#This Row],[Face value]]/100</f>
        <v>704.44556622352309</v>
      </c>
      <c r="AD637" s="58" t="str">
        <f>IF(Table1[[#This Row],[Ask Price]]&gt;Table1[[#This Row],[Calculated Bond Price]],"Rich","Cheap")</f>
        <v>Rich</v>
      </c>
      <c r="AE6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721.55771573161667</v>
      </c>
      <c r="AF6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801.57133110955522</v>
      </c>
      <c r="AG637" s="78">
        <f>(Table1[[#This Row],[P (+ shock)]]+Table1[[#This Row],[P (-shock)]]-2*Table1[[#This Row],[Ask Price]])/(2*Table1[[#This Row],[Ask Price]]*($AF$2^2))</f>
        <v>20.585834481393981</v>
      </c>
      <c r="AH637">
        <v>23.359402703359201</v>
      </c>
      <c r="AI637" s="6">
        <f t="shared" si="37"/>
        <v>0.14144736842105263</v>
      </c>
      <c r="AK637" s="47">
        <f>RATE(Table1[[#This Row],[Total No. of Coupons]],Table1[[#This Row],[Coupon Amount]],-Table1[[#This Row],[Ask Price]],Table1[[#This Row],[Face value]])</f>
        <v>0.15651321759329101</v>
      </c>
      <c r="AL637" s="27">
        <f>Table1[[#This Row],[IRR]]*Table1[[#This Row],[Coupon Frequency2]]</f>
        <v>0.15651321759329101</v>
      </c>
      <c r="AM637" s="5">
        <f t="shared" si="38"/>
        <v>-3995.7871379137059</v>
      </c>
      <c r="AN637" t="s">
        <v>64</v>
      </c>
      <c r="AO637" t="s">
        <v>62</v>
      </c>
      <c r="AP637">
        <f t="shared" si="39"/>
        <v>1</v>
      </c>
    </row>
    <row r="638" spans="1:42" x14ac:dyDescent="0.35">
      <c r="A638" s="48" t="s">
        <v>815</v>
      </c>
      <c r="B638" s="49" t="s">
        <v>2944</v>
      </c>
      <c r="C638" s="49" t="s">
        <v>2273</v>
      </c>
      <c r="D638" s="50">
        <v>43433</v>
      </c>
      <c r="E638" s="50">
        <v>47086</v>
      </c>
      <c r="F638" s="49">
        <v>1000000</v>
      </c>
      <c r="G638" s="49" t="s">
        <v>76</v>
      </c>
      <c r="H638" s="49">
        <v>1061250</v>
      </c>
      <c r="I638" s="49" t="s">
        <v>76</v>
      </c>
      <c r="J638" s="49">
        <v>106.125</v>
      </c>
      <c r="K638" s="49">
        <v>1</v>
      </c>
      <c r="L638" s="51">
        <v>8.5600000000000009E-2</v>
      </c>
      <c r="M638" s="49" t="s">
        <v>65</v>
      </c>
      <c r="N638" s="49">
        <v>1169</v>
      </c>
      <c r="O638" s="49">
        <v>8.0659599528857395</v>
      </c>
      <c r="P638" s="49"/>
      <c r="Q638" s="49"/>
      <c r="R638" s="49" t="s">
        <v>2275</v>
      </c>
      <c r="S638">
        <f t="shared" si="36"/>
        <v>10</v>
      </c>
      <c r="T638" s="5" cm="1">
        <f t="array" ref="T6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38">
        <f>Table1[[#This Row],[Term to Maturity (Years)]]*Table1[[#This Row],[Coupon Frequency2]]</f>
        <v>20</v>
      </c>
      <c r="V638">
        <f>Table1[[#This Row],[Face value]]*Table1[[#This Row],[Current coupon %]]</f>
        <v>85600.000000000015</v>
      </c>
      <c r="W638" s="36">
        <f>RATE(Table1[[#This Row],[Total No. of Coupons]],Table1[[#This Row],[Coupon Amount]],-Table1[[#This Row],[Ask Price]],Table1[[#This Row],[Face value]])</f>
        <v>7.9389851025930908E-2</v>
      </c>
      <c r="X638" s="27">
        <f>Table1[[#This Row],[IRR]]*Table1[[#This Row],[Coupon Frequency2]]</f>
        <v>0.15877970205186182</v>
      </c>
      <c r="Y638" s="19" cm="1">
        <f t="array" ref="Y6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8" s="33">
        <f>DURATION(Table1[[#This Row],[Issue date]],Table1[[#This Row],[Maturity date]],Table1[[#This Row],[Current coupon %]],Table1[[#This Row],[Yield (Annualised)]],Table1[[#This Row],[Coupon Frequency2]])</f>
        <v>6.0547962712050811</v>
      </c>
      <c r="AA638" s="33">
        <f>Table1[[#This Row],[Macaulay Duration in Years]]/(1+Table1[[#This Row],[IRR]])</f>
        <v>5.6094619246699056</v>
      </c>
      <c r="AB638" s="58">
        <f>VLOOKUP(Table1[[#This Row],[Yield Cluster]],'Cluster Details'!$B$3:$C$16,2,0)</f>
        <v>0.1712257899185532</v>
      </c>
      <c r="AC638" s="78">
        <f>PRICE(Table1[[#This Row],[Issue date]],Table1[[#This Row],[Maturity date]],Table1[[#This Row],[Current coupon %]],Table1[[#This Row],[Average Cluster Yield]],100,Table1[[#This Row],[Coupon Frequency2]])*Table1[[#This Row],[Face value]]/100</f>
        <v>596648.97966199787</v>
      </c>
      <c r="AD638" s="58" t="str">
        <f>IF(Table1[[#This Row],[Ask Price]]&gt;Table1[[#This Row],[Calculated Bond Price]],"Rich","Cheap")</f>
        <v>Rich</v>
      </c>
      <c r="AE6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604666.31903211609</v>
      </c>
      <c r="AF6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676457.72787507239</v>
      </c>
      <c r="AG638" s="78">
        <f>(Table1[[#This Row],[P (+ shock)]]+Table1[[#This Row],[P (-shock)]]-2*Table1[[#This Row],[Ask Price]])/(2*Table1[[#This Row],[Ask Price]]*($AF$2^2))</f>
        <v>-3964.0798732287944</v>
      </c>
      <c r="AH638">
        <v>10.481363268996301</v>
      </c>
      <c r="AI638" s="6">
        <f t="shared" si="37"/>
        <v>8.0659599528857498E-2</v>
      </c>
      <c r="AK638" s="47">
        <f>RATE(Table1[[#This Row],[Total No. of Coupons]],Table1[[#This Row],[Coupon Amount]],-Table1[[#This Row],[Ask Price]],Table1[[#This Row],[Face value]])</f>
        <v>7.9389851025930908E-2</v>
      </c>
      <c r="AL638" s="27">
        <f>Table1[[#This Row],[IRR]]*Table1[[#This Row],[Coupon Frequency2]]</f>
        <v>0.15877970205186182</v>
      </c>
      <c r="AM638" s="5">
        <f t="shared" si="38"/>
        <v>-5953041.4675559374</v>
      </c>
      <c r="AN638" t="s">
        <v>64</v>
      </c>
      <c r="AO638" t="s">
        <v>62</v>
      </c>
      <c r="AP638">
        <f t="shared" si="39"/>
        <v>2</v>
      </c>
    </row>
    <row r="639" spans="1:42" x14ac:dyDescent="0.35">
      <c r="A639" s="48" t="s">
        <v>2945</v>
      </c>
      <c r="B639" s="49" t="s">
        <v>2946</v>
      </c>
      <c r="C639" s="49" t="s">
        <v>2273</v>
      </c>
      <c r="D639" s="50">
        <v>45866</v>
      </c>
      <c r="E639" s="50">
        <v>47691</v>
      </c>
      <c r="F639" s="49">
        <v>1000</v>
      </c>
      <c r="G639" s="49" t="s">
        <v>76</v>
      </c>
      <c r="H639" s="49">
        <v>820.89</v>
      </c>
      <c r="I639" s="49" t="s">
        <v>76</v>
      </c>
      <c r="J639" s="49">
        <v>82.088999999999999</v>
      </c>
      <c r="K639" s="49">
        <v>1</v>
      </c>
      <c r="L639" s="51">
        <v>0.11</v>
      </c>
      <c r="M639" s="49" t="s">
        <v>93</v>
      </c>
      <c r="N639" s="49">
        <v>1774</v>
      </c>
      <c r="O639" s="49">
        <v>13.400090146060901</v>
      </c>
      <c r="P639" s="49"/>
      <c r="Q639" s="49"/>
      <c r="R639" s="49" t="s">
        <v>2275</v>
      </c>
      <c r="S639">
        <f t="shared" si="36"/>
        <v>5</v>
      </c>
      <c r="T639" s="5" cm="1">
        <f t="array" ref="T6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39">
        <f>Table1[[#This Row],[Term to Maturity (Years)]]*Table1[[#This Row],[Coupon Frequency2]]</f>
        <v>5</v>
      </c>
      <c r="V639">
        <f>Table1[[#This Row],[Face value]]*Table1[[#This Row],[Current coupon %]]</f>
        <v>110</v>
      </c>
      <c r="W639" s="36">
        <f>RATE(Table1[[#This Row],[Total No. of Coupons]],Table1[[#This Row],[Coupon Amount]],-Table1[[#This Row],[Ask Price]],Table1[[#This Row],[Face value]])</f>
        <v>0.16539141516105216</v>
      </c>
      <c r="X639" s="27">
        <f>Table1[[#This Row],[IRR]]*Table1[[#This Row],[Coupon Frequency2]]</f>
        <v>0.16539141516105216</v>
      </c>
      <c r="Y639" s="19" cm="1">
        <f t="array" ref="Y6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39" s="33">
        <f>DURATION(Table1[[#This Row],[Issue date]],Table1[[#This Row],[Maturity date]],Table1[[#This Row],[Current coupon %]],Table1[[#This Row],[Yield (Annualised)]],Table1[[#This Row],[Coupon Frequency2]])</f>
        <v>3.999319229097213</v>
      </c>
      <c r="AA639" s="33">
        <f>Table1[[#This Row],[Macaulay Duration in Years]]/(1+Table1[[#This Row],[IRR]])</f>
        <v>3.4317390509904553</v>
      </c>
      <c r="AB639" s="58">
        <f>VLOOKUP(Table1[[#This Row],[Yield Cluster]],'Cluster Details'!$B$3:$C$16,2,0)</f>
        <v>0.1712257899185532</v>
      </c>
      <c r="AC639" s="78">
        <f>PRICE(Table1[[#This Row],[Issue date]],Table1[[#This Row],[Maturity date]],Table1[[#This Row],[Current coupon %]],Table1[[#This Row],[Average Cluster Yield]],100,Table1[[#This Row],[Coupon Frequency2]])*Table1[[#This Row],[Face value]]/100</f>
        <v>804.71593283085133</v>
      </c>
      <c r="AD639" s="58" t="str">
        <f>IF(Table1[[#This Row],[Ask Price]]&gt;Table1[[#This Row],[Calculated Bond Price]],"Rich","Cheap")</f>
        <v>Rich</v>
      </c>
      <c r="AE6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793.4073881230288</v>
      </c>
      <c r="AF6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849.79868292020353</v>
      </c>
      <c r="AG639" s="78">
        <f>(Table1[[#This Row],[P (+ shock)]]+Table1[[#This Row],[P (-shock)]]-2*Table1[[#This Row],[Ask Price]])/(2*Table1[[#This Row],[Ask Price]]*($AF$2^2))</f>
        <v>8.6861275154555937</v>
      </c>
      <c r="AH639">
        <v>10.5</v>
      </c>
      <c r="AI639" s="6">
        <f t="shared" si="37"/>
        <v>0.13400090146060983</v>
      </c>
      <c r="AK639" s="47">
        <f>RATE(Table1[[#This Row],[Total No. of Coupons]],Table1[[#This Row],[Coupon Amount]],-Table1[[#This Row],[Ask Price]],Table1[[#This Row],[Face value]])</f>
        <v>0.16539141516105216</v>
      </c>
      <c r="AL639" s="27">
        <f>Table1[[#This Row],[IRR]]*Table1[[#This Row],[Coupon Frequency2]]</f>
        <v>0.16539141516105216</v>
      </c>
      <c r="AM639" s="5">
        <f t="shared" si="38"/>
        <v>-2817.0802695675548</v>
      </c>
      <c r="AN639" t="s">
        <v>64</v>
      </c>
      <c r="AO639" t="s">
        <v>62</v>
      </c>
      <c r="AP639">
        <f t="shared" si="39"/>
        <v>1</v>
      </c>
    </row>
    <row r="640" spans="1:42" x14ac:dyDescent="0.35">
      <c r="A640" s="48" t="s">
        <v>895</v>
      </c>
      <c r="B640" s="49" t="s">
        <v>2947</v>
      </c>
      <c r="C640" s="49" t="s">
        <v>2273</v>
      </c>
      <c r="D640" s="50">
        <v>45134</v>
      </c>
      <c r="E640" s="50">
        <v>46961</v>
      </c>
      <c r="F640" s="49">
        <v>1000</v>
      </c>
      <c r="G640" s="49" t="s">
        <v>76</v>
      </c>
      <c r="H640" s="49">
        <v>780.39</v>
      </c>
      <c r="I640" s="49" t="s">
        <v>76</v>
      </c>
      <c r="J640" s="49">
        <v>78.039000000000001</v>
      </c>
      <c r="K640" s="49">
        <v>20</v>
      </c>
      <c r="L640" s="51">
        <v>0.10150000000000001</v>
      </c>
      <c r="M640" s="49" t="s">
        <v>93</v>
      </c>
      <c r="N640" s="49">
        <v>1044</v>
      </c>
      <c r="O640" s="49">
        <v>13.0063173541434</v>
      </c>
      <c r="P640" s="49" t="s">
        <v>2279</v>
      </c>
      <c r="Q640" s="49"/>
      <c r="R640" s="49" t="s">
        <v>2275</v>
      </c>
      <c r="S640">
        <f t="shared" si="36"/>
        <v>5</v>
      </c>
      <c r="T640" s="5" cm="1">
        <f t="array" ref="T6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40">
        <f>Table1[[#This Row],[Term to Maturity (Years)]]*Table1[[#This Row],[Coupon Frequency2]]</f>
        <v>5</v>
      </c>
      <c r="V640">
        <f>Table1[[#This Row],[Face value]]*Table1[[#This Row],[Current coupon %]]</f>
        <v>101.5</v>
      </c>
      <c r="W640" s="36">
        <f>RATE(Table1[[#This Row],[Total No. of Coupons]],Table1[[#This Row],[Coupon Amount]],-Table1[[#This Row],[Ask Price]],Table1[[#This Row],[Face value]])</f>
        <v>0.1701687820459295</v>
      </c>
      <c r="X640" s="27">
        <f>Table1[[#This Row],[IRR]]*Table1[[#This Row],[Coupon Frequency2]]</f>
        <v>0.1701687820459295</v>
      </c>
      <c r="Y640" s="19" cm="1">
        <f t="array" ref="Y6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0" s="33">
        <f>DURATION(Table1[[#This Row],[Issue date]],Table1[[#This Row],[Maturity date]],Table1[[#This Row],[Current coupon %]],Table1[[#This Row],[Yield (Annualised)]],Table1[[#This Row],[Coupon Frequency2]])</f>
        <v>4.0387340569019887</v>
      </c>
      <c r="AA640" s="33">
        <f>Table1[[#This Row],[Macaulay Duration in Years]]/(1+Table1[[#This Row],[IRR]])</f>
        <v>3.451411556066847</v>
      </c>
      <c r="AB640" s="58">
        <f>VLOOKUP(Table1[[#This Row],[Yield Cluster]],'Cluster Details'!$B$3:$C$16,2,0)</f>
        <v>0.1712257899185532</v>
      </c>
      <c r="AC640" s="78">
        <f>PRICE(Table1[[#This Row],[Issue date]],Table1[[#This Row],[Maturity date]],Table1[[#This Row],[Current coupon %]],Table1[[#This Row],[Average Cluster Yield]],100,Table1[[#This Row],[Coupon Frequency2]])*Table1[[#This Row],[Face value]]/100</f>
        <v>777.55013942511175</v>
      </c>
      <c r="AD640" s="58" t="str">
        <f>IF(Table1[[#This Row],[Ask Price]]&gt;Table1[[#This Row],[Calculated Bond Price]],"Rich","Cheap")</f>
        <v>Rich</v>
      </c>
      <c r="AE6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754.08328759617575</v>
      </c>
      <c r="AF6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807.97678837529179</v>
      </c>
      <c r="AG640" s="78">
        <f>(Table1[[#This Row],[P (+ shock)]]+Table1[[#This Row],[P (-shock)]]-2*Table1[[#This Row],[Ask Price]])/(2*Table1[[#This Row],[Ask Price]]*($AF$2^2))</f>
        <v>8.2015144444929327</v>
      </c>
      <c r="AH640">
        <v>11.207102774592601</v>
      </c>
      <c r="AI640" s="6">
        <f t="shared" si="37"/>
        <v>0.1300631735414344</v>
      </c>
      <c r="AK640" s="47">
        <f>RATE(Table1[[#This Row],[Total No. of Coupons]],Table1[[#This Row],[Coupon Amount]],-Table1[[#This Row],[Ask Price]],Table1[[#This Row],[Face value]])</f>
        <v>0.1701687820459295</v>
      </c>
      <c r="AL640" s="27">
        <f>Table1[[#This Row],[IRR]]*Table1[[#This Row],[Coupon Frequency2]]</f>
        <v>0.1701687820459295</v>
      </c>
      <c r="AM640" s="5">
        <f t="shared" si="38"/>
        <v>-2693.4470642390065</v>
      </c>
      <c r="AN640" t="s">
        <v>64</v>
      </c>
      <c r="AO640" t="s">
        <v>62</v>
      </c>
      <c r="AP640">
        <f t="shared" si="39"/>
        <v>1</v>
      </c>
    </row>
    <row r="641" spans="1:42" x14ac:dyDescent="0.35">
      <c r="A641" s="48" t="s">
        <v>821</v>
      </c>
      <c r="B641" s="49" t="s">
        <v>2948</v>
      </c>
      <c r="C641" s="49" t="s">
        <v>2273</v>
      </c>
      <c r="D641" s="50">
        <v>43419</v>
      </c>
      <c r="E641" s="50">
        <v>47072</v>
      </c>
      <c r="F641" s="49">
        <v>1000000</v>
      </c>
      <c r="G641" s="49" t="s">
        <v>76</v>
      </c>
      <c r="H641" s="49">
        <v>1000000</v>
      </c>
      <c r="I641" s="49" t="s">
        <v>76</v>
      </c>
      <c r="J641" s="49">
        <v>100</v>
      </c>
      <c r="K641" s="49">
        <v>1</v>
      </c>
      <c r="L641" s="51">
        <v>8.539999999999999E-2</v>
      </c>
      <c r="M641" s="49" t="s">
        <v>65</v>
      </c>
      <c r="N641" s="49">
        <v>1155</v>
      </c>
      <c r="O641" s="49">
        <v>8.5399999999999991</v>
      </c>
      <c r="P641" s="49"/>
      <c r="Q641" s="49"/>
      <c r="R641" s="49" t="s">
        <v>2275</v>
      </c>
      <c r="S641">
        <f t="shared" si="36"/>
        <v>10</v>
      </c>
      <c r="T641" s="5" cm="1">
        <f t="array" ref="T6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41">
        <f>Table1[[#This Row],[Term to Maturity (Years)]]*Table1[[#This Row],[Coupon Frequency2]]</f>
        <v>20</v>
      </c>
      <c r="V641">
        <f>Table1[[#This Row],[Face value]]*Table1[[#This Row],[Current coupon %]]</f>
        <v>85399.999999999985</v>
      </c>
      <c r="W641" s="36">
        <f>RATE(Table1[[#This Row],[Total No. of Coupons]],Table1[[#This Row],[Coupon Amount]],-Table1[[#This Row],[Ask Price]],Table1[[#This Row],[Face value]])</f>
        <v>8.5399999999999976E-2</v>
      </c>
      <c r="X641" s="27">
        <f>Table1[[#This Row],[IRR]]*Table1[[#This Row],[Coupon Frequency2]]</f>
        <v>0.17079999999999995</v>
      </c>
      <c r="Y641" s="19" cm="1">
        <f t="array" ref="Y6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1" s="33">
        <f>DURATION(Table1[[#This Row],[Issue date]],Table1[[#This Row],[Maturity date]],Table1[[#This Row],[Current coupon %]],Table1[[#This Row],[Yield (Annualised)]],Table1[[#This Row],[Coupon Frequency2]])</f>
        <v>5.9142060197772892</v>
      </c>
      <c r="AA641" s="33">
        <f>Table1[[#This Row],[Macaulay Duration in Years]]/(1+Table1[[#This Row],[IRR]])</f>
        <v>5.4488723233621608</v>
      </c>
      <c r="AB641" s="58">
        <f>VLOOKUP(Table1[[#This Row],[Yield Cluster]],'Cluster Details'!$B$3:$C$16,2,0)</f>
        <v>0.1712257899185532</v>
      </c>
      <c r="AC641" s="78">
        <f>PRICE(Table1[[#This Row],[Issue date]],Table1[[#This Row],[Maturity date]],Table1[[#This Row],[Current coupon %]],Table1[[#This Row],[Average Cluster Yield]],100,Table1[[#This Row],[Coupon Frequency2]])*Table1[[#This Row],[Face value]]/100</f>
        <v>595706.85458327655</v>
      </c>
      <c r="AD641" s="58" t="str">
        <f>IF(Table1[[#This Row],[Ask Price]]&gt;Table1[[#This Row],[Calculated Bond Price]],"Rich","Cheap")</f>
        <v>Rich</v>
      </c>
      <c r="AE6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565806.70701576862</v>
      </c>
      <c r="AF6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630955.03999104141</v>
      </c>
      <c r="AG641" s="78">
        <f>(Table1[[#This Row],[P (+ shock)]]+Table1[[#This Row],[P (-shock)]]-2*Table1[[#This Row],[Ask Price]])/(2*Table1[[#This Row],[Ask Price]]*($AF$2^2))</f>
        <v>-4016.1912649659498</v>
      </c>
      <c r="AH641">
        <v>5.5382625952864997</v>
      </c>
      <c r="AI641" s="6">
        <f t="shared" si="37"/>
        <v>8.539999999999999E-2</v>
      </c>
      <c r="AK641" s="47">
        <f>RATE(Table1[[#This Row],[Total No. of Coupons]],Table1[[#This Row],[Coupon Amount]],-Table1[[#This Row],[Ask Price]],Table1[[#This Row],[Face value]])</f>
        <v>8.5399999999999976E-2</v>
      </c>
      <c r="AL641" s="27">
        <f>Table1[[#This Row],[IRR]]*Table1[[#This Row],[Coupon Frequency2]]</f>
        <v>0.17079999999999995</v>
      </c>
      <c r="AM641" s="5">
        <f t="shared" si="38"/>
        <v>-5448872.3233621605</v>
      </c>
      <c r="AN641" t="s">
        <v>64</v>
      </c>
      <c r="AO641" t="s">
        <v>62</v>
      </c>
      <c r="AP641">
        <f t="shared" si="39"/>
        <v>2</v>
      </c>
    </row>
    <row r="642" spans="1:42" x14ac:dyDescent="0.35">
      <c r="A642" s="48" t="s">
        <v>2087</v>
      </c>
      <c r="B642" s="49" t="s">
        <v>2949</v>
      </c>
      <c r="C642" s="49" t="s">
        <v>2273</v>
      </c>
      <c r="D642" s="50">
        <v>42317</v>
      </c>
      <c r="E642" s="50">
        <v>45970</v>
      </c>
      <c r="F642" s="49">
        <v>100000</v>
      </c>
      <c r="G642" s="49" t="s">
        <v>76</v>
      </c>
      <c r="H642" s="49">
        <v>101000</v>
      </c>
      <c r="I642" s="49" t="s">
        <v>76</v>
      </c>
      <c r="J642" s="49">
        <v>101</v>
      </c>
      <c r="K642" s="49">
        <v>10</v>
      </c>
      <c r="L642" s="51">
        <v>8.8100000000000012E-2</v>
      </c>
      <c r="M642" s="49" t="s">
        <v>65</v>
      </c>
      <c r="N642" s="49">
        <v>53</v>
      </c>
      <c r="O642" s="49">
        <v>8.7227722772277207</v>
      </c>
      <c r="P642" s="49"/>
      <c r="Q642" s="49"/>
      <c r="R642" s="49" t="s">
        <v>2275</v>
      </c>
      <c r="S642">
        <f t="shared" si="36"/>
        <v>10</v>
      </c>
      <c r="T642" s="5" cm="1">
        <f t="array" ref="T6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42">
        <f>Table1[[#This Row],[Term to Maturity (Years)]]*Table1[[#This Row],[Coupon Frequency2]]</f>
        <v>20</v>
      </c>
      <c r="V642">
        <f>Table1[[#This Row],[Face value]]*Table1[[#This Row],[Current coupon %]]</f>
        <v>8810.0000000000018</v>
      </c>
      <c r="W642" s="36">
        <f>RATE(Table1[[#This Row],[Total No. of Coupons]],Table1[[#This Row],[Coupon Amount]],-Table1[[#This Row],[Ask Price]],Table1[[#This Row],[Face value]])</f>
        <v>8.7027641254994154E-2</v>
      </c>
      <c r="X642" s="27">
        <f>Table1[[#This Row],[IRR]]*Table1[[#This Row],[Coupon Frequency2]]</f>
        <v>0.17405528250998831</v>
      </c>
      <c r="Y642" s="19" cm="1">
        <f t="array" ref="Y6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2" s="33">
        <f>DURATION(Table1[[#This Row],[Issue date]],Table1[[#This Row],[Maturity date]],Table1[[#This Row],[Current coupon %]],Table1[[#This Row],[Yield (Annualised)]],Table1[[#This Row],[Coupon Frequency2]])</f>
        <v>5.8342974144211404</v>
      </c>
      <c r="AA642" s="33">
        <f>Table1[[#This Row],[Macaulay Duration in Years]]/(1+Table1[[#This Row],[IRR]])</f>
        <v>5.3672024454551428</v>
      </c>
      <c r="AB642" s="58">
        <f>VLOOKUP(Table1[[#This Row],[Yield Cluster]],'Cluster Details'!$B$3:$C$16,2,0)</f>
        <v>0.1712257899185532</v>
      </c>
      <c r="AC642" s="78">
        <f>PRICE(Table1[[#This Row],[Issue date]],Table1[[#This Row],[Maturity date]],Table1[[#This Row],[Current coupon %]],Table1[[#This Row],[Average Cluster Yield]],100,Table1[[#This Row],[Coupon Frequency2]])*Table1[[#This Row],[Face value]]/100</f>
        <v>60842.554314601563</v>
      </c>
      <c r="AD642" s="58" t="str">
        <f>IF(Table1[[#This Row],[Ask Price]]&gt;Table1[[#This Row],[Calculated Bond Price]],"Rich","Cheap")</f>
        <v>Rich</v>
      </c>
      <c r="AE6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56828.941629726382</v>
      </c>
      <c r="AF6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63268.95825432014</v>
      </c>
      <c r="AG642" s="78">
        <f>(Table1[[#This Row],[P (+ shock)]]+Table1[[#This Row],[P (-shock)]]-2*Table1[[#This Row],[Ask Price]])/(2*Table1[[#This Row],[Ask Price]]*($AF$2^2))</f>
        <v>-4054.5594116808657</v>
      </c>
      <c r="AI642" s="6">
        <f t="shared" si="37"/>
        <v>8.722772277227725E-2</v>
      </c>
      <c r="AK642" s="47">
        <f>RATE(Table1[[#This Row],[Total No. of Coupons]],Table1[[#This Row],[Coupon Amount]],-Table1[[#This Row],[Ask Price]],Table1[[#This Row],[Face value]])</f>
        <v>8.7027641254994154E-2</v>
      </c>
      <c r="AL642" s="27">
        <f>Table1[[#This Row],[IRR]]*Table1[[#This Row],[Coupon Frequency2]]</f>
        <v>0.17405528250998831</v>
      </c>
      <c r="AM642" s="5">
        <f t="shared" si="38"/>
        <v>-542087.44699096947</v>
      </c>
      <c r="AN642" t="s">
        <v>64</v>
      </c>
      <c r="AO642" t="s">
        <v>62</v>
      </c>
      <c r="AP642">
        <f t="shared" si="39"/>
        <v>2</v>
      </c>
    </row>
    <row r="643" spans="1:42" x14ac:dyDescent="0.35">
      <c r="A643" s="48" t="s">
        <v>1072</v>
      </c>
      <c r="B643" s="49" t="s">
        <v>2950</v>
      </c>
      <c r="C643" s="49" t="s">
        <v>2273</v>
      </c>
      <c r="D643" s="50">
        <v>45663</v>
      </c>
      <c r="E643" s="50">
        <v>46758</v>
      </c>
      <c r="F643" s="49">
        <v>1000</v>
      </c>
      <c r="G643" s="49" t="s">
        <v>76</v>
      </c>
      <c r="H643" s="49">
        <v>832</v>
      </c>
      <c r="I643" s="49" t="s">
        <v>76</v>
      </c>
      <c r="J643" s="49">
        <v>83.2</v>
      </c>
      <c r="K643" s="49">
        <v>50</v>
      </c>
      <c r="L643" s="51">
        <v>0.1</v>
      </c>
      <c r="M643" s="49" t="s">
        <v>93</v>
      </c>
      <c r="N643" s="49">
        <v>841</v>
      </c>
      <c r="O643" s="49">
        <v>12.019230769230701</v>
      </c>
      <c r="P643" s="49"/>
      <c r="Q643" s="49"/>
      <c r="R643" s="49" t="s">
        <v>2275</v>
      </c>
      <c r="S643">
        <f t="shared" si="36"/>
        <v>3</v>
      </c>
      <c r="T643" s="5" cm="1">
        <f t="array" ref="T6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43">
        <f>Table1[[#This Row],[Term to Maturity (Years)]]*Table1[[#This Row],[Coupon Frequency2]]</f>
        <v>3</v>
      </c>
      <c r="V643">
        <f>Table1[[#This Row],[Face value]]*Table1[[#This Row],[Current coupon %]]</f>
        <v>100</v>
      </c>
      <c r="W643" s="36">
        <f>RATE(Table1[[#This Row],[Total No. of Coupons]],Table1[[#This Row],[Coupon Amount]],-Table1[[#This Row],[Ask Price]],Table1[[#This Row],[Face value]])</f>
        <v>0.17688151424434537</v>
      </c>
      <c r="X643" s="27">
        <f>Table1[[#This Row],[IRR]]*Table1[[#This Row],[Coupon Frequency2]]</f>
        <v>0.17688151424434537</v>
      </c>
      <c r="Y643" s="19" cm="1">
        <f t="array" ref="Y6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3" s="33">
        <f>DURATION(Table1[[#This Row],[Issue date]],Table1[[#This Row],[Maturity date]],Table1[[#This Row],[Current coupon %]],Table1[[#This Row],[Yield (Annualised)]],Table1[[#This Row],[Coupon Frequency2]])</f>
        <v>2.7089661101332316</v>
      </c>
      <c r="AA643" s="33">
        <f>Table1[[#This Row],[Macaulay Duration in Years]]/(1+Table1[[#This Row],[IRR]])</f>
        <v>2.3018171985415288</v>
      </c>
      <c r="AB643" s="58">
        <f>VLOOKUP(Table1[[#This Row],[Yield Cluster]],'Cluster Details'!$B$3:$C$16,2,0)</f>
        <v>0.1712257899185532</v>
      </c>
      <c r="AC643" s="78">
        <f>PRICE(Table1[[#This Row],[Issue date]],Table1[[#This Row],[Maturity date]],Table1[[#This Row],[Current coupon %]],Table1[[#This Row],[Average Cluster Yield]],100,Table1[[#This Row],[Coupon Frequency2]])*Table1[[#This Row],[Face value]]/100</f>
        <v>842.93261546334656</v>
      </c>
      <c r="AD643" s="58" t="str">
        <f>IF(Table1[[#This Row],[Ask Price]]&gt;Table1[[#This Row],[Calculated Bond Price]],"Rich","Cheap")</f>
        <v>Cheap</v>
      </c>
      <c r="AE6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813.15867384664818</v>
      </c>
      <c r="AF6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851.46965185409044</v>
      </c>
      <c r="AG643" s="78">
        <f>(Table1[[#This Row],[P (+ shock)]]+Table1[[#This Row],[P (-shock)]]-2*Table1[[#This Row],[Ask Price]])/(2*Table1[[#This Row],[Ask Price]]*($AF$2^2))</f>
        <v>3.7759957977074188</v>
      </c>
      <c r="AH643">
        <v>9.0252392002288602</v>
      </c>
      <c r="AI643" s="6">
        <f t="shared" si="37"/>
        <v>0.1201923076923077</v>
      </c>
      <c r="AK643" s="47">
        <f>RATE(Table1[[#This Row],[Total No. of Coupons]],Table1[[#This Row],[Coupon Amount]],-Table1[[#This Row],[Ask Price]],Table1[[#This Row],[Face value]])</f>
        <v>0.17688151424434537</v>
      </c>
      <c r="AL643" s="27">
        <f>Table1[[#This Row],[IRR]]*Table1[[#This Row],[Coupon Frequency2]]</f>
        <v>0.17688151424434537</v>
      </c>
      <c r="AM643" s="5">
        <f t="shared" si="38"/>
        <v>-1915.1119091865519</v>
      </c>
      <c r="AN643" t="s">
        <v>64</v>
      </c>
      <c r="AO643" t="s">
        <v>62</v>
      </c>
      <c r="AP643">
        <f t="shared" si="39"/>
        <v>1</v>
      </c>
    </row>
    <row r="644" spans="1:42" x14ac:dyDescent="0.35">
      <c r="A644" s="48" t="s">
        <v>1863</v>
      </c>
      <c r="B644" s="49" t="s">
        <v>2951</v>
      </c>
      <c r="C644" s="49" t="s">
        <v>2273</v>
      </c>
      <c r="D644" s="50">
        <v>45590</v>
      </c>
      <c r="E644" s="50">
        <v>46135</v>
      </c>
      <c r="F644" s="49">
        <v>100000</v>
      </c>
      <c r="G644" s="49" t="s">
        <v>76</v>
      </c>
      <c r="H644" s="49">
        <v>100610.49</v>
      </c>
      <c r="I644" s="49" t="s">
        <v>76</v>
      </c>
      <c r="J644" s="49">
        <v>100.61049</v>
      </c>
      <c r="K644" s="49">
        <v>1</v>
      </c>
      <c r="L644" s="51">
        <v>9.6180000000000002E-2</v>
      </c>
      <c r="M644" s="49" t="s">
        <v>65</v>
      </c>
      <c r="N644" s="49">
        <v>218</v>
      </c>
      <c r="O644" s="49">
        <v>9.5596393576852599</v>
      </c>
      <c r="P644" s="49"/>
      <c r="Q644" s="49"/>
      <c r="R644" s="49" t="s">
        <v>2275</v>
      </c>
      <c r="S644">
        <f t="shared" ref="S644:S707" si="40">ROUND(YEARFRAC(D644,E644),0)</f>
        <v>1</v>
      </c>
      <c r="T644" s="5" cm="1">
        <f t="array" ref="T6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44">
        <f>Table1[[#This Row],[Term to Maturity (Years)]]*Table1[[#This Row],[Coupon Frequency2]]</f>
        <v>2</v>
      </c>
      <c r="V644">
        <f>Table1[[#This Row],[Face value]]*Table1[[#This Row],[Current coupon %]]</f>
        <v>9618</v>
      </c>
      <c r="W644" s="36">
        <f>RATE(Table1[[#This Row],[Total No. of Coupons]],Table1[[#This Row],[Coupon Amount]],-Table1[[#This Row],[Ask Price]],Table1[[#This Row],[Face value]])</f>
        <v>9.2696854481731594E-2</v>
      </c>
      <c r="X644" s="27">
        <f>Table1[[#This Row],[IRR]]*Table1[[#This Row],[Coupon Frequency2]]</f>
        <v>0.18539370896346319</v>
      </c>
      <c r="Y644" s="19" cm="1">
        <f t="array" ref="Y6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4" s="33">
        <f>DURATION(Table1[[#This Row],[Issue date]],Table1[[#This Row],[Maturity date]],Table1[[#This Row],[Current coupon %]],Table1[[#This Row],[Yield (Annualised)]],Table1[[#This Row],[Coupon Frequency2]])</f>
        <v>1.422174485694321</v>
      </c>
      <c r="AA644" s="33">
        <f>Table1[[#This Row],[Macaulay Duration in Years]]/(1+Table1[[#This Row],[IRR]])</f>
        <v>1.301527024500186</v>
      </c>
      <c r="AB644" s="58">
        <f>VLOOKUP(Table1[[#This Row],[Yield Cluster]],'Cluster Details'!$B$3:$C$16,2,0)</f>
        <v>0.1712257899185532</v>
      </c>
      <c r="AC644" s="78">
        <f>PRICE(Table1[[#This Row],[Issue date]],Table1[[#This Row],[Maturity date]],Table1[[#This Row],[Current coupon %]],Table1[[#This Row],[Average Cluster Yield]],100,Table1[[#This Row],[Coupon Frequency2]])*Table1[[#This Row],[Face value]]/100</f>
        <v>90456.230663212205</v>
      </c>
      <c r="AD644" s="58" t="str">
        <f>IF(Table1[[#This Row],[Ask Price]]&gt;Table1[[#This Row],[Calculated Bond Price]],"Rich","Cheap")</f>
        <v>Rich</v>
      </c>
      <c r="AE6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87650.672461851515</v>
      </c>
      <c r="AF6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89963.64820844293</v>
      </c>
      <c r="AG644" s="78">
        <f>(Table1[[#This Row],[P (+ shock)]]+Table1[[#This Row],[P (-shock)]]-2*Table1[[#This Row],[Ask Price]])/(2*Table1[[#This Row],[Ask Price]]*($AF$2^2))</f>
        <v>-1173.1708756067856</v>
      </c>
      <c r="AH644">
        <v>8.0144219499858096</v>
      </c>
      <c r="AI644" s="6">
        <f t="shared" ref="AI644:AI707" si="41">(L644*F644)/H644</f>
        <v>9.5596393576852665E-2</v>
      </c>
      <c r="AK644" s="47">
        <f>RATE(Table1[[#This Row],[Total No. of Coupons]],Table1[[#This Row],[Coupon Amount]],-Table1[[#This Row],[Ask Price]],Table1[[#This Row],[Face value]])</f>
        <v>9.2696854481731594E-2</v>
      </c>
      <c r="AL644" s="27">
        <f>Table1[[#This Row],[IRR]]*Table1[[#This Row],[Coupon Frequency2]]</f>
        <v>0.18539370896346319</v>
      </c>
      <c r="AM644" s="5">
        <f t="shared" ref="AM644:AM707" si="42">-AA644*H644</f>
        <v>-130947.27168320572</v>
      </c>
      <c r="AN644" t="s">
        <v>64</v>
      </c>
      <c r="AO644" t="s">
        <v>62</v>
      </c>
      <c r="AP644">
        <f t="shared" ref="AP644:AP707" si="43">_xlfn.SWITCH(PROPER(TRIM(M644)),
   "Annual",1,
   "Semi-Annual",2,
   "Quarterly",4,
   "Monthly",12,
   "")</f>
        <v>2</v>
      </c>
    </row>
    <row r="645" spans="1:42" x14ac:dyDescent="0.35">
      <c r="A645" s="48" t="s">
        <v>858</v>
      </c>
      <c r="B645" s="49" t="s">
        <v>2952</v>
      </c>
      <c r="C645" s="49" t="s">
        <v>2273</v>
      </c>
      <c r="D645" s="50">
        <v>45195</v>
      </c>
      <c r="E645" s="50">
        <v>47022</v>
      </c>
      <c r="F645" s="49">
        <v>1000</v>
      </c>
      <c r="G645" s="49" t="s">
        <v>76</v>
      </c>
      <c r="H645" s="49">
        <v>739.8</v>
      </c>
      <c r="I645" s="49" t="s">
        <v>76</v>
      </c>
      <c r="J645" s="49">
        <v>73.979999999999905</v>
      </c>
      <c r="K645" s="49">
        <v>41</v>
      </c>
      <c r="L645" s="51">
        <v>0.10150000000000001</v>
      </c>
      <c r="M645" s="49" t="s">
        <v>93</v>
      </c>
      <c r="N645" s="49">
        <v>1105</v>
      </c>
      <c r="O645" s="49">
        <v>13.7199243038659</v>
      </c>
      <c r="P645" s="49" t="s">
        <v>2279</v>
      </c>
      <c r="Q645" s="49"/>
      <c r="R645" s="49" t="s">
        <v>2275</v>
      </c>
      <c r="S645">
        <f t="shared" si="40"/>
        <v>5</v>
      </c>
      <c r="T645" s="5" cm="1">
        <f t="array" ref="T6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45">
        <f>Table1[[#This Row],[Term to Maturity (Years)]]*Table1[[#This Row],[Coupon Frequency2]]</f>
        <v>5</v>
      </c>
      <c r="V645">
        <f>Table1[[#This Row],[Face value]]*Table1[[#This Row],[Current coupon %]]</f>
        <v>101.5</v>
      </c>
      <c r="W645" s="36">
        <f>RATE(Table1[[#This Row],[Total No. of Coupons]],Table1[[#This Row],[Coupon Amount]],-Table1[[#This Row],[Ask Price]],Table1[[#This Row],[Face value]])</f>
        <v>0.18580231228393529</v>
      </c>
      <c r="X645" s="27">
        <f>Table1[[#This Row],[IRR]]*Table1[[#This Row],[Coupon Frequency2]]</f>
        <v>0.18580231228393529</v>
      </c>
      <c r="Y645" s="19" cm="1">
        <f t="array" ref="Y6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5" s="33">
        <f>DURATION(Table1[[#This Row],[Issue date]],Table1[[#This Row],[Maturity date]],Table1[[#This Row],[Current coupon %]],Table1[[#This Row],[Yield (Annualised)]],Table1[[#This Row],[Coupon Frequency2]])</f>
        <v>4.0105175508347983</v>
      </c>
      <c r="AA645" s="33">
        <f>Table1[[#This Row],[Macaulay Duration in Years]]/(1+Table1[[#This Row],[IRR]])</f>
        <v>3.3821131138716289</v>
      </c>
      <c r="AB645" s="58">
        <f>VLOOKUP(Table1[[#This Row],[Yield Cluster]],'Cluster Details'!$B$3:$C$16,2,0)</f>
        <v>0.1712257899185532</v>
      </c>
      <c r="AC645" s="78">
        <f>PRICE(Table1[[#This Row],[Issue date]],Table1[[#This Row],[Maturity date]],Table1[[#This Row],[Current coupon %]],Table1[[#This Row],[Average Cluster Yield]],100,Table1[[#This Row],[Coupon Frequency2]])*Table1[[#This Row],[Face value]]/100</f>
        <v>777.55013942511175</v>
      </c>
      <c r="AD645" s="58" t="str">
        <f>IF(Table1[[#This Row],[Ask Price]]&gt;Table1[[#This Row],[Calculated Bond Price]],"Rich","Cheap")</f>
        <v>Cheap</v>
      </c>
      <c r="AE6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715.35338640467785</v>
      </c>
      <c r="AF6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765.41727168367743</v>
      </c>
      <c r="AG645" s="78">
        <f>(Table1[[#This Row],[P (+ shock)]]+Table1[[#This Row],[P (-shock)]]-2*Table1[[#This Row],[Ask Price]])/(2*Table1[[#This Row],[Ask Price]]*($AF$2^2))</f>
        <v>7.9119903241103469</v>
      </c>
      <c r="AH645">
        <v>14.271168340007</v>
      </c>
      <c r="AI645" s="6">
        <f t="shared" si="41"/>
        <v>0.1371992430386591</v>
      </c>
      <c r="AK645" s="47">
        <f>RATE(Table1[[#This Row],[Total No. of Coupons]],Table1[[#This Row],[Coupon Amount]],-Table1[[#This Row],[Ask Price]],Table1[[#This Row],[Face value]])</f>
        <v>0.18580231228393529</v>
      </c>
      <c r="AL645" s="27">
        <f>Table1[[#This Row],[IRR]]*Table1[[#This Row],[Coupon Frequency2]]</f>
        <v>0.18580231228393529</v>
      </c>
      <c r="AM645" s="5">
        <f t="shared" si="42"/>
        <v>-2502.0872816422311</v>
      </c>
      <c r="AN645" t="s">
        <v>64</v>
      </c>
      <c r="AO645" t="s">
        <v>62</v>
      </c>
      <c r="AP645">
        <f t="shared" si="43"/>
        <v>1</v>
      </c>
    </row>
    <row r="646" spans="1:42" x14ac:dyDescent="0.35">
      <c r="A646" s="48" t="s">
        <v>1245</v>
      </c>
      <c r="B646" s="49" t="s">
        <v>2953</v>
      </c>
      <c r="C646" s="49" t="s">
        <v>2273</v>
      </c>
      <c r="D646" s="50">
        <v>45639</v>
      </c>
      <c r="E646" s="50">
        <v>46554</v>
      </c>
      <c r="F646" s="49">
        <v>100000</v>
      </c>
      <c r="G646" s="49" t="s">
        <v>76</v>
      </c>
      <c r="H646" s="49">
        <v>100470.06</v>
      </c>
      <c r="I646" s="49" t="s">
        <v>76</v>
      </c>
      <c r="J646" s="49">
        <v>100.47006</v>
      </c>
      <c r="K646" s="49">
        <v>1</v>
      </c>
      <c r="L646" s="51">
        <v>9.6199999999999994E-2</v>
      </c>
      <c r="M646" s="49" t="s">
        <v>65</v>
      </c>
      <c r="N646" s="49">
        <v>637</v>
      </c>
      <c r="O646" s="49">
        <v>9.5749917935751192</v>
      </c>
      <c r="P646" s="49"/>
      <c r="Q646" s="49"/>
      <c r="R646" s="49" t="s">
        <v>2275</v>
      </c>
      <c r="S646">
        <f t="shared" si="40"/>
        <v>3</v>
      </c>
      <c r="T646" s="5" cm="1">
        <f t="array" ref="T6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46">
        <f>Table1[[#This Row],[Term to Maturity (Years)]]*Table1[[#This Row],[Coupon Frequency2]]</f>
        <v>6</v>
      </c>
      <c r="V646">
        <f>Table1[[#This Row],[Face value]]*Table1[[#This Row],[Current coupon %]]</f>
        <v>9620</v>
      </c>
      <c r="W646" s="36">
        <f>RATE(Table1[[#This Row],[Total No. of Coupons]],Table1[[#This Row],[Coupon Amount]],-Table1[[#This Row],[Ask Price]],Table1[[#This Row],[Face value]])</f>
        <v>9.5136046108731456E-2</v>
      </c>
      <c r="X646" s="27">
        <f>Table1[[#This Row],[IRR]]*Table1[[#This Row],[Coupon Frequency2]]</f>
        <v>0.19027209221746291</v>
      </c>
      <c r="Y646" s="19" cm="1">
        <f t="array" ref="Y6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6" s="33">
        <f>DURATION(Table1[[#This Row],[Issue date]],Table1[[#This Row],[Maturity date]],Table1[[#This Row],[Current coupon %]],Table1[[#This Row],[Yield (Annualised)]],Table1[[#This Row],[Coupon Frequency2]])</f>
        <v>2.137644727831161</v>
      </c>
      <c r="AA646" s="33">
        <f>Table1[[#This Row],[Macaulay Duration in Years]]/(1+Table1[[#This Row],[IRR]])</f>
        <v>1.9519444505791779</v>
      </c>
      <c r="AB646" s="58">
        <f>VLOOKUP(Table1[[#This Row],[Yield Cluster]],'Cluster Details'!$B$3:$C$16,2,0)</f>
        <v>0.1712257899185532</v>
      </c>
      <c r="AC646" s="78">
        <f>PRICE(Table1[[#This Row],[Issue date]],Table1[[#This Row],[Maturity date]],Table1[[#This Row],[Current coupon %]],Table1[[#This Row],[Average Cluster Yield]],100,Table1[[#This Row],[Coupon Frequency2]])*Table1[[#This Row],[Face value]]/100</f>
        <v>85198.136820326938</v>
      </c>
      <c r="AD646" s="58" t="str">
        <f>IF(Table1[[#This Row],[Ask Price]]&gt;Table1[[#This Row],[Calculated Bond Price]],"Rich","Cheap")</f>
        <v>Rich</v>
      </c>
      <c r="AE6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80226.029684574954</v>
      </c>
      <c r="AF6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83608.226040131223</v>
      </c>
      <c r="AG646" s="78">
        <f>(Table1[[#This Row],[P (+ shock)]]+Table1[[#This Row],[P (-shock)]]-2*Table1[[#This Row],[Ask Price]])/(2*Table1[[#This Row],[Ask Price]]*($AF$2^2))</f>
        <v>-1846.6130245813447</v>
      </c>
      <c r="AH646">
        <v>8.35</v>
      </c>
      <c r="AI646" s="6">
        <f t="shared" si="41"/>
        <v>9.5749917935751216E-2</v>
      </c>
      <c r="AK646" s="47">
        <f>RATE(Table1[[#This Row],[Total No. of Coupons]],Table1[[#This Row],[Coupon Amount]],-Table1[[#This Row],[Ask Price]],Table1[[#This Row],[Face value]])</f>
        <v>9.5136046108731456E-2</v>
      </c>
      <c r="AL646" s="27">
        <f>Table1[[#This Row],[IRR]]*Table1[[#This Row],[Coupon Frequency2]]</f>
        <v>0.19027209221746291</v>
      </c>
      <c r="AM646" s="5">
        <f t="shared" si="42"/>
        <v>-196111.97606635702</v>
      </c>
      <c r="AN646" t="s">
        <v>64</v>
      </c>
      <c r="AO646" t="s">
        <v>62</v>
      </c>
      <c r="AP646">
        <f t="shared" si="43"/>
        <v>2</v>
      </c>
    </row>
    <row r="647" spans="1:42" x14ac:dyDescent="0.35">
      <c r="A647" s="48" t="s">
        <v>1075</v>
      </c>
      <c r="B647" s="49" t="s">
        <v>2954</v>
      </c>
      <c r="C647" s="49" t="s">
        <v>2273</v>
      </c>
      <c r="D647" s="50">
        <v>44923</v>
      </c>
      <c r="E647" s="50">
        <v>46749</v>
      </c>
      <c r="F647" s="49">
        <v>1000</v>
      </c>
      <c r="G647" s="49" t="s">
        <v>76</v>
      </c>
      <c r="H647" s="49">
        <v>716.87</v>
      </c>
      <c r="I647" s="49" t="s">
        <v>76</v>
      </c>
      <c r="J647" s="49">
        <v>71.686999999999998</v>
      </c>
      <c r="K647" s="49">
        <v>3</v>
      </c>
      <c r="L647" s="51">
        <v>9.8000000000000004E-2</v>
      </c>
      <c r="M647" s="49" t="s">
        <v>93</v>
      </c>
      <c r="N647" s="49">
        <v>832</v>
      </c>
      <c r="O647" s="49">
        <v>13.6705399863294</v>
      </c>
      <c r="P647" s="49" t="s">
        <v>2279</v>
      </c>
      <c r="Q647" s="49"/>
      <c r="R647" s="49" t="s">
        <v>2275</v>
      </c>
      <c r="S647">
        <f t="shared" si="40"/>
        <v>5</v>
      </c>
      <c r="T647" s="5" cm="1">
        <f t="array" ref="T6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47">
        <f>Table1[[#This Row],[Term to Maturity (Years)]]*Table1[[#This Row],[Coupon Frequency2]]</f>
        <v>5</v>
      </c>
      <c r="V647">
        <f>Table1[[#This Row],[Face value]]*Table1[[#This Row],[Current coupon %]]</f>
        <v>98</v>
      </c>
      <c r="W647" s="36">
        <f>RATE(Table1[[#This Row],[Total No. of Coupons]],Table1[[#This Row],[Coupon Amount]],-Table1[[#This Row],[Ask Price]],Table1[[#This Row],[Face value]])</f>
        <v>0.19075352592423686</v>
      </c>
      <c r="X647" s="27">
        <f>Table1[[#This Row],[IRR]]*Table1[[#This Row],[Coupon Frequency2]]</f>
        <v>0.19075352592423686</v>
      </c>
      <c r="Y647" s="19" cm="1">
        <f t="array" ref="Y6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7" s="33">
        <f>DURATION(Table1[[#This Row],[Issue date]],Table1[[#This Row],[Maturity date]],Table1[[#This Row],[Current coupon %]],Table1[[#This Row],[Yield (Annualised)]],Table1[[#This Row],[Coupon Frequency2]])</f>
        <v>4.0215968393737942</v>
      </c>
      <c r="AA647" s="33">
        <f>Table1[[#This Row],[Macaulay Duration in Years]]/(1+Table1[[#This Row],[IRR]])</f>
        <v>3.3773545505584952</v>
      </c>
      <c r="AB647" s="58">
        <f>VLOOKUP(Table1[[#This Row],[Yield Cluster]],'Cluster Details'!$B$3:$C$16,2,0)</f>
        <v>0.1712257899185532</v>
      </c>
      <c r="AC647" s="78">
        <f>PRICE(Table1[[#This Row],[Issue date]],Table1[[#This Row],[Maturity date]],Table1[[#This Row],[Current coupon %]],Table1[[#This Row],[Average Cluster Yield]],100,Table1[[#This Row],[Coupon Frequency2]])*Table1[[#This Row],[Face value]]/100</f>
        <v>766.38390505298685</v>
      </c>
      <c r="AD647" s="58" t="str">
        <f>IF(Table1[[#This Row],[Ask Price]]&gt;Table1[[#This Row],[Calculated Bond Price]],"Rich","Cheap")</f>
        <v>Cheap</v>
      </c>
      <c r="AE6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693.2128802295764</v>
      </c>
      <c r="AF6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741.65665227534498</v>
      </c>
      <c r="AG647" s="78">
        <f>(Table1[[#This Row],[P (+ shock)]]+Table1[[#This Row],[P (-shock)]]-2*Table1[[#This Row],[Ask Price]])/(2*Table1[[#This Row],[Ask Price]]*($AF$2^2))</f>
        <v>7.8782241195849423</v>
      </c>
      <c r="AH647">
        <v>10.305575347483501</v>
      </c>
      <c r="AI647" s="6">
        <f t="shared" si="41"/>
        <v>0.13670539986329461</v>
      </c>
      <c r="AK647" s="47">
        <f>RATE(Table1[[#This Row],[Total No. of Coupons]],Table1[[#This Row],[Coupon Amount]],-Table1[[#This Row],[Ask Price]],Table1[[#This Row],[Face value]])</f>
        <v>0.19075352592423686</v>
      </c>
      <c r="AL647" s="27">
        <f>Table1[[#This Row],[IRR]]*Table1[[#This Row],[Coupon Frequency2]]</f>
        <v>0.19075352592423686</v>
      </c>
      <c r="AM647" s="5">
        <f t="shared" si="42"/>
        <v>-2421.1241566588683</v>
      </c>
      <c r="AN647" t="s">
        <v>64</v>
      </c>
      <c r="AO647" t="s">
        <v>62</v>
      </c>
      <c r="AP647">
        <f t="shared" si="43"/>
        <v>1</v>
      </c>
    </row>
    <row r="648" spans="1:42" x14ac:dyDescent="0.35">
      <c r="A648" s="48" t="s">
        <v>305</v>
      </c>
      <c r="B648" s="49" t="s">
        <v>2955</v>
      </c>
      <c r="C648" s="49" t="s">
        <v>2273</v>
      </c>
      <c r="D648" s="50">
        <v>44467</v>
      </c>
      <c r="E648" s="50">
        <v>48117</v>
      </c>
      <c r="F648" s="49">
        <v>1000</v>
      </c>
      <c r="G648" s="49" t="s">
        <v>76</v>
      </c>
      <c r="H648" s="49">
        <v>740.7</v>
      </c>
      <c r="I648" s="49" t="s">
        <v>76</v>
      </c>
      <c r="J648" s="49">
        <v>74.069999999999993</v>
      </c>
      <c r="K648" s="49">
        <v>656</v>
      </c>
      <c r="L648" s="51">
        <v>6.7500000000000004E-2</v>
      </c>
      <c r="M648" s="49" t="s">
        <v>65</v>
      </c>
      <c r="N648" s="49">
        <v>2200</v>
      </c>
      <c r="O648" s="49">
        <v>9.11300121506682</v>
      </c>
      <c r="P648" s="49" t="s">
        <v>2282</v>
      </c>
      <c r="Q648" s="49"/>
      <c r="R648" s="49" t="s">
        <v>2275</v>
      </c>
      <c r="S648">
        <f t="shared" si="40"/>
        <v>10</v>
      </c>
      <c r="T648" s="5" cm="1">
        <f t="array" ref="T6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48">
        <f>Table1[[#This Row],[Term to Maturity (Years)]]*Table1[[#This Row],[Coupon Frequency2]]</f>
        <v>20</v>
      </c>
      <c r="V648">
        <f>Table1[[#This Row],[Face value]]*Table1[[#This Row],[Current coupon %]]</f>
        <v>67.5</v>
      </c>
      <c r="W648" s="36">
        <f>RATE(Table1[[#This Row],[Total No. of Coupons]],Table1[[#This Row],[Coupon Amount]],-Table1[[#This Row],[Ask Price]],Table1[[#This Row],[Face value]])</f>
        <v>9.7423396323202488E-2</v>
      </c>
      <c r="X648" s="27">
        <f>Table1[[#This Row],[IRR]]*Table1[[#This Row],[Coupon Frequency2]]</f>
        <v>0.19484679264640498</v>
      </c>
      <c r="Y648" s="19" cm="1">
        <f t="array" ref="Y6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8" s="33">
        <f>DURATION(Table1[[#This Row],[Issue date]],Table1[[#This Row],[Maturity date]],Table1[[#This Row],[Current coupon %]],Table1[[#This Row],[Yield (Annualised)]],Table1[[#This Row],[Coupon Frequency2]])</f>
        <v>5.9406847723237703</v>
      </c>
      <c r="AA648" s="33">
        <f>Table1[[#This Row],[Macaulay Duration in Years]]/(1+Table1[[#This Row],[IRR]])</f>
        <v>5.4133024612263485</v>
      </c>
      <c r="AB648" s="58">
        <f>VLOOKUP(Table1[[#This Row],[Yield Cluster]],'Cluster Details'!$B$3:$C$16,2,0)</f>
        <v>0.1712257899185532</v>
      </c>
      <c r="AC648" s="78">
        <f>PRICE(Table1[[#This Row],[Issue date]],Table1[[#This Row],[Maturity date]],Table1[[#This Row],[Current coupon %]],Table1[[#This Row],[Average Cluster Yield]],100,Table1[[#This Row],[Coupon Frequency2]])*Table1[[#This Row],[Face value]]/100</f>
        <v>511.47862541700869</v>
      </c>
      <c r="AD648" s="58" t="str">
        <f>IF(Table1[[#This Row],[Ask Price]]&gt;Table1[[#This Row],[Calculated Bond Price]],"Rich","Cheap")</f>
        <v>Rich</v>
      </c>
      <c r="AE6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424.9721580310374</v>
      </c>
      <c r="AF6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473.61022764770178</v>
      </c>
      <c r="AG648" s="78">
        <f>(Table1[[#This Row],[P (+ shock)]]+Table1[[#This Row],[P (-shock)]]-2*Table1[[#This Row],[Ask Price]])/(2*Table1[[#This Row],[Ask Price]]*($AF$2^2))</f>
        <v>-3934.235279608889</v>
      </c>
      <c r="AH648">
        <v>17.336992815886699</v>
      </c>
      <c r="AI648" s="6">
        <f t="shared" si="41"/>
        <v>9.113001215066828E-2</v>
      </c>
      <c r="AK648" s="47">
        <f>RATE(Table1[[#This Row],[Total No. of Coupons]],Table1[[#This Row],[Coupon Amount]],-Table1[[#This Row],[Ask Price]],Table1[[#This Row],[Face value]])</f>
        <v>9.7423396323202488E-2</v>
      </c>
      <c r="AL648" s="27">
        <f>Table1[[#This Row],[IRR]]*Table1[[#This Row],[Coupon Frequency2]]</f>
        <v>0.19484679264640498</v>
      </c>
      <c r="AM648" s="5">
        <f t="shared" si="42"/>
        <v>-4009.6331330303565</v>
      </c>
      <c r="AN648" t="s">
        <v>64</v>
      </c>
      <c r="AO648" t="s">
        <v>62</v>
      </c>
      <c r="AP648">
        <f t="shared" si="43"/>
        <v>2</v>
      </c>
    </row>
    <row r="649" spans="1:42" x14ac:dyDescent="0.35">
      <c r="A649" s="48" t="s">
        <v>1357</v>
      </c>
      <c r="B649" s="49" t="s">
        <v>2956</v>
      </c>
      <c r="C649" s="49" t="s">
        <v>2273</v>
      </c>
      <c r="D649" s="50">
        <v>45609</v>
      </c>
      <c r="E649" s="50">
        <v>46461</v>
      </c>
      <c r="F649" s="49">
        <v>100000</v>
      </c>
      <c r="G649" s="49" t="s">
        <v>76</v>
      </c>
      <c r="H649" s="49">
        <v>100439.58</v>
      </c>
      <c r="I649" s="49" t="s">
        <v>76</v>
      </c>
      <c r="J649" s="49">
        <v>100.439579999999</v>
      </c>
      <c r="K649" s="49">
        <v>1</v>
      </c>
      <c r="L649" s="51">
        <v>9.9000000000000005E-2</v>
      </c>
      <c r="M649" s="49" t="s">
        <v>65</v>
      </c>
      <c r="N649" s="49">
        <v>544</v>
      </c>
      <c r="O649" s="49">
        <v>9.8566720410419801</v>
      </c>
      <c r="P649" s="49"/>
      <c r="Q649" s="49"/>
      <c r="R649" s="49" t="s">
        <v>2275</v>
      </c>
      <c r="S649">
        <f t="shared" si="40"/>
        <v>2</v>
      </c>
      <c r="T649" s="5" cm="1">
        <f t="array" ref="T6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49">
        <f>Table1[[#This Row],[Term to Maturity (Years)]]*Table1[[#This Row],[Coupon Frequency2]]</f>
        <v>4</v>
      </c>
      <c r="V649">
        <f>Table1[[#This Row],[Face value]]*Table1[[#This Row],[Current coupon %]]</f>
        <v>9900</v>
      </c>
      <c r="W649" s="36">
        <f>RATE(Table1[[#This Row],[Total No. of Coupons]],Table1[[#This Row],[Coupon Amount]],-Table1[[#This Row],[Ask Price]],Table1[[#This Row],[Face value]])</f>
        <v>9.7620390107100261E-2</v>
      </c>
      <c r="X649" s="27">
        <f>Table1[[#This Row],[IRR]]*Table1[[#This Row],[Coupon Frequency2]]</f>
        <v>0.19524078021420052</v>
      </c>
      <c r="Y649" s="19" cm="1">
        <f t="array" ref="Y6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49" s="33">
        <f>DURATION(Table1[[#This Row],[Issue date]],Table1[[#This Row],[Maturity date]],Table1[[#This Row],[Current coupon %]],Table1[[#This Row],[Yield (Annualised)]],Table1[[#This Row],[Coupon Frequency2]])</f>
        <v>2.0862049287568043</v>
      </c>
      <c r="AA649" s="33">
        <f>Table1[[#This Row],[Macaulay Duration in Years]]/(1+Table1[[#This Row],[IRR]])</f>
        <v>1.9006616017339502</v>
      </c>
      <c r="AB649" s="58">
        <f>VLOOKUP(Table1[[#This Row],[Yield Cluster]],'Cluster Details'!$B$3:$C$16,2,0)</f>
        <v>0.1712257899185532</v>
      </c>
      <c r="AC649" s="78">
        <f>PRICE(Table1[[#This Row],[Issue date]],Table1[[#This Row],[Maturity date]],Table1[[#This Row],[Current coupon %]],Table1[[#This Row],[Average Cluster Yield]],100,Table1[[#This Row],[Coupon Frequency2]])*Table1[[#This Row],[Face value]]/100</f>
        <v>86498.114640939006</v>
      </c>
      <c r="AD649" s="58" t="str">
        <f>IF(Table1[[#This Row],[Ask Price]]&gt;Table1[[#This Row],[Calculated Bond Price]],"Rich","Cheap")</f>
        <v>Rich</v>
      </c>
      <c r="AE6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80960.455957789949</v>
      </c>
      <c r="AF6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84159.089752826447</v>
      </c>
      <c r="AG649" s="78">
        <f>(Table1[[#This Row],[P (+ shock)]]+Table1[[#This Row],[P (-shock)]]-2*Table1[[#This Row],[Ask Price]])/(2*Table1[[#This Row],[Ask Price]]*($AF$2^2))</f>
        <v>-1780.1555068919847</v>
      </c>
      <c r="AH649">
        <v>7.8485757121439201</v>
      </c>
      <c r="AI649" s="6">
        <f t="shared" si="41"/>
        <v>9.8566720410419875E-2</v>
      </c>
      <c r="AK649" s="47">
        <f>RATE(Table1[[#This Row],[Total No. of Coupons]],Table1[[#This Row],[Coupon Amount]],-Table1[[#This Row],[Ask Price]],Table1[[#This Row],[Face value]])</f>
        <v>9.7620390107100261E-2</v>
      </c>
      <c r="AL649" s="27">
        <f>Table1[[#This Row],[IRR]]*Table1[[#This Row],[Coupon Frequency2]]</f>
        <v>0.19524078021420052</v>
      </c>
      <c r="AM649" s="5">
        <f t="shared" si="42"/>
        <v>-190901.65300028524</v>
      </c>
      <c r="AN649" t="s">
        <v>64</v>
      </c>
      <c r="AO649" t="s">
        <v>62</v>
      </c>
      <c r="AP649">
        <f t="shared" si="43"/>
        <v>2</v>
      </c>
    </row>
    <row r="650" spans="1:42" x14ac:dyDescent="0.35">
      <c r="A650" s="48" t="s">
        <v>2120</v>
      </c>
      <c r="B650" s="49" t="s">
        <v>2957</v>
      </c>
      <c r="C650" s="49" t="s">
        <v>2273</v>
      </c>
      <c r="D650" s="50">
        <v>40476</v>
      </c>
      <c r="E650" s="50">
        <v>45955</v>
      </c>
      <c r="F650" s="49">
        <v>1000000</v>
      </c>
      <c r="G650" s="49" t="s">
        <v>76</v>
      </c>
      <c r="H650" s="49">
        <v>950078.06</v>
      </c>
      <c r="I650" s="49" t="s">
        <v>76</v>
      </c>
      <c r="J650" s="49">
        <v>95.007806000000002</v>
      </c>
      <c r="K650" s="49">
        <v>1</v>
      </c>
      <c r="L650" s="51">
        <v>9.3399999999999997E-2</v>
      </c>
      <c r="M650" s="49" t="s">
        <v>65</v>
      </c>
      <c r="N650" s="49">
        <v>38</v>
      </c>
      <c r="O650" s="49">
        <v>9.8307711684237802</v>
      </c>
      <c r="P650" s="49"/>
      <c r="Q650" s="49"/>
      <c r="R650" s="49" t="s">
        <v>2275</v>
      </c>
      <c r="S650">
        <f t="shared" si="40"/>
        <v>15</v>
      </c>
      <c r="T650" s="5" cm="1">
        <f t="array" ref="T6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50">
        <f>Table1[[#This Row],[Term to Maturity (Years)]]*Table1[[#This Row],[Coupon Frequency2]]</f>
        <v>30</v>
      </c>
      <c r="V650">
        <f>Table1[[#This Row],[Face value]]*Table1[[#This Row],[Current coupon %]]</f>
        <v>93400</v>
      </c>
      <c r="W650" s="36">
        <f>RATE(Table1[[#This Row],[Total No. of Coupons]],Table1[[#This Row],[Coupon Amount]],-Table1[[#This Row],[Ask Price]],Table1[[#This Row],[Face value]])</f>
        <v>9.8635497256749263E-2</v>
      </c>
      <c r="X650" s="27">
        <f>Table1[[#This Row],[IRR]]*Table1[[#This Row],[Coupon Frequency2]]</f>
        <v>0.19727099451349853</v>
      </c>
      <c r="Y650" s="19" cm="1">
        <f t="array" ref="Y6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50" s="33">
        <f>DURATION(Table1[[#This Row],[Issue date]],Table1[[#This Row],[Maturity date]],Table1[[#This Row],[Current coupon %]],Table1[[#This Row],[Yield (Annualised)]],Table1[[#This Row],[Coupon Frequency2]])</f>
        <v>5.8436069578133178</v>
      </c>
      <c r="AA650" s="33">
        <f>Table1[[#This Row],[Macaulay Duration in Years]]/(1+Table1[[#This Row],[IRR]])</f>
        <v>5.3189679128378611</v>
      </c>
      <c r="AB650" s="58">
        <f>VLOOKUP(Table1[[#This Row],[Yield Cluster]],'Cluster Details'!$B$3:$C$16,2,0)</f>
        <v>0.1712257899185532</v>
      </c>
      <c r="AC650" s="78">
        <f>PRICE(Table1[[#This Row],[Issue date]],Table1[[#This Row],[Maturity date]],Table1[[#This Row],[Current coupon %]],Table1[[#This Row],[Average Cluster Yield]],100,Table1[[#This Row],[Coupon Frequency2]])*Table1[[#This Row],[Face value]]/100</f>
        <v>584142.3779501497</v>
      </c>
      <c r="AD650" s="58" t="str">
        <f>IF(Table1[[#This Row],[Ask Price]]&gt;Table1[[#This Row],[Calculated Bond Price]],"Rich","Cheap")</f>
        <v>Rich</v>
      </c>
      <c r="AE6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479134.86305476958</v>
      </c>
      <c r="AF6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532931.20793108258</v>
      </c>
      <c r="AG650" s="78">
        <f>(Table1[[#This Row],[P (+ shock)]]+Table1[[#This Row],[P (-shock)]]-2*Table1[[#This Row],[Ask Price]])/(2*Table1[[#This Row],[Ask Price]]*($AF$2^2))</f>
        <v>-4673.7741160665673</v>
      </c>
      <c r="AH650">
        <v>11.8283156193949</v>
      </c>
      <c r="AI650" s="6">
        <f t="shared" si="41"/>
        <v>9.8307711684237811E-2</v>
      </c>
      <c r="AK650" s="47">
        <f>RATE(Table1[[#This Row],[Total No. of Coupons]],Table1[[#This Row],[Coupon Amount]],-Table1[[#This Row],[Ask Price]],Table1[[#This Row],[Face value]])</f>
        <v>9.8635497256749263E-2</v>
      </c>
      <c r="AL650" s="27">
        <f>Table1[[#This Row],[IRR]]*Table1[[#This Row],[Coupon Frequency2]]</f>
        <v>0.19727099451349853</v>
      </c>
      <c r="AM650" s="5">
        <f t="shared" si="42"/>
        <v>-5053434.7158312444</v>
      </c>
      <c r="AN650" t="s">
        <v>64</v>
      </c>
      <c r="AO650" t="s">
        <v>62</v>
      </c>
      <c r="AP650">
        <f t="shared" si="43"/>
        <v>2</v>
      </c>
    </row>
    <row r="651" spans="1:42" x14ac:dyDescent="0.35">
      <c r="A651" s="48" t="s">
        <v>1689</v>
      </c>
      <c r="B651" s="49" t="s">
        <v>2958</v>
      </c>
      <c r="C651" s="49" t="s">
        <v>2273</v>
      </c>
      <c r="D651" s="50">
        <v>45512</v>
      </c>
      <c r="E651" s="50">
        <v>46241</v>
      </c>
      <c r="F651" s="49">
        <v>1000</v>
      </c>
      <c r="G651" s="49" t="s">
        <v>76</v>
      </c>
      <c r="H651" s="49">
        <v>852.7</v>
      </c>
      <c r="I651" s="49" t="s">
        <v>76</v>
      </c>
      <c r="J651" s="49">
        <v>85.27</v>
      </c>
      <c r="K651" s="49">
        <v>100</v>
      </c>
      <c r="L651" s="51">
        <v>0.10249999999999999</v>
      </c>
      <c r="M651" s="49" t="s">
        <v>93</v>
      </c>
      <c r="N651" s="49">
        <v>324</v>
      </c>
      <c r="O651" s="49">
        <v>12.0206403189867</v>
      </c>
      <c r="P651" s="49"/>
      <c r="Q651" s="49"/>
      <c r="R651" s="49" t="s">
        <v>2275</v>
      </c>
      <c r="S651">
        <f t="shared" si="40"/>
        <v>2</v>
      </c>
      <c r="T651" s="5" cm="1">
        <f t="array" ref="T6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51">
        <f>Table1[[#This Row],[Term to Maturity (Years)]]*Table1[[#This Row],[Coupon Frequency2]]</f>
        <v>2</v>
      </c>
      <c r="V651">
        <f>Table1[[#This Row],[Face value]]*Table1[[#This Row],[Current coupon %]]</f>
        <v>102.5</v>
      </c>
      <c r="W651" s="36">
        <f>RATE(Table1[[#This Row],[Total No. of Coupons]],Table1[[#This Row],[Coupon Amount]],-Table1[[#This Row],[Ask Price]],Table1[[#This Row],[Face value]])</f>
        <v>0.19877092969042406</v>
      </c>
      <c r="X651" s="27">
        <f>Table1[[#This Row],[IRR]]*Table1[[#This Row],[Coupon Frequency2]]</f>
        <v>0.19877092969042406</v>
      </c>
      <c r="Y651" s="19" cm="1">
        <f t="array" ref="Y6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4</v>
      </c>
      <c r="Z651" s="33">
        <f>DURATION(Table1[[#This Row],[Issue date]],Table1[[#This Row],[Maturity date]],Table1[[#This Row],[Current coupon %]],Table1[[#This Row],[Yield (Annualised)]],Table1[[#This Row],[Coupon Frequency2]])</f>
        <v>1.896947515676819</v>
      </c>
      <c r="AA651" s="33">
        <f>Table1[[#This Row],[Macaulay Duration in Years]]/(1+Table1[[#This Row],[IRR]])</f>
        <v>1.582410341037128</v>
      </c>
      <c r="AB651" s="58">
        <f>VLOOKUP(Table1[[#This Row],[Yield Cluster]],'Cluster Details'!$B$3:$C$16,2,0)</f>
        <v>0.1712257899185532</v>
      </c>
      <c r="AC651" s="78">
        <f>PRICE(Table1[[#This Row],[Issue date]],Table1[[#This Row],[Maturity date]],Table1[[#This Row],[Current coupon %]],Table1[[#This Row],[Average Cluster Yield]],100,Table1[[#This Row],[Coupon Frequency2]])*Table1[[#This Row],[Face value]]/100</f>
        <v>891.32803419972799</v>
      </c>
      <c r="AD651" s="58" t="str">
        <f>IF(Table1[[#This Row],[Ask Price]]&gt;Table1[[#This Row],[Calculated Bond Price]],"Rich","Cheap")</f>
        <v>Cheap</v>
      </c>
      <c r="AE6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839.50878857725695</v>
      </c>
      <c r="AF6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866.51246141747515</v>
      </c>
      <c r="AG651" s="78">
        <f>(Table1[[#This Row],[P (+ shock)]]+Table1[[#This Row],[P (-shock)]]-2*Table1[[#This Row],[Ask Price]])/(2*Table1[[#This Row],[Ask Price]]*($AF$2^2))</f>
        <v>3.6428403584607563</v>
      </c>
      <c r="AH651">
        <v>10.3273163400081</v>
      </c>
      <c r="AI651" s="6">
        <f t="shared" si="41"/>
        <v>0.12020640318986747</v>
      </c>
      <c r="AK651" s="47">
        <f>RATE(Table1[[#This Row],[Total No. of Coupons]],Table1[[#This Row],[Coupon Amount]],-Table1[[#This Row],[Ask Price]],Table1[[#This Row],[Face value]])</f>
        <v>0.19877092969042406</v>
      </c>
      <c r="AL651" s="27">
        <f>Table1[[#This Row],[IRR]]*Table1[[#This Row],[Coupon Frequency2]]</f>
        <v>0.19877092969042406</v>
      </c>
      <c r="AM651" s="5">
        <f t="shared" si="42"/>
        <v>-1349.3212978023591</v>
      </c>
      <c r="AN651" t="s">
        <v>79</v>
      </c>
      <c r="AO651" t="s">
        <v>62</v>
      </c>
      <c r="AP651">
        <f t="shared" si="43"/>
        <v>1</v>
      </c>
    </row>
    <row r="652" spans="1:42" x14ac:dyDescent="0.35">
      <c r="A652" s="48" t="s">
        <v>2959</v>
      </c>
      <c r="B652" s="49" t="s">
        <v>2960</v>
      </c>
      <c r="C652" s="49" t="s">
        <v>2273</v>
      </c>
      <c r="D652" s="50">
        <v>45488</v>
      </c>
      <c r="E652" s="50">
        <v>46218</v>
      </c>
      <c r="F652" s="49">
        <v>100000</v>
      </c>
      <c r="G652" s="49" t="s">
        <v>76</v>
      </c>
      <c r="H652" s="49">
        <v>99800</v>
      </c>
      <c r="I652" s="49" t="s">
        <v>76</v>
      </c>
      <c r="J652" s="49">
        <v>99.8</v>
      </c>
      <c r="K652" s="49">
        <v>1</v>
      </c>
      <c r="L652" s="51">
        <v>0.10039999999999999</v>
      </c>
      <c r="M652" s="49" t="s">
        <v>65</v>
      </c>
      <c r="N652" s="49">
        <v>301</v>
      </c>
      <c r="O652" s="49">
        <v>10.0601202404809</v>
      </c>
      <c r="P652" s="49"/>
      <c r="Q652" s="49"/>
      <c r="R652" s="49" t="s">
        <v>2275</v>
      </c>
      <c r="S652">
        <f t="shared" si="40"/>
        <v>2</v>
      </c>
      <c r="T652" s="5" cm="1">
        <f t="array" ref="T6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52">
        <f>Table1[[#This Row],[Term to Maturity (Years)]]*Table1[[#This Row],[Coupon Frequency2]]</f>
        <v>4</v>
      </c>
      <c r="V652">
        <f>Table1[[#This Row],[Face value]]*Table1[[#This Row],[Current coupon %]]</f>
        <v>10039.999999999998</v>
      </c>
      <c r="W652" s="36">
        <f>RATE(Table1[[#This Row],[Total No. of Coupons]],Table1[[#This Row],[Coupon Amount]],-Table1[[#This Row],[Ask Price]],Table1[[#This Row],[Face value]])</f>
        <v>0.10103235216080361</v>
      </c>
      <c r="X652" s="27">
        <f>Table1[[#This Row],[IRR]]*Table1[[#This Row],[Coupon Frequency2]]</f>
        <v>0.20206470432160722</v>
      </c>
      <c r="Y652" s="19" cm="1">
        <f t="array" ref="Y6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2" s="33">
        <f>DURATION(Table1[[#This Row],[Issue date]],Table1[[#This Row],[Maturity date]],Table1[[#This Row],[Current coupon %]],Table1[[#This Row],[Yield (Annualised)]],Table1[[#This Row],[Coupon Frequency2]])</f>
        <v>1.8467576727217951</v>
      </c>
      <c r="AA652" s="33">
        <f>Table1[[#This Row],[Macaulay Duration in Years]]/(1+Table1[[#This Row],[IRR]])</f>
        <v>1.6772964655375355</v>
      </c>
      <c r="AB652" s="58">
        <f>VLOOKUP(Table1[[#This Row],[Yield Cluster]],'Cluster Details'!$B$3:$C$16,2,0)</f>
        <v>0.22511770855620161</v>
      </c>
      <c r="AC652" s="78">
        <f>PRICE(Table1[[#This Row],[Issue date]],Table1[[#This Row],[Maturity date]],Table1[[#This Row],[Current coupon %]],Table1[[#This Row],[Average Cluster Yield]],100,Table1[[#This Row],[Coupon Frequency2]])*Table1[[#This Row],[Face value]]/100</f>
        <v>80758.729159916868</v>
      </c>
      <c r="AD652" s="58" t="str">
        <f>IF(Table1[[#This Row],[Ask Price]]&gt;Table1[[#This Row],[Calculated Bond Price]],"Rich","Cheap")</f>
        <v>Rich</v>
      </c>
      <c r="AE6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82530.551839579668</v>
      </c>
      <c r="AF6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85346.097899043889</v>
      </c>
      <c r="AG652" s="78">
        <f>(Table1[[#This Row],[P (+ shock)]]+Table1[[#This Row],[P (-shock)]]-2*Table1[[#This Row],[Ask Price]])/(2*Table1[[#This Row],[Ask Price]]*($AF$2^2))</f>
        <v>-1589.3462054797817</v>
      </c>
      <c r="AH652">
        <v>9.4127780780036598</v>
      </c>
      <c r="AI652" s="6">
        <f t="shared" si="41"/>
        <v>0.1006012024048096</v>
      </c>
      <c r="AK652" s="47">
        <f>RATE(Table1[[#This Row],[Total No. of Coupons]],Table1[[#This Row],[Coupon Amount]],-Table1[[#This Row],[Ask Price]],Table1[[#This Row],[Face value]])</f>
        <v>0.10103235216080361</v>
      </c>
      <c r="AL652" s="27">
        <f>Table1[[#This Row],[IRR]]*Table1[[#This Row],[Coupon Frequency2]]</f>
        <v>0.20206470432160722</v>
      </c>
      <c r="AM652" s="5">
        <f t="shared" si="42"/>
        <v>-167394.18726064605</v>
      </c>
      <c r="AN652" t="s">
        <v>64</v>
      </c>
      <c r="AO652" t="s">
        <v>62</v>
      </c>
      <c r="AP652">
        <f t="shared" si="43"/>
        <v>2</v>
      </c>
    </row>
    <row r="653" spans="1:42" x14ac:dyDescent="0.35">
      <c r="A653" s="48" t="s">
        <v>1316</v>
      </c>
      <c r="B653" s="49" t="s">
        <v>2961</v>
      </c>
      <c r="C653" s="49" t="s">
        <v>2273</v>
      </c>
      <c r="D653" s="50">
        <v>45401</v>
      </c>
      <c r="E653" s="50">
        <v>46496</v>
      </c>
      <c r="F653" s="49">
        <v>1000</v>
      </c>
      <c r="G653" s="49" t="s">
        <v>76</v>
      </c>
      <c r="H653" s="49">
        <v>830</v>
      </c>
      <c r="I653" s="49" t="s">
        <v>76</v>
      </c>
      <c r="J653" s="49">
        <v>83</v>
      </c>
      <c r="K653" s="49">
        <v>100</v>
      </c>
      <c r="L653" s="51">
        <v>0.1225</v>
      </c>
      <c r="M653" s="49" t="s">
        <v>93</v>
      </c>
      <c r="N653" s="49">
        <v>579</v>
      </c>
      <c r="O653" s="49">
        <v>14.7590361445783</v>
      </c>
      <c r="P653" s="49"/>
      <c r="Q653" s="49"/>
      <c r="R653" s="49" t="s">
        <v>2275</v>
      </c>
      <c r="S653">
        <f t="shared" si="40"/>
        <v>3</v>
      </c>
      <c r="T653" s="5" cm="1">
        <f t="array" ref="T6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53">
        <f>Table1[[#This Row],[Term to Maturity (Years)]]*Table1[[#This Row],[Coupon Frequency2]]</f>
        <v>3</v>
      </c>
      <c r="V653">
        <f>Table1[[#This Row],[Face value]]*Table1[[#This Row],[Current coupon %]]</f>
        <v>122.5</v>
      </c>
      <c r="W653" s="36">
        <f>RATE(Table1[[#This Row],[Total No. of Coupons]],Table1[[#This Row],[Coupon Amount]],-Table1[[#This Row],[Ask Price]],Table1[[#This Row],[Face value]])</f>
        <v>0.20366710573552554</v>
      </c>
      <c r="X653" s="27">
        <f>Table1[[#This Row],[IRR]]*Table1[[#This Row],[Coupon Frequency2]]</f>
        <v>0.20366710573552554</v>
      </c>
      <c r="Y653" s="19" cm="1">
        <f t="array" ref="Y6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3" s="33">
        <f>DURATION(Table1[[#This Row],[Issue date]],Table1[[#This Row],[Maturity date]],Table1[[#This Row],[Current coupon %]],Table1[[#This Row],[Yield (Annualised)]],Table1[[#This Row],[Coupon Frequency2]])</f>
        <v>2.6528957383148772</v>
      </c>
      <c r="AA653" s="33">
        <f>Table1[[#This Row],[Macaulay Duration in Years]]/(1+Table1[[#This Row],[IRR]])</f>
        <v>2.2040111636130248</v>
      </c>
      <c r="AB653" s="58">
        <f>VLOOKUP(Table1[[#This Row],[Yield Cluster]],'Cluster Details'!$B$3:$C$16,2,0)</f>
        <v>0.22511770855620161</v>
      </c>
      <c r="AC653" s="78">
        <f>PRICE(Table1[[#This Row],[Issue date]],Table1[[#This Row],[Maturity date]],Table1[[#This Row],[Current coupon %]],Table1[[#This Row],[Average Cluster Yield]],100,Table1[[#This Row],[Coupon Frequency2]])*Table1[[#This Row],[Face value]]/100</f>
        <v>792.0612941192062</v>
      </c>
      <c r="AD653" s="58" t="str">
        <f>IF(Table1[[#This Row],[Ask Price]]&gt;Table1[[#This Row],[Calculated Bond Price]],"Rich","Cheap")</f>
        <v>Rich</v>
      </c>
      <c r="AE6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811.99391082888633</v>
      </c>
      <c r="AF6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848.58838392618668</v>
      </c>
      <c r="AG653" s="78">
        <f>(Table1[[#This Row],[P (+ shock)]]+Table1[[#This Row],[P (-shock)]]-2*Table1[[#This Row],[Ask Price]])/(2*Table1[[#This Row],[Ask Price]]*($AF$2^2))</f>
        <v>3.5077997293554684</v>
      </c>
      <c r="AH653">
        <v>9.7759581139082492</v>
      </c>
      <c r="AI653" s="6">
        <f t="shared" si="41"/>
        <v>0.14759036144578314</v>
      </c>
      <c r="AK653" s="47">
        <f>RATE(Table1[[#This Row],[Total No. of Coupons]],Table1[[#This Row],[Coupon Amount]],-Table1[[#This Row],[Ask Price]],Table1[[#This Row],[Face value]])</f>
        <v>0.20366710573552554</v>
      </c>
      <c r="AL653" s="27">
        <f>Table1[[#This Row],[IRR]]*Table1[[#This Row],[Coupon Frequency2]]</f>
        <v>0.20366710573552554</v>
      </c>
      <c r="AM653" s="5">
        <f t="shared" si="42"/>
        <v>-1829.3292657988106</v>
      </c>
      <c r="AN653" t="s">
        <v>64</v>
      </c>
      <c r="AO653" t="s">
        <v>62</v>
      </c>
      <c r="AP653">
        <f t="shared" si="43"/>
        <v>1</v>
      </c>
    </row>
    <row r="654" spans="1:42" x14ac:dyDescent="0.35">
      <c r="A654" s="48" t="s">
        <v>486</v>
      </c>
      <c r="B654" s="49" t="s">
        <v>2962</v>
      </c>
      <c r="C654" s="49" t="s">
        <v>2273</v>
      </c>
      <c r="D654" s="50">
        <v>45371</v>
      </c>
      <c r="E654" s="50">
        <v>47593</v>
      </c>
      <c r="F654" s="49">
        <v>100000</v>
      </c>
      <c r="G654" s="49" t="s">
        <v>76</v>
      </c>
      <c r="H654" s="49">
        <v>102500</v>
      </c>
      <c r="I654" s="49" t="s">
        <v>76</v>
      </c>
      <c r="J654" s="49">
        <v>102.49999999999901</v>
      </c>
      <c r="K654" s="49">
        <v>1</v>
      </c>
      <c r="L654" s="51">
        <v>0.11</v>
      </c>
      <c r="M654" s="49" t="s">
        <v>65</v>
      </c>
      <c r="N654" s="49">
        <v>1676</v>
      </c>
      <c r="O654" s="49">
        <v>10.7317073170731</v>
      </c>
      <c r="P654" s="49"/>
      <c r="Q654" s="49"/>
      <c r="R654" s="49" t="s">
        <v>2275</v>
      </c>
      <c r="S654">
        <f t="shared" si="40"/>
        <v>6</v>
      </c>
      <c r="T654" s="5" cm="1">
        <f t="array" ref="T6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54">
        <f>Table1[[#This Row],[Term to Maturity (Years)]]*Table1[[#This Row],[Coupon Frequency2]]</f>
        <v>12</v>
      </c>
      <c r="V654">
        <f>Table1[[#This Row],[Face value]]*Table1[[#This Row],[Current coupon %]]</f>
        <v>11000</v>
      </c>
      <c r="W654" s="36">
        <f>RATE(Table1[[#This Row],[Total No. of Coupons]],Table1[[#This Row],[Coupon Amount]],-Table1[[#This Row],[Ask Price]],Table1[[#This Row],[Face value]])</f>
        <v>0.10621842658466041</v>
      </c>
      <c r="X654" s="27">
        <f>Table1[[#This Row],[IRR]]*Table1[[#This Row],[Coupon Frequency2]]</f>
        <v>0.21243685316932082</v>
      </c>
      <c r="Y654" s="19" cm="1">
        <f t="array" ref="Y6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4" s="33">
        <f>DURATION(Table1[[#This Row],[Issue date]],Table1[[#This Row],[Maturity date]],Table1[[#This Row],[Current coupon %]],Table1[[#This Row],[Yield (Annualised)]],Table1[[#This Row],[Coupon Frequency2]])</f>
        <v>3.9289194999006303</v>
      </c>
      <c r="AA654" s="33">
        <f>Table1[[#This Row],[Macaulay Duration in Years]]/(1+Table1[[#This Row],[IRR]])</f>
        <v>3.5516670175444278</v>
      </c>
      <c r="AB654" s="58">
        <f>VLOOKUP(Table1[[#This Row],[Yield Cluster]],'Cluster Details'!$B$3:$C$16,2,0)</f>
        <v>0.22511770855620161</v>
      </c>
      <c r="AC654" s="78">
        <f>PRICE(Table1[[#This Row],[Issue date]],Table1[[#This Row],[Maturity date]],Table1[[#This Row],[Current coupon %]],Table1[[#This Row],[Average Cluster Yield]],100,Table1[[#This Row],[Coupon Frequency2]])*Table1[[#This Row],[Face value]]/100</f>
        <v>62790.16804438876</v>
      </c>
      <c r="AD654" s="58" t="str">
        <f>IF(Table1[[#This Row],[Ask Price]]&gt;Table1[[#This Row],[Calculated Bond Price]],"Rich","Cheap")</f>
        <v>Rich</v>
      </c>
      <c r="AE6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63422.696698204672</v>
      </c>
      <c r="AF6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68429.182173077774</v>
      </c>
      <c r="AG654" s="78">
        <f>(Table1[[#This Row],[P (+ shock)]]+Table1[[#This Row],[P (-shock)]]-2*Table1[[#This Row],[Ask Price]])/(2*Table1[[#This Row],[Ask Price]]*($AF$2^2))</f>
        <v>-3568.2010306691491</v>
      </c>
      <c r="AH654">
        <v>20.4262574595055</v>
      </c>
      <c r="AI654" s="6">
        <f t="shared" si="41"/>
        <v>0.10731707317073171</v>
      </c>
      <c r="AK654" s="47">
        <f>RATE(Table1[[#This Row],[Total No. of Coupons]],Table1[[#This Row],[Coupon Amount]],-Table1[[#This Row],[Ask Price]],Table1[[#This Row],[Face value]])</f>
        <v>0.10621842658466041</v>
      </c>
      <c r="AL654" s="27">
        <f>Table1[[#This Row],[IRR]]*Table1[[#This Row],[Coupon Frequency2]]</f>
        <v>0.21243685316932082</v>
      </c>
      <c r="AM654" s="5">
        <f t="shared" si="42"/>
        <v>-364045.86929830385</v>
      </c>
      <c r="AN654" t="s">
        <v>64</v>
      </c>
      <c r="AO654" t="s">
        <v>62</v>
      </c>
      <c r="AP654">
        <f t="shared" si="43"/>
        <v>2</v>
      </c>
    </row>
    <row r="655" spans="1:42" x14ac:dyDescent="0.35">
      <c r="A655" s="48" t="s">
        <v>351</v>
      </c>
      <c r="B655" s="49" t="s">
        <v>2963</v>
      </c>
      <c r="C655" s="49" t="s">
        <v>2273</v>
      </c>
      <c r="D655" s="50">
        <v>45371</v>
      </c>
      <c r="E655" s="50">
        <v>47958</v>
      </c>
      <c r="F655" s="49">
        <v>100000</v>
      </c>
      <c r="G655" s="49" t="s">
        <v>76</v>
      </c>
      <c r="H655" s="49">
        <v>101998.66</v>
      </c>
      <c r="I655" s="49" t="s">
        <v>76</v>
      </c>
      <c r="J655" s="49">
        <v>101.99866</v>
      </c>
      <c r="K655" s="49">
        <v>6</v>
      </c>
      <c r="L655" s="51">
        <v>0.111</v>
      </c>
      <c r="M655" s="49" t="s">
        <v>65</v>
      </c>
      <c r="N655" s="49">
        <v>2041</v>
      </c>
      <c r="O655" s="49">
        <v>10.8824959072991</v>
      </c>
      <c r="P655" s="49"/>
      <c r="Q655" s="49"/>
      <c r="R655" s="49" t="s">
        <v>2275</v>
      </c>
      <c r="S655">
        <f t="shared" si="40"/>
        <v>7</v>
      </c>
      <c r="T655" s="5" cm="1">
        <f t="array" ref="T6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55">
        <f>Table1[[#This Row],[Term to Maturity (Years)]]*Table1[[#This Row],[Coupon Frequency2]]</f>
        <v>14</v>
      </c>
      <c r="V655">
        <f>Table1[[#This Row],[Face value]]*Table1[[#This Row],[Current coupon %]]</f>
        <v>11100</v>
      </c>
      <c r="W655" s="36">
        <f>RATE(Table1[[#This Row],[Total No. of Coupons]],Table1[[#This Row],[Coupon Amount]],-Table1[[#This Row],[Ask Price]],Table1[[#This Row],[Face value]])</f>
        <v>0.10816504088548796</v>
      </c>
      <c r="X655" s="27">
        <f>Table1[[#This Row],[IRR]]*Table1[[#This Row],[Coupon Frequency2]]</f>
        <v>0.21633008177097593</v>
      </c>
      <c r="Y655" s="19" cm="1">
        <f t="array" ref="Y6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5" s="33">
        <f>DURATION(Table1[[#This Row],[Issue date]],Table1[[#This Row],[Maturity date]],Table1[[#This Row],[Current coupon %]],Table1[[#This Row],[Yield (Annualised)]],Table1[[#This Row],[Coupon Frequency2]])</f>
        <v>4.1954904813156508</v>
      </c>
      <c r="AA655" s="33">
        <f>Table1[[#This Row],[Macaulay Duration in Years]]/(1+Table1[[#This Row],[IRR]])</f>
        <v>3.7859798193626566</v>
      </c>
      <c r="AB655" s="58">
        <f>VLOOKUP(Table1[[#This Row],[Yield Cluster]],'Cluster Details'!$B$3:$C$16,2,0)</f>
        <v>0.22511770855620161</v>
      </c>
      <c r="AC655" s="78">
        <f>PRICE(Table1[[#This Row],[Issue date]],Table1[[#This Row],[Maturity date]],Table1[[#This Row],[Current coupon %]],Table1[[#This Row],[Average Cluster Yield]],100,Table1[[#This Row],[Coupon Frequency2]])*Table1[[#This Row],[Face value]]/100</f>
        <v>60452.62040683462</v>
      </c>
      <c r="AD655" s="58" t="str">
        <f>IF(Table1[[#This Row],[Ask Price]]&gt;Table1[[#This Row],[Calculated Bond Price]],"Rich","Cheap")</f>
        <v>Rich</v>
      </c>
      <c r="AE6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60160.127702415542</v>
      </c>
      <c r="AF6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65256.288952782372</v>
      </c>
      <c r="AG655" s="78">
        <f>(Table1[[#This Row],[P (+ shock)]]+Table1[[#This Row],[P (-shock)]]-2*Table1[[#This Row],[Ask Price]])/(2*Table1[[#This Row],[Ask Price]]*($AF$2^2))</f>
        <v>-3852.0556713589222</v>
      </c>
      <c r="AH655">
        <v>10.6</v>
      </c>
      <c r="AI655" s="6">
        <f t="shared" si="41"/>
        <v>0.10882495907299174</v>
      </c>
      <c r="AK655" s="47">
        <f>RATE(Table1[[#This Row],[Total No. of Coupons]],Table1[[#This Row],[Coupon Amount]],-Table1[[#This Row],[Ask Price]],Table1[[#This Row],[Face value]])</f>
        <v>0.10816504088548796</v>
      </c>
      <c r="AL655" s="27">
        <f>Table1[[#This Row],[IRR]]*Table1[[#This Row],[Coupon Frequency2]]</f>
        <v>0.21633008177097593</v>
      </c>
      <c r="AM655" s="5">
        <f t="shared" si="42"/>
        <v>-386164.86836203304</v>
      </c>
      <c r="AN655" t="s">
        <v>64</v>
      </c>
      <c r="AO655" t="s">
        <v>62</v>
      </c>
      <c r="AP655">
        <f t="shared" si="43"/>
        <v>2</v>
      </c>
    </row>
    <row r="656" spans="1:42" x14ac:dyDescent="0.35">
      <c r="A656" s="48" t="s">
        <v>1697</v>
      </c>
      <c r="B656" s="49" t="s">
        <v>2964</v>
      </c>
      <c r="C656" s="49" t="s">
        <v>2273</v>
      </c>
      <c r="D656" s="50">
        <v>40759</v>
      </c>
      <c r="E656" s="50">
        <v>46238</v>
      </c>
      <c r="F656" s="49">
        <v>1000000</v>
      </c>
      <c r="G656" s="49" t="s">
        <v>76</v>
      </c>
      <c r="H656" s="49">
        <v>1000000</v>
      </c>
      <c r="I656" s="49" t="s">
        <v>76</v>
      </c>
      <c r="J656" s="49">
        <v>100</v>
      </c>
      <c r="K656" s="49">
        <v>3</v>
      </c>
      <c r="L656" s="51">
        <v>0.1085</v>
      </c>
      <c r="M656" s="49" t="s">
        <v>65</v>
      </c>
      <c r="N656" s="49">
        <v>321</v>
      </c>
      <c r="O656" s="49">
        <v>10.85</v>
      </c>
      <c r="P656" s="49"/>
      <c r="Q656" s="49"/>
      <c r="R656" s="49" t="s">
        <v>2275</v>
      </c>
      <c r="S656">
        <f t="shared" si="40"/>
        <v>15</v>
      </c>
      <c r="T656" s="5" cm="1">
        <f t="array" ref="T6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56">
        <f>Table1[[#This Row],[Term to Maturity (Years)]]*Table1[[#This Row],[Coupon Frequency2]]</f>
        <v>30</v>
      </c>
      <c r="V656">
        <f>Table1[[#This Row],[Face value]]*Table1[[#This Row],[Current coupon %]]</f>
        <v>108500</v>
      </c>
      <c r="W656" s="36">
        <f>RATE(Table1[[#This Row],[Total No. of Coupons]],Table1[[#This Row],[Coupon Amount]],-Table1[[#This Row],[Ask Price]],Table1[[#This Row],[Face value]])</f>
        <v>0.10849999999999996</v>
      </c>
      <c r="X656" s="27">
        <f>Table1[[#This Row],[IRR]]*Table1[[#This Row],[Coupon Frequency2]]</f>
        <v>0.21699999999999992</v>
      </c>
      <c r="Y656" s="19" cm="1">
        <f t="array" ref="Y6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6" s="33">
        <f>DURATION(Table1[[#This Row],[Issue date]],Table1[[#This Row],[Maturity date]],Table1[[#This Row],[Current coupon %]],Table1[[#This Row],[Yield (Annualised)]],Table1[[#This Row],[Coupon Frequency2]])</f>
        <v>5.3164304694942937</v>
      </c>
      <c r="AA656" s="33">
        <f>Table1[[#This Row],[Macaulay Duration in Years]]/(1+Table1[[#This Row],[IRR]])</f>
        <v>4.7960581592190286</v>
      </c>
      <c r="AB656" s="58">
        <f>VLOOKUP(Table1[[#This Row],[Yield Cluster]],'Cluster Details'!$B$3:$C$16,2,0)</f>
        <v>0.22511770855620161</v>
      </c>
      <c r="AC656" s="78">
        <f>PRICE(Table1[[#This Row],[Issue date]],Table1[[#This Row],[Maturity date]],Table1[[#This Row],[Current coupon %]],Table1[[#This Row],[Average Cluster Yield]],100,Table1[[#This Row],[Coupon Frequency2]])*Table1[[#This Row],[Face value]]/100</f>
        <v>503088.67452115595</v>
      </c>
      <c r="AD656" s="58" t="str">
        <f>IF(Table1[[#This Row],[Ask Price]]&gt;Table1[[#This Row],[Calculated Bond Price]],"Rich","Cheap")</f>
        <v>Rich</v>
      </c>
      <c r="AE6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498722.02752591274</v>
      </c>
      <c r="AF6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548945.68725634809</v>
      </c>
      <c r="AG656" s="78">
        <f>(Table1[[#This Row],[P (+ shock)]]+Table1[[#This Row],[P (-shock)]]-2*Table1[[#This Row],[Ask Price]])/(2*Table1[[#This Row],[Ask Price]]*($AF$2^2))</f>
        <v>-4761.6614260886963</v>
      </c>
      <c r="AH656">
        <v>7.4062878294882797</v>
      </c>
      <c r="AI656" s="6">
        <f t="shared" si="41"/>
        <v>0.1085</v>
      </c>
      <c r="AK656" s="47">
        <f>RATE(Table1[[#This Row],[Total No. of Coupons]],Table1[[#This Row],[Coupon Amount]],-Table1[[#This Row],[Ask Price]],Table1[[#This Row],[Face value]])</f>
        <v>0.10849999999999996</v>
      </c>
      <c r="AL656" s="27">
        <f>Table1[[#This Row],[IRR]]*Table1[[#This Row],[Coupon Frequency2]]</f>
        <v>0.21699999999999992</v>
      </c>
      <c r="AM656" s="5">
        <f t="shared" si="42"/>
        <v>-4796058.1592190284</v>
      </c>
      <c r="AN656" t="s">
        <v>64</v>
      </c>
      <c r="AO656" t="s">
        <v>62</v>
      </c>
      <c r="AP656">
        <f t="shared" si="43"/>
        <v>2</v>
      </c>
    </row>
    <row r="657" spans="1:42" x14ac:dyDescent="0.35">
      <c r="A657" s="48" t="s">
        <v>971</v>
      </c>
      <c r="B657" s="49" t="s">
        <v>2965</v>
      </c>
      <c r="C657" s="49" t="s">
        <v>2273</v>
      </c>
      <c r="D657" s="50">
        <v>45041</v>
      </c>
      <c r="E657" s="50">
        <v>46868</v>
      </c>
      <c r="F657" s="49">
        <v>1000</v>
      </c>
      <c r="G657" s="49" t="s">
        <v>76</v>
      </c>
      <c r="H657" s="49">
        <v>660</v>
      </c>
      <c r="I657" s="49" t="s">
        <v>76</v>
      </c>
      <c r="J657" s="49">
        <v>66</v>
      </c>
      <c r="K657" s="49">
        <v>50</v>
      </c>
      <c r="L657" s="51">
        <v>0.105</v>
      </c>
      <c r="M657" s="49" t="s">
        <v>93</v>
      </c>
      <c r="N657" s="49">
        <v>951</v>
      </c>
      <c r="O657" s="49">
        <v>15.909090909090899</v>
      </c>
      <c r="P657" s="49"/>
      <c r="Q657" s="49"/>
      <c r="R657" s="49" t="s">
        <v>2275</v>
      </c>
      <c r="S657">
        <f t="shared" si="40"/>
        <v>5</v>
      </c>
      <c r="T657" s="5" cm="1">
        <f t="array" ref="T6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57">
        <f>Table1[[#This Row],[Term to Maturity (Years)]]*Table1[[#This Row],[Coupon Frequency2]]</f>
        <v>5</v>
      </c>
      <c r="V657">
        <f>Table1[[#This Row],[Face value]]*Table1[[#This Row],[Current coupon %]]</f>
        <v>105</v>
      </c>
      <c r="W657" s="36">
        <f>RATE(Table1[[#This Row],[Total No. of Coupons]],Table1[[#This Row],[Coupon Amount]],-Table1[[#This Row],[Ask Price]],Table1[[#This Row],[Face value]])</f>
        <v>0.22500243438196943</v>
      </c>
      <c r="X657" s="27">
        <f>Table1[[#This Row],[IRR]]*Table1[[#This Row],[Coupon Frequency2]]</f>
        <v>0.22500243438196943</v>
      </c>
      <c r="Y657" s="19" cm="1">
        <f t="array" ref="Y6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7" s="33">
        <f>DURATION(Table1[[#This Row],[Issue date]],Table1[[#This Row],[Maturity date]],Table1[[#This Row],[Current coupon %]],Table1[[#This Row],[Yield (Annualised)]],Table1[[#This Row],[Coupon Frequency2]])</f>
        <v>3.918737834690142</v>
      </c>
      <c r="AA657" s="33">
        <f>Table1[[#This Row],[Macaulay Duration in Years]]/(1+Table1[[#This Row],[IRR]])</f>
        <v>3.1989633038298404</v>
      </c>
      <c r="AB657" s="58">
        <f>VLOOKUP(Table1[[#This Row],[Yield Cluster]],'Cluster Details'!$B$3:$C$16,2,0)</f>
        <v>0.22511770855620161</v>
      </c>
      <c r="AC657" s="78">
        <f>PRICE(Table1[[#This Row],[Issue date]],Table1[[#This Row],[Maturity date]],Table1[[#This Row],[Current coupon %]],Table1[[#This Row],[Average Cluster Yield]],100,Table1[[#This Row],[Coupon Frequency2]])*Table1[[#This Row],[Face value]]/100</f>
        <v>659.75668279138085</v>
      </c>
      <c r="AD657" s="58" t="str">
        <f>IF(Table1[[#This Row],[Ask Price]]&gt;Table1[[#This Row],[Calculated Bond Price]],"Rich","Cheap")</f>
        <v>Rich</v>
      </c>
      <c r="AE6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639.35234478733514</v>
      </c>
      <c r="AF6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681.59595148985625</v>
      </c>
      <c r="AG657" s="78">
        <f>(Table1[[#This Row],[P (+ shock)]]+Table1[[#This Row],[P (-shock)]]-2*Table1[[#This Row],[Ask Price]])/(2*Table1[[#This Row],[Ask Price]]*($AF$2^2))</f>
        <v>7.184062705994509</v>
      </c>
      <c r="AH657">
        <v>11.3071100297377</v>
      </c>
      <c r="AI657" s="6">
        <f t="shared" si="41"/>
        <v>0.15909090909090909</v>
      </c>
      <c r="AK657" s="47">
        <f>RATE(Table1[[#This Row],[Total No. of Coupons]],Table1[[#This Row],[Coupon Amount]],-Table1[[#This Row],[Ask Price]],Table1[[#This Row],[Face value]])</f>
        <v>0.22500243438196943</v>
      </c>
      <c r="AL657" s="27">
        <f>Table1[[#This Row],[IRR]]*Table1[[#This Row],[Coupon Frequency2]]</f>
        <v>0.22500243438196943</v>
      </c>
      <c r="AM657" s="5">
        <f t="shared" si="42"/>
        <v>-2111.3157805276946</v>
      </c>
      <c r="AN657" t="s">
        <v>64</v>
      </c>
      <c r="AO657" t="s">
        <v>62</v>
      </c>
      <c r="AP657">
        <f t="shared" si="43"/>
        <v>1</v>
      </c>
    </row>
    <row r="658" spans="1:42" x14ac:dyDescent="0.35">
      <c r="A658" s="48" t="s">
        <v>1858</v>
      </c>
      <c r="B658" s="49" t="s">
        <v>2966</v>
      </c>
      <c r="C658" s="49" t="s">
        <v>2273</v>
      </c>
      <c r="D658" s="50">
        <v>45041</v>
      </c>
      <c r="E658" s="50">
        <v>46137</v>
      </c>
      <c r="F658" s="49">
        <v>1000</v>
      </c>
      <c r="G658" s="49" t="s">
        <v>76</v>
      </c>
      <c r="H658" s="49">
        <v>746.05</v>
      </c>
      <c r="I658" s="49" t="s">
        <v>76</v>
      </c>
      <c r="J658" s="49">
        <v>74.605000000000004</v>
      </c>
      <c r="K658" s="49">
        <v>39</v>
      </c>
      <c r="L658" s="51">
        <v>0.10249999999999999</v>
      </c>
      <c r="M658" s="49" t="s">
        <v>93</v>
      </c>
      <c r="N658" s="49">
        <v>220</v>
      </c>
      <c r="O658" s="49">
        <v>13.7390255344816</v>
      </c>
      <c r="P658" s="49"/>
      <c r="Q658" s="49"/>
      <c r="R658" s="49" t="s">
        <v>2275</v>
      </c>
      <c r="S658">
        <f t="shared" si="40"/>
        <v>3</v>
      </c>
      <c r="T658" s="5" cm="1">
        <f t="array" ref="T6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58">
        <f>Table1[[#This Row],[Term to Maturity (Years)]]*Table1[[#This Row],[Coupon Frequency2]]</f>
        <v>3</v>
      </c>
      <c r="V658">
        <f>Table1[[#This Row],[Face value]]*Table1[[#This Row],[Current coupon %]]</f>
        <v>102.5</v>
      </c>
      <c r="W658" s="36">
        <f>RATE(Table1[[#This Row],[Total No. of Coupons]],Table1[[#This Row],[Coupon Amount]],-Table1[[#This Row],[Ask Price]],Table1[[#This Row],[Face value]])</f>
        <v>0.22846316548776222</v>
      </c>
      <c r="X658" s="27">
        <f>Table1[[#This Row],[IRR]]*Table1[[#This Row],[Coupon Frequency2]]</f>
        <v>0.22846316548776222</v>
      </c>
      <c r="Y658" s="19" cm="1">
        <f t="array" ref="Y6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8" s="33">
        <f>DURATION(Table1[[#This Row],[Issue date]],Table1[[#This Row],[Maturity date]],Table1[[#This Row],[Current coupon %]],Table1[[#This Row],[Yield (Annualised)]],Table1[[#This Row],[Coupon Frequency2]])</f>
        <v>2.6852818590371581</v>
      </c>
      <c r="AA658" s="33">
        <f>Table1[[#This Row],[Macaulay Duration in Years]]/(1+Table1[[#This Row],[IRR]])</f>
        <v>2.1858871592384821</v>
      </c>
      <c r="AB658" s="58">
        <f>VLOOKUP(Table1[[#This Row],[Yield Cluster]],'Cluster Details'!$B$3:$C$16,2,0)</f>
        <v>0.22511770855620161</v>
      </c>
      <c r="AC658" s="78">
        <f>PRICE(Table1[[#This Row],[Issue date]],Table1[[#This Row],[Maturity date]],Table1[[#This Row],[Current coupon %]],Table1[[#This Row],[Average Cluster Yield]],100,Table1[[#This Row],[Coupon Frequency2]])*Table1[[#This Row],[Face value]]/100</f>
        <v>751.53442818029066</v>
      </c>
      <c r="AD658" s="58" t="str">
        <f>IF(Table1[[#This Row],[Ask Price]]&gt;Table1[[#This Row],[Calculated Bond Price]],"Rich","Cheap")</f>
        <v>Cheap</v>
      </c>
      <c r="AE6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729.99429993405897</v>
      </c>
      <c r="AF6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762.61672184714746</v>
      </c>
      <c r="AG658" s="78">
        <f>(Table1[[#This Row],[P (+ shock)]]+Table1[[#This Row],[P (-shock)]]-2*Table1[[#This Row],[Ask Price]])/(2*Table1[[#This Row],[Ask Price]]*($AF$2^2))</f>
        <v>3.4248494149630497</v>
      </c>
      <c r="AH658">
        <v>10.25</v>
      </c>
      <c r="AI658" s="6">
        <f t="shared" si="41"/>
        <v>0.13739025534481603</v>
      </c>
      <c r="AK658" s="47">
        <f>RATE(Table1[[#This Row],[Total No. of Coupons]],Table1[[#This Row],[Coupon Amount]],-Table1[[#This Row],[Ask Price]],Table1[[#This Row],[Face value]])</f>
        <v>0.22846316548776222</v>
      </c>
      <c r="AL658" s="27">
        <f>Table1[[#This Row],[IRR]]*Table1[[#This Row],[Coupon Frequency2]]</f>
        <v>0.22846316548776222</v>
      </c>
      <c r="AM658" s="5">
        <f t="shared" si="42"/>
        <v>-1630.7811151498695</v>
      </c>
      <c r="AN658" t="s">
        <v>64</v>
      </c>
      <c r="AO658" t="s">
        <v>62</v>
      </c>
      <c r="AP658">
        <f t="shared" si="43"/>
        <v>1</v>
      </c>
    </row>
    <row r="659" spans="1:42" x14ac:dyDescent="0.35">
      <c r="A659" s="48" t="s">
        <v>825</v>
      </c>
      <c r="B659" s="49" t="s">
        <v>2967</v>
      </c>
      <c r="C659" s="49" t="s">
        <v>2273</v>
      </c>
      <c r="D659" s="50">
        <v>45239</v>
      </c>
      <c r="E659" s="50">
        <v>47066</v>
      </c>
      <c r="F659" s="49">
        <v>1000</v>
      </c>
      <c r="G659" s="49" t="s">
        <v>76</v>
      </c>
      <c r="H659" s="49">
        <v>642</v>
      </c>
      <c r="I659" s="49" t="s">
        <v>76</v>
      </c>
      <c r="J659" s="49">
        <v>64.2</v>
      </c>
      <c r="K659" s="49">
        <v>50</v>
      </c>
      <c r="L659" s="51">
        <v>0.10150000000000001</v>
      </c>
      <c r="M659" s="49" t="s">
        <v>93</v>
      </c>
      <c r="N659" s="49">
        <v>1149</v>
      </c>
      <c r="O659" s="49">
        <v>15.809968847352</v>
      </c>
      <c r="P659" s="49" t="s">
        <v>2279</v>
      </c>
      <c r="Q659" s="49"/>
      <c r="R659" s="49" t="s">
        <v>2275</v>
      </c>
      <c r="S659">
        <f t="shared" si="40"/>
        <v>5</v>
      </c>
      <c r="T659" s="5" cm="1">
        <f t="array" ref="T6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59">
        <f>Table1[[#This Row],[Term to Maturity (Years)]]*Table1[[#This Row],[Coupon Frequency2]]</f>
        <v>5</v>
      </c>
      <c r="V659">
        <f>Table1[[#This Row],[Face value]]*Table1[[#This Row],[Current coupon %]]</f>
        <v>101.5</v>
      </c>
      <c r="W659" s="36">
        <f>RATE(Table1[[#This Row],[Total No. of Coupons]],Table1[[#This Row],[Coupon Amount]],-Table1[[#This Row],[Ask Price]],Table1[[#This Row],[Face value]])</f>
        <v>0.22890367541195605</v>
      </c>
      <c r="X659" s="27">
        <f>Table1[[#This Row],[IRR]]*Table1[[#This Row],[Coupon Frequency2]]</f>
        <v>0.22890367541195605</v>
      </c>
      <c r="Y659" s="19" cm="1">
        <f t="array" ref="Y6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59" s="33">
        <f>DURATION(Table1[[#This Row],[Issue date]],Table1[[#This Row],[Maturity date]],Table1[[#This Row],[Current coupon %]],Table1[[#This Row],[Yield (Annualised)]],Table1[[#This Row],[Coupon Frequency2]])</f>
        <v>3.9316373274910998</v>
      </c>
      <c r="AA659" s="33">
        <f>Table1[[#This Row],[Macaulay Duration in Years]]/(1+Table1[[#This Row],[IRR]])</f>
        <v>3.1993047186331567</v>
      </c>
      <c r="AB659" s="58">
        <f>VLOOKUP(Table1[[#This Row],[Yield Cluster]],'Cluster Details'!$B$3:$C$16,2,0)</f>
        <v>0.22511770855620161</v>
      </c>
      <c r="AC659" s="78">
        <f>PRICE(Table1[[#This Row],[Issue date]],Table1[[#This Row],[Maturity date]],Table1[[#This Row],[Current coupon %]],Table1[[#This Row],[Average Cluster Yield]],100,Table1[[#This Row],[Coupon Frequency2]])*Table1[[#This Row],[Face value]]/100</f>
        <v>649.84264409930108</v>
      </c>
      <c r="AD659" s="58" t="str">
        <f>IF(Table1[[#This Row],[Ask Price]]&gt;Table1[[#This Row],[Calculated Bond Price]],"Rich","Cheap")</f>
        <v>Cheap</v>
      </c>
      <c r="AE6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621.91258361802397</v>
      </c>
      <c r="AF6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663.0084104327027</v>
      </c>
      <c r="AG659" s="78">
        <f>(Table1[[#This Row],[P (+ shock)]]+Table1[[#This Row],[P (-shock)]]-2*Table1[[#This Row],[Ask Price]])/(2*Table1[[#This Row],[Ask Price]]*($AF$2^2))</f>
        <v>7.1728508623572926</v>
      </c>
      <c r="AH659">
        <v>11.4101015961683</v>
      </c>
      <c r="AI659" s="6">
        <f t="shared" si="41"/>
        <v>0.15809968847352024</v>
      </c>
      <c r="AK659" s="47">
        <f>RATE(Table1[[#This Row],[Total No. of Coupons]],Table1[[#This Row],[Coupon Amount]],-Table1[[#This Row],[Ask Price]],Table1[[#This Row],[Face value]])</f>
        <v>0.22890367541195605</v>
      </c>
      <c r="AL659" s="27">
        <f>Table1[[#This Row],[IRR]]*Table1[[#This Row],[Coupon Frequency2]]</f>
        <v>0.22890367541195605</v>
      </c>
      <c r="AM659" s="5">
        <f t="shared" si="42"/>
        <v>-2053.9536293624865</v>
      </c>
      <c r="AN659" t="s">
        <v>64</v>
      </c>
      <c r="AO659" t="s">
        <v>62</v>
      </c>
      <c r="AP659">
        <f t="shared" si="43"/>
        <v>1</v>
      </c>
    </row>
    <row r="660" spans="1:42" x14ac:dyDescent="0.35">
      <c r="A660" s="48" t="s">
        <v>1870</v>
      </c>
      <c r="B660" s="49" t="s">
        <v>2968</v>
      </c>
      <c r="C660" s="49" t="s">
        <v>2273</v>
      </c>
      <c r="D660" s="50">
        <v>45401</v>
      </c>
      <c r="E660" s="50">
        <v>46131</v>
      </c>
      <c r="F660" s="49">
        <v>1000</v>
      </c>
      <c r="G660" s="49" t="s">
        <v>76</v>
      </c>
      <c r="H660" s="49">
        <v>830.2</v>
      </c>
      <c r="I660" s="49" t="s">
        <v>76</v>
      </c>
      <c r="J660" s="49">
        <v>83.02</v>
      </c>
      <c r="K660" s="49">
        <v>100</v>
      </c>
      <c r="L660" s="51">
        <v>0.11749999999999999</v>
      </c>
      <c r="M660" s="49" t="s">
        <v>93</v>
      </c>
      <c r="N660" s="49">
        <v>214</v>
      </c>
      <c r="O660" s="49">
        <v>14.153216092507799</v>
      </c>
      <c r="P660" s="49"/>
      <c r="Q660" s="49"/>
      <c r="R660" s="49" t="s">
        <v>2275</v>
      </c>
      <c r="S660">
        <f t="shared" si="40"/>
        <v>2</v>
      </c>
      <c r="T660" s="5" cm="1">
        <f t="array" ref="T6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60">
        <f>Table1[[#This Row],[Term to Maturity (Years)]]*Table1[[#This Row],[Coupon Frequency2]]</f>
        <v>2</v>
      </c>
      <c r="V660">
        <f>Table1[[#This Row],[Face value]]*Table1[[#This Row],[Current coupon %]]</f>
        <v>117.5</v>
      </c>
      <c r="W660" s="36">
        <f>RATE(Table1[[#This Row],[Total No. of Coupons]],Table1[[#This Row],[Coupon Amount]],-Table1[[#This Row],[Ask Price]],Table1[[#This Row],[Face value]])</f>
        <v>0.23312102978684526</v>
      </c>
      <c r="X660" s="27">
        <f>Table1[[#This Row],[IRR]]*Table1[[#This Row],[Coupon Frequency2]]</f>
        <v>0.23312102978684526</v>
      </c>
      <c r="Y660" s="19" cm="1">
        <f t="array" ref="Y6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60" s="33">
        <f>DURATION(Table1[[#This Row],[Issue date]],Table1[[#This Row],[Maturity date]],Table1[[#This Row],[Current coupon %]],Table1[[#This Row],[Yield (Annualised)]],Table1[[#This Row],[Coupon Frequency2]])</f>
        <v>1.8852244366073758</v>
      </c>
      <c r="AA660" s="33">
        <f>Table1[[#This Row],[Macaulay Duration in Years]]/(1+Table1[[#This Row],[IRR]])</f>
        <v>1.528823522645828</v>
      </c>
      <c r="AB660" s="58">
        <f>VLOOKUP(Table1[[#This Row],[Yield Cluster]],'Cluster Details'!$B$3:$C$16,2,0)</f>
        <v>0.22511770855620161</v>
      </c>
      <c r="AC660" s="78">
        <f>PRICE(Table1[[#This Row],[Issue date]],Table1[[#This Row],[Maturity date]],Table1[[#This Row],[Current coupon %]],Table1[[#This Row],[Average Cluster Yield]],100,Table1[[#This Row],[Coupon Frequency2]])*Table1[[#This Row],[Face value]]/100</f>
        <v>840.45577240386967</v>
      </c>
      <c r="AD660" s="58" t="str">
        <f>IF(Table1[[#This Row],[Ask Price]]&gt;Table1[[#This Row],[Calculated Bond Price]],"Rich","Cheap")</f>
        <v>Cheap</v>
      </c>
      <c r="AE6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817.6573637691522</v>
      </c>
      <c r="AF6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843.04518700641779</v>
      </c>
      <c r="AG660" s="78">
        <f>(Table1[[#This Row],[P (+ shock)]]+Table1[[#This Row],[P (-shock)]]-2*Table1[[#This Row],[Ask Price]])/(2*Table1[[#This Row],[Ask Price]]*($AF$2^2))</f>
        <v>1.8221559598283434</v>
      </c>
      <c r="AH660">
        <v>9.4284171579460097</v>
      </c>
      <c r="AI660" s="6">
        <f t="shared" si="41"/>
        <v>0.14153216092507828</v>
      </c>
      <c r="AK660" s="47">
        <f>RATE(Table1[[#This Row],[Total No. of Coupons]],Table1[[#This Row],[Coupon Amount]],-Table1[[#This Row],[Ask Price]],Table1[[#This Row],[Face value]])</f>
        <v>0.23312102978684526</v>
      </c>
      <c r="AL660" s="27">
        <f>Table1[[#This Row],[IRR]]*Table1[[#This Row],[Coupon Frequency2]]</f>
        <v>0.23312102978684526</v>
      </c>
      <c r="AM660" s="5">
        <f t="shared" si="42"/>
        <v>-1269.2292885005666</v>
      </c>
      <c r="AN660" t="s">
        <v>64</v>
      </c>
      <c r="AO660" t="s">
        <v>62</v>
      </c>
      <c r="AP660">
        <f t="shared" si="43"/>
        <v>1</v>
      </c>
    </row>
    <row r="661" spans="1:42" x14ac:dyDescent="0.35">
      <c r="A661" s="48" t="s">
        <v>1004</v>
      </c>
      <c r="B661" s="49" t="s">
        <v>2969</v>
      </c>
      <c r="C661" s="49" t="s">
        <v>2273</v>
      </c>
      <c r="D661" s="50">
        <v>45008</v>
      </c>
      <c r="E661" s="50">
        <v>46835</v>
      </c>
      <c r="F661" s="49">
        <v>1000</v>
      </c>
      <c r="G661" s="49" t="s">
        <v>76</v>
      </c>
      <c r="H661" s="49">
        <v>618</v>
      </c>
      <c r="I661" s="49" t="s">
        <v>76</v>
      </c>
      <c r="J661" s="49">
        <v>61.8</v>
      </c>
      <c r="K661" s="49">
        <v>40</v>
      </c>
      <c r="L661" s="51">
        <v>9.6500000000000002E-2</v>
      </c>
      <c r="M661" s="49" t="s">
        <v>93</v>
      </c>
      <c r="N661" s="49">
        <v>918</v>
      </c>
      <c r="O661" s="49">
        <v>15.614886731391501</v>
      </c>
      <c r="P661" s="49" t="s">
        <v>2279</v>
      </c>
      <c r="Q661" s="49"/>
      <c r="R661" s="49" t="s">
        <v>2275</v>
      </c>
      <c r="S661">
        <f t="shared" si="40"/>
        <v>5</v>
      </c>
      <c r="T661" s="5" cm="1">
        <f t="array" ref="T6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61">
        <f>Table1[[#This Row],[Term to Maturity (Years)]]*Table1[[#This Row],[Coupon Frequency2]]</f>
        <v>5</v>
      </c>
      <c r="V661">
        <f>Table1[[#This Row],[Face value]]*Table1[[#This Row],[Current coupon %]]</f>
        <v>96.5</v>
      </c>
      <c r="W661" s="36">
        <f>RATE(Table1[[#This Row],[Total No. of Coupons]],Table1[[#This Row],[Coupon Amount]],-Table1[[#This Row],[Ask Price]],Table1[[#This Row],[Face value]])</f>
        <v>0.23387412712237171</v>
      </c>
      <c r="X661" s="27">
        <f>Table1[[#This Row],[IRR]]*Table1[[#This Row],[Coupon Frequency2]]</f>
        <v>0.23387412712237171</v>
      </c>
      <c r="Y661" s="19" cm="1">
        <f t="array" ref="Y6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61" s="33">
        <f>DURATION(Table1[[#This Row],[Issue date]],Table1[[#This Row],[Maturity date]],Table1[[#This Row],[Current coupon %]],Table1[[#This Row],[Yield (Annualised)]],Table1[[#This Row],[Coupon Frequency2]])</f>
        <v>3.9524834565175047</v>
      </c>
      <c r="AA661" s="33">
        <f>Table1[[#This Row],[Macaulay Duration in Years]]/(1+Table1[[#This Row],[IRR]])</f>
        <v>3.2033117233241977</v>
      </c>
      <c r="AB661" s="58">
        <f>VLOOKUP(Table1[[#This Row],[Yield Cluster]],'Cluster Details'!$B$3:$C$16,2,0)</f>
        <v>0.22511770855620161</v>
      </c>
      <c r="AC661" s="78">
        <f>PRICE(Table1[[#This Row],[Issue date]],Table1[[#This Row],[Maturity date]],Table1[[#This Row],[Current coupon %]],Table1[[#This Row],[Average Cluster Yield]],100,Table1[[#This Row],[Coupon Frequency2]])*Table1[[#This Row],[Face value]]/100</f>
        <v>635.67973168204401</v>
      </c>
      <c r="AD661" s="58" t="str">
        <f>IF(Table1[[#This Row],[Ask Price]]&gt;Table1[[#This Row],[Calculated Bond Price]],"Rich","Cheap")</f>
        <v>Cheap</v>
      </c>
      <c r="AE6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598.63859050865744</v>
      </c>
      <c r="AF6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638.24760067881425</v>
      </c>
      <c r="AG661" s="78">
        <f>(Table1[[#This Row],[P (+ shock)]]+Table1[[#This Row],[P (-shock)]]-2*Table1[[#This Row],[Ask Price]])/(2*Table1[[#This Row],[Ask Price]]*($AF$2^2))</f>
        <v>7.1698316138486664</v>
      </c>
      <c r="AH661">
        <v>14.056296555040801</v>
      </c>
      <c r="AI661" s="6">
        <f t="shared" si="41"/>
        <v>0.15614886731391586</v>
      </c>
      <c r="AK661" s="47">
        <f>RATE(Table1[[#This Row],[Total No. of Coupons]],Table1[[#This Row],[Coupon Amount]],-Table1[[#This Row],[Ask Price]],Table1[[#This Row],[Face value]])</f>
        <v>0.23387412712237171</v>
      </c>
      <c r="AL661" s="27">
        <f>Table1[[#This Row],[IRR]]*Table1[[#This Row],[Coupon Frequency2]]</f>
        <v>0.23387412712237171</v>
      </c>
      <c r="AM661" s="5">
        <f t="shared" si="42"/>
        <v>-1979.6466450143541</v>
      </c>
      <c r="AN661" t="s">
        <v>64</v>
      </c>
      <c r="AO661" t="s">
        <v>62</v>
      </c>
      <c r="AP661">
        <f t="shared" si="43"/>
        <v>1</v>
      </c>
    </row>
    <row r="662" spans="1:42" x14ac:dyDescent="0.35">
      <c r="A662" s="48" t="s">
        <v>1636</v>
      </c>
      <c r="B662" s="49" t="s">
        <v>2970</v>
      </c>
      <c r="C662" s="49" t="s">
        <v>2273</v>
      </c>
      <c r="D662" s="50">
        <v>45231</v>
      </c>
      <c r="E662" s="50">
        <v>46276</v>
      </c>
      <c r="F662" s="49">
        <v>100000</v>
      </c>
      <c r="G662" s="49" t="s">
        <v>76</v>
      </c>
      <c r="H662" s="49">
        <v>104500</v>
      </c>
      <c r="I662" s="49" t="s">
        <v>76</v>
      </c>
      <c r="J662" s="49">
        <v>104.5</v>
      </c>
      <c r="K662" s="49">
        <v>50</v>
      </c>
      <c r="L662" s="51">
        <v>0.13</v>
      </c>
      <c r="M662" s="49" t="s">
        <v>65</v>
      </c>
      <c r="N662" s="49">
        <v>359</v>
      </c>
      <c r="O662" s="49">
        <v>12.4401913875598</v>
      </c>
      <c r="P662" s="49"/>
      <c r="Q662" s="49"/>
      <c r="R662" s="49" t="s">
        <v>2275</v>
      </c>
      <c r="S662">
        <f t="shared" si="40"/>
        <v>3</v>
      </c>
      <c r="T662" s="5" cm="1">
        <f t="array" ref="T6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2</v>
      </c>
      <c r="U662">
        <f>Table1[[#This Row],[Term to Maturity (Years)]]*Table1[[#This Row],[Coupon Frequency2]]</f>
        <v>6</v>
      </c>
      <c r="V662">
        <f>Table1[[#This Row],[Face value]]*Table1[[#This Row],[Current coupon %]]</f>
        <v>13000</v>
      </c>
      <c r="W662" s="36">
        <f>RATE(Table1[[#This Row],[Total No. of Coupons]],Table1[[#This Row],[Coupon Amount]],-Table1[[#This Row],[Ask Price]],Table1[[#This Row],[Face value]])</f>
        <v>0.1190832460366401</v>
      </c>
      <c r="X662" s="27">
        <f>Table1[[#This Row],[IRR]]*Table1[[#This Row],[Coupon Frequency2]]</f>
        <v>0.23816649207328019</v>
      </c>
      <c r="Y662" s="19" cm="1">
        <f t="array" ref="Y6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62" s="33">
        <f>DURATION(Table1[[#This Row],[Issue date]],Table1[[#This Row],[Maturity date]],Table1[[#This Row],[Current coupon %]],Table1[[#This Row],[Yield (Annualised)]],Table1[[#This Row],[Coupon Frequency2]])</f>
        <v>2.3739644932013082</v>
      </c>
      <c r="AA662" s="33">
        <f>Table1[[#This Row],[Macaulay Duration in Years]]/(1+Table1[[#This Row],[IRR]])</f>
        <v>2.1213475419357515</v>
      </c>
      <c r="AB662" s="58">
        <f>VLOOKUP(Table1[[#This Row],[Yield Cluster]],'Cluster Details'!$B$3:$C$16,2,0)</f>
        <v>0.22511770855620161</v>
      </c>
      <c r="AC662" s="78">
        <f>PRICE(Table1[[#This Row],[Issue date]],Table1[[#This Row],[Maturity date]],Table1[[#This Row],[Current coupon %]],Table1[[#This Row],[Average Cluster Yield]],100,Table1[[#This Row],[Coupon Frequency2]])*Table1[[#This Row],[Face value]]/100</f>
        <v>80628.509024121813</v>
      </c>
      <c r="AD662" s="58" t="str">
        <f>IF(Table1[[#This Row],[Ask Price]]&gt;Table1[[#This Row],[Calculated Bond Price]],"Rich","Cheap")</f>
        <v>Rich</v>
      </c>
      <c r="AE6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76690.697663770115</v>
      </c>
      <c r="AF6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80092.739918901236</v>
      </c>
      <c r="AG662" s="78">
        <f>(Table1[[#This Row],[P (+ shock)]]+Table1[[#This Row],[P (-shock)]]-2*Table1[[#This Row],[Ask Price]])/(2*Table1[[#This Row],[Ask Price]]*($AF$2^2))</f>
        <v>-2498.4001156616578</v>
      </c>
      <c r="AI662" s="6">
        <f t="shared" si="41"/>
        <v>0.12440191387559808</v>
      </c>
      <c r="AK662" s="47">
        <f>RATE(Table1[[#This Row],[Total No. of Coupons]],Table1[[#This Row],[Coupon Amount]],-Table1[[#This Row],[Ask Price]],Table1[[#This Row],[Face value]])</f>
        <v>0.1190832460366401</v>
      </c>
      <c r="AL662" s="27">
        <f>Table1[[#This Row],[IRR]]*Table1[[#This Row],[Coupon Frequency2]]</f>
        <v>0.23816649207328019</v>
      </c>
      <c r="AM662" s="5">
        <f t="shared" si="42"/>
        <v>-221680.81813228602</v>
      </c>
      <c r="AN662" t="s">
        <v>64</v>
      </c>
      <c r="AO662" t="s">
        <v>62</v>
      </c>
      <c r="AP662">
        <f t="shared" si="43"/>
        <v>2</v>
      </c>
    </row>
    <row r="663" spans="1:42" x14ac:dyDescent="0.35">
      <c r="A663" s="48" t="s">
        <v>1530</v>
      </c>
      <c r="B663" s="49" t="s">
        <v>2971</v>
      </c>
      <c r="C663" s="49" t="s">
        <v>2273</v>
      </c>
      <c r="D663" s="50">
        <v>45240</v>
      </c>
      <c r="E663" s="50">
        <v>46336</v>
      </c>
      <c r="F663" s="49">
        <v>1000</v>
      </c>
      <c r="G663" s="49" t="s">
        <v>76</v>
      </c>
      <c r="H663" s="49">
        <v>729.85</v>
      </c>
      <c r="I663" s="49" t="s">
        <v>76</v>
      </c>
      <c r="J663" s="49">
        <v>72.984999999999999</v>
      </c>
      <c r="K663" s="49">
        <v>10</v>
      </c>
      <c r="L663" s="51">
        <v>0.10300000000000001</v>
      </c>
      <c r="M663" s="49" t="s">
        <v>93</v>
      </c>
      <c r="N663" s="49">
        <v>419</v>
      </c>
      <c r="O663" s="49">
        <v>14.1124888675755</v>
      </c>
      <c r="P663" s="49"/>
      <c r="Q663" s="49"/>
      <c r="R663" s="49" t="s">
        <v>2275</v>
      </c>
      <c r="S663">
        <f t="shared" si="40"/>
        <v>3</v>
      </c>
      <c r="T663" s="5" cm="1">
        <f t="array" ref="T6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63">
        <f>Table1[[#This Row],[Term to Maturity (Years)]]*Table1[[#This Row],[Coupon Frequency2]]</f>
        <v>3</v>
      </c>
      <c r="V663">
        <f>Table1[[#This Row],[Face value]]*Table1[[#This Row],[Current coupon %]]</f>
        <v>103.00000000000001</v>
      </c>
      <c r="W663" s="36">
        <f>RATE(Table1[[#This Row],[Total No. of Coupons]],Table1[[#This Row],[Coupon Amount]],-Table1[[#This Row],[Ask Price]],Table1[[#This Row],[Face value]])</f>
        <v>0.23918274691880956</v>
      </c>
      <c r="X663" s="27">
        <f>Table1[[#This Row],[IRR]]*Table1[[#This Row],[Coupon Frequency2]]</f>
        <v>0.23918274691880956</v>
      </c>
      <c r="Y663" s="19" cm="1">
        <f t="array" ref="Y6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63" s="33">
        <f>DURATION(Table1[[#This Row],[Issue date]],Table1[[#This Row],[Maturity date]],Table1[[#This Row],[Current coupon %]],Table1[[#This Row],[Yield (Annualised)]],Table1[[#This Row],[Coupon Frequency2]])</f>
        <v>2.6803254148814322</v>
      </c>
      <c r="AA663" s="33">
        <f>Table1[[#This Row],[Macaulay Duration in Years]]/(1+Table1[[#This Row],[IRR]])</f>
        <v>2.1629783190138667</v>
      </c>
      <c r="AB663" s="58">
        <f>VLOOKUP(Table1[[#This Row],[Yield Cluster]],'Cluster Details'!$B$3:$C$16,2,0)</f>
        <v>0.22511770855620161</v>
      </c>
      <c r="AC663" s="78">
        <f>PRICE(Table1[[#This Row],[Issue date]],Table1[[#This Row],[Maturity date]],Table1[[#This Row],[Current coupon %]],Table1[[#This Row],[Average Cluster Yield]],100,Table1[[#This Row],[Coupon Frequency2]])*Table1[[#This Row],[Face value]]/100</f>
        <v>752.54759982876362</v>
      </c>
      <c r="AD663" s="58" t="str">
        <f>IF(Table1[[#This Row],[Ask Price]]&gt;Table1[[#This Row],[Calculated Bond Price]],"Rich","Cheap")</f>
        <v>Cheap</v>
      </c>
      <c r="AE6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714.30531784418611</v>
      </c>
      <c r="AF6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745.88477506628783</v>
      </c>
      <c r="AG663" s="78">
        <f>(Table1[[#This Row],[P (+ shock)]]+Table1[[#This Row],[P (-shock)]]-2*Table1[[#This Row],[Ask Price]])/(2*Table1[[#This Row],[Ask Price]]*($AF$2^2))</f>
        <v>3.3574906520107168</v>
      </c>
      <c r="AH663">
        <v>12.6368613138686</v>
      </c>
      <c r="AI663" s="6">
        <f t="shared" si="41"/>
        <v>0.14112488867575532</v>
      </c>
      <c r="AK663" s="47">
        <f>RATE(Table1[[#This Row],[Total No. of Coupons]],Table1[[#This Row],[Coupon Amount]],-Table1[[#This Row],[Ask Price]],Table1[[#This Row],[Face value]])</f>
        <v>0.23918274691880956</v>
      </c>
      <c r="AL663" s="27">
        <f>Table1[[#This Row],[IRR]]*Table1[[#This Row],[Coupon Frequency2]]</f>
        <v>0.23918274691880956</v>
      </c>
      <c r="AM663" s="5">
        <f t="shared" si="42"/>
        <v>-1578.6497261322706</v>
      </c>
      <c r="AN663" t="s">
        <v>64</v>
      </c>
      <c r="AO663" t="s">
        <v>62</v>
      </c>
      <c r="AP663">
        <f t="shared" si="43"/>
        <v>1</v>
      </c>
    </row>
    <row r="664" spans="1:42" x14ac:dyDescent="0.35">
      <c r="A664" s="48" t="s">
        <v>1003</v>
      </c>
      <c r="B664" s="49" t="s">
        <v>2972</v>
      </c>
      <c r="C664" s="49" t="s">
        <v>2273</v>
      </c>
      <c r="D664" s="50">
        <v>45008</v>
      </c>
      <c r="E664" s="50">
        <v>46835</v>
      </c>
      <c r="F664" s="49">
        <v>1000</v>
      </c>
      <c r="G664" s="49" t="s">
        <v>76</v>
      </c>
      <c r="H664" s="49">
        <v>603.79999999999995</v>
      </c>
      <c r="I664" s="49" t="s">
        <v>76</v>
      </c>
      <c r="J664" s="49">
        <v>60.38</v>
      </c>
      <c r="K664" s="49">
        <v>200</v>
      </c>
      <c r="L664" s="51">
        <v>0.10150000000000001</v>
      </c>
      <c r="M664" s="49" t="s">
        <v>93</v>
      </c>
      <c r="N664" s="49">
        <v>918</v>
      </c>
      <c r="O664" s="49">
        <v>16.810202053660099</v>
      </c>
      <c r="P664" s="49" t="s">
        <v>2279</v>
      </c>
      <c r="Q664" s="49"/>
      <c r="R664" s="49" t="s">
        <v>2275</v>
      </c>
      <c r="S664">
        <f t="shared" si="40"/>
        <v>5</v>
      </c>
      <c r="T664" s="5" cm="1">
        <f t="array" ref="T6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64">
        <f>Table1[[#This Row],[Term to Maturity (Years)]]*Table1[[#This Row],[Coupon Frequency2]]</f>
        <v>5</v>
      </c>
      <c r="V664">
        <f>Table1[[#This Row],[Face value]]*Table1[[#This Row],[Current coupon %]]</f>
        <v>101.5</v>
      </c>
      <c r="W664" s="36">
        <f>RATE(Table1[[#This Row],[Total No. of Coupons]],Table1[[#This Row],[Coupon Amount]],-Table1[[#This Row],[Ask Price]],Table1[[#This Row],[Face value]])</f>
        <v>0.2483177950501973</v>
      </c>
      <c r="X664" s="27">
        <f>Table1[[#This Row],[IRR]]*Table1[[#This Row],[Coupon Frequency2]]</f>
        <v>0.2483177950501973</v>
      </c>
      <c r="Y664" s="19" cm="1">
        <f t="array" ref="Y6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5</v>
      </c>
      <c r="Z664" s="33">
        <f>DURATION(Table1[[#This Row],[Issue date]],Table1[[#This Row],[Maturity date]],Table1[[#This Row],[Current coupon %]],Table1[[#This Row],[Yield (Annualised)]],Table1[[#This Row],[Coupon Frequency2]])</f>
        <v>3.8956624990392865</v>
      </c>
      <c r="AA664" s="33">
        <f>Table1[[#This Row],[Macaulay Duration in Years]]/(1+Table1[[#This Row],[IRR]])</f>
        <v>3.1207297648774079</v>
      </c>
      <c r="AB664" s="58">
        <f>VLOOKUP(Table1[[#This Row],[Yield Cluster]],'Cluster Details'!$B$3:$C$16,2,0)</f>
        <v>0.22511770855620161</v>
      </c>
      <c r="AC664" s="78">
        <f>PRICE(Table1[[#This Row],[Issue date]],Table1[[#This Row],[Maturity date]],Table1[[#This Row],[Current coupon %]],Table1[[#This Row],[Average Cluster Yield]],100,Table1[[#This Row],[Coupon Frequency2]])*Table1[[#This Row],[Face value]]/100</f>
        <v>649.84264409930108</v>
      </c>
      <c r="AD664" s="58" t="str">
        <f>IF(Table1[[#This Row],[Ask Price]]&gt;Table1[[#This Row],[Calculated Bond Price]],"Rich","Cheap")</f>
        <v>Cheap</v>
      </c>
      <c r="AE6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585.36419120083372</v>
      </c>
      <c r="AF6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623.06495076080398</v>
      </c>
      <c r="AG664" s="78">
        <f>(Table1[[#This Row],[P (+ shock)]]+Table1[[#This Row],[P (-shock)]]-2*Table1[[#This Row],[Ask Price]])/(2*Table1[[#This Row],[Ask Price]]*($AF$2^2))</f>
        <v>6.8660314809356411</v>
      </c>
      <c r="AH664">
        <v>12.629587853688999</v>
      </c>
      <c r="AI664" s="6">
        <f t="shared" si="41"/>
        <v>0.16810202053660153</v>
      </c>
      <c r="AK664" s="47">
        <f>RATE(Table1[[#This Row],[Total No. of Coupons]],Table1[[#This Row],[Coupon Amount]],-Table1[[#This Row],[Ask Price]],Table1[[#This Row],[Face value]])</f>
        <v>0.2483177950501973</v>
      </c>
      <c r="AL664" s="27">
        <f>Table1[[#This Row],[IRR]]*Table1[[#This Row],[Coupon Frequency2]]</f>
        <v>0.2483177950501973</v>
      </c>
      <c r="AM664" s="5">
        <f t="shared" si="42"/>
        <v>-1884.2966320329788</v>
      </c>
      <c r="AN664" t="s">
        <v>64</v>
      </c>
      <c r="AO664" t="s">
        <v>62</v>
      </c>
      <c r="AP664">
        <f t="shared" si="43"/>
        <v>1</v>
      </c>
    </row>
    <row r="665" spans="1:42" x14ac:dyDescent="0.35">
      <c r="A665" s="48" t="s">
        <v>385</v>
      </c>
      <c r="B665" s="49" t="s">
        <v>2973</v>
      </c>
      <c r="C665" s="49" t="s">
        <v>2273</v>
      </c>
      <c r="D665" s="50">
        <v>44218</v>
      </c>
      <c r="E665" s="50">
        <v>47870</v>
      </c>
      <c r="F665" s="49">
        <v>1000</v>
      </c>
      <c r="G665" s="49" t="s">
        <v>76</v>
      </c>
      <c r="H665" s="49">
        <v>990</v>
      </c>
      <c r="I665" s="49" t="s">
        <v>76</v>
      </c>
      <c r="J665" s="49">
        <v>99</v>
      </c>
      <c r="K665" s="49">
        <v>110</v>
      </c>
      <c r="L665" s="51">
        <v>6.8199999999999997E-2</v>
      </c>
      <c r="M665" s="49" t="s">
        <v>105</v>
      </c>
      <c r="N665" s="49">
        <v>1953</v>
      </c>
      <c r="O665" s="49">
        <v>6.8888888888888804</v>
      </c>
      <c r="P665" s="49" t="s">
        <v>2282</v>
      </c>
      <c r="Q665" s="49"/>
      <c r="R665" s="49" t="s">
        <v>2275</v>
      </c>
      <c r="S665">
        <f t="shared" si="40"/>
        <v>10</v>
      </c>
      <c r="T665" s="5" cm="1">
        <f t="array" ref="T6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65">
        <f>Table1[[#This Row],[Term to Maturity (Years)]]*Table1[[#This Row],[Coupon Frequency2]]</f>
        <v>40</v>
      </c>
      <c r="V665">
        <f>Table1[[#This Row],[Face value]]*Table1[[#This Row],[Current coupon %]]</f>
        <v>68.2</v>
      </c>
      <c r="W665" s="36">
        <f>RATE(Table1[[#This Row],[Total No. of Coupons]],Table1[[#This Row],[Coupon Amount]],-Table1[[#This Row],[Ask Price]],Table1[[#This Row],[Face value]])</f>
        <v>6.8940884641585695E-2</v>
      </c>
      <c r="X665" s="27">
        <f>Table1[[#This Row],[IRR]]*Table1[[#This Row],[Coupon Frequency2]]</f>
        <v>0.27576353856634278</v>
      </c>
      <c r="Y665" s="19" cm="1">
        <f t="array" ref="Y6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6</v>
      </c>
      <c r="Z665" s="33">
        <f>DURATION(Table1[[#This Row],[Issue date]],Table1[[#This Row],[Maturity date]],Table1[[#This Row],[Current coupon %]],Table1[[#This Row],[Yield (Annualised)]],Table1[[#This Row],[Coupon Frequency2]])</f>
        <v>4.722856290721503</v>
      </c>
      <c r="AA665" s="33">
        <f>Table1[[#This Row],[Macaulay Duration in Years]]/(1+Table1[[#This Row],[IRR]])</f>
        <v>4.4182576965470544</v>
      </c>
      <c r="AB665" s="58">
        <f>VLOOKUP(Table1[[#This Row],[Yield Cluster]],'Cluster Details'!$B$3:$C$16,2,0)</f>
        <v>0.2888624012773941</v>
      </c>
      <c r="AC665" s="78">
        <f>PRICE(Table1[[#This Row],[Issue date]],Table1[[#This Row],[Maturity date]],Table1[[#This Row],[Current coupon %]],Table1[[#This Row],[Average Cluster Yield]],100,Table1[[#This Row],[Coupon Frequency2]])*Table1[[#This Row],[Face value]]/100</f>
        <v>283.06120504649999</v>
      </c>
      <c r="AD665" s="58" t="str">
        <f>IF(Table1[[#This Row],[Ask Price]]&gt;Table1[[#This Row],[Calculated Bond Price]],"Rich","Cheap")</f>
        <v>Rich</v>
      </c>
      <c r="AE6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286.83707570092264</v>
      </c>
      <c r="AF6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313.33958520283903</v>
      </c>
      <c r="AG665" s="78">
        <f>(Table1[[#This Row],[P (+ shock)]]+Table1[[#This Row],[P (-shock)]]-2*Table1[[#This Row],[Ask Price]])/(2*Table1[[#This Row],[Ask Price]]*($AF$2^2))</f>
        <v>-6968.8047429102935</v>
      </c>
      <c r="AH665">
        <v>10.7</v>
      </c>
      <c r="AI665" s="6">
        <f t="shared" si="41"/>
        <v>6.8888888888888888E-2</v>
      </c>
      <c r="AK665" s="47">
        <f>RATE(Table1[[#This Row],[Total No. of Coupons]],Table1[[#This Row],[Coupon Amount]],-Table1[[#This Row],[Ask Price]],Table1[[#This Row],[Face value]])</f>
        <v>6.8940884641585695E-2</v>
      </c>
      <c r="AL665" s="27">
        <f>Table1[[#This Row],[IRR]]*Table1[[#This Row],[Coupon Frequency2]]</f>
        <v>0.27576353856634278</v>
      </c>
      <c r="AM665" s="5">
        <f t="shared" si="42"/>
        <v>-4374.0751195815837</v>
      </c>
      <c r="AN665" t="s">
        <v>64</v>
      </c>
      <c r="AO665" t="s">
        <v>62</v>
      </c>
      <c r="AP665">
        <f t="shared" si="43"/>
        <v>4</v>
      </c>
    </row>
    <row r="666" spans="1:42" x14ac:dyDescent="0.35">
      <c r="A666" s="48" t="s">
        <v>106</v>
      </c>
      <c r="B666" s="49" t="s">
        <v>2974</v>
      </c>
      <c r="C666" s="49" t="s">
        <v>2273</v>
      </c>
      <c r="D666" s="50">
        <v>44218</v>
      </c>
      <c r="E666" s="50">
        <v>49696</v>
      </c>
      <c r="F666" s="49">
        <v>1000</v>
      </c>
      <c r="G666" s="49" t="s">
        <v>76</v>
      </c>
      <c r="H666" s="49">
        <v>977.87</v>
      </c>
      <c r="I666" s="49" t="s">
        <v>76</v>
      </c>
      <c r="J666" s="49">
        <v>97.787000000000006</v>
      </c>
      <c r="K666" s="49">
        <v>1144</v>
      </c>
      <c r="L666" s="51">
        <v>6.9699999999999998E-2</v>
      </c>
      <c r="M666" s="49" t="s">
        <v>105</v>
      </c>
      <c r="N666" s="49">
        <v>3779</v>
      </c>
      <c r="O666" s="49">
        <v>7.1277368157321499</v>
      </c>
      <c r="P666" s="49" t="s">
        <v>2282</v>
      </c>
      <c r="Q666" s="49"/>
      <c r="R666" s="49" t="s">
        <v>2275</v>
      </c>
      <c r="S666">
        <f t="shared" si="40"/>
        <v>15</v>
      </c>
      <c r="T666" s="5" cm="1">
        <f t="array" ref="T6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66">
        <f>Table1[[#This Row],[Term to Maturity (Years)]]*Table1[[#This Row],[Coupon Frequency2]]</f>
        <v>60</v>
      </c>
      <c r="V666">
        <f>Table1[[#This Row],[Face value]]*Table1[[#This Row],[Current coupon %]]</f>
        <v>69.7</v>
      </c>
      <c r="W666" s="36">
        <f>RATE(Table1[[#This Row],[Total No. of Coupons]],Table1[[#This Row],[Coupon Amount]],-Table1[[#This Row],[Ask Price]],Table1[[#This Row],[Face value]])</f>
        <v>7.1303675665695773E-2</v>
      </c>
      <c r="X666" s="27">
        <f>Table1[[#This Row],[IRR]]*Table1[[#This Row],[Coupon Frequency2]]</f>
        <v>0.28521470266278309</v>
      </c>
      <c r="Y666" s="19" cm="1">
        <f t="array" ref="Y6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6</v>
      </c>
      <c r="Z666" s="33">
        <f>DURATION(Table1[[#This Row],[Issue date]],Table1[[#This Row],[Maturity date]],Table1[[#This Row],[Current coupon %]],Table1[[#This Row],[Yield (Annualised)]],Table1[[#This Row],[Coupon Frequency2]])</f>
        <v>4.2300733981470504</v>
      </c>
      <c r="AA666" s="33">
        <f>Table1[[#This Row],[Macaulay Duration in Years]]/(1+Table1[[#This Row],[IRR]])</f>
        <v>3.9485287824841371</v>
      </c>
      <c r="AB666" s="58">
        <f>VLOOKUP(Table1[[#This Row],[Yield Cluster]],'Cluster Details'!$B$3:$C$16,2,0)</f>
        <v>0.2888624012773941</v>
      </c>
      <c r="AC666" s="78">
        <f>PRICE(Table1[[#This Row],[Issue date]],Table1[[#This Row],[Maturity date]],Table1[[#This Row],[Current coupon %]],Table1[[#This Row],[Average Cluster Yield]],100,Table1[[#This Row],[Coupon Frequency2]])*Table1[[#This Row],[Face value]]/100</f>
        <v>252.85640994205551</v>
      </c>
      <c r="AD666" s="58" t="str">
        <f>IF(Table1[[#This Row],[Ask Price]]&gt;Table1[[#This Row],[Calculated Bond Price]],"Rich","Cheap")</f>
        <v>Rich</v>
      </c>
      <c r="AE6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246.75411280525742</v>
      </c>
      <c r="AF6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267.03826946146643</v>
      </c>
      <c r="AG666" s="78">
        <f>(Table1[[#This Row],[P (+ shock)]]+Table1[[#This Row],[P (-shock)]]-2*Table1[[#This Row],[Ask Price]])/(2*Table1[[#This Row],[Ask Price]]*($AF$2^2))</f>
        <v>-7372.9003739417112</v>
      </c>
      <c r="AH666">
        <v>10.1943767267999</v>
      </c>
      <c r="AI666" s="6">
        <f t="shared" si="41"/>
        <v>7.1277368157321525E-2</v>
      </c>
      <c r="AK666" s="47">
        <f>RATE(Table1[[#This Row],[Total No. of Coupons]],Table1[[#This Row],[Coupon Amount]],-Table1[[#This Row],[Ask Price]],Table1[[#This Row],[Face value]])</f>
        <v>7.1303675665695773E-2</v>
      </c>
      <c r="AL666" s="27">
        <f>Table1[[#This Row],[IRR]]*Table1[[#This Row],[Coupon Frequency2]]</f>
        <v>0.28521470266278309</v>
      </c>
      <c r="AM666" s="5">
        <f t="shared" si="42"/>
        <v>-3861.147840527763</v>
      </c>
      <c r="AN666" t="s">
        <v>64</v>
      </c>
      <c r="AO666" t="s">
        <v>62</v>
      </c>
      <c r="AP666">
        <f t="shared" si="43"/>
        <v>4</v>
      </c>
    </row>
    <row r="667" spans="1:42" x14ac:dyDescent="0.35">
      <c r="A667" s="48" t="s">
        <v>387</v>
      </c>
      <c r="B667" s="49" t="s">
        <v>2975</v>
      </c>
      <c r="C667" s="49" t="s">
        <v>2273</v>
      </c>
      <c r="D667" s="50">
        <v>44218</v>
      </c>
      <c r="E667" s="50">
        <v>47870</v>
      </c>
      <c r="F667" s="49">
        <v>1000</v>
      </c>
      <c r="G667" s="49" t="s">
        <v>76</v>
      </c>
      <c r="H667" s="49">
        <v>901.40002000000004</v>
      </c>
      <c r="I667" s="49" t="s">
        <v>76</v>
      </c>
      <c r="J667" s="49">
        <v>90.140001999999996</v>
      </c>
      <c r="K667" s="49">
        <v>2192</v>
      </c>
      <c r="L667" s="51">
        <v>6.6299999999999998E-2</v>
      </c>
      <c r="M667" s="49" t="s">
        <v>105</v>
      </c>
      <c r="N667" s="49">
        <v>1953</v>
      </c>
      <c r="O667" s="49">
        <v>7.3552250420407104</v>
      </c>
      <c r="P667" s="49" t="s">
        <v>2282</v>
      </c>
      <c r="Q667" s="49"/>
      <c r="R667" s="49" t="s">
        <v>2275</v>
      </c>
      <c r="S667">
        <f t="shared" si="40"/>
        <v>10</v>
      </c>
      <c r="T667" s="5" cm="1">
        <f t="array" ref="T6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67">
        <f>Table1[[#This Row],[Term to Maturity (Years)]]*Table1[[#This Row],[Coupon Frequency2]]</f>
        <v>40</v>
      </c>
      <c r="V667">
        <f>Table1[[#This Row],[Face value]]*Table1[[#This Row],[Current coupon %]]</f>
        <v>66.3</v>
      </c>
      <c r="W667" s="36">
        <f>RATE(Table1[[#This Row],[Total No. of Coupons]],Table1[[#This Row],[Coupon Amount]],-Table1[[#This Row],[Ask Price]],Table1[[#This Row],[Face value]])</f>
        <v>7.4045687975412874E-2</v>
      </c>
      <c r="X667" s="27">
        <f>Table1[[#This Row],[IRR]]*Table1[[#This Row],[Coupon Frequency2]]</f>
        <v>0.2961827519016515</v>
      </c>
      <c r="Y667" s="19" cm="1">
        <f t="array" ref="Y6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6</v>
      </c>
      <c r="Z667" s="33">
        <f>DURATION(Table1[[#This Row],[Issue date]],Table1[[#This Row],[Maturity date]],Table1[[#This Row],[Current coupon %]],Table1[[#This Row],[Yield (Annualised)]],Table1[[#This Row],[Coupon Frequency2]])</f>
        <v>4.5109564677271052</v>
      </c>
      <c r="AA667" s="33">
        <f>Table1[[#This Row],[Macaulay Duration in Years]]/(1+Table1[[#This Row],[IRR]])</f>
        <v>4.1999670202394324</v>
      </c>
      <c r="AB667" s="58">
        <f>VLOOKUP(Table1[[#This Row],[Yield Cluster]],'Cluster Details'!$B$3:$C$16,2,0)</f>
        <v>0.2888624012773941</v>
      </c>
      <c r="AC667" s="78">
        <f>PRICE(Table1[[#This Row],[Issue date]],Table1[[#This Row],[Maturity date]],Table1[[#This Row],[Current coupon %]],Table1[[#This Row],[Average Cluster Yield]],100,Table1[[#This Row],[Coupon Frequency2]])*Table1[[#This Row],[Face value]]/100</f>
        <v>276.88804775950376</v>
      </c>
      <c r="AD667" s="58" t="str">
        <f>IF(Table1[[#This Row],[Ask Price]]&gt;Table1[[#This Row],[Calculated Bond Price]],"Rich","Cheap")</f>
        <v>Rich</v>
      </c>
      <c r="AE6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257.53128524503427</v>
      </c>
      <c r="AF6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280.10076184016964</v>
      </c>
      <c r="AG667" s="78">
        <f>(Table1[[#This Row],[P (+ shock)]]+Table1[[#This Row],[P (-shock)]]-2*Table1[[#This Row],[Ask Price]])/(2*Table1[[#This Row],[Ask Price]]*($AF$2^2))</f>
        <v>-7017.7943468139492</v>
      </c>
      <c r="AH667">
        <v>8.9618937212520091</v>
      </c>
      <c r="AI667" s="6">
        <f t="shared" si="41"/>
        <v>7.3552250420407125E-2</v>
      </c>
      <c r="AK667" s="47">
        <f>RATE(Table1[[#This Row],[Total No. of Coupons]],Table1[[#This Row],[Coupon Amount]],-Table1[[#This Row],[Ask Price]],Table1[[#This Row],[Face value]])</f>
        <v>7.4045687975412874E-2</v>
      </c>
      <c r="AL667" s="27">
        <f>Table1[[#This Row],[IRR]]*Table1[[#This Row],[Coupon Frequency2]]</f>
        <v>0.2961827519016515</v>
      </c>
      <c r="AM667" s="5">
        <f t="shared" si="42"/>
        <v>-3785.850356043165</v>
      </c>
      <c r="AN667" t="s">
        <v>64</v>
      </c>
      <c r="AO667" t="s">
        <v>62</v>
      </c>
      <c r="AP667">
        <f t="shared" si="43"/>
        <v>4</v>
      </c>
    </row>
    <row r="668" spans="1:42" x14ac:dyDescent="0.35">
      <c r="A668" s="48" t="s">
        <v>1840</v>
      </c>
      <c r="B668" s="49" t="s">
        <v>2976</v>
      </c>
      <c r="C668" s="49" t="s">
        <v>2273</v>
      </c>
      <c r="D668" s="50">
        <v>44959</v>
      </c>
      <c r="E668" s="50">
        <v>46144</v>
      </c>
      <c r="F668" s="49">
        <v>1000</v>
      </c>
      <c r="G668" s="49" t="s">
        <v>76</v>
      </c>
      <c r="H668" s="49">
        <v>1170</v>
      </c>
      <c r="I668" s="49" t="s">
        <v>76</v>
      </c>
      <c r="J668" s="49">
        <v>117</v>
      </c>
      <c r="K668" s="49">
        <v>70</v>
      </c>
      <c r="L668" s="51">
        <v>9.6500000000000002E-2</v>
      </c>
      <c r="M668" s="49" t="s">
        <v>105</v>
      </c>
      <c r="N668" s="49">
        <v>227</v>
      </c>
      <c r="O668" s="49">
        <v>8.2478632478632399</v>
      </c>
      <c r="P668" s="49"/>
      <c r="Q668" s="49"/>
      <c r="R668" s="49" t="s">
        <v>2275</v>
      </c>
      <c r="S668">
        <f t="shared" si="40"/>
        <v>3</v>
      </c>
      <c r="T668" s="5" cm="1">
        <f t="array" ref="T6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68">
        <f>Table1[[#This Row],[Term to Maturity (Years)]]*Table1[[#This Row],[Coupon Frequency2]]</f>
        <v>12</v>
      </c>
      <c r="V668">
        <f>Table1[[#This Row],[Face value]]*Table1[[#This Row],[Current coupon %]]</f>
        <v>96.5</v>
      </c>
      <c r="W668" s="36">
        <f>RATE(Table1[[#This Row],[Total No. of Coupons]],Table1[[#This Row],[Coupon Amount]],-Table1[[#This Row],[Ask Price]],Table1[[#This Row],[Face value]])</f>
        <v>7.457215299469977E-2</v>
      </c>
      <c r="X668" s="27">
        <f>Table1[[#This Row],[IRR]]*Table1[[#This Row],[Coupon Frequency2]]</f>
        <v>0.29828861197879908</v>
      </c>
      <c r="Y668" s="19" cm="1">
        <f t="array" ref="Y6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6</v>
      </c>
      <c r="Z668" s="33">
        <f>DURATION(Table1[[#This Row],[Issue date]],Table1[[#This Row],[Maturity date]],Table1[[#This Row],[Current coupon %]],Table1[[#This Row],[Yield (Annualised)]],Table1[[#This Row],[Coupon Frequency2]])</f>
        <v>2.6668779101082429</v>
      </c>
      <c r="AA668" s="33">
        <f>Table1[[#This Row],[Macaulay Duration in Years]]/(1+Table1[[#This Row],[IRR]])</f>
        <v>2.4818044118079774</v>
      </c>
      <c r="AB668" s="58">
        <f>VLOOKUP(Table1[[#This Row],[Yield Cluster]],'Cluster Details'!$B$3:$C$16,2,0)</f>
        <v>0.2888624012773941</v>
      </c>
      <c r="AC668" s="78">
        <f>PRICE(Table1[[#This Row],[Issue date]],Table1[[#This Row],[Maturity date]],Table1[[#This Row],[Current coupon %]],Table1[[#This Row],[Average Cluster Yield]],100,Table1[[#This Row],[Coupon Frequency2]])*Table1[[#This Row],[Face value]]/100</f>
        <v>603.07485816556812</v>
      </c>
      <c r="AD668" s="58" t="str">
        <f>IF(Table1[[#This Row],[Ask Price]]&gt;Table1[[#This Row],[Calculated Bond Price]],"Rich","Cheap")</f>
        <v>Rich</v>
      </c>
      <c r="AE6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574.69368693961485</v>
      </c>
      <c r="AF6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603.93900350214517</v>
      </c>
      <c r="AG668" s="78">
        <f>(Table1[[#This Row],[P (+ shock)]]+Table1[[#This Row],[P (-shock)]]-2*Table1[[#This Row],[Ask Price]])/(2*Table1[[#This Row],[Ask Price]]*($AF$2^2))</f>
        <v>-4963.1081605052987</v>
      </c>
      <c r="AH668">
        <v>11.6877099063154</v>
      </c>
      <c r="AI668" s="6">
        <f t="shared" si="41"/>
        <v>8.2478632478632477E-2</v>
      </c>
      <c r="AK668" s="47">
        <f>RATE(Table1[[#This Row],[Total No. of Coupons]],Table1[[#This Row],[Coupon Amount]],-Table1[[#This Row],[Ask Price]],Table1[[#This Row],[Face value]])</f>
        <v>7.457215299469977E-2</v>
      </c>
      <c r="AL668" s="27">
        <f>Table1[[#This Row],[IRR]]*Table1[[#This Row],[Coupon Frequency2]]</f>
        <v>0.29828861197879908</v>
      </c>
      <c r="AM668" s="5">
        <f t="shared" si="42"/>
        <v>-2903.7111618153335</v>
      </c>
      <c r="AN668" t="s">
        <v>64</v>
      </c>
      <c r="AO668" t="s">
        <v>62</v>
      </c>
      <c r="AP668">
        <f t="shared" si="43"/>
        <v>4</v>
      </c>
    </row>
    <row r="669" spans="1:42" x14ac:dyDescent="0.35">
      <c r="A669" s="48" t="s">
        <v>786</v>
      </c>
      <c r="B669" s="49" t="s">
        <v>2977</v>
      </c>
      <c r="C669" s="49" t="s">
        <v>2273</v>
      </c>
      <c r="D669" s="50">
        <v>45287</v>
      </c>
      <c r="E669" s="50">
        <v>47114</v>
      </c>
      <c r="F669" s="49">
        <v>1000</v>
      </c>
      <c r="G669" s="49" t="s">
        <v>76</v>
      </c>
      <c r="H669" s="49">
        <v>1199.77</v>
      </c>
      <c r="I669" s="49" t="s">
        <v>76</v>
      </c>
      <c r="J669" s="49">
        <v>119.977</v>
      </c>
      <c r="K669" s="49">
        <v>10</v>
      </c>
      <c r="L669" s="51">
        <v>9.6500000000000002E-2</v>
      </c>
      <c r="M669" s="49" t="s">
        <v>105</v>
      </c>
      <c r="N669" s="49">
        <v>1197</v>
      </c>
      <c r="O669" s="49">
        <v>8.0432082815872992</v>
      </c>
      <c r="P669" s="49"/>
      <c r="Q669" s="49"/>
      <c r="R669" s="49" t="s">
        <v>2275</v>
      </c>
      <c r="S669">
        <f t="shared" si="40"/>
        <v>5</v>
      </c>
      <c r="T669" s="5" cm="1">
        <f t="array" ref="T6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69">
        <f>Table1[[#This Row],[Term to Maturity (Years)]]*Table1[[#This Row],[Coupon Frequency2]]</f>
        <v>20</v>
      </c>
      <c r="V669">
        <f>Table1[[#This Row],[Face value]]*Table1[[#This Row],[Current coupon %]]</f>
        <v>96.5</v>
      </c>
      <c r="W669" s="36">
        <f>RATE(Table1[[#This Row],[Total No. of Coupons]],Table1[[#This Row],[Coupon Amount]],-Table1[[#This Row],[Ask Price]],Table1[[#This Row],[Face value]])</f>
        <v>7.6656582949766267E-2</v>
      </c>
      <c r="X669" s="27">
        <f>Table1[[#This Row],[IRR]]*Table1[[#This Row],[Coupon Frequency2]]</f>
        <v>0.30662633179906507</v>
      </c>
      <c r="Y669" s="19" cm="1">
        <f t="array" ref="Y6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69" s="33">
        <f>DURATION(Table1[[#This Row],[Issue date]],Table1[[#This Row],[Maturity date]],Table1[[#This Row],[Current coupon %]],Table1[[#This Row],[Yield (Annualised)]],Table1[[#This Row],[Coupon Frequency2]])</f>
        <v>3.4701760773886567</v>
      </c>
      <c r="AA669" s="33">
        <f>Table1[[#This Row],[Macaulay Duration in Years]]/(1+Table1[[#This Row],[IRR]])</f>
        <v>3.2231039426529611</v>
      </c>
      <c r="AB669" s="58">
        <f>VLOOKUP(Table1[[#This Row],[Yield Cluster]],'Cluster Details'!$B$3:$C$16,2,0)</f>
        <v>0.32941592255780572</v>
      </c>
      <c r="AC669" s="78">
        <f>PRICE(Table1[[#This Row],[Issue date]],Table1[[#This Row],[Maturity date]],Table1[[#This Row],[Current coupon %]],Table1[[#This Row],[Average Cluster Yield]],100,Table1[[#This Row],[Coupon Frequency2]])*Table1[[#This Row],[Face value]]/100</f>
        <v>438.17670373021872</v>
      </c>
      <c r="AD669" s="58" t="str">
        <f>IF(Table1[[#This Row],[Ask Price]]&gt;Table1[[#This Row],[Calculated Bond Price]],"Rich","Cheap")</f>
        <v>Rich</v>
      </c>
      <c r="AE6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456.28370267928273</v>
      </c>
      <c r="AF6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486.66535090308179</v>
      </c>
      <c r="AG669" s="78">
        <f>(Table1[[#This Row],[P (+ shock)]]+Table1[[#This Row],[P (-shock)]]-2*Table1[[#This Row],[Ask Price]])/(2*Table1[[#This Row],[Ask Price]]*($AF$2^2))</f>
        <v>-6070.2924161199044</v>
      </c>
      <c r="AH669">
        <v>10.567000101763799</v>
      </c>
      <c r="AI669" s="6">
        <f t="shared" si="41"/>
        <v>8.0432082815873038E-2</v>
      </c>
      <c r="AK669" s="47">
        <f>RATE(Table1[[#This Row],[Total No. of Coupons]],Table1[[#This Row],[Coupon Amount]],-Table1[[#This Row],[Ask Price]],Table1[[#This Row],[Face value]])</f>
        <v>7.6656582949766267E-2</v>
      </c>
      <c r="AL669" s="27">
        <f>Table1[[#This Row],[IRR]]*Table1[[#This Row],[Coupon Frequency2]]</f>
        <v>0.30662633179906507</v>
      </c>
      <c r="AM669" s="5">
        <f t="shared" si="42"/>
        <v>-3866.9834172767432</v>
      </c>
      <c r="AN669" t="s">
        <v>64</v>
      </c>
      <c r="AO669" t="s">
        <v>62</v>
      </c>
      <c r="AP669">
        <f t="shared" si="43"/>
        <v>4</v>
      </c>
    </row>
    <row r="670" spans="1:42" x14ac:dyDescent="0.35">
      <c r="A670" s="48" t="s">
        <v>951</v>
      </c>
      <c r="B670" s="49" t="s">
        <v>2978</v>
      </c>
      <c r="C670" s="49" t="s">
        <v>2273</v>
      </c>
      <c r="D670" s="50">
        <v>44322</v>
      </c>
      <c r="E670" s="50">
        <v>46879</v>
      </c>
      <c r="F670" s="49">
        <v>1000</v>
      </c>
      <c r="G670" s="49" t="s">
        <v>76</v>
      </c>
      <c r="H670" s="49">
        <v>1000</v>
      </c>
      <c r="I670" s="49" t="s">
        <v>76</v>
      </c>
      <c r="J670" s="49">
        <v>100</v>
      </c>
      <c r="K670" s="49">
        <v>125</v>
      </c>
      <c r="L670" s="51">
        <v>7.690000000000001E-2</v>
      </c>
      <c r="M670" s="49" t="s">
        <v>105</v>
      </c>
      <c r="N670" s="49">
        <v>962</v>
      </c>
      <c r="O670" s="49">
        <v>7.69</v>
      </c>
      <c r="P670" s="49"/>
      <c r="Q670" s="49"/>
      <c r="R670" s="49" t="s">
        <v>2275</v>
      </c>
      <c r="S670">
        <f t="shared" si="40"/>
        <v>7</v>
      </c>
      <c r="T670" s="5" cm="1">
        <f t="array" ref="T6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0">
        <f>Table1[[#This Row],[Term to Maturity (Years)]]*Table1[[#This Row],[Coupon Frequency2]]</f>
        <v>28</v>
      </c>
      <c r="V670">
        <f>Table1[[#This Row],[Face value]]*Table1[[#This Row],[Current coupon %]]</f>
        <v>76.900000000000006</v>
      </c>
      <c r="W670" s="36">
        <f>RATE(Table1[[#This Row],[Total No. of Coupons]],Table1[[#This Row],[Coupon Amount]],-Table1[[#This Row],[Ask Price]],Table1[[#This Row],[Face value]])</f>
        <v>7.690000000000001E-2</v>
      </c>
      <c r="X670" s="27">
        <f>Table1[[#This Row],[IRR]]*Table1[[#This Row],[Coupon Frequency2]]</f>
        <v>0.30760000000000004</v>
      </c>
      <c r="Y670" s="19" cm="1">
        <f t="array" ref="Y6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0" s="33">
        <f>DURATION(Table1[[#This Row],[Issue date]],Table1[[#This Row],[Maturity date]],Table1[[#This Row],[Current coupon %]],Table1[[#This Row],[Yield (Annualised)]],Table1[[#This Row],[Coupon Frequency2]])</f>
        <v>4.1393081601865003</v>
      </c>
      <c r="AA670" s="33">
        <f>Table1[[#This Row],[Macaulay Duration in Years]]/(1+Table1[[#This Row],[IRR]])</f>
        <v>3.8437256571515466</v>
      </c>
      <c r="AB670" s="58">
        <f>VLOOKUP(Table1[[#This Row],[Yield Cluster]],'Cluster Details'!$B$3:$C$16,2,0)</f>
        <v>0.32941592255780572</v>
      </c>
      <c r="AC670" s="78">
        <f>PRICE(Table1[[#This Row],[Issue date]],Table1[[#This Row],[Maturity date]],Table1[[#This Row],[Current coupon %]],Table1[[#This Row],[Average Cluster Yield]],100,Table1[[#This Row],[Coupon Frequency2]])*Table1[[#This Row],[Face value]]/100</f>
        <v>317.04290056066242</v>
      </c>
      <c r="AD670" s="58" t="str">
        <f>IF(Table1[[#This Row],[Ask Price]]&gt;Table1[[#This Row],[Calculated Bond Price]],"Rich","Cheap")</f>
        <v>Rich</v>
      </c>
      <c r="AE6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331.35376250118713</v>
      </c>
      <c r="AF6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357.83144801378637</v>
      </c>
      <c r="AG670" s="78">
        <f>(Table1[[#This Row],[P (+ shock)]]+Table1[[#This Row],[P (-shock)]]-2*Table1[[#This Row],[Ask Price]])/(2*Table1[[#This Row],[Ask Price]]*($AF$2^2))</f>
        <v>-6554.0739474251322</v>
      </c>
      <c r="AH670">
        <v>4.7421698708731199</v>
      </c>
      <c r="AI670" s="6">
        <f t="shared" si="41"/>
        <v>7.690000000000001E-2</v>
      </c>
      <c r="AK670" s="47">
        <f>RATE(Table1[[#This Row],[Total No. of Coupons]],Table1[[#This Row],[Coupon Amount]],-Table1[[#This Row],[Ask Price]],Table1[[#This Row],[Face value]])</f>
        <v>7.690000000000001E-2</v>
      </c>
      <c r="AL670" s="27">
        <f>Table1[[#This Row],[IRR]]*Table1[[#This Row],[Coupon Frequency2]]</f>
        <v>0.30760000000000004</v>
      </c>
      <c r="AM670" s="5">
        <f t="shared" si="42"/>
        <v>-3843.7256571515468</v>
      </c>
      <c r="AN670" t="s">
        <v>64</v>
      </c>
      <c r="AO670" t="s">
        <v>62</v>
      </c>
      <c r="AP670">
        <f t="shared" si="43"/>
        <v>4</v>
      </c>
    </row>
    <row r="671" spans="1:42" x14ac:dyDescent="0.35">
      <c r="A671" s="48" t="s">
        <v>331</v>
      </c>
      <c r="B671" s="49" t="s">
        <v>2979</v>
      </c>
      <c r="C671" s="49" t="s">
        <v>2273</v>
      </c>
      <c r="D671" s="50">
        <v>44375</v>
      </c>
      <c r="E671" s="50">
        <v>48026</v>
      </c>
      <c r="F671" s="49">
        <v>1000000</v>
      </c>
      <c r="G671" s="49" t="s">
        <v>76</v>
      </c>
      <c r="H671" s="49">
        <v>939275</v>
      </c>
      <c r="I671" s="49" t="s">
        <v>76</v>
      </c>
      <c r="J671" s="49">
        <v>93.927499999999995</v>
      </c>
      <c r="K671" s="49">
        <v>9</v>
      </c>
      <c r="L671" s="51">
        <v>7.3200000000000001E-2</v>
      </c>
      <c r="M671" s="49" t="s">
        <v>105</v>
      </c>
      <c r="N671" s="49">
        <v>2109</v>
      </c>
      <c r="O671" s="49">
        <v>7.7932447898645201</v>
      </c>
      <c r="P671" s="49"/>
      <c r="Q671" s="49"/>
      <c r="R671" s="49" t="s">
        <v>2275</v>
      </c>
      <c r="S671">
        <f t="shared" si="40"/>
        <v>10</v>
      </c>
      <c r="T671" s="5" cm="1">
        <f t="array" ref="T6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1">
        <f>Table1[[#This Row],[Term to Maturity (Years)]]*Table1[[#This Row],[Coupon Frequency2]]</f>
        <v>40</v>
      </c>
      <c r="V671">
        <f>Table1[[#This Row],[Face value]]*Table1[[#This Row],[Current coupon %]]</f>
        <v>73200</v>
      </c>
      <c r="W671" s="36">
        <f>RATE(Table1[[#This Row],[Total No. of Coupons]],Table1[[#This Row],[Coupon Amount]],-Table1[[#This Row],[Ask Price]],Table1[[#This Row],[Face value]])</f>
        <v>7.8194139150804351E-2</v>
      </c>
      <c r="X671" s="27">
        <f>Table1[[#This Row],[IRR]]*Table1[[#This Row],[Coupon Frequency2]]</f>
        <v>0.3127765566032174</v>
      </c>
      <c r="Y671" s="19" cm="1">
        <f t="array" ref="Y6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1" s="33">
        <f>DURATION(Table1[[#This Row],[Issue date]],Table1[[#This Row],[Maturity date]],Table1[[#This Row],[Current coupon %]],Table1[[#This Row],[Yield (Annualised)]],Table1[[#This Row],[Coupon Frequency2]])</f>
        <v>4.20738565074471</v>
      </c>
      <c r="AA671" s="33">
        <f>Table1[[#This Row],[Macaulay Duration in Years]]/(1+Table1[[#This Row],[IRR]])</f>
        <v>3.9022523847685595</v>
      </c>
      <c r="AB671" s="58">
        <f>VLOOKUP(Table1[[#This Row],[Yield Cluster]],'Cluster Details'!$B$3:$C$16,2,0)</f>
        <v>0.32941592255780572</v>
      </c>
      <c r="AC671" s="78">
        <f>PRICE(Table1[[#This Row],[Issue date]],Table1[[#This Row],[Maturity date]],Table1[[#This Row],[Current coupon %]],Table1[[#This Row],[Average Cluster Yield]],100,Table1[[#This Row],[Coupon Frequency2]])*Table1[[#This Row],[Face value]]/100</f>
        <v>255048.73274542915</v>
      </c>
      <c r="AD671" s="58" t="str">
        <f>IF(Table1[[#This Row],[Ask Price]]&gt;Table1[[#This Row],[Calculated Bond Price]],"Rich","Cheap")</f>
        <v>Rich</v>
      </c>
      <c r="AE6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261493.3441045713</v>
      </c>
      <c r="AF6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282738.34047065541</v>
      </c>
      <c r="AG671" s="78">
        <f>(Table1[[#This Row],[P (+ shock)]]+Table1[[#This Row],[P (-shock)]]-2*Table1[[#This Row],[Ask Price]])/(2*Table1[[#This Row],[Ask Price]]*($AF$2^2))</f>
        <v>-7102.9161610006295</v>
      </c>
      <c r="AI671" s="6">
        <f t="shared" si="41"/>
        <v>7.793244789864523E-2</v>
      </c>
      <c r="AK671" s="47">
        <f>RATE(Table1[[#This Row],[Total No. of Coupons]],Table1[[#This Row],[Coupon Amount]],-Table1[[#This Row],[Ask Price]],Table1[[#This Row],[Face value]])</f>
        <v>7.8194139150804351E-2</v>
      </c>
      <c r="AL671" s="27">
        <f>Table1[[#This Row],[IRR]]*Table1[[#This Row],[Coupon Frequency2]]</f>
        <v>0.3127765566032174</v>
      </c>
      <c r="AM671" s="5">
        <f t="shared" si="42"/>
        <v>-3665288.1087034889</v>
      </c>
      <c r="AN671" t="s">
        <v>69</v>
      </c>
      <c r="AO671" t="s">
        <v>62</v>
      </c>
      <c r="AP671">
        <f t="shared" si="43"/>
        <v>4</v>
      </c>
    </row>
    <row r="672" spans="1:42" x14ac:dyDescent="0.35">
      <c r="A672" s="48" t="s">
        <v>348</v>
      </c>
      <c r="B672" s="49" t="s">
        <v>2980</v>
      </c>
      <c r="C672" s="49" t="s">
        <v>2273</v>
      </c>
      <c r="D672" s="50">
        <v>44322</v>
      </c>
      <c r="E672" s="50">
        <v>47974</v>
      </c>
      <c r="F672" s="49">
        <v>1000</v>
      </c>
      <c r="G672" s="49" t="s">
        <v>76</v>
      </c>
      <c r="H672" s="49">
        <v>1005</v>
      </c>
      <c r="I672" s="49" t="s">
        <v>76</v>
      </c>
      <c r="J672" s="49">
        <v>100.49999999999901</v>
      </c>
      <c r="K672" s="49">
        <v>219</v>
      </c>
      <c r="L672" s="51">
        <v>7.9699999999999993E-2</v>
      </c>
      <c r="M672" s="49" t="s">
        <v>105</v>
      </c>
      <c r="N672" s="49">
        <v>2057</v>
      </c>
      <c r="O672" s="49">
        <v>7.9303482587064602</v>
      </c>
      <c r="P672" s="49"/>
      <c r="Q672" s="49"/>
      <c r="R672" s="49" t="s">
        <v>2275</v>
      </c>
      <c r="S672">
        <f t="shared" si="40"/>
        <v>10</v>
      </c>
      <c r="T672" s="5" cm="1">
        <f t="array" ref="T6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2">
        <f>Table1[[#This Row],[Term to Maturity (Years)]]*Table1[[#This Row],[Coupon Frequency2]]</f>
        <v>40</v>
      </c>
      <c r="V672">
        <f>Table1[[#This Row],[Face value]]*Table1[[#This Row],[Current coupon %]]</f>
        <v>79.699999999999989</v>
      </c>
      <c r="W672" s="36">
        <f>RATE(Table1[[#This Row],[Total No. of Coupons]],Table1[[#This Row],[Coupon Amount]],-Table1[[#This Row],[Ask Price]],Table1[[#This Row],[Face value]])</f>
        <v>7.9283912608669516E-2</v>
      </c>
      <c r="X672" s="27">
        <f>Table1[[#This Row],[IRR]]*Table1[[#This Row],[Coupon Frequency2]]</f>
        <v>0.31713565043467806</v>
      </c>
      <c r="Y672" s="19" cm="1">
        <f t="array" ref="Y6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2" s="33">
        <f>DURATION(Table1[[#This Row],[Issue date]],Table1[[#This Row],[Maturity date]],Table1[[#This Row],[Current coupon %]],Table1[[#This Row],[Yield (Annualised)]],Table1[[#This Row],[Coupon Frequency2]])</f>
        <v>4.0764976845607244</v>
      </c>
      <c r="AA672" s="33">
        <f>Table1[[#This Row],[Macaulay Duration in Years]]/(1+Table1[[#This Row],[IRR]])</f>
        <v>3.7770392358648959</v>
      </c>
      <c r="AB672" s="58">
        <f>VLOOKUP(Table1[[#This Row],[Yield Cluster]],'Cluster Details'!$B$3:$C$16,2,0)</f>
        <v>0.32941592255780572</v>
      </c>
      <c r="AC672" s="78">
        <f>PRICE(Table1[[#This Row],[Issue date]],Table1[[#This Row],[Maturity date]],Table1[[#This Row],[Current coupon %]],Table1[[#This Row],[Average Cluster Yield]],100,Table1[[#This Row],[Coupon Frequency2]])*Table1[[#This Row],[Face value]]/100</f>
        <v>273.92708917642585</v>
      </c>
      <c r="AD672" s="58" t="str">
        <f>IF(Table1[[#This Row],[Ask Price]]&gt;Table1[[#This Row],[Calculated Bond Price]],"Rich","Cheap")</f>
        <v>Rich</v>
      </c>
      <c r="AE6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276.22201914371055</v>
      </c>
      <c r="AF6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297.89930190061835</v>
      </c>
      <c r="AG672" s="78">
        <f>(Table1[[#This Row],[P (+ shock)]]+Table1[[#This Row],[P (-shock)]]-2*Table1[[#This Row],[Ask Price]])/(2*Table1[[#This Row],[Ask Price]]*($AF$2^2))</f>
        <v>-7143.6750196799558</v>
      </c>
      <c r="AH672">
        <v>8.8000000000000007</v>
      </c>
      <c r="AI672" s="6">
        <f t="shared" si="41"/>
        <v>7.9303482587064669E-2</v>
      </c>
      <c r="AK672" s="47">
        <f>RATE(Table1[[#This Row],[Total No. of Coupons]],Table1[[#This Row],[Coupon Amount]],-Table1[[#This Row],[Ask Price]],Table1[[#This Row],[Face value]])</f>
        <v>7.9283912608669516E-2</v>
      </c>
      <c r="AL672" s="27">
        <f>Table1[[#This Row],[IRR]]*Table1[[#This Row],[Coupon Frequency2]]</f>
        <v>0.31713565043467806</v>
      </c>
      <c r="AM672" s="5">
        <f t="shared" si="42"/>
        <v>-3795.9244320442203</v>
      </c>
      <c r="AN672" t="s">
        <v>64</v>
      </c>
      <c r="AO672" t="s">
        <v>62</v>
      </c>
      <c r="AP672">
        <f t="shared" si="43"/>
        <v>4</v>
      </c>
    </row>
    <row r="673" spans="1:42" x14ac:dyDescent="0.35">
      <c r="A673" s="48" t="s">
        <v>1953</v>
      </c>
      <c r="B673" s="49" t="s">
        <v>2981</v>
      </c>
      <c r="C673" s="49" t="s">
        <v>2273</v>
      </c>
      <c r="D673" s="50">
        <v>42783</v>
      </c>
      <c r="E673" s="50">
        <v>46066</v>
      </c>
      <c r="F673" s="49">
        <v>1000000</v>
      </c>
      <c r="G673" s="49" t="s">
        <v>76</v>
      </c>
      <c r="H673" s="49">
        <v>1068076</v>
      </c>
      <c r="I673" s="49" t="s">
        <v>76</v>
      </c>
      <c r="J673" s="49">
        <v>106.80759999999999</v>
      </c>
      <c r="K673" s="49">
        <v>1</v>
      </c>
      <c r="L673" s="51">
        <v>8.9700000000000002E-2</v>
      </c>
      <c r="M673" s="49" t="s">
        <v>105</v>
      </c>
      <c r="N673" s="49">
        <v>149</v>
      </c>
      <c r="O673" s="49">
        <v>8.3982787741696292</v>
      </c>
      <c r="P673" s="49"/>
      <c r="Q673" s="49"/>
      <c r="R673" s="49" t="s">
        <v>2275</v>
      </c>
      <c r="S673">
        <f t="shared" si="40"/>
        <v>9</v>
      </c>
      <c r="T673" s="5" cm="1">
        <f t="array" ref="T6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3">
        <f>Table1[[#This Row],[Term to Maturity (Years)]]*Table1[[#This Row],[Coupon Frequency2]]</f>
        <v>36</v>
      </c>
      <c r="V673">
        <f>Table1[[#This Row],[Face value]]*Table1[[#This Row],[Current coupon %]]</f>
        <v>89700</v>
      </c>
      <c r="W673" s="36">
        <f>RATE(Table1[[#This Row],[Total No. of Coupons]],Table1[[#This Row],[Coupon Amount]],-Table1[[#This Row],[Ask Price]],Table1[[#This Row],[Face value]])</f>
        <v>8.3669868168788505E-2</v>
      </c>
      <c r="X673" s="27">
        <f>Table1[[#This Row],[IRR]]*Table1[[#This Row],[Coupon Frequency2]]</f>
        <v>0.33467947267515402</v>
      </c>
      <c r="Y673" s="19" cm="1">
        <f t="array" ref="Y6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3" s="33">
        <f>DURATION(Table1[[#This Row],[Issue date]],Table1[[#This Row],[Maturity date]],Table1[[#This Row],[Current coupon %]],Table1[[#This Row],[Yield (Annualised)]],Table1[[#This Row],[Coupon Frequency2]])</f>
        <v>3.8284973196534589</v>
      </c>
      <c r="AA673" s="33">
        <f>Table1[[#This Row],[Macaulay Duration in Years]]/(1+Table1[[#This Row],[IRR]])</f>
        <v>3.5329000391262575</v>
      </c>
      <c r="AB673" s="58">
        <f>VLOOKUP(Table1[[#This Row],[Yield Cluster]],'Cluster Details'!$B$3:$C$16,2,0)</f>
        <v>0.32941592255780572</v>
      </c>
      <c r="AC673" s="78">
        <f>PRICE(Table1[[#This Row],[Issue date]],Table1[[#This Row],[Maturity date]],Table1[[#This Row],[Current coupon %]],Table1[[#This Row],[Average Cluster Yield]],100,Table1[[#This Row],[Coupon Frequency2]])*Table1[[#This Row],[Face value]]/100</f>
        <v>314547.7099801611</v>
      </c>
      <c r="AD673" s="58" t="str">
        <f>IF(Table1[[#This Row],[Ask Price]]&gt;Table1[[#This Row],[Calculated Bond Price]],"Rich","Cheap")</f>
        <v>Rich</v>
      </c>
      <c r="AE67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298079.10103850323</v>
      </c>
      <c r="AF67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319977.87378361996</v>
      </c>
      <c r="AG673" s="78">
        <f>(Table1[[#This Row],[P (+ shock)]]+Table1[[#This Row],[P (-shock)]]-2*Table1[[#This Row],[Ask Price]])/(2*Table1[[#This Row],[Ask Price]]*($AF$2^2))</f>
        <v>-7106.6807286086232</v>
      </c>
      <c r="AH673">
        <v>11.122428769487501</v>
      </c>
      <c r="AI673" s="6">
        <f t="shared" si="41"/>
        <v>8.3982787741696277E-2</v>
      </c>
      <c r="AK673" s="47">
        <f>RATE(Table1[[#This Row],[Total No. of Coupons]],Table1[[#This Row],[Coupon Amount]],-Table1[[#This Row],[Ask Price]],Table1[[#This Row],[Face value]])</f>
        <v>8.3669868168788505E-2</v>
      </c>
      <c r="AL673" s="27">
        <f>Table1[[#This Row],[IRR]]*Table1[[#This Row],[Coupon Frequency2]]</f>
        <v>0.33467947267515402</v>
      </c>
      <c r="AM673" s="5">
        <f t="shared" si="42"/>
        <v>-3773405.7421898167</v>
      </c>
      <c r="AN673" t="s">
        <v>64</v>
      </c>
      <c r="AO673" t="s">
        <v>62</v>
      </c>
      <c r="AP673">
        <f t="shared" si="43"/>
        <v>4</v>
      </c>
    </row>
    <row r="674" spans="1:42" x14ac:dyDescent="0.35">
      <c r="A674" s="48" t="s">
        <v>1360</v>
      </c>
      <c r="B674" s="49" t="s">
        <v>2982</v>
      </c>
      <c r="C674" s="49" t="s">
        <v>2273</v>
      </c>
      <c r="D674" s="50">
        <v>42821</v>
      </c>
      <c r="E674" s="50">
        <v>46461</v>
      </c>
      <c r="F674" s="49">
        <v>1000000</v>
      </c>
      <c r="G674" s="49" t="s">
        <v>76</v>
      </c>
      <c r="H674" s="49">
        <v>995556.62</v>
      </c>
      <c r="I674" s="49" t="s">
        <v>76</v>
      </c>
      <c r="J674" s="49">
        <v>99.555661999999998</v>
      </c>
      <c r="K674" s="49">
        <v>1</v>
      </c>
      <c r="L674" s="51">
        <v>8.48E-2</v>
      </c>
      <c r="M674" s="49" t="s">
        <v>105</v>
      </c>
      <c r="N674" s="49">
        <v>544</v>
      </c>
      <c r="O674" s="49">
        <v>8.5178480356044393</v>
      </c>
      <c r="P674" s="49"/>
      <c r="Q674" s="49"/>
      <c r="R674" s="49" t="s">
        <v>2275</v>
      </c>
      <c r="S674">
        <f t="shared" si="40"/>
        <v>10</v>
      </c>
      <c r="T674" s="5" cm="1">
        <f t="array" ref="T6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4">
        <f>Table1[[#This Row],[Term to Maturity (Years)]]*Table1[[#This Row],[Coupon Frequency2]]</f>
        <v>40</v>
      </c>
      <c r="V674">
        <f>Table1[[#This Row],[Face value]]*Table1[[#This Row],[Current coupon %]]</f>
        <v>84800</v>
      </c>
      <c r="W674" s="36">
        <f>RATE(Table1[[#This Row],[Total No. of Coupons]],Table1[[#This Row],[Coupon Amount]],-Table1[[#This Row],[Ask Price]],Table1[[#This Row],[Face value]])</f>
        <v>8.5193497548760405E-2</v>
      </c>
      <c r="X674" s="27">
        <f>Table1[[#This Row],[IRR]]*Table1[[#This Row],[Coupon Frequency2]]</f>
        <v>0.34077399019504162</v>
      </c>
      <c r="Y674" s="19" cm="1">
        <f t="array" ref="Y6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4" s="33">
        <f>DURATION(Table1[[#This Row],[Issue date]],Table1[[#This Row],[Maturity date]],Table1[[#This Row],[Current coupon %]],Table1[[#This Row],[Yield (Annualised)]],Table1[[#This Row],[Coupon Frequency2]])</f>
        <v>3.7438459672415263</v>
      </c>
      <c r="AA674" s="33">
        <f>Table1[[#This Row],[Macaulay Duration in Years]]/(1+Table1[[#This Row],[IRR]])</f>
        <v>3.4499340216266878</v>
      </c>
      <c r="AB674" s="58">
        <f>VLOOKUP(Table1[[#This Row],[Yield Cluster]],'Cluster Details'!$B$3:$C$16,2,0)</f>
        <v>0.32941592255780572</v>
      </c>
      <c r="AC674" s="78">
        <f>PRICE(Table1[[#This Row],[Issue date]],Table1[[#This Row],[Maturity date]],Table1[[#This Row],[Current coupon %]],Table1[[#This Row],[Average Cluster Yield]],100,Table1[[#This Row],[Coupon Frequency2]])*Table1[[#This Row],[Face value]]/100</f>
        <v>288992.17693359865</v>
      </c>
      <c r="AD674" s="58" t="str">
        <f>IF(Table1[[#This Row],[Ask Price]]&gt;Table1[[#This Row],[Calculated Bond Price]],"Rich","Cheap")</f>
        <v>Rich</v>
      </c>
      <c r="AE67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268220.82705209305</v>
      </c>
      <c r="AF67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287585.95475024794</v>
      </c>
      <c r="AG674" s="78">
        <f>(Table1[[#This Row],[P (+ shock)]]+Table1[[#This Row],[P (-shock)]]-2*Table1[[#This Row],[Ask Price]])/(2*Table1[[#This Row],[Ask Price]]*($AF$2^2))</f>
        <v>-7208.5626742035975</v>
      </c>
      <c r="AH674">
        <v>10.549436429964199</v>
      </c>
      <c r="AI674" s="6">
        <f t="shared" si="41"/>
        <v>8.5178480356044445E-2</v>
      </c>
      <c r="AK674" s="47">
        <f>RATE(Table1[[#This Row],[Total No. of Coupons]],Table1[[#This Row],[Coupon Amount]],-Table1[[#This Row],[Ask Price]],Table1[[#This Row],[Face value]])</f>
        <v>8.5193497548760405E-2</v>
      </c>
      <c r="AL674" s="27">
        <f>Table1[[#This Row],[IRR]]*Table1[[#This Row],[Coupon Frequency2]]</f>
        <v>0.34077399019504162</v>
      </c>
      <c r="AM674" s="5">
        <f t="shared" si="42"/>
        <v>-3434604.6537936721</v>
      </c>
      <c r="AN674" t="s">
        <v>64</v>
      </c>
      <c r="AO674" t="s">
        <v>62</v>
      </c>
      <c r="AP674">
        <f t="shared" si="43"/>
        <v>4</v>
      </c>
    </row>
    <row r="675" spans="1:42" x14ac:dyDescent="0.35">
      <c r="A675" s="48" t="s">
        <v>1793</v>
      </c>
      <c r="B675" s="49" t="s">
        <v>2983</v>
      </c>
      <c r="C675" s="49" t="s">
        <v>2273</v>
      </c>
      <c r="D675" s="50">
        <v>42527</v>
      </c>
      <c r="E675" s="50">
        <v>46179</v>
      </c>
      <c r="F675" s="49">
        <v>1000</v>
      </c>
      <c r="G675" s="49" t="s">
        <v>76</v>
      </c>
      <c r="H675" s="49">
        <v>1000</v>
      </c>
      <c r="I675" s="49" t="s">
        <v>76</v>
      </c>
      <c r="J675" s="49">
        <v>100</v>
      </c>
      <c r="K675" s="49">
        <v>1500</v>
      </c>
      <c r="L675" s="51">
        <v>8.5299999999999987E-2</v>
      </c>
      <c r="M675" s="49" t="s">
        <v>105</v>
      </c>
      <c r="N675" s="49">
        <v>262</v>
      </c>
      <c r="O675" s="49">
        <v>8.5299999999999994</v>
      </c>
      <c r="P675" s="49"/>
      <c r="Q675" s="49"/>
      <c r="R675" s="49" t="s">
        <v>2275</v>
      </c>
      <c r="S675">
        <f t="shared" si="40"/>
        <v>10</v>
      </c>
      <c r="T675" s="5" cm="1">
        <f t="array" ref="T6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5">
        <f>Table1[[#This Row],[Term to Maturity (Years)]]*Table1[[#This Row],[Coupon Frequency2]]</f>
        <v>40</v>
      </c>
      <c r="V675">
        <f>Table1[[#This Row],[Face value]]*Table1[[#This Row],[Current coupon %]]</f>
        <v>85.299999999999983</v>
      </c>
      <c r="W675" s="36">
        <f>RATE(Table1[[#This Row],[Total No. of Coupons]],Table1[[#This Row],[Coupon Amount]],-Table1[[#This Row],[Ask Price]],Table1[[#This Row],[Face value]])</f>
        <v>8.5299999999999987E-2</v>
      </c>
      <c r="X675" s="27">
        <f>Table1[[#This Row],[IRR]]*Table1[[#This Row],[Coupon Frequency2]]</f>
        <v>0.34119999999999995</v>
      </c>
      <c r="Y675" s="19" cm="1">
        <f t="array" ref="Y6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5" s="33">
        <f>DURATION(Table1[[#This Row],[Issue date]],Table1[[#This Row],[Maturity date]],Table1[[#This Row],[Current coupon %]],Table1[[#This Row],[Yield (Annualised)]],Table1[[#This Row],[Coupon Frequency2]])</f>
        <v>3.7680027157907041</v>
      </c>
      <c r="AA675" s="33">
        <f>Table1[[#This Row],[Macaulay Duration in Years]]/(1+Table1[[#This Row],[IRR]])</f>
        <v>3.4718536034190586</v>
      </c>
      <c r="AB675" s="58">
        <f>VLOOKUP(Table1[[#This Row],[Yield Cluster]],'Cluster Details'!$B$3:$C$16,2,0)</f>
        <v>0.32941592255780572</v>
      </c>
      <c r="AC675" s="78">
        <f>PRICE(Table1[[#This Row],[Issue date]],Table1[[#This Row],[Maturity date]],Table1[[#This Row],[Current coupon %]],Table1[[#This Row],[Average Cluster Yield]],100,Table1[[#This Row],[Coupon Frequency2]])*Table1[[#This Row],[Face value]]/100</f>
        <v>290.2096243826893</v>
      </c>
      <c r="AD675" s="58" t="str">
        <f>IF(Table1[[#This Row],[Ask Price]]&gt;Table1[[#This Row],[Calculated Bond Price]],"Rich","Cheap")</f>
        <v>Rich</v>
      </c>
      <c r="AE67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269.01529408172541</v>
      </c>
      <c r="AF67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288.36161658682022</v>
      </c>
      <c r="AG675" s="78">
        <f>(Table1[[#This Row],[P (+ shock)]]+Table1[[#This Row],[P (-shock)]]-2*Table1[[#This Row],[Ask Price]])/(2*Table1[[#This Row],[Ask Price]]*($AF$2^2))</f>
        <v>-7213.1154466572716</v>
      </c>
      <c r="AH675">
        <v>9.3319502978426794</v>
      </c>
      <c r="AI675" s="6">
        <f t="shared" si="41"/>
        <v>8.5299999999999987E-2</v>
      </c>
      <c r="AK675" s="47">
        <f>RATE(Table1[[#This Row],[Total No. of Coupons]],Table1[[#This Row],[Coupon Amount]],-Table1[[#This Row],[Ask Price]],Table1[[#This Row],[Face value]])</f>
        <v>8.5299999999999987E-2</v>
      </c>
      <c r="AL675" s="27">
        <f>Table1[[#This Row],[IRR]]*Table1[[#This Row],[Coupon Frequency2]]</f>
        <v>0.34119999999999995</v>
      </c>
      <c r="AM675" s="5">
        <f t="shared" si="42"/>
        <v>-3471.8536034190588</v>
      </c>
      <c r="AN675" t="s">
        <v>64</v>
      </c>
      <c r="AO675" t="s">
        <v>62</v>
      </c>
      <c r="AP675">
        <f t="shared" si="43"/>
        <v>4</v>
      </c>
    </row>
    <row r="676" spans="1:42" x14ac:dyDescent="0.35">
      <c r="A676" s="48" t="s">
        <v>240</v>
      </c>
      <c r="B676" s="49" t="s">
        <v>2984</v>
      </c>
      <c r="C676" s="49" t="s">
        <v>2273</v>
      </c>
      <c r="D676" s="50">
        <v>45009</v>
      </c>
      <c r="E676" s="50">
        <v>48662</v>
      </c>
      <c r="F676" s="49">
        <v>100000</v>
      </c>
      <c r="G676" s="49" t="s">
        <v>76</v>
      </c>
      <c r="H676" s="49">
        <v>104081.11</v>
      </c>
      <c r="I676" s="49" t="s">
        <v>76</v>
      </c>
      <c r="J676" s="49">
        <v>104.08111</v>
      </c>
      <c r="K676" s="49">
        <v>3</v>
      </c>
      <c r="L676" s="51">
        <v>8.900000000000001E-2</v>
      </c>
      <c r="M676" s="49" t="s">
        <v>105</v>
      </c>
      <c r="N676" s="49">
        <v>2745</v>
      </c>
      <c r="O676" s="49">
        <v>8.5510233317073503</v>
      </c>
      <c r="P676" s="49"/>
      <c r="Q676" s="49"/>
      <c r="R676" s="49" t="s">
        <v>2275</v>
      </c>
      <c r="S676">
        <f t="shared" si="40"/>
        <v>10</v>
      </c>
      <c r="T676" s="5" cm="1">
        <f t="array" ref="T6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6">
        <f>Table1[[#This Row],[Term to Maturity (Years)]]*Table1[[#This Row],[Coupon Frequency2]]</f>
        <v>40</v>
      </c>
      <c r="V676">
        <f>Table1[[#This Row],[Face value]]*Table1[[#This Row],[Current coupon %]]</f>
        <v>8900.0000000000018</v>
      </c>
      <c r="W676" s="36">
        <f>RATE(Table1[[#This Row],[Total No. of Coupons]],Table1[[#This Row],[Coupon Amount]],-Table1[[#This Row],[Ask Price]],Table1[[#This Row],[Face value]])</f>
        <v>8.5378950856521779E-2</v>
      </c>
      <c r="X676" s="27">
        <f>Table1[[#This Row],[IRR]]*Table1[[#This Row],[Coupon Frequency2]]</f>
        <v>0.34151580342608712</v>
      </c>
      <c r="Y676" s="19" cm="1">
        <f t="array" ref="Y6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6" s="33">
        <f>DURATION(Table1[[#This Row],[Issue date]],Table1[[#This Row],[Maturity date]],Table1[[#This Row],[Current coupon %]],Table1[[#This Row],[Yield (Annualised)]],Table1[[#This Row],[Coupon Frequency2]])</f>
        <v>3.7295356868037035</v>
      </c>
      <c r="AA676" s="33">
        <f>Table1[[#This Row],[Macaulay Duration in Years]]/(1+Table1[[#This Row],[IRR]])</f>
        <v>3.4361599548807886</v>
      </c>
      <c r="AB676" s="58">
        <f>VLOOKUP(Table1[[#This Row],[Yield Cluster]],'Cluster Details'!$B$3:$C$16,2,0)</f>
        <v>0.32941592255780572</v>
      </c>
      <c r="AC676" s="78">
        <f>PRICE(Table1[[#This Row],[Issue date]],Table1[[#This Row],[Maturity date]],Table1[[#This Row],[Current coupon %]],Table1[[#This Row],[Average Cluster Yield]],100,Table1[[#This Row],[Coupon Frequency2]])*Table1[[#This Row],[Face value]]/100</f>
        <v>30096.772800111332</v>
      </c>
      <c r="AD676" s="58" t="str">
        <f>IF(Table1[[#This Row],[Ask Price]]&gt;Table1[[#This Row],[Calculated Bond Price]],"Rich","Cheap")</f>
        <v>Rich</v>
      </c>
      <c r="AE67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27889.241237530085</v>
      </c>
      <c r="AF67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29873.569877929156</v>
      </c>
      <c r="AG676" s="78">
        <f>(Table1[[#This Row],[P (+ shock)]]+Table1[[#This Row],[P (-shock)]]-2*Table1[[#This Row],[Ask Price]])/(2*Table1[[#This Row],[Ask Price]]*($AF$2^2))</f>
        <v>-7225.105923857881</v>
      </c>
      <c r="AH676">
        <v>10.489883064915199</v>
      </c>
      <c r="AI676" s="6">
        <f t="shared" si="41"/>
        <v>8.5510233317073595E-2</v>
      </c>
      <c r="AK676" s="47">
        <f>RATE(Table1[[#This Row],[Total No. of Coupons]],Table1[[#This Row],[Coupon Amount]],-Table1[[#This Row],[Ask Price]],Table1[[#This Row],[Face value]])</f>
        <v>8.5378950856521779E-2</v>
      </c>
      <c r="AL676" s="27">
        <f>Table1[[#This Row],[IRR]]*Table1[[#This Row],[Coupon Frequency2]]</f>
        <v>0.34151580342608712</v>
      </c>
      <c r="AM676" s="5">
        <f t="shared" si="42"/>
        <v>-357639.34224154241</v>
      </c>
      <c r="AN676" t="s">
        <v>64</v>
      </c>
      <c r="AO676" t="s">
        <v>62</v>
      </c>
      <c r="AP676">
        <f t="shared" si="43"/>
        <v>4</v>
      </c>
    </row>
    <row r="677" spans="1:42" x14ac:dyDescent="0.35">
      <c r="A677" s="48" t="s">
        <v>1386</v>
      </c>
      <c r="B677" s="49" t="s">
        <v>2985</v>
      </c>
      <c r="C677" s="49" t="s">
        <v>2273</v>
      </c>
      <c r="D677" s="50">
        <v>42783</v>
      </c>
      <c r="E677" s="50">
        <v>46433</v>
      </c>
      <c r="F677" s="49">
        <v>1000000</v>
      </c>
      <c r="G677" s="49" t="s">
        <v>76</v>
      </c>
      <c r="H677" s="49">
        <v>1037821</v>
      </c>
      <c r="I677" s="49" t="s">
        <v>76</v>
      </c>
      <c r="J677" s="49">
        <v>103.7821</v>
      </c>
      <c r="K677" s="49">
        <v>1</v>
      </c>
      <c r="L677" s="51">
        <v>8.9700000000000002E-2</v>
      </c>
      <c r="M677" s="49" t="s">
        <v>105</v>
      </c>
      <c r="N677" s="49">
        <v>516</v>
      </c>
      <c r="O677" s="49">
        <v>8.6431089754398798</v>
      </c>
      <c r="P677" s="49"/>
      <c r="Q677" s="49"/>
      <c r="R677" s="49" t="s">
        <v>2275</v>
      </c>
      <c r="S677">
        <f t="shared" si="40"/>
        <v>10</v>
      </c>
      <c r="T677" s="5" cm="1">
        <f t="array" ref="T6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7">
        <f>Table1[[#This Row],[Term to Maturity (Years)]]*Table1[[#This Row],[Coupon Frequency2]]</f>
        <v>40</v>
      </c>
      <c r="V677">
        <f>Table1[[#This Row],[Face value]]*Table1[[#This Row],[Current coupon %]]</f>
        <v>89700</v>
      </c>
      <c r="W677" s="36">
        <f>RATE(Table1[[#This Row],[Total No. of Coupons]],Table1[[#This Row],[Coupon Amount]],-Table1[[#This Row],[Ask Price]],Table1[[#This Row],[Face value]])</f>
        <v>8.6312067510675633E-2</v>
      </c>
      <c r="X677" s="27">
        <f>Table1[[#This Row],[IRR]]*Table1[[#This Row],[Coupon Frequency2]]</f>
        <v>0.34524827004270253</v>
      </c>
      <c r="Y677" s="19" cm="1">
        <f t="array" ref="Y6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7" s="33">
        <f>DURATION(Table1[[#This Row],[Issue date]],Table1[[#This Row],[Maturity date]],Table1[[#This Row],[Current coupon %]],Table1[[#This Row],[Yield (Annualised)]],Table1[[#This Row],[Coupon Frequency2]])</f>
        <v>3.6818857105871072</v>
      </c>
      <c r="AA677" s="33">
        <f>Table1[[#This Row],[Macaulay Duration in Years]]/(1+Table1[[#This Row],[IRR]])</f>
        <v>3.389344388877392</v>
      </c>
      <c r="AB677" s="58">
        <f>VLOOKUP(Table1[[#This Row],[Yield Cluster]],'Cluster Details'!$B$3:$C$16,2,0)</f>
        <v>0.32941592255780572</v>
      </c>
      <c r="AC677" s="78">
        <f>PRICE(Table1[[#This Row],[Issue date]],Table1[[#This Row],[Maturity date]],Table1[[#This Row],[Current coupon %]],Table1[[#This Row],[Average Cluster Yield]],100,Table1[[#This Row],[Coupon Frequency2]])*Table1[[#This Row],[Face value]]/100</f>
        <v>303038.05018313054</v>
      </c>
      <c r="AD677" s="58" t="str">
        <f>IF(Table1[[#This Row],[Ask Price]]&gt;Table1[[#This Row],[Calculated Bond Price]],"Rich","Cheap")</f>
        <v>Rich</v>
      </c>
      <c r="AE67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277385.69110109436</v>
      </c>
      <c r="AF67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296878.66021088586</v>
      </c>
      <c r="AG677" s="78">
        <f>(Table1[[#This Row],[P (+ shock)]]+Table1[[#This Row],[P (-shock)]]-2*Table1[[#This Row],[Ask Price]])/(2*Table1[[#This Row],[Ask Price]]*($AF$2^2))</f>
        <v>-7233.3169625976916</v>
      </c>
      <c r="AH677">
        <v>7.2338289729594001</v>
      </c>
      <c r="AI677" s="6">
        <f t="shared" si="41"/>
        <v>8.6431089754398879E-2</v>
      </c>
      <c r="AK677" s="47">
        <f>RATE(Table1[[#This Row],[Total No. of Coupons]],Table1[[#This Row],[Coupon Amount]],-Table1[[#This Row],[Ask Price]],Table1[[#This Row],[Face value]])</f>
        <v>8.6312067510675633E-2</v>
      </c>
      <c r="AL677" s="27">
        <f>Table1[[#This Row],[IRR]]*Table1[[#This Row],[Coupon Frequency2]]</f>
        <v>0.34524827004270253</v>
      </c>
      <c r="AM677" s="5">
        <f t="shared" si="42"/>
        <v>-3517532.783009124</v>
      </c>
      <c r="AN677" t="s">
        <v>64</v>
      </c>
      <c r="AO677" t="s">
        <v>62</v>
      </c>
      <c r="AP677">
        <f t="shared" si="43"/>
        <v>4</v>
      </c>
    </row>
    <row r="678" spans="1:42" x14ac:dyDescent="0.35">
      <c r="A678" s="48" t="s">
        <v>1794</v>
      </c>
      <c r="B678" s="49" t="s">
        <v>2986</v>
      </c>
      <c r="C678" s="49" t="s">
        <v>2273</v>
      </c>
      <c r="D678" s="50">
        <v>42527</v>
      </c>
      <c r="E678" s="50">
        <v>46179</v>
      </c>
      <c r="F678" s="49">
        <v>1000</v>
      </c>
      <c r="G678" s="49" t="s">
        <v>76</v>
      </c>
      <c r="H678" s="49">
        <v>1006.11</v>
      </c>
      <c r="I678" s="49" t="s">
        <v>76</v>
      </c>
      <c r="J678" s="49">
        <v>100.611</v>
      </c>
      <c r="K678" s="49">
        <v>241</v>
      </c>
      <c r="L678" s="51">
        <v>8.72E-2</v>
      </c>
      <c r="M678" s="49" t="s">
        <v>105</v>
      </c>
      <c r="N678" s="49">
        <v>262</v>
      </c>
      <c r="O678" s="49">
        <v>8.6670443589667094</v>
      </c>
      <c r="P678" s="49"/>
      <c r="Q678" s="49"/>
      <c r="R678" s="49" t="s">
        <v>2275</v>
      </c>
      <c r="S678">
        <f t="shared" si="40"/>
        <v>10</v>
      </c>
      <c r="T678" s="5" cm="1">
        <f t="array" ref="T6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8">
        <f>Table1[[#This Row],[Term to Maturity (Years)]]*Table1[[#This Row],[Coupon Frequency2]]</f>
        <v>40</v>
      </c>
      <c r="V678">
        <f>Table1[[#This Row],[Face value]]*Table1[[#This Row],[Current coupon %]]</f>
        <v>87.2</v>
      </c>
      <c r="W678" s="36">
        <f>RATE(Table1[[#This Row],[Total No. of Coupons]],Table1[[#This Row],[Coupon Amount]],-Table1[[#This Row],[Ask Price]],Table1[[#This Row],[Face value]])</f>
        <v>8.6650787600527635E-2</v>
      </c>
      <c r="X678" s="27">
        <f>Table1[[#This Row],[IRR]]*Table1[[#This Row],[Coupon Frequency2]]</f>
        <v>0.34660315040211054</v>
      </c>
      <c r="Y678" s="19" cm="1">
        <f t="array" ref="Y6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7</v>
      </c>
      <c r="Z678" s="33">
        <f>DURATION(Table1[[#This Row],[Issue date]],Table1[[#This Row],[Maturity date]],Table1[[#This Row],[Current coupon %]],Table1[[#This Row],[Yield (Annualised)]],Table1[[#This Row],[Coupon Frequency2]])</f>
        <v>3.6973726186876812</v>
      </c>
      <c r="AA678" s="33">
        <f>Table1[[#This Row],[Macaulay Duration in Years]]/(1+Table1[[#This Row],[IRR]])</f>
        <v>3.4025398599783667</v>
      </c>
      <c r="AB678" s="58">
        <f>VLOOKUP(Table1[[#This Row],[Yield Cluster]],'Cluster Details'!$B$3:$C$16,2,0)</f>
        <v>0.32941592255780572</v>
      </c>
      <c r="AC678" s="78">
        <f>PRICE(Table1[[#This Row],[Issue date]],Table1[[#This Row],[Maturity date]],Table1[[#This Row],[Current coupon %]],Table1[[#This Row],[Average Cluster Yield]],100,Table1[[#This Row],[Coupon Frequency2]])*Table1[[#This Row],[Face value]]/100</f>
        <v>295.7340559705288</v>
      </c>
      <c r="AD678" s="58" t="str">
        <f>IF(Table1[[#This Row],[Ask Price]]&gt;Table1[[#This Row],[Calculated Bond Price]],"Rich","Cheap")</f>
        <v>Rich</v>
      </c>
      <c r="AE67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269.34354625024736</v>
      </c>
      <c r="AF67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288.31351087731616</v>
      </c>
      <c r="AG678" s="78">
        <f>(Table1[[#This Row],[P (+ shock)]]+Table1[[#This Row],[P (-shock)]]-2*Table1[[#This Row],[Ask Price]])/(2*Table1[[#This Row],[Ask Price]]*($AF$2^2))</f>
        <v>-7228.6476770553736</v>
      </c>
      <c r="AH678">
        <v>9.57</v>
      </c>
      <c r="AI678" s="6">
        <f t="shared" si="41"/>
        <v>8.6670443589667134E-2</v>
      </c>
      <c r="AK678" s="47">
        <f>RATE(Table1[[#This Row],[Total No. of Coupons]],Table1[[#This Row],[Coupon Amount]],-Table1[[#This Row],[Ask Price]],Table1[[#This Row],[Face value]])</f>
        <v>8.6650787600527635E-2</v>
      </c>
      <c r="AL678" s="27">
        <f>Table1[[#This Row],[IRR]]*Table1[[#This Row],[Coupon Frequency2]]</f>
        <v>0.34660315040211054</v>
      </c>
      <c r="AM678" s="5">
        <f t="shared" si="42"/>
        <v>-3423.3293785228348</v>
      </c>
      <c r="AN678" t="s">
        <v>64</v>
      </c>
      <c r="AO678" t="s">
        <v>62</v>
      </c>
      <c r="AP678">
        <f t="shared" si="43"/>
        <v>4</v>
      </c>
    </row>
    <row r="679" spans="1:42" x14ac:dyDescent="0.35">
      <c r="A679" s="48" t="s">
        <v>2987</v>
      </c>
      <c r="B679" s="49" t="s">
        <v>2988</v>
      </c>
      <c r="C679" s="49" t="s">
        <v>2273</v>
      </c>
      <c r="D679" s="50">
        <v>45855</v>
      </c>
      <c r="E679" s="50">
        <v>46951</v>
      </c>
      <c r="F679" s="49">
        <v>1000</v>
      </c>
      <c r="G679" s="49" t="s">
        <v>76</v>
      </c>
      <c r="H679" s="49">
        <v>1006</v>
      </c>
      <c r="I679" s="49" t="s">
        <v>76</v>
      </c>
      <c r="J679" s="49">
        <v>100.6</v>
      </c>
      <c r="K679" s="49">
        <v>4</v>
      </c>
      <c r="L679" s="51">
        <v>8.8499999999999995E-2</v>
      </c>
      <c r="M679" s="49" t="s">
        <v>105</v>
      </c>
      <c r="N679" s="49">
        <v>1034</v>
      </c>
      <c r="O679" s="49">
        <v>8.79721669980119</v>
      </c>
      <c r="P679" s="49"/>
      <c r="Q679" s="49"/>
      <c r="R679" s="49" t="s">
        <v>2275</v>
      </c>
      <c r="S679">
        <f t="shared" si="40"/>
        <v>3</v>
      </c>
      <c r="T679" s="5" cm="1">
        <f t="array" ref="T6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79">
        <f>Table1[[#This Row],[Term to Maturity (Years)]]*Table1[[#This Row],[Coupon Frequency2]]</f>
        <v>12</v>
      </c>
      <c r="V679">
        <f>Table1[[#This Row],[Face value]]*Table1[[#This Row],[Current coupon %]]</f>
        <v>88.5</v>
      </c>
      <c r="W679" s="36">
        <f>RATE(Table1[[#This Row],[Total No. of Coupons]],Table1[[#This Row],[Coupon Amount]],-Table1[[#This Row],[Ask Price]],Table1[[#This Row],[Face value]])</f>
        <v>8.7671897494633125E-2</v>
      </c>
      <c r="X679" s="27">
        <f>Table1[[#This Row],[IRR]]*Table1[[#This Row],[Coupon Frequency2]]</f>
        <v>0.3506875899785325</v>
      </c>
      <c r="Y679" s="19" cm="1">
        <f t="array" ref="Y6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79" s="33">
        <f>DURATION(Table1[[#This Row],[Issue date]],Table1[[#This Row],[Maturity date]],Table1[[#This Row],[Current coupon %]],Table1[[#This Row],[Yield (Annualised)]],Table1[[#This Row],[Coupon Frequency2]])</f>
        <v>2.5050523506184144</v>
      </c>
      <c r="AA679" s="33">
        <f>Table1[[#This Row],[Macaulay Duration in Years]]/(1+Table1[[#This Row],[IRR]])</f>
        <v>2.3031323659171536</v>
      </c>
      <c r="AB679" s="58">
        <f>VLOOKUP(Table1[[#This Row],[Yield Cluster]],'Cluster Details'!$B$3:$C$16,2,0)</f>
        <v>0.37868966038993918</v>
      </c>
      <c r="AC679" s="78">
        <f>PRICE(Table1[[#This Row],[Issue date]],Table1[[#This Row],[Maturity date]],Table1[[#This Row],[Current coupon %]],Table1[[#This Row],[Average Cluster Yield]],100,Table1[[#This Row],[Coupon Frequency2]])*Table1[[#This Row],[Face value]]/100</f>
        <v>492.51497313120541</v>
      </c>
      <c r="AD679" s="58" t="str">
        <f>IF(Table1[[#This Row],[Ask Price]]&gt;Table1[[#This Row],[Calculated Bond Price]],"Rich","Cheap")</f>
        <v>Rich</v>
      </c>
      <c r="AE67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513.15652749587582</v>
      </c>
      <c r="AF67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537.34671362796826</v>
      </c>
      <c r="AG679" s="78">
        <f>(Table1[[#This Row],[P (+ shock)]]+Table1[[#This Row],[P (-shock)]]-2*Table1[[#This Row],[Ask Price]])/(2*Table1[[#This Row],[Ask Price]]*($AF$2^2))</f>
        <v>-4778.8109288079322</v>
      </c>
      <c r="AH679">
        <v>6.8537125276458601</v>
      </c>
      <c r="AI679" s="6">
        <f t="shared" si="41"/>
        <v>8.7972166998011928E-2</v>
      </c>
      <c r="AK679" s="47">
        <f>RATE(Table1[[#This Row],[Total No. of Coupons]],Table1[[#This Row],[Coupon Amount]],-Table1[[#This Row],[Ask Price]],Table1[[#This Row],[Face value]])</f>
        <v>8.7671897494633125E-2</v>
      </c>
      <c r="AL679" s="27">
        <f>Table1[[#This Row],[IRR]]*Table1[[#This Row],[Coupon Frequency2]]</f>
        <v>0.3506875899785325</v>
      </c>
      <c r="AM679" s="5">
        <f t="shared" si="42"/>
        <v>-2316.9511601126565</v>
      </c>
      <c r="AN679" t="s">
        <v>64</v>
      </c>
      <c r="AO679" t="s">
        <v>62</v>
      </c>
      <c r="AP679">
        <f t="shared" si="43"/>
        <v>4</v>
      </c>
    </row>
    <row r="680" spans="1:42" x14ac:dyDescent="0.35">
      <c r="A680" s="48" t="s">
        <v>1603</v>
      </c>
      <c r="B680" s="49" t="s">
        <v>2989</v>
      </c>
      <c r="C680" s="49" t="s">
        <v>2273</v>
      </c>
      <c r="D680" s="50">
        <v>45233</v>
      </c>
      <c r="E680" s="50">
        <v>46291</v>
      </c>
      <c r="F680" s="49">
        <v>1000</v>
      </c>
      <c r="G680" s="49" t="s">
        <v>76</v>
      </c>
      <c r="H680" s="49">
        <v>570</v>
      </c>
      <c r="I680" s="49" t="s">
        <v>76</v>
      </c>
      <c r="J680" s="49">
        <v>56.999999999999901</v>
      </c>
      <c r="K680" s="49">
        <v>12</v>
      </c>
      <c r="L680" s="51">
        <v>9.9000000000000005E-2</v>
      </c>
      <c r="M680" s="49" t="s">
        <v>93</v>
      </c>
      <c r="N680" s="49">
        <v>374</v>
      </c>
      <c r="O680" s="49">
        <v>17.368421052631501</v>
      </c>
      <c r="P680" s="49" t="s">
        <v>2279</v>
      </c>
      <c r="Q680" s="49"/>
      <c r="R680" s="49" t="s">
        <v>2275</v>
      </c>
      <c r="S680">
        <f t="shared" si="40"/>
        <v>3</v>
      </c>
      <c r="T680" s="5" cm="1">
        <f t="array" ref="T6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680">
        <f>Table1[[#This Row],[Term to Maturity (Years)]]*Table1[[#This Row],[Coupon Frequency2]]</f>
        <v>3</v>
      </c>
      <c r="V680">
        <f>Table1[[#This Row],[Face value]]*Table1[[#This Row],[Current coupon %]]</f>
        <v>99</v>
      </c>
      <c r="W680" s="36">
        <f>RATE(Table1[[#This Row],[Total No. of Coupons]],Table1[[#This Row],[Coupon Amount]],-Table1[[#This Row],[Ask Price]],Table1[[#This Row],[Face value]])</f>
        <v>0.35386546424883997</v>
      </c>
      <c r="X680" s="27">
        <f>Table1[[#This Row],[IRR]]*Table1[[#This Row],[Coupon Frequency2]]</f>
        <v>0.35386546424883997</v>
      </c>
      <c r="Y680" s="19" cm="1">
        <f t="array" ref="Y6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0" s="33">
        <f>DURATION(Table1[[#This Row],[Issue date]],Table1[[#This Row],[Maturity date]],Table1[[#This Row],[Current coupon %]],Table1[[#This Row],[Yield (Annualised)]],Table1[[#This Row],[Coupon Frequency2]])</f>
        <v>2.5458903672604674</v>
      </c>
      <c r="AA680" s="33">
        <f>Table1[[#This Row],[Macaulay Duration in Years]]/(1+Table1[[#This Row],[IRR]])</f>
        <v>1.8804603813961633</v>
      </c>
      <c r="AB680" s="58">
        <f>VLOOKUP(Table1[[#This Row],[Yield Cluster]],'Cluster Details'!$B$3:$C$16,2,0)</f>
        <v>0.37868966038993918</v>
      </c>
      <c r="AC680" s="78">
        <f>PRICE(Table1[[#This Row],[Issue date]],Table1[[#This Row],[Maturity date]],Table1[[#This Row],[Current coupon %]],Table1[[#This Row],[Average Cluster Yield]],100,Table1[[#This Row],[Coupon Frequency2]])*Table1[[#This Row],[Face value]]/100</f>
        <v>551.31655584685791</v>
      </c>
      <c r="AD680" s="58" t="str">
        <f>IF(Table1[[#This Row],[Ask Price]]&gt;Table1[[#This Row],[Calculated Bond Price]],"Rich","Cheap")</f>
        <v>Rich</v>
      </c>
      <c r="AE68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566.94601048741208</v>
      </c>
      <c r="AF68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589.06487600344633</v>
      </c>
      <c r="AG680" s="78">
        <f>(Table1[[#This Row],[P (+ shock)]]+Table1[[#This Row],[P (-shock)]]-2*Table1[[#This Row],[Ask Price]])/(2*Table1[[#This Row],[Ask Price]]*($AF$2^2))</f>
        <v>140.44637272682817</v>
      </c>
      <c r="AH680">
        <v>6.60540324239631</v>
      </c>
      <c r="AI680" s="6">
        <f t="shared" si="41"/>
        <v>0.1736842105263158</v>
      </c>
      <c r="AK680" s="47">
        <f>RATE(Table1[[#This Row],[Total No. of Coupons]],Table1[[#This Row],[Coupon Amount]],-Table1[[#This Row],[Ask Price]],Table1[[#This Row],[Face value]])</f>
        <v>0.35386546424883997</v>
      </c>
      <c r="AL680" s="27">
        <f>Table1[[#This Row],[IRR]]*Table1[[#This Row],[Coupon Frequency2]]</f>
        <v>0.35386546424883997</v>
      </c>
      <c r="AM680" s="5">
        <f t="shared" si="42"/>
        <v>-1071.8624173958131</v>
      </c>
      <c r="AN680" t="s">
        <v>64</v>
      </c>
      <c r="AO680" t="s">
        <v>62</v>
      </c>
      <c r="AP680">
        <f t="shared" si="43"/>
        <v>1</v>
      </c>
    </row>
    <row r="681" spans="1:42" x14ac:dyDescent="0.35">
      <c r="A681" s="48" t="s">
        <v>2990</v>
      </c>
      <c r="B681" s="49" t="s">
        <v>2991</v>
      </c>
      <c r="C681" s="49" t="s">
        <v>2273</v>
      </c>
      <c r="D681" s="50">
        <v>45855</v>
      </c>
      <c r="E681" s="50">
        <v>47681</v>
      </c>
      <c r="F681" s="49">
        <v>1000</v>
      </c>
      <c r="G681" s="49" t="s">
        <v>76</v>
      </c>
      <c r="H681" s="49">
        <v>1012</v>
      </c>
      <c r="I681" s="49" t="s">
        <v>76</v>
      </c>
      <c r="J681" s="49">
        <v>101.2</v>
      </c>
      <c r="K681" s="49">
        <v>293</v>
      </c>
      <c r="L681" s="51">
        <v>0.09</v>
      </c>
      <c r="M681" s="49" t="s">
        <v>105</v>
      </c>
      <c r="N681" s="49">
        <v>1764</v>
      </c>
      <c r="O681" s="49">
        <v>8.8932806324110594</v>
      </c>
      <c r="P681" s="49"/>
      <c r="Q681" s="49"/>
      <c r="R681" s="49" t="s">
        <v>2275</v>
      </c>
      <c r="S681">
        <f t="shared" si="40"/>
        <v>5</v>
      </c>
      <c r="T681" s="5" cm="1">
        <f t="array" ref="T6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1">
        <f>Table1[[#This Row],[Term to Maturity (Years)]]*Table1[[#This Row],[Coupon Frequency2]]</f>
        <v>20</v>
      </c>
      <c r="V681">
        <f>Table1[[#This Row],[Face value]]*Table1[[#This Row],[Current coupon %]]</f>
        <v>90</v>
      </c>
      <c r="W681" s="36">
        <f>RATE(Table1[[#This Row],[Total No. of Coupons]],Table1[[#This Row],[Coupon Amount]],-Table1[[#This Row],[Ask Price]],Table1[[#This Row],[Face value]])</f>
        <v>8.8697620218520665E-2</v>
      </c>
      <c r="X681" s="27">
        <f>Table1[[#This Row],[IRR]]*Table1[[#This Row],[Coupon Frequency2]]</f>
        <v>0.35479048087408266</v>
      </c>
      <c r="Y681" s="19" cm="1">
        <f t="array" ref="Y6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1" s="33">
        <f>DURATION(Table1[[#This Row],[Issue date]],Table1[[#This Row],[Maturity date]],Table1[[#This Row],[Current coupon %]],Table1[[#This Row],[Yield (Annualised)]],Table1[[#This Row],[Coupon Frequency2]])</f>
        <v>3.3792266983638375</v>
      </c>
      <c r="AA681" s="33">
        <f>Table1[[#This Row],[Macaulay Duration in Years]]/(1+Table1[[#This Row],[IRR]])</f>
        <v>3.1039166758585988</v>
      </c>
      <c r="AB681" s="58">
        <f>VLOOKUP(Table1[[#This Row],[Yield Cluster]],'Cluster Details'!$B$3:$C$16,2,0)</f>
        <v>0.37868966038993918</v>
      </c>
      <c r="AC681" s="78">
        <f>PRICE(Table1[[#This Row],[Issue date]],Table1[[#This Row],[Maturity date]],Table1[[#This Row],[Current coupon %]],Table1[[#This Row],[Average Cluster Yield]],100,Table1[[#This Row],[Coupon Frequency2]])*Table1[[#This Row],[Face value]]/100</f>
        <v>362.53340282718813</v>
      </c>
      <c r="AD681" s="58" t="str">
        <f>IF(Table1[[#This Row],[Ask Price]]&gt;Table1[[#This Row],[Calculated Bond Price]],"Rich","Cheap")</f>
        <v>Rich</v>
      </c>
      <c r="AE68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378.20613411385858</v>
      </c>
      <c r="AF68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402.42860341473192</v>
      </c>
      <c r="AG681" s="78">
        <f>(Table1[[#This Row],[P (+ shock)]]+Table1[[#This Row],[P (-shock)]]-2*Table1[[#This Row],[Ask Price]])/(2*Table1[[#This Row],[Ask Price]]*($AF$2^2))</f>
        <v>-6143.1090043053837</v>
      </c>
      <c r="AH681">
        <v>8.3220931413073398</v>
      </c>
      <c r="AI681" s="6">
        <f t="shared" si="41"/>
        <v>8.8932806324110672E-2</v>
      </c>
      <c r="AK681" s="47">
        <f>RATE(Table1[[#This Row],[Total No. of Coupons]],Table1[[#This Row],[Coupon Amount]],-Table1[[#This Row],[Ask Price]],Table1[[#This Row],[Face value]])</f>
        <v>8.8697620218520665E-2</v>
      </c>
      <c r="AL681" s="27">
        <f>Table1[[#This Row],[IRR]]*Table1[[#This Row],[Coupon Frequency2]]</f>
        <v>0.35479048087408266</v>
      </c>
      <c r="AM681" s="5">
        <f t="shared" si="42"/>
        <v>-3141.1636759689018</v>
      </c>
      <c r="AN681" t="s">
        <v>64</v>
      </c>
      <c r="AO681" t="s">
        <v>62</v>
      </c>
      <c r="AP681">
        <f t="shared" si="43"/>
        <v>4</v>
      </c>
    </row>
    <row r="682" spans="1:42" x14ac:dyDescent="0.35">
      <c r="A682" s="48" t="s">
        <v>286</v>
      </c>
      <c r="B682" s="49" t="s">
        <v>2992</v>
      </c>
      <c r="C682" s="49" t="s">
        <v>2273</v>
      </c>
      <c r="D682" s="50">
        <v>45364</v>
      </c>
      <c r="E682" s="50">
        <v>48286</v>
      </c>
      <c r="F682" s="49">
        <v>100000</v>
      </c>
      <c r="G682" s="49" t="s">
        <v>76</v>
      </c>
      <c r="H682" s="49">
        <v>100000</v>
      </c>
      <c r="I682" s="49" t="s">
        <v>76</v>
      </c>
      <c r="J682" s="49">
        <v>100</v>
      </c>
      <c r="K682" s="49">
        <v>1</v>
      </c>
      <c r="L682" s="51">
        <v>8.8900000000000007E-2</v>
      </c>
      <c r="M682" s="49" t="s">
        <v>105</v>
      </c>
      <c r="N682" s="49">
        <v>2369</v>
      </c>
      <c r="O682" s="49">
        <v>8.89</v>
      </c>
      <c r="P682" s="49"/>
      <c r="Q682" s="49"/>
      <c r="R682" s="49" t="s">
        <v>2275</v>
      </c>
      <c r="S682">
        <f t="shared" si="40"/>
        <v>8</v>
      </c>
      <c r="T682" s="5" cm="1">
        <f t="array" ref="T6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2">
        <f>Table1[[#This Row],[Term to Maturity (Years)]]*Table1[[#This Row],[Coupon Frequency2]]</f>
        <v>32</v>
      </c>
      <c r="V682">
        <f>Table1[[#This Row],[Face value]]*Table1[[#This Row],[Current coupon %]]</f>
        <v>8890</v>
      </c>
      <c r="W682" s="36">
        <f>RATE(Table1[[#This Row],[Total No. of Coupons]],Table1[[#This Row],[Coupon Amount]],-Table1[[#This Row],[Ask Price]],Table1[[#This Row],[Face value]])</f>
        <v>8.890000000000034E-2</v>
      </c>
      <c r="X682" s="27">
        <f>Table1[[#This Row],[IRR]]*Table1[[#This Row],[Coupon Frequency2]]</f>
        <v>0.35560000000000136</v>
      </c>
      <c r="Y682" s="19" cm="1">
        <f t="array" ref="Y6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2" s="33">
        <f>DURATION(Table1[[#This Row],[Issue date]],Table1[[#This Row],[Maturity date]],Table1[[#This Row],[Current coupon %]],Table1[[#This Row],[Yield (Annualised)]],Table1[[#This Row],[Coupon Frequency2]])</f>
        <v>3.7056324783890928</v>
      </c>
      <c r="AA682" s="33">
        <f>Table1[[#This Row],[Macaulay Duration in Years]]/(1+Table1[[#This Row],[IRR]])</f>
        <v>3.403097142427304</v>
      </c>
      <c r="AB682" s="58">
        <f>VLOOKUP(Table1[[#This Row],[Yield Cluster]],'Cluster Details'!$B$3:$C$16,2,0)</f>
        <v>0.37868966038993918</v>
      </c>
      <c r="AC682" s="78">
        <f>PRICE(Table1[[#This Row],[Issue date]],Table1[[#This Row],[Maturity date]],Table1[[#This Row],[Current coupon %]],Table1[[#This Row],[Average Cluster Yield]],100,Table1[[#This Row],[Coupon Frequency2]])*Table1[[#This Row],[Face value]]/100</f>
        <v>27709.248535206985</v>
      </c>
      <c r="AD682" s="58" t="str">
        <f>IF(Table1[[#This Row],[Ask Price]]&gt;Table1[[#This Row],[Calculated Bond Price]],"Rich","Cheap")</f>
        <v>Rich</v>
      </c>
      <c r="AE68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28924.236268034339</v>
      </c>
      <c r="AF68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30961.553536925741</v>
      </c>
      <c r="AG682" s="78">
        <f>(Table1[[#This Row],[P (+ shock)]]+Table1[[#This Row],[P (-shock)]]-2*Table1[[#This Row],[Ask Price]])/(2*Table1[[#This Row],[Ask Price]]*($AF$2^2))</f>
        <v>-7005.7105097519961</v>
      </c>
      <c r="AH682">
        <v>9.1260164508565698</v>
      </c>
      <c r="AI682" s="6">
        <f t="shared" si="41"/>
        <v>8.8900000000000007E-2</v>
      </c>
      <c r="AK682" s="47">
        <f>RATE(Table1[[#This Row],[Total No. of Coupons]],Table1[[#This Row],[Coupon Amount]],-Table1[[#This Row],[Ask Price]],Table1[[#This Row],[Face value]])</f>
        <v>8.890000000000034E-2</v>
      </c>
      <c r="AL682" s="27">
        <f>Table1[[#This Row],[IRR]]*Table1[[#This Row],[Coupon Frequency2]]</f>
        <v>0.35560000000000136</v>
      </c>
      <c r="AM682" s="5">
        <f t="shared" si="42"/>
        <v>-340309.71424273041</v>
      </c>
      <c r="AN682" t="s">
        <v>64</v>
      </c>
      <c r="AO682" t="s">
        <v>62</v>
      </c>
      <c r="AP682">
        <f t="shared" si="43"/>
        <v>4</v>
      </c>
    </row>
    <row r="683" spans="1:42" x14ac:dyDescent="0.35">
      <c r="A683" s="48" t="s">
        <v>494</v>
      </c>
      <c r="B683" s="49" t="s">
        <v>2993</v>
      </c>
      <c r="C683" s="49" t="s">
        <v>2273</v>
      </c>
      <c r="D683" s="50">
        <v>45009</v>
      </c>
      <c r="E683" s="50">
        <v>47571</v>
      </c>
      <c r="F683" s="49">
        <v>100000</v>
      </c>
      <c r="G683" s="49" t="s">
        <v>76</v>
      </c>
      <c r="H683" s="49">
        <v>100073</v>
      </c>
      <c r="I683" s="49" t="s">
        <v>76</v>
      </c>
      <c r="J683" s="49">
        <v>100.07299999999999</v>
      </c>
      <c r="K683" s="49">
        <v>2</v>
      </c>
      <c r="L683" s="51">
        <v>8.900000000000001E-2</v>
      </c>
      <c r="M683" s="49" t="s">
        <v>105</v>
      </c>
      <c r="N683" s="49">
        <v>1654</v>
      </c>
      <c r="O683" s="49">
        <v>8.8935077393502695</v>
      </c>
      <c r="P683" s="49"/>
      <c r="Q683" s="49"/>
      <c r="R683" s="49" t="s">
        <v>2275</v>
      </c>
      <c r="S683">
        <f t="shared" si="40"/>
        <v>7</v>
      </c>
      <c r="T683" s="5" cm="1">
        <f t="array" ref="T6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3">
        <f>Table1[[#This Row],[Term to Maturity (Years)]]*Table1[[#This Row],[Coupon Frequency2]]</f>
        <v>28</v>
      </c>
      <c r="V683">
        <f>Table1[[#This Row],[Face value]]*Table1[[#This Row],[Current coupon %]]</f>
        <v>8900.0000000000018</v>
      </c>
      <c r="W683" s="36">
        <f>RATE(Table1[[#This Row],[Total No. of Coupons]],Table1[[#This Row],[Coupon Amount]],-Table1[[#This Row],[Ask Price]],Table1[[#This Row],[Face value]])</f>
        <v>8.8928500782515449E-2</v>
      </c>
      <c r="X683" s="27">
        <f>Table1[[#This Row],[IRR]]*Table1[[#This Row],[Coupon Frequency2]]</f>
        <v>0.3557140031300618</v>
      </c>
      <c r="Y683" s="19" cm="1">
        <f t="array" ref="Y6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3" s="33">
        <f>DURATION(Table1[[#This Row],[Issue date]],Table1[[#This Row],[Maturity date]],Table1[[#This Row],[Current coupon %]],Table1[[#This Row],[Yield (Annualised)]],Table1[[#This Row],[Coupon Frequency2]])</f>
        <v>3.4653021926221976</v>
      </c>
      <c r="AA683" s="33">
        <f>Table1[[#This Row],[Macaulay Duration in Years]]/(1+Table1[[#This Row],[IRR]])</f>
        <v>3.1823046142441815</v>
      </c>
      <c r="AB683" s="58">
        <f>VLOOKUP(Table1[[#This Row],[Yield Cluster]],'Cluster Details'!$B$3:$C$16,2,0)</f>
        <v>0.37868966038993918</v>
      </c>
      <c r="AC683" s="78">
        <f>PRICE(Table1[[#This Row],[Issue date]],Table1[[#This Row],[Maturity date]],Table1[[#This Row],[Current coupon %]],Table1[[#This Row],[Average Cluster Yield]],100,Table1[[#This Row],[Coupon Frequency2]])*Table1[[#This Row],[Face value]]/100</f>
        <v>29543.329101729221</v>
      </c>
      <c r="AD683" s="58" t="str">
        <f>IF(Table1[[#This Row],[Ask Price]]&gt;Table1[[#This Row],[Calculated Bond Price]],"Rich","Cheap")</f>
        <v>Rich</v>
      </c>
      <c r="AE68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30830.741712780051</v>
      </c>
      <c r="AF68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32994.975540502084</v>
      </c>
      <c r="AG683" s="78">
        <f>(Table1[[#This Row],[P (+ shock)]]+Table1[[#This Row],[P (-shock)]]-2*Table1[[#This Row],[Ask Price]])/(2*Table1[[#This Row],[Ask Price]]*($AF$2^2))</f>
        <v>-6811.0420766199595</v>
      </c>
      <c r="AH683">
        <v>9.3232530668862896</v>
      </c>
      <c r="AI683" s="6">
        <f t="shared" si="41"/>
        <v>8.8935077393502759E-2</v>
      </c>
      <c r="AK683" s="47">
        <f>RATE(Table1[[#This Row],[Total No. of Coupons]],Table1[[#This Row],[Coupon Amount]],-Table1[[#This Row],[Ask Price]],Table1[[#This Row],[Face value]])</f>
        <v>8.8928500782515449E-2</v>
      </c>
      <c r="AL683" s="27">
        <f>Table1[[#This Row],[IRR]]*Table1[[#This Row],[Coupon Frequency2]]</f>
        <v>0.3557140031300618</v>
      </c>
      <c r="AM683" s="5">
        <f t="shared" si="42"/>
        <v>-318462.76966125797</v>
      </c>
      <c r="AN683" t="s">
        <v>64</v>
      </c>
      <c r="AO683" t="s">
        <v>62</v>
      </c>
      <c r="AP683">
        <f t="shared" si="43"/>
        <v>4</v>
      </c>
    </row>
    <row r="684" spans="1:42" x14ac:dyDescent="0.35">
      <c r="A684" s="48" t="s">
        <v>698</v>
      </c>
      <c r="B684" s="49" t="s">
        <v>2994</v>
      </c>
      <c r="C684" s="49" t="s">
        <v>2273</v>
      </c>
      <c r="D684" s="50">
        <v>45009</v>
      </c>
      <c r="E684" s="50">
        <v>47207</v>
      </c>
      <c r="F684" s="49">
        <v>100000</v>
      </c>
      <c r="G684" s="49" t="s">
        <v>76</v>
      </c>
      <c r="H684" s="49">
        <v>100000</v>
      </c>
      <c r="I684" s="49" t="s">
        <v>76</v>
      </c>
      <c r="J684" s="49">
        <v>100</v>
      </c>
      <c r="K684" s="49">
        <v>2</v>
      </c>
      <c r="L684" s="51">
        <v>8.900000000000001E-2</v>
      </c>
      <c r="M684" s="49" t="s">
        <v>105</v>
      </c>
      <c r="N684" s="49">
        <v>1290</v>
      </c>
      <c r="O684" s="49">
        <v>8.9</v>
      </c>
      <c r="P684" s="49"/>
      <c r="Q684" s="49"/>
      <c r="R684" s="49" t="s">
        <v>2275</v>
      </c>
      <c r="S684">
        <f t="shared" si="40"/>
        <v>6</v>
      </c>
      <c r="T684" s="5" cm="1">
        <f t="array" ref="T6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4">
        <f>Table1[[#This Row],[Term to Maturity (Years)]]*Table1[[#This Row],[Coupon Frequency2]]</f>
        <v>24</v>
      </c>
      <c r="V684">
        <f>Table1[[#This Row],[Face value]]*Table1[[#This Row],[Current coupon %]]</f>
        <v>8900.0000000000018</v>
      </c>
      <c r="W684" s="36">
        <f>RATE(Table1[[#This Row],[Total No. of Coupons]],Table1[[#This Row],[Coupon Amount]],-Table1[[#This Row],[Ask Price]],Table1[[#This Row],[Face value]])</f>
        <v>8.900000000000001E-2</v>
      </c>
      <c r="X684" s="27">
        <f>Table1[[#This Row],[IRR]]*Table1[[#This Row],[Coupon Frequency2]]</f>
        <v>0.35600000000000004</v>
      </c>
      <c r="Y684" s="19" cm="1">
        <f t="array" ref="Y6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4" s="33">
        <f>DURATION(Table1[[#This Row],[Issue date]],Table1[[#This Row],[Maturity date]],Table1[[#This Row],[Current coupon %]],Table1[[#This Row],[Yield (Annualised)]],Table1[[#This Row],[Coupon Frequency2]])</f>
        <v>3.395689514527894</v>
      </c>
      <c r="AA684" s="33">
        <f>Table1[[#This Row],[Macaulay Duration in Years]]/(1+Table1[[#This Row],[IRR]])</f>
        <v>3.1181721896491221</v>
      </c>
      <c r="AB684" s="58">
        <f>VLOOKUP(Table1[[#This Row],[Yield Cluster]],'Cluster Details'!$B$3:$C$16,2,0)</f>
        <v>0.37868966038993918</v>
      </c>
      <c r="AC684" s="78">
        <f>PRICE(Table1[[#This Row],[Issue date]],Table1[[#This Row],[Maturity date]],Table1[[#This Row],[Current coupon %]],Table1[[#This Row],[Average Cluster Yield]],100,Table1[[#This Row],[Coupon Frequency2]])*Table1[[#This Row],[Face value]]/100</f>
        <v>32169.571228527446</v>
      </c>
      <c r="AD684" s="58" t="str">
        <f>IF(Table1[[#This Row],[Ask Price]]&gt;Table1[[#This Row],[Calculated Bond Price]],"Rich","Cheap")</f>
        <v>Rich</v>
      </c>
      <c r="AE68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33513.052444354587</v>
      </c>
      <c r="AF68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35803.255515801044</v>
      </c>
      <c r="AG684" s="78">
        <f>(Table1[[#This Row],[P (+ shock)]]+Table1[[#This Row],[P (-shock)]]-2*Table1[[#This Row],[Ask Price]])/(2*Table1[[#This Row],[Ask Price]]*($AF$2^2))</f>
        <v>-6534.1846019922186</v>
      </c>
      <c r="AH684">
        <v>10.325708230388599</v>
      </c>
      <c r="AI684" s="6">
        <f t="shared" si="41"/>
        <v>8.9000000000000024E-2</v>
      </c>
      <c r="AK684" s="47">
        <f>RATE(Table1[[#This Row],[Total No. of Coupons]],Table1[[#This Row],[Coupon Amount]],-Table1[[#This Row],[Ask Price]],Table1[[#This Row],[Face value]])</f>
        <v>8.900000000000001E-2</v>
      </c>
      <c r="AL684" s="27">
        <f>Table1[[#This Row],[IRR]]*Table1[[#This Row],[Coupon Frequency2]]</f>
        <v>0.35600000000000004</v>
      </c>
      <c r="AM684" s="5">
        <f t="shared" si="42"/>
        <v>-311817.21896491223</v>
      </c>
      <c r="AN684" t="s">
        <v>64</v>
      </c>
      <c r="AO684" t="s">
        <v>62</v>
      </c>
      <c r="AP684">
        <f t="shared" si="43"/>
        <v>4</v>
      </c>
    </row>
    <row r="685" spans="1:42" x14ac:dyDescent="0.35">
      <c r="A685" s="48" t="s">
        <v>2995</v>
      </c>
      <c r="B685" s="49" t="s">
        <v>2996</v>
      </c>
      <c r="C685" s="49" t="s">
        <v>2273</v>
      </c>
      <c r="D685" s="50">
        <v>45825</v>
      </c>
      <c r="E685" s="50">
        <v>46555</v>
      </c>
      <c r="F685" s="49">
        <v>100000</v>
      </c>
      <c r="G685" s="49" t="s">
        <v>76</v>
      </c>
      <c r="H685" s="49">
        <v>100907.75</v>
      </c>
      <c r="I685" s="49" t="s">
        <v>76</v>
      </c>
      <c r="J685" s="49">
        <v>100.90774999999999</v>
      </c>
      <c r="K685" s="49">
        <v>1</v>
      </c>
      <c r="L685" s="51">
        <v>9.1499999999999998E-2</v>
      </c>
      <c r="M685" s="49" t="s">
        <v>105</v>
      </c>
      <c r="N685" s="49">
        <v>638</v>
      </c>
      <c r="O685" s="49">
        <v>9.0676880616206308</v>
      </c>
      <c r="P685" s="49"/>
      <c r="Q685" s="49"/>
      <c r="R685" s="49" t="s">
        <v>2275</v>
      </c>
      <c r="S685">
        <f t="shared" si="40"/>
        <v>2</v>
      </c>
      <c r="T685" s="5" cm="1">
        <f t="array" ref="T6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5">
        <f>Table1[[#This Row],[Term to Maturity (Years)]]*Table1[[#This Row],[Coupon Frequency2]]</f>
        <v>8</v>
      </c>
      <c r="V685">
        <f>Table1[[#This Row],[Face value]]*Table1[[#This Row],[Current coupon %]]</f>
        <v>9150</v>
      </c>
      <c r="W685" s="36">
        <f>RATE(Table1[[#This Row],[Total No. of Coupons]],Table1[[#This Row],[Coupon Amount]],-Table1[[#This Row],[Ask Price]],Table1[[#This Row],[Face value]])</f>
        <v>8.9860776886688309E-2</v>
      </c>
      <c r="X685" s="27">
        <f>Table1[[#This Row],[IRR]]*Table1[[#This Row],[Coupon Frequency2]]</f>
        <v>0.35944310754675324</v>
      </c>
      <c r="Y685" s="19" cm="1">
        <f t="array" ref="Y6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5" s="33">
        <f>DURATION(Table1[[#This Row],[Issue date]],Table1[[#This Row],[Maturity date]],Table1[[#This Row],[Current coupon %]],Table1[[#This Row],[Yield (Annualised)]],Table1[[#This Row],[Coupon Frequency2]])</f>
        <v>1.8012357640251577</v>
      </c>
      <c r="AA685" s="33">
        <f>Table1[[#This Row],[Macaulay Duration in Years]]/(1+Table1[[#This Row],[IRR]])</f>
        <v>1.6527209733802819</v>
      </c>
      <c r="AB685" s="58">
        <f>VLOOKUP(Table1[[#This Row],[Yield Cluster]],'Cluster Details'!$B$3:$C$16,2,0)</f>
        <v>0.37868966038993918</v>
      </c>
      <c r="AC685" s="78">
        <f>PRICE(Table1[[#This Row],[Issue date]],Table1[[#This Row],[Maturity date]],Table1[[#This Row],[Current coupon %]],Table1[[#This Row],[Average Cluster Yield]],100,Table1[[#This Row],[Coupon Frequency2]])*Table1[[#This Row],[Face value]]/100</f>
        <v>60942.284927074135</v>
      </c>
      <c r="AD685" s="58" t="str">
        <f>IF(Table1[[#This Row],[Ask Price]]&gt;Table1[[#This Row],[Calculated Bond Price]],"Rich","Cheap")</f>
        <v>Rich</v>
      </c>
      <c r="AE68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61876.033211087532</v>
      </c>
      <c r="AF68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63955.490373213332</v>
      </c>
      <c r="AG685" s="78">
        <f>(Table1[[#This Row],[P (+ shock)]]+Table1[[#This Row],[P (-shock)]]-2*Table1[[#This Row],[Ask Price]])/(2*Table1[[#This Row],[Ask Price]]*($AF$2^2))</f>
        <v>-3765.0218350770451</v>
      </c>
      <c r="AH685">
        <v>7.6076324805412003</v>
      </c>
      <c r="AI685" s="6">
        <f t="shared" si="41"/>
        <v>9.0676880616206393E-2</v>
      </c>
      <c r="AK685" s="47">
        <f>RATE(Table1[[#This Row],[Total No. of Coupons]],Table1[[#This Row],[Coupon Amount]],-Table1[[#This Row],[Ask Price]],Table1[[#This Row],[Face value]])</f>
        <v>8.9860776886688309E-2</v>
      </c>
      <c r="AL685" s="27">
        <f>Table1[[#This Row],[IRR]]*Table1[[#This Row],[Coupon Frequency2]]</f>
        <v>0.35944310754675324</v>
      </c>
      <c r="AM685" s="5">
        <f t="shared" si="42"/>
        <v>-166772.35480161413</v>
      </c>
      <c r="AN685" t="s">
        <v>64</v>
      </c>
      <c r="AO685" t="s">
        <v>62</v>
      </c>
      <c r="AP685">
        <f t="shared" si="43"/>
        <v>4</v>
      </c>
    </row>
    <row r="686" spans="1:42" x14ac:dyDescent="0.35">
      <c r="A686" s="48" t="s">
        <v>2997</v>
      </c>
      <c r="B686" s="49" t="s">
        <v>2998</v>
      </c>
      <c r="C686" s="49" t="s">
        <v>2273</v>
      </c>
      <c r="D686" s="50">
        <v>45881</v>
      </c>
      <c r="E686" s="50">
        <v>46611</v>
      </c>
      <c r="F686" s="49">
        <v>100000</v>
      </c>
      <c r="G686" s="49" t="s">
        <v>76</v>
      </c>
      <c r="H686" s="49">
        <v>100572.88</v>
      </c>
      <c r="I686" s="49" t="s">
        <v>76</v>
      </c>
      <c r="J686" s="49">
        <v>100.57288</v>
      </c>
      <c r="K686" s="49">
        <v>8</v>
      </c>
      <c r="L686" s="51">
        <v>9.0999999999999998E-2</v>
      </c>
      <c r="M686" s="49" t="s">
        <v>105</v>
      </c>
      <c r="N686" s="49">
        <v>694</v>
      </c>
      <c r="O686" s="49">
        <v>9.0481648730751196</v>
      </c>
      <c r="P686" s="49"/>
      <c r="Q686" s="49"/>
      <c r="R686" s="49" t="s">
        <v>2275</v>
      </c>
      <c r="S686">
        <f t="shared" si="40"/>
        <v>2</v>
      </c>
      <c r="T686" s="5" cm="1">
        <f t="array" ref="T6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6">
        <f>Table1[[#This Row],[Term to Maturity (Years)]]*Table1[[#This Row],[Coupon Frequency2]]</f>
        <v>8</v>
      </c>
      <c r="V686">
        <f>Table1[[#This Row],[Face value]]*Table1[[#This Row],[Current coupon %]]</f>
        <v>9100</v>
      </c>
      <c r="W686" s="36">
        <f>RATE(Table1[[#This Row],[Total No. of Coupons]],Table1[[#This Row],[Coupon Amount]],-Table1[[#This Row],[Ask Price]],Table1[[#This Row],[Face value]])</f>
        <v>8.9965086928400231E-2</v>
      </c>
      <c r="X686" s="27">
        <f>Table1[[#This Row],[IRR]]*Table1[[#This Row],[Coupon Frequency2]]</f>
        <v>0.35986034771360093</v>
      </c>
      <c r="Y686" s="19" cm="1">
        <f t="array" ref="Y6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6" s="33">
        <f>DURATION(Table1[[#This Row],[Issue date]],Table1[[#This Row],[Maturity date]],Table1[[#This Row],[Current coupon %]],Table1[[#This Row],[Yield (Annualised)]],Table1[[#This Row],[Coupon Frequency2]])</f>
        <v>1.8020197513116518</v>
      </c>
      <c r="AA686" s="33">
        <f>Table1[[#This Row],[Macaulay Duration in Years]]/(1+Table1[[#This Row],[IRR]])</f>
        <v>1.6532820848325267</v>
      </c>
      <c r="AB686" s="58">
        <f>VLOOKUP(Table1[[#This Row],[Yield Cluster]],'Cluster Details'!$B$3:$C$16,2,0)</f>
        <v>0.37868966038993918</v>
      </c>
      <c r="AC686" s="78">
        <f>PRICE(Table1[[#This Row],[Issue date]],Table1[[#This Row],[Maturity date]],Table1[[#This Row],[Current coupon %]],Table1[[#This Row],[Average Cluster Yield]],100,Table1[[#This Row],[Coupon Frequency2]])*Table1[[#This Row],[Face value]]/100</f>
        <v>60874.28506416142</v>
      </c>
      <c r="AD686" s="58" t="str">
        <f>IF(Table1[[#This Row],[Ask Price]]&gt;Table1[[#This Row],[Calculated Bond Price]],"Rich","Cheap")</f>
        <v>Rich</v>
      </c>
      <c r="AE68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61764.972212421053</v>
      </c>
      <c r="AF68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63841.413404808176</v>
      </c>
      <c r="AG686" s="78">
        <f>(Table1[[#This Row],[P (+ shock)]]+Table1[[#This Row],[P (-shock)]]-2*Table1[[#This Row],[Ask Price]])/(2*Table1[[#This Row],[Ask Price]]*($AF$2^2))</f>
        <v>-3755.4544715618549</v>
      </c>
      <c r="AH686">
        <v>11.8947642766129</v>
      </c>
      <c r="AI686" s="6">
        <f t="shared" si="41"/>
        <v>9.0481648730751263E-2</v>
      </c>
      <c r="AK686" s="47">
        <f>RATE(Table1[[#This Row],[Total No. of Coupons]],Table1[[#This Row],[Coupon Amount]],-Table1[[#This Row],[Ask Price]],Table1[[#This Row],[Face value]])</f>
        <v>8.9965086928400231E-2</v>
      </c>
      <c r="AL686" s="27">
        <f>Table1[[#This Row],[IRR]]*Table1[[#This Row],[Coupon Frequency2]]</f>
        <v>0.35986034771360093</v>
      </c>
      <c r="AM686" s="5">
        <f t="shared" si="42"/>
        <v>-166275.34072401153</v>
      </c>
      <c r="AN686" t="s">
        <v>64</v>
      </c>
      <c r="AO686" t="s">
        <v>62</v>
      </c>
      <c r="AP686">
        <f t="shared" si="43"/>
        <v>4</v>
      </c>
    </row>
    <row r="687" spans="1:42" x14ac:dyDescent="0.35">
      <c r="A687" s="48" t="s">
        <v>2030</v>
      </c>
      <c r="B687" s="49" t="s">
        <v>2999</v>
      </c>
      <c r="C687" s="49" t="s">
        <v>2273</v>
      </c>
      <c r="D687" s="50">
        <v>45287</v>
      </c>
      <c r="E687" s="50">
        <v>46018</v>
      </c>
      <c r="F687" s="49">
        <v>1000</v>
      </c>
      <c r="G687" s="49" t="s">
        <v>76</v>
      </c>
      <c r="H687" s="49">
        <v>999</v>
      </c>
      <c r="I687" s="49" t="s">
        <v>76</v>
      </c>
      <c r="J687" s="49">
        <v>99.9</v>
      </c>
      <c r="K687" s="49">
        <v>20</v>
      </c>
      <c r="L687" s="51">
        <v>0.09</v>
      </c>
      <c r="M687" s="49" t="s">
        <v>105</v>
      </c>
      <c r="N687" s="49">
        <v>101</v>
      </c>
      <c r="O687" s="49">
        <v>9.0090090090090094</v>
      </c>
      <c r="P687" s="49"/>
      <c r="Q687" s="49"/>
      <c r="R687" s="49" t="s">
        <v>2275</v>
      </c>
      <c r="S687">
        <f t="shared" si="40"/>
        <v>2</v>
      </c>
      <c r="T687" s="5" cm="1">
        <f t="array" ref="T6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7">
        <f>Table1[[#This Row],[Term to Maturity (Years)]]*Table1[[#This Row],[Coupon Frequency2]]</f>
        <v>8</v>
      </c>
      <c r="V687">
        <f>Table1[[#This Row],[Face value]]*Table1[[#This Row],[Current coupon %]]</f>
        <v>90</v>
      </c>
      <c r="W687" s="36">
        <f>RATE(Table1[[#This Row],[Total No. of Coupons]],Table1[[#This Row],[Coupon Amount]],-Table1[[#This Row],[Ask Price]],Table1[[#This Row],[Face value]])</f>
        <v>9.018079580235204E-2</v>
      </c>
      <c r="X687" s="27">
        <f>Table1[[#This Row],[IRR]]*Table1[[#This Row],[Coupon Frequency2]]</f>
        <v>0.36072318320940816</v>
      </c>
      <c r="Y687" s="19" cm="1">
        <f t="array" ref="Y6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7" s="33">
        <f>DURATION(Table1[[#This Row],[Issue date]],Table1[[#This Row],[Maturity date]],Table1[[#This Row],[Current coupon %]],Table1[[#This Row],[Yield (Annualised)]],Table1[[#This Row],[Coupon Frequency2]])</f>
        <v>1.8035895375499402</v>
      </c>
      <c r="AA687" s="33">
        <f>Table1[[#This Row],[Macaulay Duration in Years]]/(1+Table1[[#This Row],[IRR]])</f>
        <v>1.6543948898150727</v>
      </c>
      <c r="AB687" s="58">
        <f>VLOOKUP(Table1[[#This Row],[Yield Cluster]],'Cluster Details'!$B$3:$C$16,2,0)</f>
        <v>0.37868966038993918</v>
      </c>
      <c r="AC687" s="78">
        <f>PRICE(Table1[[#This Row],[Issue date]],Table1[[#This Row],[Maturity date]],Table1[[#This Row],[Current coupon %]],Table1[[#This Row],[Average Cluster Yield]],100,Table1[[#This Row],[Coupon Frequency2]])*Table1[[#This Row],[Face value]]/100</f>
        <v>607.38285338336004</v>
      </c>
      <c r="AD687" s="58" t="str">
        <f>IF(Table1[[#This Row],[Ask Price]]&gt;Table1[[#This Row],[Calculated Bond Price]],"Rich","Cheap")</f>
        <v>Rich</v>
      </c>
      <c r="AE68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615.40237394185783</v>
      </c>
      <c r="AF68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636.10539060602196</v>
      </c>
      <c r="AG687" s="78">
        <f>(Table1[[#This Row],[P (+ shock)]]+Table1[[#This Row],[P (-shock)]]-2*Table1[[#This Row],[Ask Price]])/(2*Table1[[#This Row],[Ask Price]]*($AF$2^2))</f>
        <v>-3736.197374635236</v>
      </c>
      <c r="AI687" s="6">
        <f t="shared" si="41"/>
        <v>9.0090090090090086E-2</v>
      </c>
      <c r="AK687" s="47">
        <f>RATE(Table1[[#This Row],[Total No. of Coupons]],Table1[[#This Row],[Coupon Amount]],-Table1[[#This Row],[Ask Price]],Table1[[#This Row],[Face value]])</f>
        <v>9.018079580235204E-2</v>
      </c>
      <c r="AL687" s="27">
        <f>Table1[[#This Row],[IRR]]*Table1[[#This Row],[Coupon Frequency2]]</f>
        <v>0.36072318320940816</v>
      </c>
      <c r="AM687" s="5">
        <f t="shared" si="42"/>
        <v>-1652.7404949252575</v>
      </c>
      <c r="AN687" t="s">
        <v>64</v>
      </c>
      <c r="AO687" t="s">
        <v>62</v>
      </c>
      <c r="AP687">
        <f t="shared" si="43"/>
        <v>4</v>
      </c>
    </row>
    <row r="688" spans="1:42" x14ac:dyDescent="0.35">
      <c r="A688" s="48" t="s">
        <v>1171</v>
      </c>
      <c r="B688" s="49" t="s">
        <v>3000</v>
      </c>
      <c r="C688" s="49" t="s">
        <v>2273</v>
      </c>
      <c r="D688" s="50">
        <v>45547</v>
      </c>
      <c r="E688" s="50">
        <v>46642</v>
      </c>
      <c r="F688" s="49">
        <v>1000</v>
      </c>
      <c r="G688" s="49" t="s">
        <v>76</v>
      </c>
      <c r="H688" s="49">
        <v>1020</v>
      </c>
      <c r="I688" s="49" t="s">
        <v>76</v>
      </c>
      <c r="J688" s="49">
        <v>102</v>
      </c>
      <c r="K688" s="49">
        <v>450</v>
      </c>
      <c r="L688" s="51">
        <v>9.3200000000000005E-2</v>
      </c>
      <c r="M688" s="49" t="s">
        <v>105</v>
      </c>
      <c r="N688" s="49">
        <v>725</v>
      </c>
      <c r="O688" s="49">
        <v>9.1372549019607803</v>
      </c>
      <c r="P688" s="49"/>
      <c r="Q688" s="49"/>
      <c r="R688" s="49" t="s">
        <v>2275</v>
      </c>
      <c r="S688">
        <f t="shared" si="40"/>
        <v>3</v>
      </c>
      <c r="T688" s="5" cm="1">
        <f t="array" ref="T6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8">
        <f>Table1[[#This Row],[Term to Maturity (Years)]]*Table1[[#This Row],[Coupon Frequency2]]</f>
        <v>12</v>
      </c>
      <c r="V688">
        <f>Table1[[#This Row],[Face value]]*Table1[[#This Row],[Current coupon %]]</f>
        <v>93.2</v>
      </c>
      <c r="W688" s="36">
        <f>RATE(Table1[[#This Row],[Total No. of Coupons]],Table1[[#This Row],[Coupon Amount]],-Table1[[#This Row],[Ask Price]],Table1[[#This Row],[Face value]])</f>
        <v>9.0401337411445612E-2</v>
      </c>
      <c r="X688" s="27">
        <f>Table1[[#This Row],[IRR]]*Table1[[#This Row],[Coupon Frequency2]]</f>
        <v>0.36160534964578245</v>
      </c>
      <c r="Y688" s="19" cm="1">
        <f t="array" ref="Y6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8" s="33">
        <f>DURATION(Table1[[#This Row],[Issue date]],Table1[[#This Row],[Maturity date]],Table1[[#This Row],[Current coupon %]],Table1[[#This Row],[Yield (Annualised)]],Table1[[#This Row],[Coupon Frequency2]])</f>
        <v>2.4790871289676462</v>
      </c>
      <c r="AA688" s="33">
        <f>Table1[[#This Row],[Macaulay Duration in Years]]/(1+Table1[[#This Row],[IRR]])</f>
        <v>2.2735547398106335</v>
      </c>
      <c r="AB688" s="58">
        <f>VLOOKUP(Table1[[#This Row],[Yield Cluster]],'Cluster Details'!$B$3:$C$16,2,0)</f>
        <v>0.37868966038993918</v>
      </c>
      <c r="AC688" s="78">
        <f>PRICE(Table1[[#This Row],[Issue date]],Table1[[#This Row],[Maturity date]],Table1[[#This Row],[Current coupon %]],Table1[[#This Row],[Average Cluster Yield]],100,Table1[[#This Row],[Coupon Frequency2]])*Table1[[#This Row],[Face value]]/100</f>
        <v>500.73435497643817</v>
      </c>
      <c r="AD688" s="58" t="str">
        <f>IF(Table1[[#This Row],[Ask Price]]&gt;Table1[[#This Row],[Calculated Bond Price]],"Rich","Cheap")</f>
        <v>Rich</v>
      </c>
      <c r="AE68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508.80633701869345</v>
      </c>
      <c r="AF68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532.47637681220033</v>
      </c>
      <c r="AG688" s="78">
        <f>(Table1[[#This Row],[P (+ shock)]]+Table1[[#This Row],[P (-shock)]]-2*Table1[[#This Row],[Ask Price]])/(2*Table1[[#This Row],[Ask Price]]*($AF$2^2))</f>
        <v>-4895.672971417187</v>
      </c>
      <c r="AH688">
        <v>9.6455500611989606</v>
      </c>
      <c r="AI688" s="6">
        <f t="shared" si="41"/>
        <v>9.137254901960784E-2</v>
      </c>
      <c r="AK688" s="47">
        <f>RATE(Table1[[#This Row],[Total No. of Coupons]],Table1[[#This Row],[Coupon Amount]],-Table1[[#This Row],[Ask Price]],Table1[[#This Row],[Face value]])</f>
        <v>9.0401337411445612E-2</v>
      </c>
      <c r="AL688" s="27">
        <f>Table1[[#This Row],[IRR]]*Table1[[#This Row],[Coupon Frequency2]]</f>
        <v>0.36160534964578245</v>
      </c>
      <c r="AM688" s="5">
        <f t="shared" si="42"/>
        <v>-2319.0258346068463</v>
      </c>
      <c r="AN688" t="s">
        <v>64</v>
      </c>
      <c r="AO688" t="s">
        <v>62</v>
      </c>
      <c r="AP688">
        <f t="shared" si="43"/>
        <v>4</v>
      </c>
    </row>
    <row r="689" spans="1:42" x14ac:dyDescent="0.35">
      <c r="A689" s="48" t="s">
        <v>3001</v>
      </c>
      <c r="B689" s="49" t="s">
        <v>3002</v>
      </c>
      <c r="C689" s="49" t="s">
        <v>2273</v>
      </c>
      <c r="D689" s="50">
        <v>45873</v>
      </c>
      <c r="E689" s="50">
        <v>46969</v>
      </c>
      <c r="F689" s="49">
        <v>100000</v>
      </c>
      <c r="G689" s="49" t="s">
        <v>76</v>
      </c>
      <c r="H689" s="49">
        <v>100958</v>
      </c>
      <c r="I689" s="49" t="s">
        <v>76</v>
      </c>
      <c r="J689" s="49">
        <v>100.958</v>
      </c>
      <c r="K689" s="49">
        <v>1</v>
      </c>
      <c r="L689" s="51">
        <v>9.1999999999999998E-2</v>
      </c>
      <c r="M689" s="49" t="s">
        <v>105</v>
      </c>
      <c r="N689" s="49">
        <v>1052</v>
      </c>
      <c r="O689" s="49">
        <v>9.1127003308306396</v>
      </c>
      <c r="P689" s="49" t="s">
        <v>2279</v>
      </c>
      <c r="Q689" s="49"/>
      <c r="R689" s="49" t="s">
        <v>2275</v>
      </c>
      <c r="S689">
        <f t="shared" si="40"/>
        <v>3</v>
      </c>
      <c r="T689" s="5" cm="1">
        <f t="array" ref="T6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89">
        <f>Table1[[#This Row],[Term to Maturity (Years)]]*Table1[[#This Row],[Coupon Frequency2]]</f>
        <v>12</v>
      </c>
      <c r="V689">
        <f>Table1[[#This Row],[Face value]]*Table1[[#This Row],[Current coupon %]]</f>
        <v>9200</v>
      </c>
      <c r="W689" s="36">
        <f>RATE(Table1[[#This Row],[Total No. of Coupons]],Table1[[#This Row],[Coupon Amount]],-Table1[[#This Row],[Ask Price]],Table1[[#This Row],[Face value]])</f>
        <v>9.0657710721716744E-2</v>
      </c>
      <c r="X689" s="27">
        <f>Table1[[#This Row],[IRR]]*Table1[[#This Row],[Coupon Frequency2]]</f>
        <v>0.36263084288686698</v>
      </c>
      <c r="Y689" s="19" cm="1">
        <f t="array" ref="Y6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89" s="33">
        <f>DURATION(Table1[[#This Row],[Issue date]],Table1[[#This Row],[Maturity date]],Table1[[#This Row],[Current coupon %]],Table1[[#This Row],[Yield (Annualised)]],Table1[[#This Row],[Coupon Frequency2]])</f>
        <v>2.4829164704743665</v>
      </c>
      <c r="AA689" s="33">
        <f>Table1[[#This Row],[Macaulay Duration in Years]]/(1+Table1[[#This Row],[IRR]])</f>
        <v>2.2765313499056963</v>
      </c>
      <c r="AB689" s="58">
        <f>VLOOKUP(Table1[[#This Row],[Yield Cluster]],'Cluster Details'!$B$3:$C$16,2,0)</f>
        <v>0.37868966038993918</v>
      </c>
      <c r="AC689" s="78">
        <f>PRICE(Table1[[#This Row],[Issue date]],Table1[[#This Row],[Maturity date]],Table1[[#This Row],[Current coupon %]],Table1[[#This Row],[Average Cluster Yield]],100,Table1[[#This Row],[Coupon Frequency2]])*Table1[[#This Row],[Face value]]/100</f>
        <v>49863.578939893188</v>
      </c>
      <c r="AD689" s="58" t="str">
        <f>IF(Table1[[#This Row],[Ask Price]]&gt;Table1[[#This Row],[Calculated Bond Price]],"Rich","Cheap")</f>
        <v>Rich</v>
      </c>
      <c r="AE68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50551.35150811998</v>
      </c>
      <c r="AF68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52906.186524577875</v>
      </c>
      <c r="AG689" s="78">
        <f>(Table1[[#This Row],[P (+ shock)]]+Table1[[#This Row],[P (-shock)]]-2*Table1[[#This Row],[Ask Price]])/(2*Table1[[#This Row],[Ask Price]]*($AF$2^2))</f>
        <v>-4876.2090159919044</v>
      </c>
      <c r="AI689" s="6">
        <f t="shared" si="41"/>
        <v>9.112700330830642E-2</v>
      </c>
      <c r="AK689" s="47">
        <f>RATE(Table1[[#This Row],[Total No. of Coupons]],Table1[[#This Row],[Coupon Amount]],-Table1[[#This Row],[Ask Price]],Table1[[#This Row],[Face value]])</f>
        <v>9.0657710721716744E-2</v>
      </c>
      <c r="AL689" s="27">
        <f>Table1[[#This Row],[IRR]]*Table1[[#This Row],[Coupon Frequency2]]</f>
        <v>0.36263084288686698</v>
      </c>
      <c r="AM689" s="5">
        <f t="shared" si="42"/>
        <v>-229834.05202377928</v>
      </c>
      <c r="AN689" t="s">
        <v>64</v>
      </c>
      <c r="AO689" t="s">
        <v>62</v>
      </c>
      <c r="AP689">
        <f t="shared" si="43"/>
        <v>4</v>
      </c>
    </row>
    <row r="690" spans="1:42" x14ac:dyDescent="0.35">
      <c r="A690" s="48" t="s">
        <v>284</v>
      </c>
      <c r="B690" s="49" t="s">
        <v>3003</v>
      </c>
      <c r="C690" s="49" t="s">
        <v>2273</v>
      </c>
      <c r="D690" s="50">
        <v>44841</v>
      </c>
      <c r="E690" s="50">
        <v>48295</v>
      </c>
      <c r="F690" s="49">
        <v>1000000</v>
      </c>
      <c r="G690" s="49" t="s">
        <v>76</v>
      </c>
      <c r="H690" s="49">
        <v>1087890</v>
      </c>
      <c r="I690" s="49" t="s">
        <v>76</v>
      </c>
      <c r="J690" s="49">
        <v>108.789</v>
      </c>
      <c r="K690" s="49">
        <v>2</v>
      </c>
      <c r="L690" s="51">
        <v>9.9499999999999991E-2</v>
      </c>
      <c r="M690" s="49" t="s">
        <v>105</v>
      </c>
      <c r="N690" s="49">
        <v>2378</v>
      </c>
      <c r="O690" s="49">
        <v>9.1461452904245792</v>
      </c>
      <c r="P690" s="49"/>
      <c r="Q690" s="49"/>
      <c r="R690" s="49" t="s">
        <v>2275</v>
      </c>
      <c r="S690">
        <f t="shared" si="40"/>
        <v>9</v>
      </c>
      <c r="T690" s="5" cm="1">
        <f t="array" ref="T6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0">
        <f>Table1[[#This Row],[Term to Maturity (Years)]]*Table1[[#This Row],[Coupon Frequency2]]</f>
        <v>36</v>
      </c>
      <c r="V690">
        <f>Table1[[#This Row],[Face value]]*Table1[[#This Row],[Current coupon %]]</f>
        <v>99499.999999999985</v>
      </c>
      <c r="W690" s="36">
        <f>RATE(Table1[[#This Row],[Total No. of Coupons]],Table1[[#This Row],[Coupon Amount]],-Table1[[#This Row],[Ask Price]],Table1[[#This Row],[Face value]])</f>
        <v>9.1128255104140188E-2</v>
      </c>
      <c r="X690" s="27">
        <f>Table1[[#This Row],[IRR]]*Table1[[#This Row],[Coupon Frequency2]]</f>
        <v>0.36451302041656075</v>
      </c>
      <c r="Y690" s="19" cm="1">
        <f t="array" ref="Y6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0" s="33">
        <f>DURATION(Table1[[#This Row],[Issue date]],Table1[[#This Row],[Maturity date]],Table1[[#This Row],[Current coupon %]],Table1[[#This Row],[Yield (Annualised)]],Table1[[#This Row],[Coupon Frequency2]])</f>
        <v>3.4270700369063114</v>
      </c>
      <c r="AA690" s="33">
        <f>Table1[[#This Row],[Macaulay Duration in Years]]/(1+Table1[[#This Row],[IRR]])</f>
        <v>3.140849868816955</v>
      </c>
      <c r="AB690" s="58">
        <f>VLOOKUP(Table1[[#This Row],[Yield Cluster]],'Cluster Details'!$B$3:$C$16,2,0)</f>
        <v>0.37868966038993918</v>
      </c>
      <c r="AC690" s="78">
        <f>PRICE(Table1[[#This Row],[Issue date]],Table1[[#This Row],[Maturity date]],Table1[[#This Row],[Current coupon %]],Table1[[#This Row],[Average Cluster Yield]],100,Table1[[#This Row],[Coupon Frequency2]])*Table1[[#This Row],[Face value]]/100</f>
        <v>286657.28242037108</v>
      </c>
      <c r="AD690" s="58" t="str">
        <f>IF(Table1[[#This Row],[Ask Price]]&gt;Table1[[#This Row],[Calculated Bond Price]],"Rich","Cheap")</f>
        <v>Rich</v>
      </c>
      <c r="AE69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290374.64985368826</v>
      </c>
      <c r="AF69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309471.62770279055</v>
      </c>
      <c r="AG690" s="78">
        <f>(Table1[[#This Row],[P (+ shock)]]+Table1[[#This Row],[P (-shock)]]-2*Table1[[#This Row],[Ask Price]])/(2*Table1[[#This Row],[Ask Price]]*($AF$2^2))</f>
        <v>-7243.0747706271832</v>
      </c>
      <c r="AI690" s="6">
        <f t="shared" si="41"/>
        <v>9.1461452904245816E-2</v>
      </c>
      <c r="AK690" s="47">
        <f>RATE(Table1[[#This Row],[Total No. of Coupons]],Table1[[#This Row],[Coupon Amount]],-Table1[[#This Row],[Ask Price]],Table1[[#This Row],[Face value]])</f>
        <v>9.1128255104140188E-2</v>
      </c>
      <c r="AL690" s="27">
        <f>Table1[[#This Row],[IRR]]*Table1[[#This Row],[Coupon Frequency2]]</f>
        <v>0.36451302041656075</v>
      </c>
      <c r="AM690" s="5">
        <f t="shared" si="42"/>
        <v>-3416899.1637872774</v>
      </c>
      <c r="AN690" t="s">
        <v>64</v>
      </c>
      <c r="AO690" t="s">
        <v>62</v>
      </c>
      <c r="AP690">
        <f t="shared" si="43"/>
        <v>4</v>
      </c>
    </row>
    <row r="691" spans="1:42" x14ac:dyDescent="0.35">
      <c r="A691" s="48" t="s">
        <v>603</v>
      </c>
      <c r="B691" s="49" t="s">
        <v>3004</v>
      </c>
      <c r="C691" s="49" t="s">
        <v>2273</v>
      </c>
      <c r="D691" s="50">
        <v>45547</v>
      </c>
      <c r="E691" s="50">
        <v>47373</v>
      </c>
      <c r="F691" s="49">
        <v>1000</v>
      </c>
      <c r="G691" s="49" t="s">
        <v>76</v>
      </c>
      <c r="H691" s="49">
        <v>1040</v>
      </c>
      <c r="I691" s="49" t="s">
        <v>76</v>
      </c>
      <c r="J691" s="49">
        <v>104</v>
      </c>
      <c r="K691" s="49">
        <v>107</v>
      </c>
      <c r="L691" s="51">
        <v>9.5600000000000004E-2</v>
      </c>
      <c r="M691" s="49" t="s">
        <v>105</v>
      </c>
      <c r="N691" s="49">
        <v>1456</v>
      </c>
      <c r="O691" s="49">
        <v>9.1923076923076898</v>
      </c>
      <c r="P691" s="49"/>
      <c r="Q691" s="49"/>
      <c r="R691" s="49" t="s">
        <v>2275</v>
      </c>
      <c r="S691">
        <f t="shared" si="40"/>
        <v>5</v>
      </c>
      <c r="T691" s="5" cm="1">
        <f t="array" ref="T6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1">
        <f>Table1[[#This Row],[Term to Maturity (Years)]]*Table1[[#This Row],[Coupon Frequency2]]</f>
        <v>20</v>
      </c>
      <c r="V691">
        <f>Table1[[#This Row],[Face value]]*Table1[[#This Row],[Current coupon %]]</f>
        <v>95.600000000000009</v>
      </c>
      <c r="W691" s="36">
        <f>RATE(Table1[[#This Row],[Total No. of Coupons]],Table1[[#This Row],[Coupon Amount]],-Table1[[#This Row],[Ask Price]],Table1[[#This Row],[Face value]])</f>
        <v>9.1181196564929942E-2</v>
      </c>
      <c r="X691" s="27">
        <f>Table1[[#This Row],[IRR]]*Table1[[#This Row],[Coupon Frequency2]]</f>
        <v>0.36472478625971977</v>
      </c>
      <c r="Y691" s="19" cm="1">
        <f t="array" ref="Y6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1" s="33">
        <f>DURATION(Table1[[#This Row],[Issue date]],Table1[[#This Row],[Maturity date]],Table1[[#This Row],[Current coupon %]],Table1[[#This Row],[Yield (Annualised)]],Table1[[#This Row],[Coupon Frequency2]])</f>
        <v>3.3033664722801044</v>
      </c>
      <c r="AA691" s="33">
        <f>Table1[[#This Row],[Macaulay Duration in Years]]/(1+Table1[[#This Row],[IRR]])</f>
        <v>3.0273308252370899</v>
      </c>
      <c r="AB691" s="58">
        <f>VLOOKUP(Table1[[#This Row],[Yield Cluster]],'Cluster Details'!$B$3:$C$16,2,0)</f>
        <v>0.37868966038993918</v>
      </c>
      <c r="AC691" s="78">
        <f>PRICE(Table1[[#This Row],[Issue date]],Table1[[#This Row],[Maturity date]],Table1[[#This Row],[Current coupon %]],Table1[[#This Row],[Average Cluster Yield]],100,Table1[[#This Row],[Coupon Frequency2]])*Table1[[#This Row],[Face value]]/100</f>
        <v>374.89897539167112</v>
      </c>
      <c r="AD691" s="58" t="str">
        <f>IF(Table1[[#This Row],[Ask Price]]&gt;Table1[[#This Row],[Calculated Bond Price]],"Rich","Cheap")</f>
        <v>Rich</v>
      </c>
      <c r="AE69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379.36332247004958</v>
      </c>
      <c r="AF69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403.04212841570427</v>
      </c>
      <c r="AG691" s="78">
        <f>(Table1[[#This Row],[P (+ shock)]]+Table1[[#This Row],[P (-shock)]]-2*Table1[[#This Row],[Ask Price]])/(2*Table1[[#This Row],[Ask Price]]*($AF$2^2))</f>
        <v>-6238.4353322800289</v>
      </c>
      <c r="AI691" s="6">
        <f t="shared" si="41"/>
        <v>9.1923076923076927E-2</v>
      </c>
      <c r="AK691" s="47">
        <f>RATE(Table1[[#This Row],[Total No. of Coupons]],Table1[[#This Row],[Coupon Amount]],-Table1[[#This Row],[Ask Price]],Table1[[#This Row],[Face value]])</f>
        <v>9.1181196564929942E-2</v>
      </c>
      <c r="AL691" s="27">
        <f>Table1[[#This Row],[IRR]]*Table1[[#This Row],[Coupon Frequency2]]</f>
        <v>0.36472478625971977</v>
      </c>
      <c r="AM691" s="5">
        <f t="shared" si="42"/>
        <v>-3148.4240582465736</v>
      </c>
      <c r="AN691" t="s">
        <v>64</v>
      </c>
      <c r="AO691" t="s">
        <v>62</v>
      </c>
      <c r="AP691">
        <f t="shared" si="43"/>
        <v>4</v>
      </c>
    </row>
    <row r="692" spans="1:42" x14ac:dyDescent="0.35">
      <c r="A692" s="48" t="s">
        <v>3005</v>
      </c>
      <c r="B692" s="49" t="s">
        <v>3006</v>
      </c>
      <c r="C692" s="49" t="s">
        <v>2273</v>
      </c>
      <c r="D692" s="50">
        <v>45793</v>
      </c>
      <c r="E692" s="50">
        <v>46523</v>
      </c>
      <c r="F692" s="49">
        <v>100000</v>
      </c>
      <c r="G692" s="49" t="s">
        <v>76</v>
      </c>
      <c r="H692" s="49">
        <v>100557.85</v>
      </c>
      <c r="I692" s="49" t="s">
        <v>76</v>
      </c>
      <c r="J692" s="49">
        <v>100.55785</v>
      </c>
      <c r="K692" s="49">
        <v>1</v>
      </c>
      <c r="L692" s="51">
        <v>9.2499999999999999E-2</v>
      </c>
      <c r="M692" s="49" t="s">
        <v>105</v>
      </c>
      <c r="N692" s="49">
        <v>606</v>
      </c>
      <c r="O692" s="49">
        <v>9.1986851349745393</v>
      </c>
      <c r="P692" s="49"/>
      <c r="Q692" s="49"/>
      <c r="R692" s="49" t="s">
        <v>2275</v>
      </c>
      <c r="S692">
        <f t="shared" si="40"/>
        <v>2</v>
      </c>
      <c r="T692" s="5" cm="1">
        <f t="array" ref="T6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2">
        <f>Table1[[#This Row],[Term to Maturity (Years)]]*Table1[[#This Row],[Coupon Frequency2]]</f>
        <v>8</v>
      </c>
      <c r="V692">
        <f>Table1[[#This Row],[Face value]]*Table1[[#This Row],[Current coupon %]]</f>
        <v>9250</v>
      </c>
      <c r="W692" s="36">
        <f>RATE(Table1[[#This Row],[Total No. of Coupons]],Table1[[#This Row],[Coupon Amount]],-Table1[[#This Row],[Ask Price]],Table1[[#This Row],[Face value]])</f>
        <v>9.1486532660681796E-2</v>
      </c>
      <c r="X692" s="27">
        <f>Table1[[#This Row],[IRR]]*Table1[[#This Row],[Coupon Frequency2]]</f>
        <v>0.36594613064272719</v>
      </c>
      <c r="Y692" s="19" cm="1">
        <f t="array" ref="Y6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2" s="33">
        <f>DURATION(Table1[[#This Row],[Issue date]],Table1[[#This Row],[Maturity date]],Table1[[#This Row],[Current coupon %]],Table1[[#This Row],[Yield (Annualised)]],Table1[[#This Row],[Coupon Frequency2]])</f>
        <v>1.7981722290058775</v>
      </c>
      <c r="AA692" s="33">
        <f>Table1[[#This Row],[Macaulay Duration in Years]]/(1+Table1[[#This Row],[IRR]])</f>
        <v>1.6474525110470495</v>
      </c>
      <c r="AB692" s="58">
        <f>VLOOKUP(Table1[[#This Row],[Yield Cluster]],'Cluster Details'!$B$3:$C$16,2,0)</f>
        <v>0.37868966038993918</v>
      </c>
      <c r="AC692" s="78">
        <f>PRICE(Table1[[#This Row],[Issue date]],Table1[[#This Row],[Maturity date]],Table1[[#This Row],[Current coupon %]],Table1[[#This Row],[Average Cluster Yield]],100,Table1[[#This Row],[Coupon Frequency2]])*Table1[[#This Row],[Face value]]/100</f>
        <v>61078.284652899551</v>
      </c>
      <c r="AD692" s="58" t="str">
        <f>IF(Table1[[#This Row],[Ask Price]]&gt;Table1[[#This Row],[Calculated Bond Price]],"Rich","Cheap")</f>
        <v>Rich</v>
      </c>
      <c r="AE69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61353.892019480962</v>
      </c>
      <c r="AF69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63409.11993521249</v>
      </c>
      <c r="AG692" s="78">
        <f>(Table1[[#This Row],[P (+ shock)]]+Table1[[#This Row],[P (-shock)]]-2*Table1[[#This Row],[Ask Price]])/(2*Table1[[#This Row],[Ask Price]]*($AF$2^2))</f>
        <v>-3796.4558731768116</v>
      </c>
      <c r="AH692">
        <v>10.460228098778099</v>
      </c>
      <c r="AI692" s="6">
        <f t="shared" si="41"/>
        <v>9.1986851349745435E-2</v>
      </c>
      <c r="AK692" s="47">
        <f>RATE(Table1[[#This Row],[Total No. of Coupons]],Table1[[#This Row],[Coupon Amount]],-Table1[[#This Row],[Ask Price]],Table1[[#This Row],[Face value]])</f>
        <v>9.1486532660681796E-2</v>
      </c>
      <c r="AL692" s="27">
        <f>Table1[[#This Row],[IRR]]*Table1[[#This Row],[Coupon Frequency2]]</f>
        <v>0.36594613064272719</v>
      </c>
      <c r="AM692" s="5">
        <f t="shared" si="42"/>
        <v>-165664.28248799255</v>
      </c>
      <c r="AN692" t="s">
        <v>64</v>
      </c>
      <c r="AO692" t="s">
        <v>62</v>
      </c>
      <c r="AP692">
        <f t="shared" si="43"/>
        <v>4</v>
      </c>
    </row>
    <row r="693" spans="1:42" x14ac:dyDescent="0.35">
      <c r="A693" s="48" t="s">
        <v>337</v>
      </c>
      <c r="B693" s="49" t="s">
        <v>3007</v>
      </c>
      <c r="C693" s="49" t="s">
        <v>2273</v>
      </c>
      <c r="D693" s="50">
        <v>44726</v>
      </c>
      <c r="E693" s="50">
        <v>47998</v>
      </c>
      <c r="F693" s="49">
        <v>1000000</v>
      </c>
      <c r="G693" s="49" t="s">
        <v>76</v>
      </c>
      <c r="H693" s="49">
        <v>1044000</v>
      </c>
      <c r="I693" s="49" t="s">
        <v>76</v>
      </c>
      <c r="J693" s="49">
        <v>104.4</v>
      </c>
      <c r="K693" s="49">
        <v>2</v>
      </c>
      <c r="L693" s="51">
        <v>9.6199999999999994E-2</v>
      </c>
      <c r="M693" s="49" t="s">
        <v>105</v>
      </c>
      <c r="N693" s="49">
        <v>2081</v>
      </c>
      <c r="O693" s="49">
        <v>9.2145593869731695</v>
      </c>
      <c r="P693" s="49"/>
      <c r="Q693" s="49"/>
      <c r="R693" s="49" t="s">
        <v>2275</v>
      </c>
      <c r="S693">
        <f t="shared" si="40"/>
        <v>9</v>
      </c>
      <c r="T693" s="5" cm="1">
        <f t="array" ref="T6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3">
        <f>Table1[[#This Row],[Term to Maturity (Years)]]*Table1[[#This Row],[Coupon Frequency2]]</f>
        <v>36</v>
      </c>
      <c r="V693">
        <f>Table1[[#This Row],[Face value]]*Table1[[#This Row],[Current coupon %]]</f>
        <v>96200</v>
      </c>
      <c r="W693" s="36">
        <f>RATE(Table1[[#This Row],[Total No. of Coupons]],Table1[[#This Row],[Coupon Amount]],-Table1[[#This Row],[Ask Price]],Table1[[#This Row],[Face value]])</f>
        <v>9.1975203378724418E-2</v>
      </c>
      <c r="X693" s="27">
        <f>Table1[[#This Row],[IRR]]*Table1[[#This Row],[Coupon Frequency2]]</f>
        <v>0.36790081351489767</v>
      </c>
      <c r="Y693" s="19" cm="1">
        <f t="array" ref="Y6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3" s="33">
        <f>DURATION(Table1[[#This Row],[Issue date]],Table1[[#This Row],[Maturity date]],Table1[[#This Row],[Current coupon %]],Table1[[#This Row],[Yield (Annualised)]],Table1[[#This Row],[Coupon Frequency2]])</f>
        <v>3.4586183050053618</v>
      </c>
      <c r="AA693" s="33">
        <f>Table1[[#This Row],[Macaulay Duration in Years]]/(1+Table1[[#This Row],[IRR]])</f>
        <v>3.1673048017060386</v>
      </c>
      <c r="AB693" s="58">
        <f>VLOOKUP(Table1[[#This Row],[Yield Cluster]],'Cluster Details'!$B$3:$C$16,2,0)</f>
        <v>0.37868966038993918</v>
      </c>
      <c r="AC693" s="78">
        <f>PRICE(Table1[[#This Row],[Issue date]],Table1[[#This Row],[Maturity date]],Table1[[#This Row],[Current coupon %]],Table1[[#This Row],[Average Cluster Yield]],100,Table1[[#This Row],[Coupon Frequency2]])*Table1[[#This Row],[Face value]]/100</f>
        <v>283039.87754062464</v>
      </c>
      <c r="AD693" s="58" t="str">
        <f>IF(Table1[[#This Row],[Ask Price]]&gt;Table1[[#This Row],[Calculated Bond Price]],"Rich","Cheap")</f>
        <v>Rich</v>
      </c>
      <c r="AE69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283738.43156065582</v>
      </c>
      <c r="AF69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302540.50595931779</v>
      </c>
      <c r="AG693" s="78">
        <f>(Table1[[#This Row],[P (+ shock)]]+Table1[[#This Row],[P (-shock)]]-2*Table1[[#This Row],[Ask Price]])/(2*Table1[[#This Row],[Ask Price]]*($AF$2^2))</f>
        <v>-7192.1506823756054</v>
      </c>
      <c r="AH693">
        <v>11.785636939041099</v>
      </c>
      <c r="AI693" s="6">
        <f t="shared" si="41"/>
        <v>9.2145593869731798E-2</v>
      </c>
      <c r="AK693" s="47">
        <f>RATE(Table1[[#This Row],[Total No. of Coupons]],Table1[[#This Row],[Coupon Amount]],-Table1[[#This Row],[Ask Price]],Table1[[#This Row],[Face value]])</f>
        <v>9.1975203378724418E-2</v>
      </c>
      <c r="AL693" s="27">
        <f>Table1[[#This Row],[IRR]]*Table1[[#This Row],[Coupon Frequency2]]</f>
        <v>0.36790081351489767</v>
      </c>
      <c r="AM693" s="5">
        <f t="shared" si="42"/>
        <v>-3306666.2129811044</v>
      </c>
      <c r="AN693" t="s">
        <v>64</v>
      </c>
      <c r="AO693" t="s">
        <v>62</v>
      </c>
      <c r="AP693">
        <f t="shared" si="43"/>
        <v>4</v>
      </c>
    </row>
    <row r="694" spans="1:42" x14ac:dyDescent="0.35">
      <c r="A694" s="48" t="s">
        <v>566</v>
      </c>
      <c r="B694" s="49" t="s">
        <v>3008</v>
      </c>
      <c r="C694" s="49" t="s">
        <v>2273</v>
      </c>
      <c r="D694" s="50">
        <v>44916</v>
      </c>
      <c r="E694" s="50">
        <v>47452</v>
      </c>
      <c r="F694" s="49">
        <v>1000000</v>
      </c>
      <c r="G694" s="49" t="s">
        <v>76</v>
      </c>
      <c r="H694" s="49">
        <v>1039968</v>
      </c>
      <c r="I694" s="49" t="s">
        <v>76</v>
      </c>
      <c r="J694" s="49">
        <v>103.99679999999999</v>
      </c>
      <c r="K694" s="49">
        <v>1</v>
      </c>
      <c r="L694" s="51">
        <v>9.6199999999999994E-2</v>
      </c>
      <c r="M694" s="49" t="s">
        <v>105</v>
      </c>
      <c r="N694" s="49">
        <v>1535</v>
      </c>
      <c r="O694" s="49">
        <v>9.2502846241422798</v>
      </c>
      <c r="P694" s="49"/>
      <c r="Q694" s="49"/>
      <c r="R694" s="49" t="s">
        <v>2275</v>
      </c>
      <c r="S694">
        <f t="shared" si="40"/>
        <v>7</v>
      </c>
      <c r="T694" s="5" cm="1">
        <f t="array" ref="T6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4">
        <f>Table1[[#This Row],[Term to Maturity (Years)]]*Table1[[#This Row],[Coupon Frequency2]]</f>
        <v>28</v>
      </c>
      <c r="V694">
        <f>Table1[[#This Row],[Face value]]*Table1[[#This Row],[Current coupon %]]</f>
        <v>96200</v>
      </c>
      <c r="W694" s="36">
        <f>RATE(Table1[[#This Row],[Total No. of Coupons]],Table1[[#This Row],[Coupon Amount]],-Table1[[#This Row],[Ask Price]],Table1[[#This Row],[Face value]])</f>
        <v>9.2175088549536988E-2</v>
      </c>
      <c r="X694" s="27">
        <f>Table1[[#This Row],[IRR]]*Table1[[#This Row],[Coupon Frequency2]]</f>
        <v>0.36870035419814795</v>
      </c>
      <c r="Y694" s="19" cm="1">
        <f t="array" ref="Y6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4" s="33">
        <f>DURATION(Table1[[#This Row],[Issue date]],Table1[[#This Row],[Maturity date]],Table1[[#This Row],[Current coupon %]],Table1[[#This Row],[Yield (Annualised)]],Table1[[#This Row],[Coupon Frequency2]])</f>
        <v>3.4827795532110879</v>
      </c>
      <c r="AA694" s="33">
        <f>Table1[[#This Row],[Macaulay Duration in Years]]/(1+Table1[[#This Row],[IRR]])</f>
        <v>3.1888472734132702</v>
      </c>
      <c r="AB694" s="58">
        <f>VLOOKUP(Table1[[#This Row],[Yield Cluster]],'Cluster Details'!$B$3:$C$16,2,0)</f>
        <v>0.37868966038993918</v>
      </c>
      <c r="AC694" s="78">
        <f>PRICE(Table1[[#This Row],[Issue date]],Table1[[#This Row],[Maturity date]],Table1[[#This Row],[Current coupon %]],Table1[[#This Row],[Average Cluster Yield]],100,Table1[[#This Row],[Coupon Frequency2]])*Table1[[#This Row],[Face value]]/100</f>
        <v>314365.00359399972</v>
      </c>
      <c r="AD694" s="58" t="str">
        <f>IF(Table1[[#This Row],[Ask Price]]&gt;Table1[[#This Row],[Calculated Bond Price]],"Rich","Cheap")</f>
        <v>Rich</v>
      </c>
      <c r="AE69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314354.30278415052</v>
      </c>
      <c r="AF69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335426.39332506293</v>
      </c>
      <c r="AG694" s="78">
        <f>(Table1[[#This Row],[P (+ shock)]]+Table1[[#This Row],[P (-shock)]]-2*Table1[[#This Row],[Ask Price]])/(2*Table1[[#This Row],[Ask Price]]*($AF$2^2))</f>
        <v>-6875.958221266359</v>
      </c>
      <c r="AI694" s="6">
        <f t="shared" si="41"/>
        <v>9.2502846241422812E-2</v>
      </c>
      <c r="AK694" s="47">
        <f>RATE(Table1[[#This Row],[Total No. of Coupons]],Table1[[#This Row],[Coupon Amount]],-Table1[[#This Row],[Ask Price]],Table1[[#This Row],[Face value]])</f>
        <v>9.2175088549536988E-2</v>
      </c>
      <c r="AL694" s="27">
        <f>Table1[[#This Row],[IRR]]*Table1[[#This Row],[Coupon Frequency2]]</f>
        <v>0.36870035419814795</v>
      </c>
      <c r="AM694" s="5">
        <f t="shared" si="42"/>
        <v>-3316299.1212370517</v>
      </c>
      <c r="AN694" t="s">
        <v>64</v>
      </c>
      <c r="AO694" t="s">
        <v>62</v>
      </c>
      <c r="AP694">
        <f t="shared" si="43"/>
        <v>4</v>
      </c>
    </row>
    <row r="695" spans="1:42" x14ac:dyDescent="0.35">
      <c r="A695" s="48" t="s">
        <v>456</v>
      </c>
      <c r="B695" s="49" t="s">
        <v>3009</v>
      </c>
      <c r="C695" s="49" t="s">
        <v>2273</v>
      </c>
      <c r="D695" s="50">
        <v>44726</v>
      </c>
      <c r="E695" s="50">
        <v>47634</v>
      </c>
      <c r="F695" s="49">
        <v>1000000</v>
      </c>
      <c r="G695" s="49" t="s">
        <v>76</v>
      </c>
      <c r="H695" s="49">
        <v>1035000</v>
      </c>
      <c r="I695" s="49" t="s">
        <v>76</v>
      </c>
      <c r="J695" s="49">
        <v>103.49999999999901</v>
      </c>
      <c r="K695" s="49">
        <v>1</v>
      </c>
      <c r="L695" s="51">
        <v>9.6199999999999994E-2</v>
      </c>
      <c r="M695" s="49" t="s">
        <v>105</v>
      </c>
      <c r="N695" s="49">
        <v>1717</v>
      </c>
      <c r="O695" s="49">
        <v>9.2946859903381593</v>
      </c>
      <c r="P695" s="49"/>
      <c r="Q695" s="49"/>
      <c r="R695" s="49" t="s">
        <v>2275</v>
      </c>
      <c r="S695">
        <f t="shared" si="40"/>
        <v>8</v>
      </c>
      <c r="T695" s="5" cm="1">
        <f t="array" ref="T6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5">
        <f>Table1[[#This Row],[Term to Maturity (Years)]]*Table1[[#This Row],[Coupon Frequency2]]</f>
        <v>32</v>
      </c>
      <c r="V695">
        <f>Table1[[#This Row],[Face value]]*Table1[[#This Row],[Current coupon %]]</f>
        <v>96200</v>
      </c>
      <c r="W695" s="36">
        <f>RATE(Table1[[#This Row],[Total No. of Coupons]],Table1[[#This Row],[Coupon Amount]],-Table1[[#This Row],[Ask Price]],Table1[[#This Row],[Face value]])</f>
        <v>9.2751898107776426E-2</v>
      </c>
      <c r="X695" s="27">
        <f>Table1[[#This Row],[IRR]]*Table1[[#This Row],[Coupon Frequency2]]</f>
        <v>0.3710075924311057</v>
      </c>
      <c r="Y695" s="19" cm="1">
        <f t="array" ref="Y6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5" s="33">
        <f>DURATION(Table1[[#This Row],[Issue date]],Table1[[#This Row],[Maturity date]],Table1[[#This Row],[Current coupon %]],Table1[[#This Row],[Yield (Annualised)]],Table1[[#This Row],[Coupon Frequency2]])</f>
        <v>3.4827631525599347</v>
      </c>
      <c r="AA695" s="33">
        <f>Table1[[#This Row],[Macaulay Duration in Years]]/(1+Table1[[#This Row],[IRR]])</f>
        <v>3.1871490304347523</v>
      </c>
      <c r="AB695" s="58">
        <f>VLOOKUP(Table1[[#This Row],[Yield Cluster]],'Cluster Details'!$B$3:$C$16,2,0)</f>
        <v>0.37868966038993918</v>
      </c>
      <c r="AC695" s="78">
        <f>PRICE(Table1[[#This Row],[Issue date]],Table1[[#This Row],[Maturity date]],Table1[[#This Row],[Current coupon %]],Table1[[#This Row],[Average Cluster Yield]],100,Table1[[#This Row],[Coupon Frequency2]])*Table1[[#This Row],[Face value]]/100</f>
        <v>295746.43060737581</v>
      </c>
      <c r="AD695" s="58" t="str">
        <f>IF(Table1[[#This Row],[Ask Price]]&gt;Table1[[#This Row],[Calculated Bond Price]],"Rich","Cheap")</f>
        <v>Rich</v>
      </c>
      <c r="AE69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293585.9603159072</v>
      </c>
      <c r="AF69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313157.05597574846</v>
      </c>
      <c r="AG695" s="78">
        <f>(Table1[[#This Row],[P (+ shock)]]+Table1[[#This Row],[P (-shock)]]-2*Table1[[#This Row],[Ask Price]])/(2*Table1[[#This Row],[Ask Price]]*($AF$2^2))</f>
        <v>-7068.8743174316151</v>
      </c>
      <c r="AI695" s="6">
        <f t="shared" si="41"/>
        <v>9.294685990338164E-2</v>
      </c>
      <c r="AK695" s="47">
        <f>RATE(Table1[[#This Row],[Total No. of Coupons]],Table1[[#This Row],[Coupon Amount]],-Table1[[#This Row],[Ask Price]],Table1[[#This Row],[Face value]])</f>
        <v>9.2751898107776426E-2</v>
      </c>
      <c r="AL695" s="27">
        <f>Table1[[#This Row],[IRR]]*Table1[[#This Row],[Coupon Frequency2]]</f>
        <v>0.3710075924311057</v>
      </c>
      <c r="AM695" s="5">
        <f t="shared" si="42"/>
        <v>-3298699.2464999687</v>
      </c>
      <c r="AN695" t="s">
        <v>64</v>
      </c>
      <c r="AO695" t="s">
        <v>62</v>
      </c>
      <c r="AP695">
        <f t="shared" si="43"/>
        <v>4</v>
      </c>
    </row>
    <row r="696" spans="1:42" x14ac:dyDescent="0.35">
      <c r="A696" s="48" t="s">
        <v>1465</v>
      </c>
      <c r="B696" s="49" t="s">
        <v>3010</v>
      </c>
      <c r="C696" s="49" t="s">
        <v>2273</v>
      </c>
      <c r="D696" s="50">
        <v>45287</v>
      </c>
      <c r="E696" s="50">
        <v>46383</v>
      </c>
      <c r="F696" s="49">
        <v>1000</v>
      </c>
      <c r="G696" s="49" t="s">
        <v>76</v>
      </c>
      <c r="H696" s="49">
        <v>1001</v>
      </c>
      <c r="I696" s="49" t="s">
        <v>76</v>
      </c>
      <c r="J696" s="49">
        <v>100.1</v>
      </c>
      <c r="K696" s="49">
        <v>35</v>
      </c>
      <c r="L696" s="51">
        <v>9.3000000000000013E-2</v>
      </c>
      <c r="M696" s="49" t="s">
        <v>105</v>
      </c>
      <c r="N696" s="49">
        <v>466</v>
      </c>
      <c r="O696" s="49">
        <v>9.2907092907092892</v>
      </c>
      <c r="P696" s="49"/>
      <c r="Q696" s="49"/>
      <c r="R696" s="49" t="s">
        <v>2275</v>
      </c>
      <c r="S696">
        <f t="shared" si="40"/>
        <v>3</v>
      </c>
      <c r="T696" s="5" cm="1">
        <f t="array" ref="T6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6">
        <f>Table1[[#This Row],[Term to Maturity (Years)]]*Table1[[#This Row],[Coupon Frequency2]]</f>
        <v>12</v>
      </c>
      <c r="V696">
        <f>Table1[[#This Row],[Face value]]*Table1[[#This Row],[Current coupon %]]</f>
        <v>93.000000000000014</v>
      </c>
      <c r="W696" s="36">
        <f>RATE(Table1[[#This Row],[Total No. of Coupons]],Table1[[#This Row],[Coupon Amount]],-Table1[[#This Row],[Ask Price]],Table1[[#This Row],[Face value]])</f>
        <v>9.2858332089250678E-2</v>
      </c>
      <c r="X696" s="27">
        <f>Table1[[#This Row],[IRR]]*Table1[[#This Row],[Coupon Frequency2]]</f>
        <v>0.37143332835700271</v>
      </c>
      <c r="Y696" s="19" cm="1">
        <f t="array" ref="Y6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6" s="33">
        <f>DURATION(Table1[[#This Row],[Issue date]],Table1[[#This Row],[Maturity date]],Table1[[#This Row],[Current coupon %]],Table1[[#This Row],[Yield (Annualised)]],Table1[[#This Row],[Coupon Frequency2]])</f>
        <v>2.4725866790081739</v>
      </c>
      <c r="AA696" s="33">
        <f>Table1[[#This Row],[Macaulay Duration in Years]]/(1+Table1[[#This Row],[IRR]])</f>
        <v>2.2624951527626225</v>
      </c>
      <c r="AB696" s="58">
        <f>VLOOKUP(Table1[[#This Row],[Yield Cluster]],'Cluster Details'!$B$3:$C$16,2,0)</f>
        <v>0.37868966038993918</v>
      </c>
      <c r="AC696" s="78">
        <f>PRICE(Table1[[#This Row],[Issue date]],Table1[[#This Row],[Maturity date]],Table1[[#This Row],[Current coupon %]],Table1[[#This Row],[Average Cluster Yield]],100,Table1[[#This Row],[Coupon Frequency2]])*Table1[[#This Row],[Face value]]/100</f>
        <v>500.38459404685381</v>
      </c>
      <c r="AD696" s="58" t="str">
        <f>IF(Table1[[#This Row],[Ask Price]]&gt;Table1[[#This Row],[Calculated Bond Price]],"Rich","Cheap")</f>
        <v>Rich</v>
      </c>
      <c r="AE69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497.30215193597013</v>
      </c>
      <c r="AF69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520.32190556471232</v>
      </c>
      <c r="AG696" s="78">
        <f>(Table1[[#This Row],[P (+ shock)]]+Table1[[#This Row],[P (-shock)]]-2*Table1[[#This Row],[Ask Price]])/(2*Table1[[#This Row],[Ask Price]]*($AF$2^2))</f>
        <v>-4916.96274974684</v>
      </c>
      <c r="AH696">
        <v>9.9094567404426499</v>
      </c>
      <c r="AI696" s="6">
        <f t="shared" si="41"/>
        <v>9.2907092907092925E-2</v>
      </c>
      <c r="AK696" s="47">
        <f>RATE(Table1[[#This Row],[Total No. of Coupons]],Table1[[#This Row],[Coupon Amount]],-Table1[[#This Row],[Ask Price]],Table1[[#This Row],[Face value]])</f>
        <v>9.2858332089250678E-2</v>
      </c>
      <c r="AL696" s="27">
        <f>Table1[[#This Row],[IRR]]*Table1[[#This Row],[Coupon Frequency2]]</f>
        <v>0.37143332835700271</v>
      </c>
      <c r="AM696" s="5">
        <f t="shared" si="42"/>
        <v>-2264.757647915385</v>
      </c>
      <c r="AN696" t="s">
        <v>64</v>
      </c>
      <c r="AO696" t="s">
        <v>62</v>
      </c>
      <c r="AP696">
        <f t="shared" si="43"/>
        <v>4</v>
      </c>
    </row>
    <row r="697" spans="1:42" x14ac:dyDescent="0.35">
      <c r="A697" s="48" t="s">
        <v>814</v>
      </c>
      <c r="B697" s="49" t="s">
        <v>3011</v>
      </c>
      <c r="C697" s="49" t="s">
        <v>2273</v>
      </c>
      <c r="D697" s="50">
        <v>44916</v>
      </c>
      <c r="E697" s="50">
        <v>47087</v>
      </c>
      <c r="F697" s="49">
        <v>1000000</v>
      </c>
      <c r="G697" s="49" t="s">
        <v>76</v>
      </c>
      <c r="H697" s="49">
        <v>1030000</v>
      </c>
      <c r="I697" s="49" t="s">
        <v>76</v>
      </c>
      <c r="J697" s="49">
        <v>103</v>
      </c>
      <c r="K697" s="49">
        <v>1</v>
      </c>
      <c r="L697" s="51">
        <v>9.6199999999999994E-2</v>
      </c>
      <c r="M697" s="49" t="s">
        <v>105</v>
      </c>
      <c r="N697" s="49">
        <v>1170</v>
      </c>
      <c r="O697" s="49">
        <v>9.3398058252427099</v>
      </c>
      <c r="P697" s="49"/>
      <c r="Q697" s="49"/>
      <c r="R697" s="49" t="s">
        <v>2275</v>
      </c>
      <c r="S697">
        <f t="shared" si="40"/>
        <v>6</v>
      </c>
      <c r="T697" s="5" cm="1">
        <f t="array" ref="T6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7">
        <f>Table1[[#This Row],[Term to Maturity (Years)]]*Table1[[#This Row],[Coupon Frequency2]]</f>
        <v>24</v>
      </c>
      <c r="V697">
        <f>Table1[[#This Row],[Face value]]*Table1[[#This Row],[Current coupon %]]</f>
        <v>96200</v>
      </c>
      <c r="W697" s="36">
        <f>RATE(Table1[[#This Row],[Total No. of Coupons]],Table1[[#This Row],[Coupon Amount]],-Table1[[#This Row],[Ask Price]],Table1[[#This Row],[Face value]])</f>
        <v>9.3034673448936109E-2</v>
      </c>
      <c r="X697" s="27">
        <f>Table1[[#This Row],[IRR]]*Table1[[#This Row],[Coupon Frequency2]]</f>
        <v>0.37213869379574444</v>
      </c>
      <c r="Y697" s="19" cm="1">
        <f t="array" ref="Y6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7" s="33">
        <f>DURATION(Table1[[#This Row],[Issue date]],Table1[[#This Row],[Maturity date]],Table1[[#This Row],[Current coupon %]],Table1[[#This Row],[Yield (Annualised)]],Table1[[#This Row],[Coupon Frequency2]])</f>
        <v>3.3952188046379095</v>
      </c>
      <c r="AA697" s="33">
        <f>Table1[[#This Row],[Macaulay Duration in Years]]/(1+Table1[[#This Row],[IRR]])</f>
        <v>3.1062315653031534</v>
      </c>
      <c r="AB697" s="58">
        <f>VLOOKUP(Table1[[#This Row],[Yield Cluster]],'Cluster Details'!$B$3:$C$16,2,0)</f>
        <v>0.37868966038993918</v>
      </c>
      <c r="AC697" s="78">
        <f>PRICE(Table1[[#This Row],[Issue date]],Table1[[#This Row],[Maturity date]],Table1[[#This Row],[Current coupon %]],Table1[[#This Row],[Average Cluster Yield]],100,Table1[[#This Row],[Coupon Frequency2]])*Table1[[#This Row],[Face value]]/100</f>
        <v>340749.97239756584</v>
      </c>
      <c r="AD697" s="58" t="str">
        <f>IF(Table1[[#This Row],[Ask Price]]&gt;Table1[[#This Row],[Calculated Bond Price]],"Rich","Cheap")</f>
        <v>Rich</v>
      </c>
      <c r="AE69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337106.43561322475</v>
      </c>
      <c r="AF69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359073.28657079535</v>
      </c>
      <c r="AG697" s="78">
        <f>(Table1[[#This Row],[P (+ shock)]]+Table1[[#This Row],[P (-shock)]]-2*Table1[[#This Row],[Ask Price]])/(2*Table1[[#This Row],[Ask Price]]*($AF$2^2))</f>
        <v>-6620.4867855144657</v>
      </c>
      <c r="AH697">
        <v>9.7631718850555398</v>
      </c>
      <c r="AI697" s="6">
        <f t="shared" si="41"/>
        <v>9.3398058252427182E-2</v>
      </c>
      <c r="AK697" s="47">
        <f>RATE(Table1[[#This Row],[Total No. of Coupons]],Table1[[#This Row],[Coupon Amount]],-Table1[[#This Row],[Ask Price]],Table1[[#This Row],[Face value]])</f>
        <v>9.3034673448936109E-2</v>
      </c>
      <c r="AL697" s="27">
        <f>Table1[[#This Row],[IRR]]*Table1[[#This Row],[Coupon Frequency2]]</f>
        <v>0.37213869379574444</v>
      </c>
      <c r="AM697" s="5">
        <f t="shared" si="42"/>
        <v>-3199418.512262248</v>
      </c>
      <c r="AN697" t="s">
        <v>64</v>
      </c>
      <c r="AO697" t="s">
        <v>62</v>
      </c>
      <c r="AP697">
        <f t="shared" si="43"/>
        <v>4</v>
      </c>
    </row>
    <row r="698" spans="1:42" x14ac:dyDescent="0.35">
      <c r="A698" s="48" t="s">
        <v>938</v>
      </c>
      <c r="B698" s="49" t="s">
        <v>3012</v>
      </c>
      <c r="C698" s="49" t="s">
        <v>2273</v>
      </c>
      <c r="D698" s="50">
        <v>44726</v>
      </c>
      <c r="E698" s="50">
        <v>46904</v>
      </c>
      <c r="F698" s="49">
        <v>1000000</v>
      </c>
      <c r="G698" s="49" t="s">
        <v>76</v>
      </c>
      <c r="H698" s="49">
        <v>1030000</v>
      </c>
      <c r="I698" s="49" t="s">
        <v>76</v>
      </c>
      <c r="J698" s="49">
        <v>103</v>
      </c>
      <c r="K698" s="49">
        <v>2</v>
      </c>
      <c r="L698" s="51">
        <v>9.6199999999999994E-2</v>
      </c>
      <c r="M698" s="49" t="s">
        <v>105</v>
      </c>
      <c r="N698" s="49">
        <v>987</v>
      </c>
      <c r="O698" s="49">
        <v>9.3398058252427099</v>
      </c>
      <c r="P698" s="49"/>
      <c r="Q698" s="49"/>
      <c r="R698" s="49" t="s">
        <v>2275</v>
      </c>
      <c r="S698">
        <f t="shared" si="40"/>
        <v>6</v>
      </c>
      <c r="T698" s="5" cm="1">
        <f t="array" ref="T6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8">
        <f>Table1[[#This Row],[Term to Maturity (Years)]]*Table1[[#This Row],[Coupon Frequency2]]</f>
        <v>24</v>
      </c>
      <c r="V698">
        <f>Table1[[#This Row],[Face value]]*Table1[[#This Row],[Current coupon %]]</f>
        <v>96200</v>
      </c>
      <c r="W698" s="36">
        <f>RATE(Table1[[#This Row],[Total No. of Coupons]],Table1[[#This Row],[Coupon Amount]],-Table1[[#This Row],[Ask Price]],Table1[[#This Row],[Face value]])</f>
        <v>9.3034673448936109E-2</v>
      </c>
      <c r="X698" s="27">
        <f>Table1[[#This Row],[IRR]]*Table1[[#This Row],[Coupon Frequency2]]</f>
        <v>0.37213869379574444</v>
      </c>
      <c r="Y698" s="19" cm="1">
        <f t="array" ref="Y6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8" s="33">
        <f>DURATION(Table1[[#This Row],[Issue date]],Table1[[#This Row],[Maturity date]],Table1[[#This Row],[Current coupon %]],Table1[[#This Row],[Yield (Annualised)]],Table1[[#This Row],[Coupon Frequency2]])</f>
        <v>3.4146632490823534</v>
      </c>
      <c r="AA698" s="33">
        <f>Table1[[#This Row],[Macaulay Duration in Years]]/(1+Table1[[#This Row],[IRR]])</f>
        <v>3.124020977585098</v>
      </c>
      <c r="AB698" s="58">
        <f>VLOOKUP(Table1[[#This Row],[Yield Cluster]],'Cluster Details'!$B$3:$C$16,2,0)</f>
        <v>0.37868966038993918</v>
      </c>
      <c r="AC698" s="78">
        <f>PRICE(Table1[[#This Row],[Issue date]],Table1[[#This Row],[Maturity date]],Table1[[#This Row],[Current coupon %]],Table1[[#This Row],[Average Cluster Yield]],100,Table1[[#This Row],[Coupon Frequency2]])*Table1[[#This Row],[Face value]]/100</f>
        <v>340192.28681245225</v>
      </c>
      <c r="AD698" s="58" t="str">
        <f>IF(Table1[[#This Row],[Ask Price]]&gt;Table1[[#This Row],[Calculated Bond Price]],"Rich","Cheap")</f>
        <v>Rich</v>
      </c>
      <c r="AE69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336553.45340746531</v>
      </c>
      <c r="AF69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358493.82158076239</v>
      </c>
      <c r="AG698" s="78">
        <f>(Table1[[#This Row],[P (+ shock)]]+Table1[[#This Row],[P (-shock)]]-2*Table1[[#This Row],[Ask Price]])/(2*Table1[[#This Row],[Ask Price]]*($AF$2^2))</f>
        <v>-6625.9841019988944</v>
      </c>
      <c r="AH698">
        <v>6.3739264556922102</v>
      </c>
      <c r="AI698" s="6">
        <f t="shared" si="41"/>
        <v>9.3398058252427182E-2</v>
      </c>
      <c r="AK698" s="47">
        <f>RATE(Table1[[#This Row],[Total No. of Coupons]],Table1[[#This Row],[Coupon Amount]],-Table1[[#This Row],[Ask Price]],Table1[[#This Row],[Face value]])</f>
        <v>9.3034673448936109E-2</v>
      </c>
      <c r="AL698" s="27">
        <f>Table1[[#This Row],[IRR]]*Table1[[#This Row],[Coupon Frequency2]]</f>
        <v>0.37213869379574444</v>
      </c>
      <c r="AM698" s="5">
        <f t="shared" si="42"/>
        <v>-3217741.6069126511</v>
      </c>
      <c r="AN698" t="s">
        <v>64</v>
      </c>
      <c r="AO698" t="s">
        <v>62</v>
      </c>
      <c r="AP698">
        <f t="shared" si="43"/>
        <v>4</v>
      </c>
    </row>
    <row r="699" spans="1:42" x14ac:dyDescent="0.35">
      <c r="A699" s="48" t="s">
        <v>408</v>
      </c>
      <c r="B699" s="49" t="s">
        <v>3013</v>
      </c>
      <c r="C699" s="49" t="s">
        <v>2273</v>
      </c>
      <c r="D699" s="50">
        <v>44916</v>
      </c>
      <c r="E699" s="50">
        <v>47816</v>
      </c>
      <c r="F699" s="49">
        <v>1000000</v>
      </c>
      <c r="G699" s="49" t="s">
        <v>76</v>
      </c>
      <c r="H699" s="49">
        <v>1030000</v>
      </c>
      <c r="I699" s="49" t="s">
        <v>76</v>
      </c>
      <c r="J699" s="49">
        <v>103</v>
      </c>
      <c r="K699" s="49">
        <v>1</v>
      </c>
      <c r="L699" s="51">
        <v>9.6199999999999994E-2</v>
      </c>
      <c r="M699" s="49" t="s">
        <v>105</v>
      </c>
      <c r="N699" s="49">
        <v>1899</v>
      </c>
      <c r="O699" s="49">
        <v>9.3398058252427099</v>
      </c>
      <c r="P699" s="49"/>
      <c r="Q699" s="49"/>
      <c r="R699" s="49" t="s">
        <v>2275</v>
      </c>
      <c r="S699">
        <f t="shared" si="40"/>
        <v>8</v>
      </c>
      <c r="T699" s="5" cm="1">
        <f t="array" ref="T6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699">
        <f>Table1[[#This Row],[Term to Maturity (Years)]]*Table1[[#This Row],[Coupon Frequency2]]</f>
        <v>32</v>
      </c>
      <c r="V699">
        <f>Table1[[#This Row],[Face value]]*Table1[[#This Row],[Current coupon %]]</f>
        <v>96200</v>
      </c>
      <c r="W699" s="36">
        <f>RATE(Table1[[#This Row],[Total No. of Coupons]],Table1[[#This Row],[Coupon Amount]],-Table1[[#This Row],[Ask Price]],Table1[[#This Row],[Face value]])</f>
        <v>9.323176716798745E-2</v>
      </c>
      <c r="X699" s="27">
        <f>Table1[[#This Row],[IRR]]*Table1[[#This Row],[Coupon Frequency2]]</f>
        <v>0.3729270686719498</v>
      </c>
      <c r="Y699" s="19" cm="1">
        <f t="array" ref="Y6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699" s="33">
        <f>DURATION(Table1[[#This Row],[Issue date]],Table1[[#This Row],[Maturity date]],Table1[[#This Row],[Current coupon %]],Table1[[#This Row],[Yield (Annualised)]],Table1[[#This Row],[Coupon Frequency2]])</f>
        <v>3.4468562072670355</v>
      </c>
      <c r="AA699" s="33">
        <f>Table1[[#This Row],[Macaulay Duration in Years]]/(1+Table1[[#This Row],[IRR]])</f>
        <v>3.1529052766149515</v>
      </c>
      <c r="AB699" s="58">
        <f>VLOOKUP(Table1[[#This Row],[Yield Cluster]],'Cluster Details'!$B$3:$C$16,2,0)</f>
        <v>0.37868966038993918</v>
      </c>
      <c r="AC699" s="78">
        <f>PRICE(Table1[[#This Row],[Issue date]],Table1[[#This Row],[Maturity date]],Table1[[#This Row],[Current coupon %]],Table1[[#This Row],[Average Cluster Yield]],100,Table1[[#This Row],[Coupon Frequency2]])*Table1[[#This Row],[Face value]]/100</f>
        <v>296026.37665432726</v>
      </c>
      <c r="AD699" s="58" t="str">
        <f>IF(Table1[[#This Row],[Ask Price]]&gt;Table1[[#This Row],[Calculated Bond Price]],"Rich","Cheap")</f>
        <v>Rich</v>
      </c>
      <c r="AE69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292091.08512930758</v>
      </c>
      <c r="AF69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311487.07494133344</v>
      </c>
      <c r="AG699" s="78">
        <f>(Table1[[#This Row],[P (+ shock)]]+Table1[[#This Row],[P (-shock)]]-2*Table1[[#This Row],[Ask Price]])/(2*Table1[[#This Row],[Ask Price]]*($AF$2^2))</f>
        <v>-7070.0089316959175</v>
      </c>
      <c r="AH699">
        <v>10.7268680585832</v>
      </c>
      <c r="AI699" s="6">
        <f t="shared" si="41"/>
        <v>9.3398058252427182E-2</v>
      </c>
      <c r="AK699" s="47">
        <f>RATE(Table1[[#This Row],[Total No. of Coupons]],Table1[[#This Row],[Coupon Amount]],-Table1[[#This Row],[Ask Price]],Table1[[#This Row],[Face value]])</f>
        <v>9.323176716798745E-2</v>
      </c>
      <c r="AL699" s="27">
        <f>Table1[[#This Row],[IRR]]*Table1[[#This Row],[Coupon Frequency2]]</f>
        <v>0.3729270686719498</v>
      </c>
      <c r="AM699" s="5">
        <f t="shared" si="42"/>
        <v>-3247492.4349134001</v>
      </c>
      <c r="AN699" t="s">
        <v>64</v>
      </c>
      <c r="AO699" t="s">
        <v>62</v>
      </c>
      <c r="AP699">
        <f t="shared" si="43"/>
        <v>4</v>
      </c>
    </row>
    <row r="700" spans="1:42" x14ac:dyDescent="0.35">
      <c r="A700" s="48" t="s">
        <v>1511</v>
      </c>
      <c r="B700" s="49" t="s">
        <v>3014</v>
      </c>
      <c r="C700" s="49" t="s">
        <v>2273</v>
      </c>
      <c r="D700" s="50">
        <v>44916</v>
      </c>
      <c r="E700" s="50">
        <v>46356</v>
      </c>
      <c r="F700" s="49">
        <v>1000000</v>
      </c>
      <c r="G700" s="49" t="s">
        <v>76</v>
      </c>
      <c r="H700" s="49">
        <v>1020000</v>
      </c>
      <c r="I700" s="49" t="s">
        <v>76</v>
      </c>
      <c r="J700" s="49">
        <v>102</v>
      </c>
      <c r="K700" s="49">
        <v>1</v>
      </c>
      <c r="L700" s="51">
        <v>9.6199999999999994E-2</v>
      </c>
      <c r="M700" s="49" t="s">
        <v>105</v>
      </c>
      <c r="N700" s="49">
        <v>439</v>
      </c>
      <c r="O700" s="49">
        <v>9.4313725490195992</v>
      </c>
      <c r="P700" s="49"/>
      <c r="Q700" s="49"/>
      <c r="R700" s="49" t="s">
        <v>2275</v>
      </c>
      <c r="S700">
        <f t="shared" si="40"/>
        <v>4</v>
      </c>
      <c r="T700" s="5" cm="1">
        <f t="array" ref="T7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0">
        <f>Table1[[#This Row],[Term to Maturity (Years)]]*Table1[[#This Row],[Coupon Frequency2]]</f>
        <v>16</v>
      </c>
      <c r="V700">
        <f>Table1[[#This Row],[Face value]]*Table1[[#This Row],[Current coupon %]]</f>
        <v>96200</v>
      </c>
      <c r="W700" s="36">
        <f>RATE(Table1[[#This Row],[Total No. of Coupons]],Table1[[#This Row],[Coupon Amount]],-Table1[[#This Row],[Ask Price]],Table1[[#This Row],[Face value]])</f>
        <v>9.3738245565234329E-2</v>
      </c>
      <c r="X700" s="27">
        <f>Table1[[#This Row],[IRR]]*Table1[[#This Row],[Coupon Frequency2]]</f>
        <v>0.37495298226093732</v>
      </c>
      <c r="Y700" s="19" cm="1">
        <f t="array" ref="Y7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0" s="33">
        <f>DURATION(Table1[[#This Row],[Issue date]],Table1[[#This Row],[Maturity date]],Table1[[#This Row],[Current coupon %]],Table1[[#This Row],[Yield (Annualised)]],Table1[[#This Row],[Coupon Frequency2]])</f>
        <v>2.8898515381514449</v>
      </c>
      <c r="AA700" s="33">
        <f>Table1[[#This Row],[Macaulay Duration in Years]]/(1+Table1[[#This Row],[IRR]])</f>
        <v>2.6421783729963608</v>
      </c>
      <c r="AB700" s="58">
        <f>VLOOKUP(Table1[[#This Row],[Yield Cluster]],'Cluster Details'!$B$3:$C$16,2,0)</f>
        <v>0.37868966038993918</v>
      </c>
      <c r="AC700" s="78">
        <f>PRICE(Table1[[#This Row],[Issue date]],Table1[[#This Row],[Maturity date]],Table1[[#This Row],[Current coupon %]],Table1[[#This Row],[Average Cluster Yield]],100,Table1[[#This Row],[Coupon Frequency2]])*Table1[[#This Row],[Face value]]/100</f>
        <v>433041.13297102629</v>
      </c>
      <c r="AD700" s="58" t="str">
        <f>IF(Table1[[#This Row],[Ask Price]]&gt;Table1[[#This Row],[Calculated Bond Price]],"Rich","Cheap")</f>
        <v>Rich</v>
      </c>
      <c r="AE70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425882.25580031693</v>
      </c>
      <c r="AF70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449297.1112989189</v>
      </c>
      <c r="AG700" s="78">
        <f>(Table1[[#This Row],[P (+ shock)]]+Table1[[#This Row],[P (-shock)]]-2*Table1[[#This Row],[Ask Price]])/(2*Table1[[#This Row],[Ask Price]]*($AF$2^2))</f>
        <v>-5709.9050632390399</v>
      </c>
      <c r="AH700">
        <v>7.7842453709461097</v>
      </c>
      <c r="AI700" s="6">
        <f t="shared" si="41"/>
        <v>9.4313725490196079E-2</v>
      </c>
      <c r="AK700" s="47">
        <f>RATE(Table1[[#This Row],[Total No. of Coupons]],Table1[[#This Row],[Coupon Amount]],-Table1[[#This Row],[Ask Price]],Table1[[#This Row],[Face value]])</f>
        <v>9.3738245565234329E-2</v>
      </c>
      <c r="AL700" s="27">
        <f>Table1[[#This Row],[IRR]]*Table1[[#This Row],[Coupon Frequency2]]</f>
        <v>0.37495298226093732</v>
      </c>
      <c r="AM700" s="5">
        <f t="shared" si="42"/>
        <v>-2695021.9404562879</v>
      </c>
      <c r="AN700" t="s">
        <v>64</v>
      </c>
      <c r="AO700" t="s">
        <v>62</v>
      </c>
      <c r="AP700">
        <f t="shared" si="43"/>
        <v>4</v>
      </c>
    </row>
    <row r="701" spans="1:42" x14ac:dyDescent="0.35">
      <c r="A701" s="48" t="s">
        <v>1501</v>
      </c>
      <c r="B701" s="49" t="s">
        <v>3015</v>
      </c>
      <c r="C701" s="49" t="s">
        <v>2273</v>
      </c>
      <c r="D701" s="50">
        <v>45637</v>
      </c>
      <c r="E701" s="50">
        <v>46367</v>
      </c>
      <c r="F701" s="49">
        <v>100000</v>
      </c>
      <c r="G701" s="49" t="s">
        <v>76</v>
      </c>
      <c r="H701" s="49">
        <v>100672.94</v>
      </c>
      <c r="I701" s="49" t="s">
        <v>76</v>
      </c>
      <c r="J701" s="49">
        <v>100.67294</v>
      </c>
      <c r="K701" s="49">
        <v>1</v>
      </c>
      <c r="L701" s="51">
        <v>9.5000000000000001E-2</v>
      </c>
      <c r="M701" s="49" t="s">
        <v>105</v>
      </c>
      <c r="N701" s="49">
        <v>450</v>
      </c>
      <c r="O701" s="49">
        <v>9.4364980301558692</v>
      </c>
      <c r="P701" s="49"/>
      <c r="Q701" s="49"/>
      <c r="R701" s="49" t="s">
        <v>2275</v>
      </c>
      <c r="S701">
        <f t="shared" si="40"/>
        <v>2</v>
      </c>
      <c r="T701" s="5" cm="1">
        <f t="array" ref="T7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1">
        <f>Table1[[#This Row],[Term to Maturity (Years)]]*Table1[[#This Row],[Coupon Frequency2]]</f>
        <v>8</v>
      </c>
      <c r="V701">
        <f>Table1[[#This Row],[Face value]]*Table1[[#This Row],[Current coupon %]]</f>
        <v>9500</v>
      </c>
      <c r="W701" s="36">
        <f>RATE(Table1[[#This Row],[Total No. of Coupons]],Table1[[#This Row],[Coupon Amount]],-Table1[[#This Row],[Ask Price]],Table1[[#This Row],[Face value]])</f>
        <v>9.3767094584078309E-2</v>
      </c>
      <c r="X701" s="27">
        <f>Table1[[#This Row],[IRR]]*Table1[[#This Row],[Coupon Frequency2]]</f>
        <v>0.37506837833631324</v>
      </c>
      <c r="Y701" s="19" cm="1">
        <f t="array" ref="Y7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1" s="33">
        <f>DURATION(Table1[[#This Row],[Issue date]],Table1[[#This Row],[Maturity date]],Table1[[#This Row],[Current coupon %]],Table1[[#This Row],[Yield (Annualised)]],Table1[[#This Row],[Coupon Frequency2]])</f>
        <v>1.7919416953745757</v>
      </c>
      <c r="AA701" s="33">
        <f>Table1[[#This Row],[Macaulay Duration in Years]]/(1+Table1[[#This Row],[IRR]])</f>
        <v>1.6383210870464056</v>
      </c>
      <c r="AB701" s="58">
        <f>VLOOKUP(Table1[[#This Row],[Yield Cluster]],'Cluster Details'!$B$3:$C$16,2,0)</f>
        <v>0.37868966038993918</v>
      </c>
      <c r="AC701" s="78">
        <f>PRICE(Table1[[#This Row],[Issue date]],Table1[[#This Row],[Maturity date]],Table1[[#This Row],[Current coupon %]],Table1[[#This Row],[Average Cluster Yield]],100,Table1[[#This Row],[Coupon Frequency2]])*Table1[[#This Row],[Face value]]/100</f>
        <v>61418.283967463089</v>
      </c>
      <c r="AD701" s="58" t="str">
        <f>IF(Table1[[#This Row],[Ask Price]]&gt;Table1[[#This Row],[Calculated Bond Price]],"Rich","Cheap")</f>
        <v>Rich</v>
      </c>
      <c r="AE70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60781.276713442028</v>
      </c>
      <c r="AF70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62805.852003436761</v>
      </c>
      <c r="AG701" s="78">
        <f>(Table1[[#This Row],[P (+ shock)]]+Table1[[#This Row],[P (-shock)]]-2*Table1[[#This Row],[Ask Price]])/(2*Table1[[#This Row],[Ask Price]]*($AF$2^2))</f>
        <v>-3861.9489647923865</v>
      </c>
      <c r="AH701">
        <v>10.7815379903666</v>
      </c>
      <c r="AI701" s="6">
        <f t="shared" si="41"/>
        <v>9.4364980301558682E-2</v>
      </c>
      <c r="AK701" s="47">
        <f>RATE(Table1[[#This Row],[Total No. of Coupons]],Table1[[#This Row],[Coupon Amount]],-Table1[[#This Row],[Ask Price]],Table1[[#This Row],[Face value]])</f>
        <v>9.3767094584078309E-2</v>
      </c>
      <c r="AL701" s="27">
        <f>Table1[[#This Row],[IRR]]*Table1[[#This Row],[Coupon Frequency2]]</f>
        <v>0.37506837833631324</v>
      </c>
      <c r="AM701" s="5">
        <f t="shared" si="42"/>
        <v>-164934.60049695757</v>
      </c>
      <c r="AN701" t="s">
        <v>64</v>
      </c>
      <c r="AO701" t="s">
        <v>62</v>
      </c>
      <c r="AP701">
        <f t="shared" si="43"/>
        <v>4</v>
      </c>
    </row>
    <row r="702" spans="1:42" x14ac:dyDescent="0.35">
      <c r="A702" s="48" t="s">
        <v>356</v>
      </c>
      <c r="B702" s="49" t="s">
        <v>3016</v>
      </c>
      <c r="C702" s="49" t="s">
        <v>2273</v>
      </c>
      <c r="D702" s="50">
        <v>44841</v>
      </c>
      <c r="E702" s="50">
        <v>47938</v>
      </c>
      <c r="F702" s="49">
        <v>1000000</v>
      </c>
      <c r="G702" s="49" t="s">
        <v>76</v>
      </c>
      <c r="H702" s="49">
        <v>1055000</v>
      </c>
      <c r="I702" s="49" t="s">
        <v>76</v>
      </c>
      <c r="J702" s="49">
        <v>105.5</v>
      </c>
      <c r="K702" s="49">
        <v>1</v>
      </c>
      <c r="L702" s="51">
        <v>9.9499999999999991E-2</v>
      </c>
      <c r="M702" s="49" t="s">
        <v>105</v>
      </c>
      <c r="N702" s="49">
        <v>2021</v>
      </c>
      <c r="O702" s="49">
        <v>9.4312796208530791</v>
      </c>
      <c r="P702" s="49"/>
      <c r="Q702" s="49"/>
      <c r="R702" s="49" t="s">
        <v>2275</v>
      </c>
      <c r="S702">
        <f t="shared" si="40"/>
        <v>8</v>
      </c>
      <c r="T702" s="5" cm="1">
        <f t="array" ref="T7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2">
        <f>Table1[[#This Row],[Term to Maturity (Years)]]*Table1[[#This Row],[Coupon Frequency2]]</f>
        <v>32</v>
      </c>
      <c r="V702">
        <f>Table1[[#This Row],[Face value]]*Table1[[#This Row],[Current coupon %]]</f>
        <v>99499.999999999985</v>
      </c>
      <c r="W702" s="36">
        <f>RATE(Table1[[#This Row],[Total No. of Coupons]],Table1[[#This Row],[Coupon Amount]],-Table1[[#This Row],[Ask Price]],Table1[[#This Row],[Face value]])</f>
        <v>9.4019889087807007E-2</v>
      </c>
      <c r="X702" s="27">
        <f>Table1[[#This Row],[IRR]]*Table1[[#This Row],[Coupon Frequency2]]</f>
        <v>0.37607955635122803</v>
      </c>
      <c r="Y702" s="19" cm="1">
        <f t="array" ref="Y7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2" s="33">
        <f>DURATION(Table1[[#This Row],[Issue date]],Table1[[#This Row],[Maturity date]],Table1[[#This Row],[Current coupon %]],Table1[[#This Row],[Yield (Annualised)]],Table1[[#This Row],[Coupon Frequency2]])</f>
        <v>3.4157967907474207</v>
      </c>
      <c r="AA702" s="33">
        <f>Table1[[#This Row],[Macaulay Duration in Years]]/(1+Table1[[#This Row],[IRR]])</f>
        <v>3.1222437771177174</v>
      </c>
      <c r="AB702" s="58">
        <f>VLOOKUP(Table1[[#This Row],[Yield Cluster]],'Cluster Details'!$B$3:$C$16,2,0)</f>
        <v>0.37868966038993918</v>
      </c>
      <c r="AC702" s="78">
        <f>PRICE(Table1[[#This Row],[Issue date]],Table1[[#This Row],[Maturity date]],Table1[[#This Row],[Current coupon %]],Table1[[#This Row],[Average Cluster Yield]],100,Table1[[#This Row],[Coupon Frequency2]])*Table1[[#This Row],[Face value]]/100</f>
        <v>296945.98364804609</v>
      </c>
      <c r="AD702" s="58" t="str">
        <f>IF(Table1[[#This Row],[Ask Price]]&gt;Table1[[#This Row],[Calculated Bond Price]],"Rich","Cheap")</f>
        <v>Rich</v>
      </c>
      <c r="AE70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290230.39712076122</v>
      </c>
      <c r="AF70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309058.14736465266</v>
      </c>
      <c r="AG702" s="78">
        <f>(Table1[[#This Row],[P (+ shock)]]+Table1[[#This Row],[P (-shock)]]-2*Table1[[#This Row],[Ask Price]])/(2*Table1[[#This Row],[Ask Price]]*($AF$2^2))</f>
        <v>-7159.7699313487492</v>
      </c>
      <c r="AH702">
        <v>11.212062632901601</v>
      </c>
      <c r="AI702" s="6">
        <f t="shared" si="41"/>
        <v>9.4312796208530794E-2</v>
      </c>
      <c r="AK702" s="47">
        <f>RATE(Table1[[#This Row],[Total No. of Coupons]],Table1[[#This Row],[Coupon Amount]],-Table1[[#This Row],[Ask Price]],Table1[[#This Row],[Face value]])</f>
        <v>9.4019889087807007E-2</v>
      </c>
      <c r="AL702" s="27">
        <f>Table1[[#This Row],[IRR]]*Table1[[#This Row],[Coupon Frequency2]]</f>
        <v>0.37607955635122803</v>
      </c>
      <c r="AM702" s="5">
        <f t="shared" si="42"/>
        <v>-3293967.184859192</v>
      </c>
      <c r="AN702" t="s">
        <v>64</v>
      </c>
      <c r="AO702" t="s">
        <v>62</v>
      </c>
      <c r="AP702">
        <f t="shared" si="43"/>
        <v>4</v>
      </c>
    </row>
    <row r="703" spans="1:42" x14ac:dyDescent="0.35">
      <c r="A703" s="48" t="s">
        <v>1809</v>
      </c>
      <c r="B703" s="49" t="s">
        <v>3017</v>
      </c>
      <c r="C703" s="49" t="s">
        <v>2273</v>
      </c>
      <c r="D703" s="50">
        <v>44726</v>
      </c>
      <c r="E703" s="50">
        <v>46171</v>
      </c>
      <c r="F703" s="49">
        <v>1000000</v>
      </c>
      <c r="G703" s="49" t="s">
        <v>76</v>
      </c>
      <c r="H703" s="49">
        <v>1017000</v>
      </c>
      <c r="I703" s="49" t="s">
        <v>76</v>
      </c>
      <c r="J703" s="49">
        <v>101.69999999999899</v>
      </c>
      <c r="K703" s="49">
        <v>1</v>
      </c>
      <c r="L703" s="51">
        <v>9.6199999999999994E-2</v>
      </c>
      <c r="M703" s="49" t="s">
        <v>105</v>
      </c>
      <c r="N703" s="49">
        <v>254</v>
      </c>
      <c r="O703" s="49">
        <v>9.4591937069813099</v>
      </c>
      <c r="P703" s="49"/>
      <c r="Q703" s="49"/>
      <c r="R703" s="49" t="s">
        <v>2275</v>
      </c>
      <c r="S703">
        <f t="shared" si="40"/>
        <v>4</v>
      </c>
      <c r="T703" s="5" cm="1">
        <f t="array" ref="T7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3">
        <f>Table1[[#This Row],[Term to Maturity (Years)]]*Table1[[#This Row],[Coupon Frequency2]]</f>
        <v>16</v>
      </c>
      <c r="V703">
        <f>Table1[[#This Row],[Face value]]*Table1[[#This Row],[Current coupon %]]</f>
        <v>96200</v>
      </c>
      <c r="W703" s="36">
        <f>RATE(Table1[[#This Row],[Total No. of Coupons]],Table1[[#This Row],[Coupon Amount]],-Table1[[#This Row],[Ask Price]],Table1[[#This Row],[Face value]])</f>
        <v>9.4102861902304491E-2</v>
      </c>
      <c r="X703" s="27">
        <f>Table1[[#This Row],[IRR]]*Table1[[#This Row],[Coupon Frequency2]]</f>
        <v>0.37641144760921796</v>
      </c>
      <c r="Y703" s="19" cm="1">
        <f t="array" ref="Y7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3" s="33">
        <f>DURATION(Table1[[#This Row],[Issue date]],Table1[[#This Row],[Maturity date]],Table1[[#This Row],[Current coupon %]],Table1[[#This Row],[Yield (Annualised)]],Table1[[#This Row],[Coupon Frequency2]])</f>
        <v>2.9039948510169733</v>
      </c>
      <c r="AA703" s="33">
        <f>Table1[[#This Row],[Macaulay Duration in Years]]/(1+Table1[[#This Row],[IRR]])</f>
        <v>2.6542247097021843</v>
      </c>
      <c r="AB703" s="58">
        <f>VLOOKUP(Table1[[#This Row],[Yield Cluster]],'Cluster Details'!$B$3:$C$16,2,0)</f>
        <v>0.37868966038993918</v>
      </c>
      <c r="AC703" s="78">
        <f>PRICE(Table1[[#This Row],[Issue date]],Table1[[#This Row],[Maturity date]],Table1[[#This Row],[Current coupon %]],Table1[[#This Row],[Average Cluster Yield]],100,Table1[[#This Row],[Coupon Frequency2]])*Table1[[#This Row],[Face value]]/100</f>
        <v>432007.19900118862</v>
      </c>
      <c r="AD703" s="58" t="str">
        <f>IF(Table1[[#This Row],[Ask Price]]&gt;Table1[[#This Row],[Calculated Bond Price]],"Rich","Cheap")</f>
        <v>Rich</v>
      </c>
      <c r="AE70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423206.19834685564</v>
      </c>
      <c r="AF70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446497.36113940907</v>
      </c>
      <c r="AG703" s="78">
        <f>(Table1[[#This Row],[P (+ shock)]]+Table1[[#This Row],[P (-shock)]]-2*Table1[[#This Row],[Ask Price]])/(2*Table1[[#This Row],[Ask Price]]*($AF$2^2))</f>
        <v>-5724.171290628</v>
      </c>
      <c r="AH703">
        <v>20.874861572535899</v>
      </c>
      <c r="AI703" s="6">
        <f t="shared" si="41"/>
        <v>9.459193706981317E-2</v>
      </c>
      <c r="AK703" s="47">
        <f>RATE(Table1[[#This Row],[Total No. of Coupons]],Table1[[#This Row],[Coupon Amount]],-Table1[[#This Row],[Ask Price]],Table1[[#This Row],[Face value]])</f>
        <v>9.4102861902304491E-2</v>
      </c>
      <c r="AL703" s="27">
        <f>Table1[[#This Row],[IRR]]*Table1[[#This Row],[Coupon Frequency2]]</f>
        <v>0.37641144760921796</v>
      </c>
      <c r="AM703" s="5">
        <f t="shared" si="42"/>
        <v>-2699346.5297671212</v>
      </c>
      <c r="AN703" t="s">
        <v>64</v>
      </c>
      <c r="AO703" t="s">
        <v>62</v>
      </c>
      <c r="AP703">
        <f t="shared" si="43"/>
        <v>4</v>
      </c>
    </row>
    <row r="704" spans="1:42" x14ac:dyDescent="0.35">
      <c r="A704" s="48" t="s">
        <v>663</v>
      </c>
      <c r="B704" s="49" t="s">
        <v>3018</v>
      </c>
      <c r="C704" s="49" t="s">
        <v>2273</v>
      </c>
      <c r="D704" s="50">
        <v>44726</v>
      </c>
      <c r="E704" s="50">
        <v>47269</v>
      </c>
      <c r="F704" s="49">
        <v>1000000</v>
      </c>
      <c r="G704" s="49" t="s">
        <v>76</v>
      </c>
      <c r="H704" s="49">
        <v>1020000</v>
      </c>
      <c r="I704" s="49" t="s">
        <v>76</v>
      </c>
      <c r="J704" s="49">
        <v>102</v>
      </c>
      <c r="K704" s="49">
        <v>1</v>
      </c>
      <c r="L704" s="51">
        <v>9.6199999999999994E-2</v>
      </c>
      <c r="M704" s="49" t="s">
        <v>105</v>
      </c>
      <c r="N704" s="49">
        <v>1352</v>
      </c>
      <c r="O704" s="49">
        <v>9.4313725490195992</v>
      </c>
      <c r="P704" s="49"/>
      <c r="Q704" s="49"/>
      <c r="R704" s="49" t="s">
        <v>2275</v>
      </c>
      <c r="S704">
        <f t="shared" si="40"/>
        <v>7</v>
      </c>
      <c r="T704" s="5" cm="1">
        <f t="array" ref="T7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4">
        <f>Table1[[#This Row],[Term to Maturity (Years)]]*Table1[[#This Row],[Coupon Frequency2]]</f>
        <v>28</v>
      </c>
      <c r="V704">
        <f>Table1[[#This Row],[Face value]]*Table1[[#This Row],[Current coupon %]]</f>
        <v>96200</v>
      </c>
      <c r="W704" s="36">
        <f>RATE(Table1[[#This Row],[Total No. of Coupons]],Table1[[#This Row],[Coupon Amount]],-Table1[[#This Row],[Ask Price]],Table1[[#This Row],[Face value]])</f>
        <v>9.4152090596282656E-2</v>
      </c>
      <c r="X704" s="27">
        <f>Table1[[#This Row],[IRR]]*Table1[[#This Row],[Coupon Frequency2]]</f>
        <v>0.37660836238513062</v>
      </c>
      <c r="Y704" s="19" cm="1">
        <f t="array" ref="Y7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4" s="33">
        <f>DURATION(Table1[[#This Row],[Issue date]],Table1[[#This Row],[Maturity date]],Table1[[#This Row],[Current coupon %]],Table1[[#This Row],[Yield (Annualised)]],Table1[[#This Row],[Coupon Frequency2]])</f>
        <v>3.4551989840920232</v>
      </c>
      <c r="AA704" s="33">
        <f>Table1[[#This Row],[Macaulay Duration in Years]]/(1+Table1[[#This Row],[IRR]])</f>
        <v>3.1578781540407559</v>
      </c>
      <c r="AB704" s="58">
        <f>VLOOKUP(Table1[[#This Row],[Yield Cluster]],'Cluster Details'!$B$3:$C$16,2,0)</f>
        <v>0.37868966038993918</v>
      </c>
      <c r="AC704" s="78">
        <f>PRICE(Table1[[#This Row],[Issue date]],Table1[[#This Row],[Maturity date]],Table1[[#This Row],[Current coupon %]],Table1[[#This Row],[Average Cluster Yield]],100,Table1[[#This Row],[Coupon Frequency2]])*Table1[[#This Row],[Face value]]/100</f>
        <v>313992.29538373981</v>
      </c>
      <c r="AD704" s="58" t="str">
        <f>IF(Table1[[#This Row],[Ask Price]]&gt;Table1[[#This Row],[Calculated Bond Price]],"Rich","Cheap")</f>
        <v>Rich</v>
      </c>
      <c r="AE70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306236.06103592017</v>
      </c>
      <c r="AF70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326445.77312154393</v>
      </c>
      <c r="AG704" s="78">
        <f>(Table1[[#This Row],[P (+ shock)]]+Table1[[#This Row],[P (-shock)]]-2*Table1[[#This Row],[Ask Price]])/(2*Table1[[#This Row],[Ask Price]]*($AF$2^2))</f>
        <v>-6898.6184600124307</v>
      </c>
      <c r="AI704" s="6">
        <f t="shared" si="41"/>
        <v>9.4313725490196079E-2</v>
      </c>
      <c r="AK704" s="47">
        <f>RATE(Table1[[#This Row],[Total No. of Coupons]],Table1[[#This Row],[Coupon Amount]],-Table1[[#This Row],[Ask Price]],Table1[[#This Row],[Face value]])</f>
        <v>9.4152090596282656E-2</v>
      </c>
      <c r="AL704" s="27">
        <f>Table1[[#This Row],[IRR]]*Table1[[#This Row],[Coupon Frequency2]]</f>
        <v>0.37660836238513062</v>
      </c>
      <c r="AM704" s="5">
        <f t="shared" si="42"/>
        <v>-3221035.7171215708</v>
      </c>
      <c r="AN704" t="s">
        <v>69</v>
      </c>
      <c r="AO704" t="s">
        <v>62</v>
      </c>
      <c r="AP704">
        <f t="shared" si="43"/>
        <v>4</v>
      </c>
    </row>
    <row r="705" spans="1:42" x14ac:dyDescent="0.35">
      <c r="A705" s="48" t="s">
        <v>1138</v>
      </c>
      <c r="B705" s="49" t="s">
        <v>3019</v>
      </c>
      <c r="C705" s="49" t="s">
        <v>2273</v>
      </c>
      <c r="D705" s="50">
        <v>43074</v>
      </c>
      <c r="E705" s="50">
        <v>46680</v>
      </c>
      <c r="F705" s="49">
        <v>1000000</v>
      </c>
      <c r="G705" s="49" t="s">
        <v>76</v>
      </c>
      <c r="H705" s="49">
        <v>1030000</v>
      </c>
      <c r="I705" s="49" t="s">
        <v>76</v>
      </c>
      <c r="J705" s="49">
        <v>103</v>
      </c>
      <c r="K705" s="49">
        <v>2</v>
      </c>
      <c r="L705" s="51">
        <v>9.7500000000000003E-2</v>
      </c>
      <c r="M705" s="49" t="s">
        <v>105</v>
      </c>
      <c r="N705" s="49">
        <v>763</v>
      </c>
      <c r="O705" s="49">
        <v>9.4660194174757208</v>
      </c>
      <c r="P705" s="49"/>
      <c r="Q705" s="49"/>
      <c r="R705" s="49" t="s">
        <v>2275</v>
      </c>
      <c r="S705">
        <f t="shared" si="40"/>
        <v>10</v>
      </c>
      <c r="T705" s="5" cm="1">
        <f t="array" ref="T7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5">
        <f>Table1[[#This Row],[Term to Maturity (Years)]]*Table1[[#This Row],[Coupon Frequency2]]</f>
        <v>40</v>
      </c>
      <c r="V705">
        <f>Table1[[#This Row],[Face value]]*Table1[[#This Row],[Current coupon %]]</f>
        <v>97500</v>
      </c>
      <c r="W705" s="36">
        <f>RATE(Table1[[#This Row],[Total No. of Coupons]],Table1[[#This Row],[Coupon Amount]],-Table1[[#This Row],[Ask Price]],Table1[[#This Row],[Face value]])</f>
        <v>9.458398830956237E-2</v>
      </c>
      <c r="X705" s="27">
        <f>Table1[[#This Row],[IRR]]*Table1[[#This Row],[Coupon Frequency2]]</f>
        <v>0.37833595323824948</v>
      </c>
      <c r="Y705" s="19" cm="1">
        <f t="array" ref="Y7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5" s="33">
        <f>DURATION(Table1[[#This Row],[Issue date]],Table1[[#This Row],[Maturity date]],Table1[[#This Row],[Current coupon %]],Table1[[#This Row],[Yield (Annualised)]],Table1[[#This Row],[Coupon Frequency2]])</f>
        <v>3.2072452368409934</v>
      </c>
      <c r="AA705" s="33">
        <f>Table1[[#This Row],[Macaulay Duration in Years]]/(1+Table1[[#This Row],[IRR]])</f>
        <v>2.9301042871951308</v>
      </c>
      <c r="AB705" s="58">
        <f>VLOOKUP(Table1[[#This Row],[Yield Cluster]],'Cluster Details'!$B$3:$C$16,2,0)</f>
        <v>0.37868966038993918</v>
      </c>
      <c r="AC705" s="78">
        <f>PRICE(Table1[[#This Row],[Issue date]],Table1[[#This Row],[Maturity date]],Table1[[#This Row],[Current coupon %]],Table1[[#This Row],[Average Cluster Yield]],100,Table1[[#This Row],[Coupon Frequency2]])*Table1[[#This Row],[Face value]]/100</f>
        <v>278035.67917988286</v>
      </c>
      <c r="AD705" s="58" t="str">
        <f>IF(Table1[[#This Row],[Ask Price]]&gt;Table1[[#This Row],[Calculated Bond Price]],"Rich","Cheap")</f>
        <v>Rich</v>
      </c>
      <c r="AE70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270062.71947620326</v>
      </c>
      <c r="AF70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287100.28054853686</v>
      </c>
      <c r="AG705" s="78">
        <f>(Table1[[#This Row],[P (+ shock)]]+Table1[[#This Row],[P (-shock)]]-2*Table1[[#This Row],[Ask Price]])/(2*Table1[[#This Row],[Ask Price]]*($AF$2^2))</f>
        <v>-7295.3252425983492</v>
      </c>
      <c r="AI705" s="6">
        <f t="shared" si="41"/>
        <v>9.4660194174757281E-2</v>
      </c>
      <c r="AK705" s="47">
        <f>RATE(Table1[[#This Row],[Total No. of Coupons]],Table1[[#This Row],[Coupon Amount]],-Table1[[#This Row],[Ask Price]],Table1[[#This Row],[Face value]])</f>
        <v>9.458398830956237E-2</v>
      </c>
      <c r="AL705" s="27">
        <f>Table1[[#This Row],[IRR]]*Table1[[#This Row],[Coupon Frequency2]]</f>
        <v>0.37833595323824948</v>
      </c>
      <c r="AM705" s="5">
        <f t="shared" si="42"/>
        <v>-3018007.4158109846</v>
      </c>
      <c r="AN705" t="s">
        <v>69</v>
      </c>
      <c r="AO705" t="s">
        <v>62</v>
      </c>
      <c r="AP705">
        <f t="shared" si="43"/>
        <v>4</v>
      </c>
    </row>
    <row r="706" spans="1:42" x14ac:dyDescent="0.35">
      <c r="A706" s="48" t="s">
        <v>493</v>
      </c>
      <c r="B706" s="49" t="s">
        <v>3020</v>
      </c>
      <c r="C706" s="49" t="s">
        <v>2273</v>
      </c>
      <c r="D706" s="50">
        <v>44841</v>
      </c>
      <c r="E706" s="50">
        <v>47571</v>
      </c>
      <c r="F706" s="49">
        <v>1000000</v>
      </c>
      <c r="G706" s="49" t="s">
        <v>76</v>
      </c>
      <c r="H706" s="49">
        <v>1047000</v>
      </c>
      <c r="I706" s="49" t="s">
        <v>76</v>
      </c>
      <c r="J706" s="49">
        <v>104.69999999999899</v>
      </c>
      <c r="K706" s="49">
        <v>1</v>
      </c>
      <c r="L706" s="51">
        <v>9.9499999999999991E-2</v>
      </c>
      <c r="M706" s="49" t="s">
        <v>105</v>
      </c>
      <c r="N706" s="49">
        <v>1654</v>
      </c>
      <c r="O706" s="49">
        <v>9.50334288443171</v>
      </c>
      <c r="P706" s="49"/>
      <c r="Q706" s="49"/>
      <c r="R706" s="49" t="s">
        <v>2275</v>
      </c>
      <c r="S706">
        <f t="shared" si="40"/>
        <v>7</v>
      </c>
      <c r="T706" s="5" cm="1">
        <f t="array" ref="T7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6">
        <f>Table1[[#This Row],[Term to Maturity (Years)]]*Table1[[#This Row],[Coupon Frequency2]]</f>
        <v>28</v>
      </c>
      <c r="V706">
        <f>Table1[[#This Row],[Face value]]*Table1[[#This Row],[Current coupon %]]</f>
        <v>99499.999999999985</v>
      </c>
      <c r="W706" s="36">
        <f>RATE(Table1[[#This Row],[Total No. of Coupons]],Table1[[#This Row],[Coupon Amount]],-Table1[[#This Row],[Ask Price]],Table1[[#This Row],[Face value]])</f>
        <v>9.466664589476842E-2</v>
      </c>
      <c r="X706" s="27">
        <f>Table1[[#This Row],[IRR]]*Table1[[#This Row],[Coupon Frequency2]]</f>
        <v>0.37866658357907368</v>
      </c>
      <c r="Y706" s="19" cm="1">
        <f t="array" ref="Y7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6" s="33">
        <f>DURATION(Table1[[#This Row],[Issue date]],Table1[[#This Row],[Maturity date]],Table1[[#This Row],[Current coupon %]],Table1[[#This Row],[Yield (Annualised)]],Table1[[#This Row],[Coupon Frequency2]])</f>
        <v>3.4299634492395334</v>
      </c>
      <c r="AA706" s="33">
        <f>Table1[[#This Row],[Macaulay Duration in Years]]/(1+Table1[[#This Row],[IRR]])</f>
        <v>3.13334060382914</v>
      </c>
      <c r="AB706" s="58">
        <f>VLOOKUP(Table1[[#This Row],[Yield Cluster]],'Cluster Details'!$B$3:$C$16,2,0)</f>
        <v>0.37868966038993918</v>
      </c>
      <c r="AC706" s="78">
        <f>PRICE(Table1[[#This Row],[Issue date]],Table1[[#This Row],[Maturity date]],Table1[[#This Row],[Current coupon %]],Table1[[#This Row],[Average Cluster Yield]],100,Table1[[#This Row],[Coupon Frequency2]])*Table1[[#This Row],[Face value]]/100</f>
        <v>311928.1518819186</v>
      </c>
      <c r="AD706" s="58" t="str">
        <f>IF(Table1[[#This Row],[Ask Price]]&gt;Table1[[#This Row],[Calculated Bond Price]],"Rich","Cheap")</f>
        <v>Rich</v>
      </c>
      <c r="AE70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302359.88848688529</v>
      </c>
      <c r="AF70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322058.31550378393</v>
      </c>
      <c r="AG706" s="78">
        <f>(Table1[[#This Row],[P (+ shock)]]+Table1[[#This Row],[P (-shock)]]-2*Table1[[#This Row],[Ask Price]])/(2*Table1[[#This Row],[Ask Price]]*($AF$2^2))</f>
        <v>-7018.0601528621337</v>
      </c>
      <c r="AH706">
        <v>11.0955039225382</v>
      </c>
      <c r="AI706" s="6">
        <f t="shared" si="41"/>
        <v>9.5033428844317078E-2</v>
      </c>
      <c r="AK706" s="47">
        <f>RATE(Table1[[#This Row],[Total No. of Coupons]],Table1[[#This Row],[Coupon Amount]],-Table1[[#This Row],[Ask Price]],Table1[[#This Row],[Face value]])</f>
        <v>9.466664589476842E-2</v>
      </c>
      <c r="AL706" s="27">
        <f>Table1[[#This Row],[IRR]]*Table1[[#This Row],[Coupon Frequency2]]</f>
        <v>0.37866658357907368</v>
      </c>
      <c r="AM706" s="5">
        <f t="shared" si="42"/>
        <v>-3280607.6122091096</v>
      </c>
      <c r="AN706" t="s">
        <v>64</v>
      </c>
      <c r="AO706" t="s">
        <v>62</v>
      </c>
      <c r="AP706">
        <f t="shared" si="43"/>
        <v>4</v>
      </c>
    </row>
    <row r="707" spans="1:42" x14ac:dyDescent="0.35">
      <c r="A707" s="48" t="s">
        <v>1101</v>
      </c>
      <c r="B707" s="49" t="s">
        <v>3021</v>
      </c>
      <c r="C707" s="49" t="s">
        <v>2273</v>
      </c>
      <c r="D707" s="50">
        <v>44916</v>
      </c>
      <c r="E707" s="50">
        <v>46721</v>
      </c>
      <c r="F707" s="49">
        <v>1000000</v>
      </c>
      <c r="G707" s="49" t="s">
        <v>76</v>
      </c>
      <c r="H707" s="49">
        <v>1010000</v>
      </c>
      <c r="I707" s="49" t="s">
        <v>76</v>
      </c>
      <c r="J707" s="49">
        <v>101</v>
      </c>
      <c r="K707" s="49">
        <v>1</v>
      </c>
      <c r="L707" s="51">
        <v>9.6199999999999994E-2</v>
      </c>
      <c r="M707" s="49" t="s">
        <v>105</v>
      </c>
      <c r="N707" s="49">
        <v>804</v>
      </c>
      <c r="O707" s="49">
        <v>9.5247524752475208</v>
      </c>
      <c r="P707" s="49"/>
      <c r="Q707" s="49"/>
      <c r="R707" s="49" t="s">
        <v>2275</v>
      </c>
      <c r="S707">
        <f t="shared" si="40"/>
        <v>5</v>
      </c>
      <c r="T707" s="5" cm="1">
        <f t="array" ref="T7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7">
        <f>Table1[[#This Row],[Term to Maturity (Years)]]*Table1[[#This Row],[Coupon Frequency2]]</f>
        <v>20</v>
      </c>
      <c r="V707">
        <f>Table1[[#This Row],[Face value]]*Table1[[#This Row],[Current coupon %]]</f>
        <v>96200</v>
      </c>
      <c r="W707" s="36">
        <f>RATE(Table1[[#This Row],[Total No. of Coupons]],Table1[[#This Row],[Coupon Amount]],-Table1[[#This Row],[Ask Price]],Table1[[#This Row],[Face value]])</f>
        <v>9.5064720814469941E-2</v>
      </c>
      <c r="X707" s="27">
        <f>Table1[[#This Row],[IRR]]*Table1[[#This Row],[Coupon Frequency2]]</f>
        <v>0.38025888325787977</v>
      </c>
      <c r="Y707" s="19" cm="1">
        <f t="array" ref="Y7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7" s="33">
        <f>DURATION(Table1[[#This Row],[Issue date]],Table1[[#This Row],[Maturity date]],Table1[[#This Row],[Current coupon %]],Table1[[#This Row],[Yield (Annualised)]],Table1[[#This Row],[Coupon Frequency2]])</f>
        <v>3.1928985485926051</v>
      </c>
      <c r="AA707" s="33">
        <f>Table1[[#This Row],[Macaulay Duration in Years]]/(1+Table1[[#This Row],[IRR]])</f>
        <v>2.9157167497988992</v>
      </c>
      <c r="AB707" s="58">
        <f>VLOOKUP(Table1[[#This Row],[Yield Cluster]],'Cluster Details'!$B$3:$C$16,2,0)</f>
        <v>0.37868966038993918</v>
      </c>
      <c r="AC707" s="78">
        <f>PRICE(Table1[[#This Row],[Issue date]],Table1[[#This Row],[Maturity date]],Table1[[#This Row],[Current coupon %]],Table1[[#This Row],[Average Cluster Yield]],100,Table1[[#This Row],[Coupon Frequency2]])*Table1[[#This Row],[Face value]]/100</f>
        <v>378637.23973036895</v>
      </c>
      <c r="AD707" s="58" t="str">
        <f>IF(Table1[[#This Row],[Ask Price]]&gt;Table1[[#This Row],[Calculated Bond Price]],"Rich","Cheap")</f>
        <v>Rich</v>
      </c>
      <c r="AE70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365954.38553177938</v>
      </c>
      <c r="AF70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388266.30643026909</v>
      </c>
      <c r="AG707" s="78">
        <f>(Table1[[#This Row],[P (+ shock)]]+Table1[[#This Row],[P (-shock)]]-2*Table1[[#This Row],[Ask Price]])/(2*Table1[[#This Row],[Ask Price]]*($AF$2^2))</f>
        <v>-6266.2341982076814</v>
      </c>
      <c r="AI707" s="6">
        <f t="shared" si="41"/>
        <v>9.5247524752475249E-2</v>
      </c>
      <c r="AK707" s="47">
        <f>RATE(Table1[[#This Row],[Total No. of Coupons]],Table1[[#This Row],[Coupon Amount]],-Table1[[#This Row],[Ask Price]],Table1[[#This Row],[Face value]])</f>
        <v>9.5064720814469941E-2</v>
      </c>
      <c r="AL707" s="27">
        <f>Table1[[#This Row],[IRR]]*Table1[[#This Row],[Coupon Frequency2]]</f>
        <v>0.38025888325787977</v>
      </c>
      <c r="AM707" s="5">
        <f t="shared" si="42"/>
        <v>-2944873.9172968883</v>
      </c>
      <c r="AN707" t="s">
        <v>69</v>
      </c>
      <c r="AO707" t="s">
        <v>62</v>
      </c>
      <c r="AP707">
        <f t="shared" si="43"/>
        <v>4</v>
      </c>
    </row>
    <row r="708" spans="1:42" x14ac:dyDescent="0.35">
      <c r="A708" s="48" t="s">
        <v>1258</v>
      </c>
      <c r="B708" s="49" t="s">
        <v>3022</v>
      </c>
      <c r="C708" s="49" t="s">
        <v>2273</v>
      </c>
      <c r="D708" s="50">
        <v>44726</v>
      </c>
      <c r="E708" s="50">
        <v>46538</v>
      </c>
      <c r="F708" s="49">
        <v>1000000</v>
      </c>
      <c r="G708" s="49" t="s">
        <v>76</v>
      </c>
      <c r="H708" s="49">
        <v>1008000</v>
      </c>
      <c r="I708" s="49" t="s">
        <v>76</v>
      </c>
      <c r="J708" s="49">
        <v>100.8</v>
      </c>
      <c r="K708" s="49">
        <v>2</v>
      </c>
      <c r="L708" s="51">
        <v>9.6199999999999994E-2</v>
      </c>
      <c r="M708" s="49" t="s">
        <v>105</v>
      </c>
      <c r="N708" s="49">
        <v>621</v>
      </c>
      <c r="O708" s="49">
        <v>9.5436507936507908</v>
      </c>
      <c r="P708" s="49"/>
      <c r="Q708" s="49"/>
      <c r="R708" s="49" t="s">
        <v>2275</v>
      </c>
      <c r="S708">
        <f t="shared" ref="S708:S771" si="44">ROUND(YEARFRAC(D708,E708),0)</f>
        <v>5</v>
      </c>
      <c r="T708" s="5" cm="1">
        <f t="array" ref="T7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8">
        <f>Table1[[#This Row],[Term to Maturity (Years)]]*Table1[[#This Row],[Coupon Frequency2]]</f>
        <v>20</v>
      </c>
      <c r="V708">
        <f>Table1[[#This Row],[Face value]]*Table1[[#This Row],[Current coupon %]]</f>
        <v>96200</v>
      </c>
      <c r="W708" s="36">
        <f>RATE(Table1[[#This Row],[Total No. of Coupons]],Table1[[#This Row],[Coupon Amount]],-Table1[[#This Row],[Ask Price]],Table1[[#This Row],[Face value]])</f>
        <v>9.5290347521464328E-2</v>
      </c>
      <c r="X708" s="27">
        <f>Table1[[#This Row],[IRR]]*Table1[[#This Row],[Coupon Frequency2]]</f>
        <v>0.38116139008585731</v>
      </c>
      <c r="Y708" s="19" cm="1">
        <f t="array" ref="Y7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8" s="33">
        <f>DURATION(Table1[[#This Row],[Issue date]],Table1[[#This Row],[Maturity date]],Table1[[#This Row],[Current coupon %]],Table1[[#This Row],[Yield (Annualised)]],Table1[[#This Row],[Coupon Frequency2]])</f>
        <v>3.2095801099064603</v>
      </c>
      <c r="AA708" s="33">
        <f>Table1[[#This Row],[Macaulay Duration in Years]]/(1+Table1[[#This Row],[IRR]])</f>
        <v>2.930346384563169</v>
      </c>
      <c r="AB708" s="58">
        <f>VLOOKUP(Table1[[#This Row],[Yield Cluster]],'Cluster Details'!$B$3:$C$16,2,0)</f>
        <v>0.37868966038993918</v>
      </c>
      <c r="AC708" s="78">
        <f>PRICE(Table1[[#This Row],[Issue date]],Table1[[#This Row],[Maturity date]],Table1[[#This Row],[Current coupon %]],Table1[[#This Row],[Average Cluster Yield]],100,Table1[[#This Row],[Coupon Frequency2]])*Table1[[#This Row],[Face value]]/100</f>
        <v>377813.93748662772</v>
      </c>
      <c r="AD708" s="58" t="str">
        <f>IF(Table1[[#This Row],[Ask Price]]&gt;Table1[[#This Row],[Calculated Bond Price]],"Rich","Cheap")</f>
        <v>Rich</v>
      </c>
      <c r="AE70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364180.97382661328</v>
      </c>
      <c r="AF70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386388.21458206407</v>
      </c>
      <c r="AG708" s="78">
        <f>(Table1[[#This Row],[P (+ shock)]]+Table1[[#This Row],[P (-shock)]]-2*Table1[[#This Row],[Ask Price]])/(2*Table1[[#This Row],[Ask Price]]*($AF$2^2))</f>
        <v>-6276.9385495601309</v>
      </c>
      <c r="AI708" s="6">
        <f t="shared" ref="AI708:AI771" si="45">(L708*F708)/H708</f>
        <v>9.5436507936507931E-2</v>
      </c>
      <c r="AK708" s="47">
        <f>RATE(Table1[[#This Row],[Total No. of Coupons]],Table1[[#This Row],[Coupon Amount]],-Table1[[#This Row],[Ask Price]],Table1[[#This Row],[Face value]])</f>
        <v>9.5290347521464328E-2</v>
      </c>
      <c r="AL708" s="27">
        <f>Table1[[#This Row],[IRR]]*Table1[[#This Row],[Coupon Frequency2]]</f>
        <v>0.38116139008585731</v>
      </c>
      <c r="AM708" s="5">
        <f t="shared" ref="AM708:AM771" si="46">-AA708*H708</f>
        <v>-2953789.1556396745</v>
      </c>
      <c r="AN708" t="s">
        <v>69</v>
      </c>
      <c r="AO708" t="s">
        <v>62</v>
      </c>
      <c r="AP708">
        <f t="shared" ref="AP708:AP771" si="47">_xlfn.SWITCH(PROPER(TRIM(M708)),
   "Annual",1,
   "Semi-Annual",2,
   "Quarterly",4,
   "Monthly",12,
   "")</f>
        <v>4</v>
      </c>
    </row>
    <row r="709" spans="1:42" x14ac:dyDescent="0.35">
      <c r="A709" s="48" t="s">
        <v>1567</v>
      </c>
      <c r="B709" s="49" t="s">
        <v>3023</v>
      </c>
      <c r="C709" s="49" t="s">
        <v>2273</v>
      </c>
      <c r="D709" s="50">
        <v>43074</v>
      </c>
      <c r="E709" s="50">
        <v>46315</v>
      </c>
      <c r="F709" s="49">
        <v>1000000</v>
      </c>
      <c r="G709" s="49" t="s">
        <v>76</v>
      </c>
      <c r="H709" s="49">
        <v>1020500</v>
      </c>
      <c r="I709" s="49" t="s">
        <v>76</v>
      </c>
      <c r="J709" s="49">
        <v>102.05</v>
      </c>
      <c r="K709" s="49">
        <v>6</v>
      </c>
      <c r="L709" s="51">
        <v>9.7500000000000003E-2</v>
      </c>
      <c r="M709" s="49" t="s">
        <v>105</v>
      </c>
      <c r="N709" s="49">
        <v>398</v>
      </c>
      <c r="O709" s="49">
        <v>9.5541401273885302</v>
      </c>
      <c r="P709" s="49"/>
      <c r="Q709" s="49"/>
      <c r="R709" s="49" t="s">
        <v>2275</v>
      </c>
      <c r="S709">
        <f t="shared" si="44"/>
        <v>9</v>
      </c>
      <c r="T709" s="5" cm="1">
        <f t="array" ref="T7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09">
        <f>Table1[[#This Row],[Term to Maturity (Years)]]*Table1[[#This Row],[Coupon Frequency2]]</f>
        <v>36</v>
      </c>
      <c r="V709">
        <f>Table1[[#This Row],[Face value]]*Table1[[#This Row],[Current coupon %]]</f>
        <v>97500</v>
      </c>
      <c r="W709" s="36">
        <f>RATE(Table1[[#This Row],[Total No. of Coupons]],Table1[[#This Row],[Coupon Amount]],-Table1[[#This Row],[Ask Price]],Table1[[#This Row],[Face value]])</f>
        <v>9.5466612234532094E-2</v>
      </c>
      <c r="X709" s="27">
        <f>Table1[[#This Row],[IRR]]*Table1[[#This Row],[Coupon Frequency2]]</f>
        <v>0.38186644893812838</v>
      </c>
      <c r="Y709" s="19" cm="1">
        <f t="array" ref="Y7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09" s="33">
        <f>DURATION(Table1[[#This Row],[Issue date]],Table1[[#This Row],[Maturity date]],Table1[[#This Row],[Current coupon %]],Table1[[#This Row],[Yield (Annualised)]],Table1[[#This Row],[Coupon Frequency2]])</f>
        <v>3.2516428997884468</v>
      </c>
      <c r="AA709" s="33">
        <f>Table1[[#This Row],[Macaulay Duration in Years]]/(1+Table1[[#This Row],[IRR]])</f>
        <v>2.9682720253388171</v>
      </c>
      <c r="AB709" s="58">
        <f>VLOOKUP(Table1[[#This Row],[Yield Cluster]],'Cluster Details'!$B$3:$C$16,2,0)</f>
        <v>0.37868966038993918</v>
      </c>
      <c r="AC709" s="78">
        <f>PRICE(Table1[[#This Row],[Issue date]],Table1[[#This Row],[Maturity date]],Table1[[#This Row],[Current coupon %]],Table1[[#This Row],[Average Cluster Yield]],100,Table1[[#This Row],[Coupon Frequency2]])*Table1[[#This Row],[Face value]]/100</f>
        <v>287122.64853675739</v>
      </c>
      <c r="AD709" s="58" t="str">
        <f>IF(Table1[[#This Row],[Ask Price]]&gt;Table1[[#This Row],[Calculated Bond Price]],"Rich","Cheap")</f>
        <v>Rich</v>
      </c>
      <c r="AE70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275741.27971670509</v>
      </c>
      <c r="AF70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293354.06240214268</v>
      </c>
      <c r="AG709" s="78">
        <f>(Table1[[#This Row],[P (+ shock)]]+Table1[[#This Row],[P (-shock)]]-2*Table1[[#This Row],[Ask Price]])/(2*Table1[[#This Row],[Ask Price]]*($AF$2^2))</f>
        <v>-7211.6837720781587</v>
      </c>
      <c r="AH709">
        <v>12.111484520982</v>
      </c>
      <c r="AI709" s="6">
        <f t="shared" si="45"/>
        <v>9.5541401273885357E-2</v>
      </c>
      <c r="AK709" s="47">
        <f>RATE(Table1[[#This Row],[Total No. of Coupons]],Table1[[#This Row],[Coupon Amount]],-Table1[[#This Row],[Ask Price]],Table1[[#This Row],[Face value]])</f>
        <v>9.5466612234532094E-2</v>
      </c>
      <c r="AL709" s="27">
        <f>Table1[[#This Row],[IRR]]*Table1[[#This Row],[Coupon Frequency2]]</f>
        <v>0.38186644893812838</v>
      </c>
      <c r="AM709" s="5">
        <f t="shared" si="46"/>
        <v>-3029121.6018582629</v>
      </c>
      <c r="AN709" t="s">
        <v>64</v>
      </c>
      <c r="AO709" t="s">
        <v>62</v>
      </c>
      <c r="AP709">
        <f t="shared" si="47"/>
        <v>4</v>
      </c>
    </row>
    <row r="710" spans="1:42" x14ac:dyDescent="0.35">
      <c r="A710" s="48" t="s">
        <v>699</v>
      </c>
      <c r="B710" s="49" t="s">
        <v>3024</v>
      </c>
      <c r="C710" s="49" t="s">
        <v>2273</v>
      </c>
      <c r="D710" s="50">
        <v>44841</v>
      </c>
      <c r="E710" s="50">
        <v>47207</v>
      </c>
      <c r="F710" s="49">
        <v>1000000</v>
      </c>
      <c r="G710" s="49" t="s">
        <v>76</v>
      </c>
      <c r="H710" s="49">
        <v>1037000</v>
      </c>
      <c r="I710" s="49" t="s">
        <v>76</v>
      </c>
      <c r="J710" s="49">
        <v>103.69999999999899</v>
      </c>
      <c r="K710" s="49">
        <v>1</v>
      </c>
      <c r="L710" s="51">
        <v>9.9499999999999991E-2</v>
      </c>
      <c r="M710" s="49" t="s">
        <v>105</v>
      </c>
      <c r="N710" s="49">
        <v>1290</v>
      </c>
      <c r="O710" s="49">
        <v>9.5949855351976794</v>
      </c>
      <c r="P710" s="49"/>
      <c r="Q710" s="49"/>
      <c r="R710" s="49" t="s">
        <v>2275</v>
      </c>
      <c r="S710">
        <f t="shared" si="44"/>
        <v>6</v>
      </c>
      <c r="T710" s="5" cm="1">
        <f t="array" ref="T7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0">
        <f>Table1[[#This Row],[Term to Maturity (Years)]]*Table1[[#This Row],[Coupon Frequency2]]</f>
        <v>24</v>
      </c>
      <c r="V710">
        <f>Table1[[#This Row],[Face value]]*Table1[[#This Row],[Current coupon %]]</f>
        <v>99499.999999999985</v>
      </c>
      <c r="W710" s="36">
        <f>RATE(Table1[[#This Row],[Total No. of Coupons]],Table1[[#This Row],[Coupon Amount]],-Table1[[#This Row],[Ask Price]],Table1[[#This Row],[Face value]])</f>
        <v>9.5520118268186224E-2</v>
      </c>
      <c r="X710" s="27">
        <f>Table1[[#This Row],[IRR]]*Table1[[#This Row],[Coupon Frequency2]]</f>
        <v>0.3820804730727449</v>
      </c>
      <c r="Y710" s="19" cm="1">
        <f t="array" ref="Y7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0" s="33">
        <f>DURATION(Table1[[#This Row],[Issue date]],Table1[[#This Row],[Maturity date]],Table1[[#This Row],[Current coupon %]],Table1[[#This Row],[Yield (Annualised)]],Table1[[#This Row],[Coupon Frequency2]])</f>
        <v>3.3972642461561784</v>
      </c>
      <c r="AA710" s="33">
        <f>Table1[[#This Row],[Macaulay Duration in Years]]/(1+Table1[[#This Row],[IRR]])</f>
        <v>3.1010514453414348</v>
      </c>
      <c r="AB710" s="58">
        <f>VLOOKUP(Table1[[#This Row],[Yield Cluster]],'Cluster Details'!$B$3:$C$16,2,0)</f>
        <v>0.37868966038993918</v>
      </c>
      <c r="AC710" s="78">
        <f>PRICE(Table1[[#This Row],[Issue date]],Table1[[#This Row],[Maturity date]],Table1[[#This Row],[Current coupon %]],Table1[[#This Row],[Average Cluster Yield]],100,Table1[[#This Row],[Coupon Frequency2]])*Table1[[#This Row],[Face value]]/100</f>
        <v>333346.22525795113</v>
      </c>
      <c r="AD710" s="58" t="str">
        <f>IF(Table1[[#This Row],[Ask Price]]&gt;Table1[[#This Row],[Calculated Bond Price]],"Rich","Cheap")</f>
        <v>Rich</v>
      </c>
      <c r="AE71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319785.95212464628</v>
      </c>
      <c r="AF71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340371.78120649391</v>
      </c>
      <c r="AG710" s="78">
        <f>(Table1[[#This Row],[P (+ shock)]]+Table1[[#This Row],[P (-shock)]]-2*Table1[[#This Row],[Ask Price]])/(2*Table1[[#This Row],[Ask Price]]*($AF$2^2))</f>
        <v>-6816.9829636878485</v>
      </c>
      <c r="AH710">
        <v>8.58952024285162</v>
      </c>
      <c r="AI710" s="6">
        <f t="shared" si="45"/>
        <v>9.5949855351976837E-2</v>
      </c>
      <c r="AK710" s="47">
        <f>RATE(Table1[[#This Row],[Total No. of Coupons]],Table1[[#This Row],[Coupon Amount]],-Table1[[#This Row],[Ask Price]],Table1[[#This Row],[Face value]])</f>
        <v>9.5520118268186224E-2</v>
      </c>
      <c r="AL710" s="27">
        <f>Table1[[#This Row],[IRR]]*Table1[[#This Row],[Coupon Frequency2]]</f>
        <v>0.3820804730727449</v>
      </c>
      <c r="AM710" s="5">
        <f t="shared" si="46"/>
        <v>-3215790.3488190677</v>
      </c>
      <c r="AN710" t="s">
        <v>64</v>
      </c>
      <c r="AO710" t="s">
        <v>62</v>
      </c>
      <c r="AP710">
        <f t="shared" si="47"/>
        <v>4</v>
      </c>
    </row>
    <row r="711" spans="1:42" x14ac:dyDescent="0.35">
      <c r="A711" s="48" t="s">
        <v>996</v>
      </c>
      <c r="B711" s="49" t="s">
        <v>3025</v>
      </c>
      <c r="C711" s="49" t="s">
        <v>2273</v>
      </c>
      <c r="D711" s="50">
        <v>44841</v>
      </c>
      <c r="E711" s="50">
        <v>46843</v>
      </c>
      <c r="F711" s="49">
        <v>1000000</v>
      </c>
      <c r="G711" s="49" t="s">
        <v>76</v>
      </c>
      <c r="H711" s="49">
        <v>1034900</v>
      </c>
      <c r="I711" s="49" t="s">
        <v>76</v>
      </c>
      <c r="J711" s="49">
        <v>103.49</v>
      </c>
      <c r="K711" s="49">
        <v>3</v>
      </c>
      <c r="L711" s="51">
        <v>9.9499999999999991E-2</v>
      </c>
      <c r="M711" s="49" t="s">
        <v>105</v>
      </c>
      <c r="N711" s="49">
        <v>926</v>
      </c>
      <c r="O711" s="49">
        <v>9.6144555029471395</v>
      </c>
      <c r="P711" s="49"/>
      <c r="Q711" s="49"/>
      <c r="R711" s="49" t="s">
        <v>2275</v>
      </c>
      <c r="S711">
        <f t="shared" si="44"/>
        <v>5</v>
      </c>
      <c r="T711" s="5" cm="1">
        <f t="array" ref="T7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1">
        <f>Table1[[#This Row],[Term to Maturity (Years)]]*Table1[[#This Row],[Coupon Frequency2]]</f>
        <v>20</v>
      </c>
      <c r="V711">
        <f>Table1[[#This Row],[Face value]]*Table1[[#This Row],[Current coupon %]]</f>
        <v>99499.999999999985</v>
      </c>
      <c r="W711" s="36">
        <f>RATE(Table1[[#This Row],[Total No. of Coupons]],Table1[[#This Row],[Coupon Amount]],-Table1[[#This Row],[Ask Price]],Table1[[#This Row],[Face value]])</f>
        <v>9.5525148994096892E-2</v>
      </c>
      <c r="X711" s="27">
        <f>Table1[[#This Row],[IRR]]*Table1[[#This Row],[Coupon Frequency2]]</f>
        <v>0.38210059597638757</v>
      </c>
      <c r="Y711" s="19" cm="1">
        <f t="array" ref="Y7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1" s="33">
        <f>DURATION(Table1[[#This Row],[Issue date]],Table1[[#This Row],[Maturity date]],Table1[[#This Row],[Current coupon %]],Table1[[#This Row],[Yield (Annualised)]],Table1[[#This Row],[Coupon Frequency2]])</f>
        <v>3.2960944416201774</v>
      </c>
      <c r="AA711" s="33">
        <f>Table1[[#This Row],[Macaulay Duration in Years]]/(1+Table1[[#This Row],[IRR]])</f>
        <v>3.0086889786570641</v>
      </c>
      <c r="AB711" s="58">
        <f>VLOOKUP(Table1[[#This Row],[Yield Cluster]],'Cluster Details'!$B$3:$C$16,2,0)</f>
        <v>0.37868966038993918</v>
      </c>
      <c r="AC711" s="78">
        <f>PRICE(Table1[[#This Row],[Issue date]],Table1[[#This Row],[Maturity date]],Table1[[#This Row],[Current coupon %]],Table1[[#This Row],[Average Cluster Yield]],100,Table1[[#This Row],[Coupon Frequency2]])*Table1[[#This Row],[Face value]]/100</f>
        <v>364157.58296888688</v>
      </c>
      <c r="AD711" s="58" t="str">
        <f>IF(Table1[[#This Row],[Ask Price]]&gt;Table1[[#This Row],[Calculated Bond Price]],"Rich","Cheap")</f>
        <v>Rich</v>
      </c>
      <c r="AE71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349744.29261621914</v>
      </c>
      <c r="AF71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371556.01890350989</v>
      </c>
      <c r="AG711" s="78">
        <f>(Table1[[#This Row],[P (+ shock)]]+Table1[[#This Row],[P (-shock)]]-2*Table1[[#This Row],[Ask Price]])/(2*Table1[[#This Row],[Ask Price]]*($AF$2^2))</f>
        <v>-6515.1207289606282</v>
      </c>
      <c r="AH711">
        <v>11.25</v>
      </c>
      <c r="AI711" s="6">
        <f t="shared" si="45"/>
        <v>9.6144555029471432E-2</v>
      </c>
      <c r="AK711" s="47">
        <f>RATE(Table1[[#This Row],[Total No. of Coupons]],Table1[[#This Row],[Coupon Amount]],-Table1[[#This Row],[Ask Price]],Table1[[#This Row],[Face value]])</f>
        <v>9.5525148994096892E-2</v>
      </c>
      <c r="AL711" s="27">
        <f>Table1[[#This Row],[IRR]]*Table1[[#This Row],[Coupon Frequency2]]</f>
        <v>0.38210059597638757</v>
      </c>
      <c r="AM711" s="5">
        <f t="shared" si="46"/>
        <v>-3113692.2240121956</v>
      </c>
      <c r="AN711" t="s">
        <v>64</v>
      </c>
      <c r="AO711" t="s">
        <v>62</v>
      </c>
      <c r="AP711">
        <f t="shared" si="47"/>
        <v>4</v>
      </c>
    </row>
    <row r="712" spans="1:42" x14ac:dyDescent="0.35">
      <c r="A712" s="48" t="s">
        <v>3026</v>
      </c>
      <c r="B712" s="49" t="s">
        <v>3027</v>
      </c>
      <c r="C712" s="49" t="s">
        <v>2273</v>
      </c>
      <c r="D712" s="50">
        <v>45712</v>
      </c>
      <c r="E712" s="50">
        <v>46493</v>
      </c>
      <c r="F712" s="49">
        <v>10000</v>
      </c>
      <c r="G712" s="49" t="s">
        <v>76</v>
      </c>
      <c r="H712" s="49">
        <v>10159</v>
      </c>
      <c r="I712" s="49" t="s">
        <v>76</v>
      </c>
      <c r="J712" s="49">
        <v>101.59</v>
      </c>
      <c r="K712" s="49">
        <v>50</v>
      </c>
      <c r="L712" s="51">
        <v>9.8599999999999993E-2</v>
      </c>
      <c r="M712" s="49" t="s">
        <v>105</v>
      </c>
      <c r="N712" s="49">
        <v>576</v>
      </c>
      <c r="O712" s="49">
        <v>9.7056796928831499</v>
      </c>
      <c r="P712" s="49"/>
      <c r="Q712" s="49"/>
      <c r="R712" s="49" t="s">
        <v>2275</v>
      </c>
      <c r="S712">
        <f t="shared" si="44"/>
        <v>2</v>
      </c>
      <c r="T712" s="5" cm="1">
        <f t="array" ref="T7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2">
        <f>Table1[[#This Row],[Term to Maturity (Years)]]*Table1[[#This Row],[Coupon Frequency2]]</f>
        <v>8</v>
      </c>
      <c r="V712">
        <f>Table1[[#This Row],[Face value]]*Table1[[#This Row],[Current coupon %]]</f>
        <v>985.99999999999989</v>
      </c>
      <c r="W712" s="36">
        <f>RATE(Table1[[#This Row],[Total No. of Coupons]],Table1[[#This Row],[Coupon Amount]],-Table1[[#This Row],[Ask Price]],Table1[[#This Row],[Face value]])</f>
        <v>9.5666496882397228E-2</v>
      </c>
      <c r="X712" s="27">
        <f>Table1[[#This Row],[IRR]]*Table1[[#This Row],[Coupon Frequency2]]</f>
        <v>0.38266598752958891</v>
      </c>
      <c r="Y712" s="19" cm="1">
        <f t="array" ref="Y7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2" s="33">
        <f>DURATION(Table1[[#This Row],[Issue date]],Table1[[#This Row],[Maturity date]],Table1[[#This Row],[Current coupon %]],Table1[[#This Row],[Yield (Annualised)]],Table1[[#This Row],[Coupon Frequency2]])</f>
        <v>1.8598186024719825</v>
      </c>
      <c r="AA712" s="33">
        <f>Table1[[#This Row],[Macaulay Duration in Years]]/(1+Table1[[#This Row],[IRR]])</f>
        <v>1.6974312966252951</v>
      </c>
      <c r="AB712" s="58">
        <f>VLOOKUP(Table1[[#This Row],[Yield Cluster]],'Cluster Details'!$B$3:$C$16,2,0)</f>
        <v>0.37868966038993918</v>
      </c>
      <c r="AC712" s="78">
        <f>PRICE(Table1[[#This Row],[Issue date]],Table1[[#This Row],[Maturity date]],Table1[[#This Row],[Current coupon %]],Table1[[#This Row],[Average Cluster Yield]],100,Table1[[#This Row],[Coupon Frequency2]])*Table1[[#This Row],[Face value]]/100</f>
        <v>6005.4189532907958</v>
      </c>
      <c r="AD712" s="58" t="str">
        <f>IF(Table1[[#This Row],[Ask Price]]&gt;Table1[[#This Row],[Calculated Bond Price]],"Rich","Cheap")</f>
        <v>Rich</v>
      </c>
      <c r="AE71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5862.3534928916488</v>
      </c>
      <c r="AF71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6068.3832287152682</v>
      </c>
      <c r="AG712" s="78">
        <f>(Table1[[#This Row],[P (+ shock)]]+Table1[[#This Row],[P (-shock)]]-2*Table1[[#This Row],[Ask Price]])/(2*Table1[[#This Row],[Ask Price]]*($AF$2^2))</f>
        <v>-4127.9964949271989</v>
      </c>
      <c r="AH712">
        <v>5.4235734836684397</v>
      </c>
      <c r="AI712" s="6">
        <f t="shared" si="45"/>
        <v>9.7056796928831568E-2</v>
      </c>
      <c r="AK712" s="47">
        <f>RATE(Table1[[#This Row],[Total No. of Coupons]],Table1[[#This Row],[Coupon Amount]],-Table1[[#This Row],[Ask Price]],Table1[[#This Row],[Face value]])</f>
        <v>9.5666496882397228E-2</v>
      </c>
      <c r="AL712" s="27">
        <f>Table1[[#This Row],[IRR]]*Table1[[#This Row],[Coupon Frequency2]]</f>
        <v>0.38266598752958891</v>
      </c>
      <c r="AM712" s="5">
        <f t="shared" si="46"/>
        <v>-17244.204542416373</v>
      </c>
      <c r="AN712" t="s">
        <v>503</v>
      </c>
      <c r="AO712" t="s">
        <v>62</v>
      </c>
      <c r="AP712">
        <f t="shared" si="47"/>
        <v>4</v>
      </c>
    </row>
    <row r="713" spans="1:42" x14ac:dyDescent="0.35">
      <c r="A713" s="48" t="s">
        <v>237</v>
      </c>
      <c r="B713" s="49" t="s">
        <v>3028</v>
      </c>
      <c r="C713" s="49" t="s">
        <v>2273</v>
      </c>
      <c r="D713" s="50">
        <v>45019</v>
      </c>
      <c r="E713" s="50">
        <v>48672</v>
      </c>
      <c r="F713" s="49">
        <v>100000</v>
      </c>
      <c r="G713" s="49" t="s">
        <v>76</v>
      </c>
      <c r="H713" s="49">
        <v>109600</v>
      </c>
      <c r="I713" s="49" t="s">
        <v>76</v>
      </c>
      <c r="J713" s="49">
        <v>109.6</v>
      </c>
      <c r="K713" s="49">
        <v>2</v>
      </c>
      <c r="L713" s="51">
        <v>0.10550000000000001</v>
      </c>
      <c r="M713" s="49" t="s">
        <v>105</v>
      </c>
      <c r="N713" s="49">
        <v>2755</v>
      </c>
      <c r="O713" s="49">
        <v>9.6259124087591204</v>
      </c>
      <c r="P713" s="49"/>
      <c r="Q713" s="49"/>
      <c r="R713" s="49" t="s">
        <v>2275</v>
      </c>
      <c r="S713">
        <f t="shared" si="44"/>
        <v>10</v>
      </c>
      <c r="T713" s="5" cm="1">
        <f t="array" ref="T7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3">
        <f>Table1[[#This Row],[Term to Maturity (Years)]]*Table1[[#This Row],[Coupon Frequency2]]</f>
        <v>40</v>
      </c>
      <c r="V713">
        <f>Table1[[#This Row],[Face value]]*Table1[[#This Row],[Current coupon %]]</f>
        <v>10550.000000000002</v>
      </c>
      <c r="W713" s="36">
        <f>RATE(Table1[[#This Row],[Total No. of Coupons]],Table1[[#This Row],[Coupon Amount]],-Table1[[#This Row],[Ask Price]],Table1[[#This Row],[Face value]])</f>
        <v>9.6038780858525102E-2</v>
      </c>
      <c r="X713" s="27">
        <f>Table1[[#This Row],[IRR]]*Table1[[#This Row],[Coupon Frequency2]]</f>
        <v>0.38415512343410041</v>
      </c>
      <c r="Y713" s="19" cm="1">
        <f t="array" ref="Y7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3" s="33">
        <f>DURATION(Table1[[#This Row],[Issue date]],Table1[[#This Row],[Maturity date]],Table1[[#This Row],[Current coupon %]],Table1[[#This Row],[Yield (Annualised)]],Table1[[#This Row],[Coupon Frequency2]])</f>
        <v>3.2362876851412152</v>
      </c>
      <c r="AA713" s="33">
        <f>Table1[[#This Row],[Macaulay Duration in Years]]/(1+Table1[[#This Row],[IRR]])</f>
        <v>2.9527127521949885</v>
      </c>
      <c r="AB713" s="58">
        <f>VLOOKUP(Table1[[#This Row],[Yield Cluster]],'Cluster Details'!$B$3:$C$16,2,0)</f>
        <v>0.37868966038993918</v>
      </c>
      <c r="AC713" s="78">
        <f>PRICE(Table1[[#This Row],[Issue date]],Table1[[#This Row],[Maturity date]],Table1[[#This Row],[Current coupon %]],Table1[[#This Row],[Average Cluster Yield]],100,Table1[[#This Row],[Coupon Frequency2]])*Table1[[#This Row],[Face value]]/100</f>
        <v>29794.815885538068</v>
      </c>
      <c r="AD713" s="58" t="str">
        <f>IF(Table1[[#This Row],[Ask Price]]&gt;Table1[[#This Row],[Calculated Bond Price]],"Rich","Cheap")</f>
        <v>Rich</v>
      </c>
      <c r="AE71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28472.572559153999</v>
      </c>
      <c r="AF71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30204.917156149135</v>
      </c>
      <c r="AG713" s="78">
        <f>(Table1[[#This Row],[P (+ shock)]]+Table1[[#This Row],[P (-shock)]]-2*Table1[[#This Row],[Ask Price]])/(2*Table1[[#This Row],[Ask Price]]*($AF$2^2))</f>
        <v>-7323.1072210171933</v>
      </c>
      <c r="AI713" s="6">
        <f t="shared" si="45"/>
        <v>9.6259124087591255E-2</v>
      </c>
      <c r="AK713" s="47">
        <f>RATE(Table1[[#This Row],[Total No. of Coupons]],Table1[[#This Row],[Coupon Amount]],-Table1[[#This Row],[Ask Price]],Table1[[#This Row],[Face value]])</f>
        <v>9.6038780858525102E-2</v>
      </c>
      <c r="AL713" s="27">
        <f>Table1[[#This Row],[IRR]]*Table1[[#This Row],[Coupon Frequency2]]</f>
        <v>0.38415512343410041</v>
      </c>
      <c r="AM713" s="5">
        <f t="shared" si="46"/>
        <v>-323617.31764057075</v>
      </c>
      <c r="AN713" t="s">
        <v>64</v>
      </c>
      <c r="AO713" t="s">
        <v>62</v>
      </c>
      <c r="AP713">
        <f t="shared" si="47"/>
        <v>4</v>
      </c>
    </row>
    <row r="714" spans="1:42" x14ac:dyDescent="0.35">
      <c r="A714" s="48" t="s">
        <v>270</v>
      </c>
      <c r="B714" s="49" t="s">
        <v>3029</v>
      </c>
      <c r="C714" s="49" t="s">
        <v>2273</v>
      </c>
      <c r="D714" s="50">
        <v>44726</v>
      </c>
      <c r="E714" s="50">
        <v>48365</v>
      </c>
      <c r="F714" s="49">
        <v>1000000</v>
      </c>
      <c r="G714" s="49" t="s">
        <v>76</v>
      </c>
      <c r="H714" s="49">
        <v>1000000</v>
      </c>
      <c r="I714" s="49" t="s">
        <v>76</v>
      </c>
      <c r="J714" s="49">
        <v>100</v>
      </c>
      <c r="K714" s="49">
        <v>1</v>
      </c>
      <c r="L714" s="51">
        <v>9.6199999999999994E-2</v>
      </c>
      <c r="M714" s="49" t="s">
        <v>105</v>
      </c>
      <c r="N714" s="49">
        <v>2448</v>
      </c>
      <c r="O714" s="49">
        <v>9.6199999999999992</v>
      </c>
      <c r="P714" s="49"/>
      <c r="Q714" s="49"/>
      <c r="R714" s="49" t="s">
        <v>2275</v>
      </c>
      <c r="S714">
        <f t="shared" si="44"/>
        <v>10</v>
      </c>
      <c r="T714" s="5" cm="1">
        <f t="array" ref="T7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4">
        <f>Table1[[#This Row],[Term to Maturity (Years)]]*Table1[[#This Row],[Coupon Frequency2]]</f>
        <v>40</v>
      </c>
      <c r="V714">
        <f>Table1[[#This Row],[Face value]]*Table1[[#This Row],[Current coupon %]]</f>
        <v>96200</v>
      </c>
      <c r="W714" s="36">
        <f>RATE(Table1[[#This Row],[Total No. of Coupons]],Table1[[#This Row],[Coupon Amount]],-Table1[[#This Row],[Ask Price]],Table1[[#This Row],[Face value]])</f>
        <v>9.6199999999999994E-2</v>
      </c>
      <c r="X714" s="27">
        <f>Table1[[#This Row],[IRR]]*Table1[[#This Row],[Coupon Frequency2]]</f>
        <v>0.38479999999999998</v>
      </c>
      <c r="Y714" s="19" cm="1">
        <f t="array" ref="Y7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4" s="33">
        <f>DURATION(Table1[[#This Row],[Issue date]],Table1[[#This Row],[Maturity date]],Table1[[#This Row],[Current coupon %]],Table1[[#This Row],[Yield (Annualised)]],Table1[[#This Row],[Coupon Frequency2]])</f>
        <v>3.2485708039064538</v>
      </c>
      <c r="AA714" s="33">
        <f>Table1[[#This Row],[Macaulay Duration in Years]]/(1+Table1[[#This Row],[IRR]])</f>
        <v>2.9634836744266133</v>
      </c>
      <c r="AB714" s="58">
        <f>VLOOKUP(Table1[[#This Row],[Yield Cluster]],'Cluster Details'!$B$3:$C$16,2,0)</f>
        <v>0.37868966038993918</v>
      </c>
      <c r="AC714" s="78">
        <f>PRICE(Table1[[#This Row],[Issue date]],Table1[[#This Row],[Maturity date]],Table1[[#This Row],[Current coupon %]],Table1[[#This Row],[Average Cluster Yield]],100,Table1[[#This Row],[Coupon Frequency2]])*Table1[[#This Row],[Face value]]/100</f>
        <v>274190.94147663953</v>
      </c>
      <c r="AD714" s="58" t="str">
        <f>IF(Table1[[#This Row],[Ask Price]]&gt;Table1[[#This Row],[Calculated Bond Price]],"Rich","Cheap")</f>
        <v>Rich</v>
      </c>
      <c r="AE71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261299.5908894561</v>
      </c>
      <c r="AF71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277485.99608411657</v>
      </c>
      <c r="AG714" s="78">
        <f>(Table1[[#This Row],[P (+ shock)]]+Table1[[#This Row],[P (-shock)]]-2*Table1[[#This Row],[Ask Price]])/(2*Table1[[#This Row],[Ask Price]]*($AF$2^2))</f>
        <v>-7306.0720651321371</v>
      </c>
      <c r="AH714">
        <v>6.39039869695823</v>
      </c>
      <c r="AI714" s="6">
        <f t="shared" si="45"/>
        <v>9.6199999999999994E-2</v>
      </c>
      <c r="AK714" s="47">
        <f>RATE(Table1[[#This Row],[Total No. of Coupons]],Table1[[#This Row],[Coupon Amount]],-Table1[[#This Row],[Ask Price]],Table1[[#This Row],[Face value]])</f>
        <v>9.6199999999999994E-2</v>
      </c>
      <c r="AL714" s="27">
        <f>Table1[[#This Row],[IRR]]*Table1[[#This Row],[Coupon Frequency2]]</f>
        <v>0.38479999999999998</v>
      </c>
      <c r="AM714" s="5">
        <f t="shared" si="46"/>
        <v>-2963483.6744266134</v>
      </c>
      <c r="AN714" t="s">
        <v>64</v>
      </c>
      <c r="AO714" t="s">
        <v>62</v>
      </c>
      <c r="AP714">
        <f t="shared" si="47"/>
        <v>4</v>
      </c>
    </row>
    <row r="715" spans="1:42" x14ac:dyDescent="0.35">
      <c r="A715" s="48" t="s">
        <v>301</v>
      </c>
      <c r="B715" s="49" t="s">
        <v>3030</v>
      </c>
      <c r="C715" s="49" t="s">
        <v>2273</v>
      </c>
      <c r="D715" s="50">
        <v>44916</v>
      </c>
      <c r="E715" s="50">
        <v>48180</v>
      </c>
      <c r="F715" s="49">
        <v>1000000</v>
      </c>
      <c r="G715" s="49" t="s">
        <v>76</v>
      </c>
      <c r="H715" s="49">
        <v>1000000</v>
      </c>
      <c r="I715" s="49" t="s">
        <v>76</v>
      </c>
      <c r="J715" s="49">
        <v>100</v>
      </c>
      <c r="K715" s="49">
        <v>2</v>
      </c>
      <c r="L715" s="51">
        <v>9.6199999999999994E-2</v>
      </c>
      <c r="M715" s="49" t="s">
        <v>105</v>
      </c>
      <c r="N715" s="49">
        <v>2263</v>
      </c>
      <c r="O715" s="49">
        <v>9.6199999999999992</v>
      </c>
      <c r="P715" s="49"/>
      <c r="Q715" s="49"/>
      <c r="R715" s="49" t="s">
        <v>2275</v>
      </c>
      <c r="S715">
        <f t="shared" si="44"/>
        <v>9</v>
      </c>
      <c r="T715" s="5" cm="1">
        <f t="array" ref="T7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5">
        <f>Table1[[#This Row],[Term to Maturity (Years)]]*Table1[[#This Row],[Coupon Frequency2]]</f>
        <v>36</v>
      </c>
      <c r="V715">
        <f>Table1[[#This Row],[Face value]]*Table1[[#This Row],[Current coupon %]]</f>
        <v>96200</v>
      </c>
      <c r="W715" s="36">
        <f>RATE(Table1[[#This Row],[Total No. of Coupons]],Table1[[#This Row],[Coupon Amount]],-Table1[[#This Row],[Ask Price]],Table1[[#This Row],[Face value]])</f>
        <v>9.6199999999999994E-2</v>
      </c>
      <c r="X715" s="27">
        <f>Table1[[#This Row],[IRR]]*Table1[[#This Row],[Coupon Frequency2]]</f>
        <v>0.38479999999999998</v>
      </c>
      <c r="Y715" s="19" cm="1">
        <f t="array" ref="Y7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5" s="33">
        <f>DURATION(Table1[[#This Row],[Issue date]],Table1[[#This Row],[Maturity date]],Table1[[#This Row],[Current coupon %]],Table1[[#This Row],[Yield (Annualised)]],Table1[[#This Row],[Coupon Frequency2]])</f>
        <v>3.3000187079997825</v>
      </c>
      <c r="AA715" s="33">
        <f>Table1[[#This Row],[Macaulay Duration in Years]]/(1+Table1[[#This Row],[IRR]])</f>
        <v>3.0104166283522917</v>
      </c>
      <c r="AB715" s="58">
        <f>VLOOKUP(Table1[[#This Row],[Yield Cluster]],'Cluster Details'!$B$3:$C$16,2,0)</f>
        <v>0.37868966038993918</v>
      </c>
      <c r="AC715" s="78">
        <f>PRICE(Table1[[#This Row],[Issue date]],Table1[[#This Row],[Maturity date]],Table1[[#This Row],[Current coupon %]],Table1[[#This Row],[Average Cluster Yield]],100,Table1[[#This Row],[Coupon Frequency2]])*Table1[[#This Row],[Face value]]/100</f>
        <v>283240.72725514631</v>
      </c>
      <c r="AD715" s="58" t="str">
        <f>IF(Table1[[#This Row],[Ask Price]]&gt;Table1[[#This Row],[Calculated Bond Price]],"Rich","Cheap")</f>
        <v>Rich</v>
      </c>
      <c r="AE71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269606.3943455196</v>
      </c>
      <c r="AF71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286721.10329116584</v>
      </c>
      <c r="AG715" s="78">
        <f>(Table1[[#This Row],[P (+ shock)]]+Table1[[#This Row],[P (-shock)]]-2*Table1[[#This Row],[Ask Price]])/(2*Table1[[#This Row],[Ask Price]]*($AF$2^2))</f>
        <v>-7218.3625118165728</v>
      </c>
      <c r="AH715">
        <v>4.4679614163684001</v>
      </c>
      <c r="AI715" s="6">
        <f t="shared" si="45"/>
        <v>9.6199999999999994E-2</v>
      </c>
      <c r="AK715" s="47">
        <f>RATE(Table1[[#This Row],[Total No. of Coupons]],Table1[[#This Row],[Coupon Amount]],-Table1[[#This Row],[Ask Price]],Table1[[#This Row],[Face value]])</f>
        <v>9.6199999999999994E-2</v>
      </c>
      <c r="AL715" s="27">
        <f>Table1[[#This Row],[IRR]]*Table1[[#This Row],[Coupon Frequency2]]</f>
        <v>0.38479999999999998</v>
      </c>
      <c r="AM715" s="5">
        <f t="shared" si="46"/>
        <v>-3010416.6283522919</v>
      </c>
      <c r="AN715" t="s">
        <v>64</v>
      </c>
      <c r="AO715" t="s">
        <v>62</v>
      </c>
      <c r="AP715">
        <f t="shared" si="47"/>
        <v>4</v>
      </c>
    </row>
    <row r="716" spans="1:42" x14ac:dyDescent="0.35">
      <c r="A716" s="48" t="s">
        <v>250</v>
      </c>
      <c r="B716" s="49" t="s">
        <v>3031</v>
      </c>
      <c r="C716" s="49" t="s">
        <v>2273</v>
      </c>
      <c r="D716" s="50">
        <v>44916</v>
      </c>
      <c r="E716" s="50">
        <v>48547</v>
      </c>
      <c r="F716" s="49">
        <v>1000000</v>
      </c>
      <c r="G716" s="49" t="s">
        <v>76</v>
      </c>
      <c r="H716" s="49">
        <v>1000000</v>
      </c>
      <c r="I716" s="49" t="s">
        <v>76</v>
      </c>
      <c r="J716" s="49">
        <v>100</v>
      </c>
      <c r="K716" s="49">
        <v>1</v>
      </c>
      <c r="L716" s="51">
        <v>9.6199999999999994E-2</v>
      </c>
      <c r="M716" s="49" t="s">
        <v>105</v>
      </c>
      <c r="N716" s="49">
        <v>2630</v>
      </c>
      <c r="O716" s="49">
        <v>9.6199999999999992</v>
      </c>
      <c r="P716" s="49"/>
      <c r="Q716" s="49"/>
      <c r="R716" s="49" t="s">
        <v>2275</v>
      </c>
      <c r="S716">
        <f t="shared" si="44"/>
        <v>10</v>
      </c>
      <c r="T716" s="5" cm="1">
        <f t="array" ref="T7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6">
        <f>Table1[[#This Row],[Term to Maturity (Years)]]*Table1[[#This Row],[Coupon Frequency2]]</f>
        <v>40</v>
      </c>
      <c r="V716">
        <f>Table1[[#This Row],[Face value]]*Table1[[#This Row],[Current coupon %]]</f>
        <v>96200</v>
      </c>
      <c r="W716" s="36">
        <f>RATE(Table1[[#This Row],[Total No. of Coupons]],Table1[[#This Row],[Coupon Amount]],-Table1[[#This Row],[Ask Price]],Table1[[#This Row],[Face value]])</f>
        <v>9.6199999999999994E-2</v>
      </c>
      <c r="X716" s="27">
        <f>Table1[[#This Row],[IRR]]*Table1[[#This Row],[Coupon Frequency2]]</f>
        <v>0.38479999999999998</v>
      </c>
      <c r="Y716" s="19" cm="1">
        <f t="array" ref="Y7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6" s="33">
        <f>DURATION(Table1[[#This Row],[Issue date]],Table1[[#This Row],[Maturity date]],Table1[[#This Row],[Current coupon %]],Table1[[#This Row],[Yield (Annualised)]],Table1[[#This Row],[Coupon Frequency2]])</f>
        <v>3.2263485816842294</v>
      </c>
      <c r="AA716" s="33">
        <f>Table1[[#This Row],[Macaulay Duration in Years]]/(1+Table1[[#This Row],[IRR]])</f>
        <v>2.9432116235032195</v>
      </c>
      <c r="AB716" s="58">
        <f>VLOOKUP(Table1[[#This Row],[Yield Cluster]],'Cluster Details'!$B$3:$C$16,2,0)</f>
        <v>0.37868966038993918</v>
      </c>
      <c r="AC716" s="78">
        <f>PRICE(Table1[[#This Row],[Issue date]],Table1[[#This Row],[Maturity date]],Table1[[#This Row],[Current coupon %]],Table1[[#This Row],[Average Cluster Yield]],100,Table1[[#This Row],[Coupon Frequency2]])*Table1[[#This Row],[Face value]]/100</f>
        <v>274296.87287401315</v>
      </c>
      <c r="AD716" s="58" t="str">
        <f>IF(Table1[[#This Row],[Ask Price]]&gt;Table1[[#This Row],[Calculated Bond Price]],"Rich","Cheap")</f>
        <v>Rich</v>
      </c>
      <c r="AE71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261388.68607442084</v>
      </c>
      <c r="AF71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277596.13360217871</v>
      </c>
      <c r="AG716" s="78">
        <f>(Table1[[#This Row],[P (+ shock)]]+Table1[[#This Row],[P (-shock)]]-2*Table1[[#This Row],[Ask Price]])/(2*Table1[[#This Row],[Ask Price]]*($AF$2^2))</f>
        <v>-7305.0759016170023</v>
      </c>
      <c r="AH716">
        <v>10.5</v>
      </c>
      <c r="AI716" s="6">
        <f t="shared" si="45"/>
        <v>9.6199999999999994E-2</v>
      </c>
      <c r="AK716" s="47">
        <f>RATE(Table1[[#This Row],[Total No. of Coupons]],Table1[[#This Row],[Coupon Amount]],-Table1[[#This Row],[Ask Price]],Table1[[#This Row],[Face value]])</f>
        <v>9.6199999999999994E-2</v>
      </c>
      <c r="AL716" s="27">
        <f>Table1[[#This Row],[IRR]]*Table1[[#This Row],[Coupon Frequency2]]</f>
        <v>0.38479999999999998</v>
      </c>
      <c r="AM716" s="5">
        <f t="shared" si="46"/>
        <v>-2943211.6235032193</v>
      </c>
      <c r="AN716" t="s">
        <v>69</v>
      </c>
      <c r="AO716" t="s">
        <v>62</v>
      </c>
      <c r="AP716">
        <f t="shared" si="47"/>
        <v>4</v>
      </c>
    </row>
    <row r="717" spans="1:42" x14ac:dyDescent="0.35">
      <c r="A717" s="48" t="s">
        <v>1427</v>
      </c>
      <c r="B717" s="49" t="s">
        <v>3032</v>
      </c>
      <c r="C717" s="49" t="s">
        <v>2273</v>
      </c>
      <c r="D717" s="50">
        <v>45685</v>
      </c>
      <c r="E717" s="50">
        <v>46407</v>
      </c>
      <c r="F717" s="49">
        <v>100000</v>
      </c>
      <c r="G717" s="49" t="s">
        <v>76</v>
      </c>
      <c r="H717" s="49">
        <v>101349.98</v>
      </c>
      <c r="I717" s="49" t="s">
        <v>76</v>
      </c>
      <c r="J717" s="49">
        <v>101.34997999999899</v>
      </c>
      <c r="K717" s="49">
        <v>1</v>
      </c>
      <c r="L717" s="51">
        <v>9.9000000000000005E-2</v>
      </c>
      <c r="M717" s="49" t="s">
        <v>105</v>
      </c>
      <c r="N717" s="49">
        <v>490</v>
      </c>
      <c r="O717" s="49">
        <v>9.7681321693403405</v>
      </c>
      <c r="P717" s="49"/>
      <c r="Q717" s="49"/>
      <c r="R717" s="49" t="s">
        <v>2275</v>
      </c>
      <c r="S717">
        <f t="shared" si="44"/>
        <v>2</v>
      </c>
      <c r="T717" s="5" cm="1">
        <f t="array" ref="T7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7">
        <f>Table1[[#This Row],[Term to Maturity (Years)]]*Table1[[#This Row],[Coupon Frequency2]]</f>
        <v>8</v>
      </c>
      <c r="V717">
        <f>Table1[[#This Row],[Face value]]*Table1[[#This Row],[Current coupon %]]</f>
        <v>9900</v>
      </c>
      <c r="W717" s="36">
        <f>RATE(Table1[[#This Row],[Total No. of Coupons]],Table1[[#This Row],[Coupon Amount]],-Table1[[#This Row],[Ask Price]],Table1[[#This Row],[Face value]])</f>
        <v>9.6501680669045992E-2</v>
      </c>
      <c r="X717" s="27">
        <f>Table1[[#This Row],[IRR]]*Table1[[#This Row],[Coupon Frequency2]]</f>
        <v>0.38600672267618397</v>
      </c>
      <c r="Y717" s="19" cm="1">
        <f t="array" ref="Y7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7" s="33">
        <f>DURATION(Table1[[#This Row],[Issue date]],Table1[[#This Row],[Maturity date]],Table1[[#This Row],[Current coupon %]],Table1[[#This Row],[Yield (Annualised)]],Table1[[#This Row],[Coupon Frequency2]])</f>
        <v>1.7604860748852595</v>
      </c>
      <c r="AA717" s="33">
        <f>Table1[[#This Row],[Macaulay Duration in Years]]/(1+Table1[[#This Row],[IRR]])</f>
        <v>1.6055479949753237</v>
      </c>
      <c r="AB717" s="58">
        <f>VLOOKUP(Table1[[#This Row],[Yield Cluster]],'Cluster Details'!$B$3:$C$16,2,0)</f>
        <v>0.37868966038993918</v>
      </c>
      <c r="AC717" s="78">
        <f>PRICE(Table1[[#This Row],[Issue date]],Table1[[#This Row],[Maturity date]],Table1[[#This Row],[Current coupon %]],Table1[[#This Row],[Average Cluster Yield]],100,Table1[[#This Row],[Coupon Frequency2]])*Table1[[#This Row],[Face value]]/100</f>
        <v>62242.496290901174</v>
      </c>
      <c r="AD717" s="58" t="str">
        <f>IF(Table1[[#This Row],[Ask Price]]&gt;Table1[[#This Row],[Calculated Bond Price]],"Rich","Cheap")</f>
        <v>Rich</v>
      </c>
      <c r="AE71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60530.543662163283</v>
      </c>
      <c r="AF71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62512.962656398406</v>
      </c>
      <c r="AG717" s="78">
        <f>(Table1[[#This Row],[P (+ shock)]]+Table1[[#This Row],[P (-shock)]]-2*Table1[[#This Row],[Ask Price]])/(2*Table1[[#This Row],[Ask Price]]*($AF$2^2))</f>
        <v>-3929.771554046597</v>
      </c>
      <c r="AH717">
        <v>7.18967657649993</v>
      </c>
      <c r="AI717" s="6">
        <f t="shared" si="45"/>
        <v>9.7681321693403392E-2</v>
      </c>
      <c r="AK717" s="47">
        <f>RATE(Table1[[#This Row],[Total No. of Coupons]],Table1[[#This Row],[Coupon Amount]],-Table1[[#This Row],[Ask Price]],Table1[[#This Row],[Face value]])</f>
        <v>9.6501680669045992E-2</v>
      </c>
      <c r="AL717" s="27">
        <f>Table1[[#This Row],[IRR]]*Table1[[#This Row],[Coupon Frequency2]]</f>
        <v>0.38600672267618397</v>
      </c>
      <c r="AM717" s="5">
        <f t="shared" si="46"/>
        <v>-162722.25717978916</v>
      </c>
      <c r="AN717" t="s">
        <v>64</v>
      </c>
      <c r="AO717" t="s">
        <v>62</v>
      </c>
      <c r="AP717">
        <f t="shared" si="47"/>
        <v>4</v>
      </c>
    </row>
    <row r="718" spans="1:42" x14ac:dyDescent="0.35">
      <c r="A718" s="48" t="s">
        <v>3033</v>
      </c>
      <c r="B718" s="49" t="s">
        <v>3034</v>
      </c>
      <c r="C718" s="49" t="s">
        <v>2273</v>
      </c>
      <c r="D718" s="50">
        <v>45492</v>
      </c>
      <c r="E718" s="50">
        <v>46587</v>
      </c>
      <c r="F718" s="49">
        <v>100000</v>
      </c>
      <c r="G718" s="49" t="s">
        <v>76</v>
      </c>
      <c r="H718" s="49">
        <v>99937.4</v>
      </c>
      <c r="I718" s="49" t="s">
        <v>76</v>
      </c>
      <c r="J718" s="49">
        <v>99.937399999999997</v>
      </c>
      <c r="K718" s="49">
        <v>1</v>
      </c>
      <c r="L718" s="51">
        <v>9.6500000000000002E-2</v>
      </c>
      <c r="M718" s="49" t="s">
        <v>105</v>
      </c>
      <c r="N718" s="49">
        <v>670</v>
      </c>
      <c r="O718" s="49">
        <v>9.6560446839721603</v>
      </c>
      <c r="P718" s="49"/>
      <c r="Q718" s="49"/>
      <c r="R718" s="49" t="s">
        <v>2275</v>
      </c>
      <c r="S718">
        <f t="shared" si="44"/>
        <v>3</v>
      </c>
      <c r="T718" s="5" cm="1">
        <f t="array" ref="T7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8">
        <f>Table1[[#This Row],[Term to Maturity (Years)]]*Table1[[#This Row],[Coupon Frequency2]]</f>
        <v>12</v>
      </c>
      <c r="V718">
        <f>Table1[[#This Row],[Face value]]*Table1[[#This Row],[Current coupon %]]</f>
        <v>9650</v>
      </c>
      <c r="W718" s="36">
        <f>RATE(Table1[[#This Row],[Total No. of Coupons]],Table1[[#This Row],[Coupon Amount]],-Table1[[#This Row],[Ask Price]],Table1[[#This Row],[Face value]])</f>
        <v>9.6590344855674332E-2</v>
      </c>
      <c r="X718" s="27">
        <f>Table1[[#This Row],[IRR]]*Table1[[#This Row],[Coupon Frequency2]]</f>
        <v>0.38636137942269733</v>
      </c>
      <c r="Y718" s="19" cm="1">
        <f t="array" ref="Y7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8" s="33">
        <f>DURATION(Table1[[#This Row],[Issue date]],Table1[[#This Row],[Maturity date]],Table1[[#This Row],[Current coupon %]],Table1[[#This Row],[Yield (Annualised)]],Table1[[#This Row],[Coupon Frequency2]])</f>
        <v>2.4479670628809593</v>
      </c>
      <c r="AA718" s="33">
        <f>Table1[[#This Row],[Macaulay Duration in Years]]/(1+Table1[[#This Row],[IRR]])</f>
        <v>2.2323441696936914</v>
      </c>
      <c r="AB718" s="58">
        <f>VLOOKUP(Table1[[#This Row],[Yield Cluster]],'Cluster Details'!$B$3:$C$16,2,0)</f>
        <v>0.37868966038993918</v>
      </c>
      <c r="AC718" s="78">
        <f>PRICE(Table1[[#This Row],[Issue date]],Table1[[#This Row],[Maturity date]],Table1[[#This Row],[Current coupon %]],Table1[[#This Row],[Average Cluster Yield]],100,Table1[[#This Row],[Coupon Frequency2]])*Table1[[#This Row],[Face value]]/100</f>
        <v>50650.541031458044</v>
      </c>
      <c r="AD718" s="58" t="str">
        <f>IF(Table1[[#This Row],[Ask Price]]&gt;Table1[[#This Row],[Calculated Bond Price]],"Rich","Cheap")</f>
        <v>Rich</v>
      </c>
      <c r="AE71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48692.517825684445</v>
      </c>
      <c r="AF71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50915.746734953093</v>
      </c>
      <c r="AG718" s="78">
        <f>(Table1[[#This Row],[P (+ shock)]]+Table1[[#This Row],[P (-shock)]]-2*Table1[[#This Row],[Ask Price]])/(2*Table1[[#This Row],[Ask Price]]*($AF$2^2))</f>
        <v>-5016.4670803604286</v>
      </c>
      <c r="AH718">
        <v>12.06</v>
      </c>
      <c r="AI718" s="6">
        <f t="shared" si="45"/>
        <v>9.6560446839721675E-2</v>
      </c>
      <c r="AK718" s="47">
        <f>RATE(Table1[[#This Row],[Total No. of Coupons]],Table1[[#This Row],[Coupon Amount]],-Table1[[#This Row],[Ask Price]],Table1[[#This Row],[Face value]])</f>
        <v>9.6590344855674332E-2</v>
      </c>
      <c r="AL718" s="27">
        <f>Table1[[#This Row],[IRR]]*Table1[[#This Row],[Coupon Frequency2]]</f>
        <v>0.38636137942269733</v>
      </c>
      <c r="AM718" s="5">
        <f t="shared" si="46"/>
        <v>-223094.67222434632</v>
      </c>
      <c r="AN718" t="s">
        <v>64</v>
      </c>
      <c r="AO718" t="s">
        <v>62</v>
      </c>
      <c r="AP718">
        <f t="shared" si="47"/>
        <v>4</v>
      </c>
    </row>
    <row r="719" spans="1:42" x14ac:dyDescent="0.35">
      <c r="A719" s="48" t="s">
        <v>1334</v>
      </c>
      <c r="B719" s="49" t="s">
        <v>3035</v>
      </c>
      <c r="C719" s="49" t="s">
        <v>2273</v>
      </c>
      <c r="D719" s="50">
        <v>44841</v>
      </c>
      <c r="E719" s="50">
        <v>46477</v>
      </c>
      <c r="F719" s="49">
        <v>1000000</v>
      </c>
      <c r="G719" s="49" t="s">
        <v>76</v>
      </c>
      <c r="H719" s="49">
        <v>1022000</v>
      </c>
      <c r="I719" s="49" t="s">
        <v>76</v>
      </c>
      <c r="J719" s="49">
        <v>102.2</v>
      </c>
      <c r="K719" s="49">
        <v>1</v>
      </c>
      <c r="L719" s="51">
        <v>9.9499999999999991E-2</v>
      </c>
      <c r="M719" s="49" t="s">
        <v>105</v>
      </c>
      <c r="N719" s="49">
        <v>560</v>
      </c>
      <c r="O719" s="49">
        <v>9.7358121330724003</v>
      </c>
      <c r="P719" s="49"/>
      <c r="Q719" s="49"/>
      <c r="R719" s="49" t="s">
        <v>2275</v>
      </c>
      <c r="S719">
        <f t="shared" si="44"/>
        <v>4</v>
      </c>
      <c r="T719" s="5" cm="1">
        <f t="array" ref="T7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19">
        <f>Table1[[#This Row],[Term to Maturity (Years)]]*Table1[[#This Row],[Coupon Frequency2]]</f>
        <v>16</v>
      </c>
      <c r="V719">
        <f>Table1[[#This Row],[Face value]]*Table1[[#This Row],[Current coupon %]]</f>
        <v>99499.999999999985</v>
      </c>
      <c r="W719" s="36">
        <f>RATE(Table1[[#This Row],[Total No. of Coupons]],Table1[[#This Row],[Coupon Amount]],-Table1[[#This Row],[Ask Price]],Table1[[#This Row],[Face value]])</f>
        <v>9.6742359301975334E-2</v>
      </c>
      <c r="X719" s="27">
        <f>Table1[[#This Row],[IRR]]*Table1[[#This Row],[Coupon Frequency2]]</f>
        <v>0.38696943720790133</v>
      </c>
      <c r="Y719" s="19" cm="1">
        <f t="array" ref="Y7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19" s="33">
        <f>DURATION(Table1[[#This Row],[Issue date]],Table1[[#This Row],[Maturity date]],Table1[[#This Row],[Current coupon %]],Table1[[#This Row],[Yield (Annualised)]],Table1[[#This Row],[Coupon Frequency2]])</f>
        <v>3.0572131359762893</v>
      </c>
      <c r="AA719" s="33">
        <f>Table1[[#This Row],[Macaulay Duration in Years]]/(1+Table1[[#This Row],[IRR]])</f>
        <v>2.7875399450442133</v>
      </c>
      <c r="AB719" s="58">
        <f>VLOOKUP(Table1[[#This Row],[Yield Cluster]],'Cluster Details'!$B$3:$C$16,2,0)</f>
        <v>0.37868966038993918</v>
      </c>
      <c r="AC719" s="78">
        <f>PRICE(Table1[[#This Row],[Issue date]],Table1[[#This Row],[Maturity date]],Table1[[#This Row],[Current coupon %]],Table1[[#This Row],[Average Cluster Yield]],100,Table1[[#This Row],[Coupon Frequency2]])*Table1[[#This Row],[Face value]]/100</f>
        <v>408400.88509941945</v>
      </c>
      <c r="AD719" s="58" t="str">
        <f>IF(Table1[[#This Row],[Ask Price]]&gt;Table1[[#This Row],[Calculated Bond Price]],"Rich","Cheap")</f>
        <v>Rich</v>
      </c>
      <c r="AE71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388032.98149976321</v>
      </c>
      <c r="AF71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410391.46515087859</v>
      </c>
      <c r="AG719" s="78">
        <f>(Table1[[#This Row],[P (+ shock)]]+Table1[[#This Row],[P (-shock)]]-2*Table1[[#This Row],[Ask Price]])/(2*Table1[[#This Row],[Ask Price]]*($AF$2^2))</f>
        <v>-6093.8138617874665</v>
      </c>
      <c r="AH719">
        <v>5.3375989439956202</v>
      </c>
      <c r="AI719" s="6">
        <f t="shared" si="45"/>
        <v>9.7358121330724051E-2</v>
      </c>
      <c r="AK719" s="47">
        <f>RATE(Table1[[#This Row],[Total No. of Coupons]],Table1[[#This Row],[Coupon Amount]],-Table1[[#This Row],[Ask Price]],Table1[[#This Row],[Face value]])</f>
        <v>9.6742359301975334E-2</v>
      </c>
      <c r="AL719" s="27">
        <f>Table1[[#This Row],[IRR]]*Table1[[#This Row],[Coupon Frequency2]]</f>
        <v>0.38696943720790133</v>
      </c>
      <c r="AM719" s="5">
        <f t="shared" si="46"/>
        <v>-2848865.8238351862</v>
      </c>
      <c r="AN719" t="s">
        <v>64</v>
      </c>
      <c r="AO719" t="s">
        <v>62</v>
      </c>
      <c r="AP719">
        <f t="shared" si="47"/>
        <v>4</v>
      </c>
    </row>
    <row r="720" spans="1:42" x14ac:dyDescent="0.35">
      <c r="A720" s="48" t="s">
        <v>1723</v>
      </c>
      <c r="B720" s="49" t="s">
        <v>3036</v>
      </c>
      <c r="C720" s="49" t="s">
        <v>2273</v>
      </c>
      <c r="D720" s="50">
        <v>45498</v>
      </c>
      <c r="E720" s="50">
        <v>46228</v>
      </c>
      <c r="F720" s="49">
        <v>100000</v>
      </c>
      <c r="G720" s="49" t="s">
        <v>76</v>
      </c>
      <c r="H720" s="49">
        <v>101373.74</v>
      </c>
      <c r="I720" s="49" t="s">
        <v>76</v>
      </c>
      <c r="J720" s="49">
        <v>101.37374</v>
      </c>
      <c r="K720" s="49">
        <v>1</v>
      </c>
      <c r="L720" s="51">
        <v>9.9499999999999991E-2</v>
      </c>
      <c r="M720" s="49" t="s">
        <v>105</v>
      </c>
      <c r="N720" s="49">
        <v>311</v>
      </c>
      <c r="O720" s="49">
        <v>9.8151651502647503</v>
      </c>
      <c r="P720" s="49"/>
      <c r="Q720" s="49"/>
      <c r="R720" s="49" t="s">
        <v>2275</v>
      </c>
      <c r="S720">
        <f t="shared" si="44"/>
        <v>2</v>
      </c>
      <c r="T720" s="5" cm="1">
        <f t="array" ref="T7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0">
        <f>Table1[[#This Row],[Term to Maturity (Years)]]*Table1[[#This Row],[Coupon Frequency2]]</f>
        <v>8</v>
      </c>
      <c r="V720">
        <f>Table1[[#This Row],[Face value]]*Table1[[#This Row],[Current coupon %]]</f>
        <v>9950</v>
      </c>
      <c r="W720" s="36">
        <f>RATE(Table1[[#This Row],[Total No. of Coupons]],Table1[[#This Row],[Coupon Amount]],-Table1[[#This Row],[Ask Price]],Table1[[#This Row],[Face value]])</f>
        <v>9.6953496137181155E-2</v>
      </c>
      <c r="X720" s="27">
        <f>Table1[[#This Row],[IRR]]*Table1[[#This Row],[Coupon Frequency2]]</f>
        <v>0.38781398454872462</v>
      </c>
      <c r="Y720" s="19" cm="1">
        <f t="array" ref="Y7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0" s="33">
        <f>DURATION(Table1[[#This Row],[Issue date]],Table1[[#This Row],[Maturity date]],Table1[[#This Row],[Current coupon %]],Table1[[#This Row],[Yield (Annualised)]],Table1[[#This Row],[Coupon Frequency2]])</f>
        <v>1.7814566148593947</v>
      </c>
      <c r="AA720" s="33">
        <f>Table1[[#This Row],[Macaulay Duration in Years]]/(1+Table1[[#This Row],[IRR]])</f>
        <v>1.6240037714749322</v>
      </c>
      <c r="AB720" s="58">
        <f>VLOOKUP(Table1[[#This Row],[Yield Cluster]],'Cluster Details'!$B$3:$C$16,2,0)</f>
        <v>0.37868966038993918</v>
      </c>
      <c r="AC720" s="78">
        <f>PRICE(Table1[[#This Row],[Issue date]],Table1[[#This Row],[Maturity date]],Table1[[#This Row],[Current coupon %]],Table1[[#This Row],[Average Cluster Yield]],100,Table1[[#This Row],[Coupon Frequency2]])*Table1[[#This Row],[Face value]]/100</f>
        <v>62030.28273367745</v>
      </c>
      <c r="AD720" s="58" t="str">
        <f>IF(Table1[[#This Row],[Ask Price]]&gt;Table1[[#This Row],[Calculated Bond Price]],"Rich","Cheap")</f>
        <v>Rich</v>
      </c>
      <c r="AE72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60133.64225106025</v>
      </c>
      <c r="AF72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62118.855288890918</v>
      </c>
      <c r="AG720" s="78">
        <f>(Table1[[#This Row],[P (+ shock)]]+Table1[[#This Row],[P (-shock)]]-2*Table1[[#This Row],[Ask Price]])/(2*Table1[[#This Row],[Ask Price]]*($AF$2^2))</f>
        <v>-3970.208776949969</v>
      </c>
      <c r="AH720">
        <v>15.5011259010539</v>
      </c>
      <c r="AI720" s="6">
        <f t="shared" si="45"/>
        <v>9.8151651502647527E-2</v>
      </c>
      <c r="AK720" s="47">
        <f>RATE(Table1[[#This Row],[Total No. of Coupons]],Table1[[#This Row],[Coupon Amount]],-Table1[[#This Row],[Ask Price]],Table1[[#This Row],[Face value]])</f>
        <v>9.6953496137181155E-2</v>
      </c>
      <c r="AL720" s="27">
        <f>Table1[[#This Row],[IRR]]*Table1[[#This Row],[Coupon Frequency2]]</f>
        <v>0.38781398454872462</v>
      </c>
      <c r="AM720" s="5">
        <f t="shared" si="46"/>
        <v>-164631.33608851919</v>
      </c>
      <c r="AN720" t="s">
        <v>64</v>
      </c>
      <c r="AO720" t="s">
        <v>62</v>
      </c>
      <c r="AP720">
        <f t="shared" si="47"/>
        <v>4</v>
      </c>
    </row>
    <row r="721" spans="1:42" x14ac:dyDescent="0.35">
      <c r="A721" s="48" t="s">
        <v>1384</v>
      </c>
      <c r="B721" s="49" t="s">
        <v>3037</v>
      </c>
      <c r="C721" s="49" t="s">
        <v>2273</v>
      </c>
      <c r="D721" s="50">
        <v>45343</v>
      </c>
      <c r="E721" s="50">
        <v>46439</v>
      </c>
      <c r="F721" s="49">
        <v>100000</v>
      </c>
      <c r="G721" s="49" t="s">
        <v>76</v>
      </c>
      <c r="H721" s="49">
        <v>101107.3</v>
      </c>
      <c r="I721" s="49" t="s">
        <v>76</v>
      </c>
      <c r="J721" s="49">
        <v>101.1073</v>
      </c>
      <c r="K721" s="49">
        <v>20</v>
      </c>
      <c r="L721" s="51">
        <v>9.9000000000000005E-2</v>
      </c>
      <c r="M721" s="49" t="s">
        <v>105</v>
      </c>
      <c r="N721" s="49">
        <v>522</v>
      </c>
      <c r="O721" s="49">
        <v>9.7915778583742199</v>
      </c>
      <c r="P721" s="49"/>
      <c r="Q721" s="49"/>
      <c r="R721" s="49" t="s">
        <v>2275</v>
      </c>
      <c r="S721">
        <f t="shared" si="44"/>
        <v>3</v>
      </c>
      <c r="T721" s="5" cm="1">
        <f t="array" ref="T7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1">
        <f>Table1[[#This Row],[Term to Maturity (Years)]]*Table1[[#This Row],[Coupon Frequency2]]</f>
        <v>12</v>
      </c>
      <c r="V721">
        <f>Table1[[#This Row],[Face value]]*Table1[[#This Row],[Current coupon %]]</f>
        <v>9900</v>
      </c>
      <c r="W721" s="36">
        <f>RATE(Table1[[#This Row],[Total No. of Coupons]],Table1[[#This Row],[Coupon Amount]],-Table1[[#This Row],[Ask Price]],Table1[[#This Row],[Face value]])</f>
        <v>9.7395565862434405E-2</v>
      </c>
      <c r="X721" s="27">
        <f>Table1[[#This Row],[IRR]]*Table1[[#This Row],[Coupon Frequency2]]</f>
        <v>0.38958226344973762</v>
      </c>
      <c r="Y721" s="19" cm="1">
        <f t="array" ref="Y7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1" s="33">
        <f>DURATION(Table1[[#This Row],[Issue date]],Table1[[#This Row],[Maturity date]],Table1[[#This Row],[Current coupon %]],Table1[[#This Row],[Yield (Annualised)]],Table1[[#This Row],[Coupon Frequency2]])</f>
        <v>2.436057063923712</v>
      </c>
      <c r="AA721" s="33">
        <f>Table1[[#This Row],[Macaulay Duration in Years]]/(1+Table1[[#This Row],[IRR]])</f>
        <v>2.219853204900855</v>
      </c>
      <c r="AB721" s="58">
        <f>VLOOKUP(Table1[[#This Row],[Yield Cluster]],'Cluster Details'!$B$3:$C$16,2,0)</f>
        <v>0.37868966038993918</v>
      </c>
      <c r="AC721" s="78">
        <f>PRICE(Table1[[#This Row],[Issue date]],Table1[[#This Row],[Maturity date]],Table1[[#This Row],[Current coupon %]],Table1[[#This Row],[Average Cluster Yield]],100,Table1[[#This Row],[Coupon Frequency2]])*Table1[[#This Row],[Face value]]/100</f>
        <v>51087.742193438506</v>
      </c>
      <c r="AD721" s="58" t="str">
        <f>IF(Table1[[#This Row],[Ask Price]]&gt;Table1[[#This Row],[Calculated Bond Price]],"Rich","Cheap")</f>
        <v>Rich</v>
      </c>
      <c r="AE72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48771.923083290698</v>
      </c>
      <c r="AF72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50986.038776548849</v>
      </c>
      <c r="AG721" s="78">
        <f>(Table1[[#This Row],[P (+ shock)]]+Table1[[#This Row],[P (-shock)]]-2*Table1[[#This Row],[Ask Price]])/(2*Table1[[#This Row],[Ask Price]]*($AF$2^2))</f>
        <v>-5066.7280275588637</v>
      </c>
      <c r="AI721" s="6">
        <f t="shared" si="45"/>
        <v>9.7915778583742216E-2</v>
      </c>
      <c r="AK721" s="47">
        <f>RATE(Table1[[#This Row],[Total No. of Coupons]],Table1[[#This Row],[Coupon Amount]],-Table1[[#This Row],[Ask Price]],Table1[[#This Row],[Face value]])</f>
        <v>9.7395565862434405E-2</v>
      </c>
      <c r="AL721" s="27">
        <f>Table1[[#This Row],[IRR]]*Table1[[#This Row],[Coupon Frequency2]]</f>
        <v>0.38958226344973762</v>
      </c>
      <c r="AM721" s="5">
        <f t="shared" si="46"/>
        <v>-224443.36394387222</v>
      </c>
      <c r="AN721" t="s">
        <v>64</v>
      </c>
      <c r="AO721" t="s">
        <v>62</v>
      </c>
      <c r="AP721">
        <f t="shared" si="47"/>
        <v>4</v>
      </c>
    </row>
    <row r="722" spans="1:42" x14ac:dyDescent="0.35">
      <c r="A722" s="48" t="s">
        <v>1062</v>
      </c>
      <c r="B722" s="49" t="s">
        <v>3038</v>
      </c>
      <c r="C722" s="49" t="s">
        <v>2273</v>
      </c>
      <c r="D722" s="50">
        <v>43186</v>
      </c>
      <c r="E722" s="50">
        <v>46772</v>
      </c>
      <c r="F722" s="49">
        <v>1000000</v>
      </c>
      <c r="G722" s="49" t="s">
        <v>76</v>
      </c>
      <c r="H722" s="49">
        <v>1040500</v>
      </c>
      <c r="I722" s="49" t="s">
        <v>76</v>
      </c>
      <c r="J722" s="49">
        <v>104.05</v>
      </c>
      <c r="K722" s="49">
        <v>1</v>
      </c>
      <c r="L722" s="51">
        <v>0.10150000000000001</v>
      </c>
      <c r="M722" s="49" t="s">
        <v>105</v>
      </c>
      <c r="N722" s="49">
        <v>855</v>
      </c>
      <c r="O722" s="49">
        <v>9.7549255165785596</v>
      </c>
      <c r="P722" s="49"/>
      <c r="Q722" s="49"/>
      <c r="R722" s="49" t="s">
        <v>2275</v>
      </c>
      <c r="S722">
        <f t="shared" si="44"/>
        <v>10</v>
      </c>
      <c r="T722" s="5" cm="1">
        <f t="array" ref="T7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2">
        <f>Table1[[#This Row],[Term to Maturity (Years)]]*Table1[[#This Row],[Coupon Frequency2]]</f>
        <v>40</v>
      </c>
      <c r="V722">
        <f>Table1[[#This Row],[Face value]]*Table1[[#This Row],[Current coupon %]]</f>
        <v>101500</v>
      </c>
      <c r="W722" s="36">
        <f>RATE(Table1[[#This Row],[Total No. of Coupons]],Table1[[#This Row],[Coupon Amount]],-Table1[[#This Row],[Ask Price]],Table1[[#This Row],[Face value]])</f>
        <v>9.7455021756979246E-2</v>
      </c>
      <c r="X722" s="27">
        <f>Table1[[#This Row],[IRR]]*Table1[[#This Row],[Coupon Frequency2]]</f>
        <v>0.38982008702791698</v>
      </c>
      <c r="Y722" s="19" cm="1">
        <f t="array" ref="Y7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2" s="33">
        <f>DURATION(Table1[[#This Row],[Issue date]],Table1[[#This Row],[Maturity date]],Table1[[#This Row],[Current coupon %]],Table1[[#This Row],[Yield (Annualised)]],Table1[[#This Row],[Coupon Frequency2]])</f>
        <v>3.0281679181740713</v>
      </c>
      <c r="AA722" s="33">
        <f>Table1[[#This Row],[Macaulay Duration in Years]]/(1+Table1[[#This Row],[IRR]])</f>
        <v>2.7592638041111717</v>
      </c>
      <c r="AB722" s="58">
        <f>VLOOKUP(Table1[[#This Row],[Yield Cluster]],'Cluster Details'!$B$3:$C$16,2,0)</f>
        <v>0.37868966038993918</v>
      </c>
      <c r="AC722" s="78">
        <f>PRICE(Table1[[#This Row],[Issue date]],Table1[[#This Row],[Maturity date]],Table1[[#This Row],[Current coupon %]],Table1[[#This Row],[Average Cluster Yield]],100,Table1[[#This Row],[Coupon Frequency2]])*Table1[[#This Row],[Face value]]/100</f>
        <v>288816.94235483435</v>
      </c>
      <c r="AD722" s="58" t="str">
        <f>IF(Table1[[#This Row],[Ask Price]]&gt;Table1[[#This Row],[Calculated Bond Price]],"Rich","Cheap")</f>
        <v>Rich</v>
      </c>
      <c r="AE72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271358.94061474712</v>
      </c>
      <c r="AF72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287829.4647224042</v>
      </c>
      <c r="AG722" s="78">
        <f>(Table1[[#This Row],[P (+ shock)]]+Table1[[#This Row],[P (-shock)]]-2*Table1[[#This Row],[Ask Price]])/(2*Table1[[#This Row],[Ask Price]]*($AF$2^2))</f>
        <v>-7312.8860867988869</v>
      </c>
      <c r="AH722">
        <v>4.9948360836727899</v>
      </c>
      <c r="AI722" s="6">
        <f t="shared" si="45"/>
        <v>9.7549255165785678E-2</v>
      </c>
      <c r="AK722" s="47">
        <f>RATE(Table1[[#This Row],[Total No. of Coupons]],Table1[[#This Row],[Coupon Amount]],-Table1[[#This Row],[Ask Price]],Table1[[#This Row],[Face value]])</f>
        <v>9.7455021756979246E-2</v>
      </c>
      <c r="AL722" s="27">
        <f>Table1[[#This Row],[IRR]]*Table1[[#This Row],[Coupon Frequency2]]</f>
        <v>0.38982008702791698</v>
      </c>
      <c r="AM722" s="5">
        <f t="shared" si="46"/>
        <v>-2871013.9881776739</v>
      </c>
      <c r="AN722" t="s">
        <v>64</v>
      </c>
      <c r="AO722" t="s">
        <v>62</v>
      </c>
      <c r="AP722">
        <f t="shared" si="47"/>
        <v>4</v>
      </c>
    </row>
    <row r="723" spans="1:42" x14ac:dyDescent="0.35">
      <c r="A723" s="48" t="s">
        <v>1038</v>
      </c>
      <c r="B723" s="49" t="s">
        <v>3039</v>
      </c>
      <c r="C723" s="49" t="s">
        <v>2273</v>
      </c>
      <c r="D723" s="50">
        <v>44959</v>
      </c>
      <c r="E723" s="50">
        <v>46785</v>
      </c>
      <c r="F723" s="49">
        <v>1000</v>
      </c>
      <c r="G723" s="49" t="s">
        <v>76</v>
      </c>
      <c r="H723" s="49">
        <v>405</v>
      </c>
      <c r="I723" s="49" t="s">
        <v>76</v>
      </c>
      <c r="J723" s="49">
        <v>40.5</v>
      </c>
      <c r="K723" s="49">
        <v>50</v>
      </c>
      <c r="L723" s="51">
        <v>0.10300000000000001</v>
      </c>
      <c r="M723" s="49" t="s">
        <v>93</v>
      </c>
      <c r="N723" s="49">
        <v>868</v>
      </c>
      <c r="O723" s="49">
        <v>25.432098765431999</v>
      </c>
      <c r="P723" s="49"/>
      <c r="Q723" s="49"/>
      <c r="R723" s="49" t="s">
        <v>2275</v>
      </c>
      <c r="S723">
        <f t="shared" si="44"/>
        <v>5</v>
      </c>
      <c r="T723" s="5" cm="1">
        <f t="array" ref="T7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23">
        <f>Table1[[#This Row],[Term to Maturity (Years)]]*Table1[[#This Row],[Coupon Frequency2]]</f>
        <v>5</v>
      </c>
      <c r="V723">
        <f>Table1[[#This Row],[Face value]]*Table1[[#This Row],[Current coupon %]]</f>
        <v>103.00000000000001</v>
      </c>
      <c r="W723" s="36">
        <f>RATE(Table1[[#This Row],[Total No. of Coupons]],Table1[[#This Row],[Coupon Amount]],-Table1[[#This Row],[Ask Price]],Table1[[#This Row],[Face value]])</f>
        <v>0.39087622394758004</v>
      </c>
      <c r="X723" s="27">
        <f>Table1[[#This Row],[IRR]]*Table1[[#This Row],[Coupon Frequency2]]</f>
        <v>0.39087622394758004</v>
      </c>
      <c r="Y723" s="19" cm="1">
        <f t="array" ref="Y7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3" s="33">
        <f>DURATION(Table1[[#This Row],[Issue date]],Table1[[#This Row],[Maturity date]],Table1[[#This Row],[Current coupon %]],Table1[[#This Row],[Yield (Annualised)]],Table1[[#This Row],[Coupon Frequency2]])</f>
        <v>3.6172185165481006</v>
      </c>
      <c r="AA723" s="33">
        <f>Table1[[#This Row],[Macaulay Duration in Years]]/(1+Table1[[#This Row],[IRR]])</f>
        <v>2.6006760733041534</v>
      </c>
      <c r="AB723" s="58">
        <f>VLOOKUP(Table1[[#This Row],[Yield Cluster]],'Cluster Details'!$B$3:$C$16,2,0)</f>
        <v>0.37868966038993918</v>
      </c>
      <c r="AC723" s="78">
        <f>PRICE(Table1[[#This Row],[Issue date]],Table1[[#This Row],[Maturity date]],Table1[[#This Row],[Current coupon %]],Table1[[#This Row],[Average Cluster Yield]],100,Table1[[#This Row],[Coupon Frequency2]])*Table1[[#This Row],[Face value]]/100</f>
        <v>418.1424169426823</v>
      </c>
      <c r="AD723" s="58" t="str">
        <f>IF(Table1[[#This Row],[Ask Price]]&gt;Table1[[#This Row],[Calculated Bond Price]],"Rich","Cheap")</f>
        <v>Cheap</v>
      </c>
      <c r="AE72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394.66658388170117</v>
      </c>
      <c r="AF72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415.73848095045685</v>
      </c>
      <c r="AG723" s="78">
        <f>(Table1[[#This Row],[P (+ shock)]]+Table1[[#This Row],[P (-shock)]]-2*Table1[[#This Row],[Ask Price]])/(2*Table1[[#This Row],[Ask Price]]*($AF$2^2))</f>
        <v>5.0008003970125721</v>
      </c>
      <c r="AH723">
        <v>7.2987720083908796</v>
      </c>
      <c r="AI723" s="6">
        <f t="shared" si="45"/>
        <v>0.25432098765432104</v>
      </c>
      <c r="AK723" s="47">
        <f>RATE(Table1[[#This Row],[Total No. of Coupons]],Table1[[#This Row],[Coupon Amount]],-Table1[[#This Row],[Ask Price]],Table1[[#This Row],[Face value]])</f>
        <v>0.39087622394758004</v>
      </c>
      <c r="AL723" s="27">
        <f>Table1[[#This Row],[IRR]]*Table1[[#This Row],[Coupon Frequency2]]</f>
        <v>0.39087622394758004</v>
      </c>
      <c r="AM723" s="5">
        <f t="shared" si="46"/>
        <v>-1053.2738096881822</v>
      </c>
      <c r="AN723" t="s">
        <v>64</v>
      </c>
      <c r="AO723" t="s">
        <v>62</v>
      </c>
      <c r="AP723">
        <f t="shared" si="47"/>
        <v>1</v>
      </c>
    </row>
    <row r="724" spans="1:42" x14ac:dyDescent="0.35">
      <c r="A724" s="48" t="s">
        <v>1426</v>
      </c>
      <c r="B724" s="49" t="s">
        <v>3040</v>
      </c>
      <c r="C724" s="49" t="s">
        <v>2273</v>
      </c>
      <c r="D724" s="50">
        <v>43186</v>
      </c>
      <c r="E724" s="50">
        <v>46407</v>
      </c>
      <c r="F724" s="49">
        <v>1000000</v>
      </c>
      <c r="G724" s="49" t="s">
        <v>76</v>
      </c>
      <c r="H724" s="49">
        <v>1035000</v>
      </c>
      <c r="I724" s="49" t="s">
        <v>76</v>
      </c>
      <c r="J724" s="49">
        <v>103.49999999999901</v>
      </c>
      <c r="K724" s="49">
        <v>1</v>
      </c>
      <c r="L724" s="51">
        <v>0.10150000000000001</v>
      </c>
      <c r="M724" s="49" t="s">
        <v>105</v>
      </c>
      <c r="N724" s="49">
        <v>490</v>
      </c>
      <c r="O724" s="49">
        <v>9.8067632850241502</v>
      </c>
      <c r="P724" s="49"/>
      <c r="Q724" s="49"/>
      <c r="R724" s="49" t="s">
        <v>2275</v>
      </c>
      <c r="S724">
        <f t="shared" si="44"/>
        <v>9</v>
      </c>
      <c r="T724" s="5" cm="1">
        <f t="array" ref="T7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4">
        <f>Table1[[#This Row],[Term to Maturity (Years)]]*Table1[[#This Row],[Coupon Frequency2]]</f>
        <v>36</v>
      </c>
      <c r="V724">
        <f>Table1[[#This Row],[Face value]]*Table1[[#This Row],[Current coupon %]]</f>
        <v>101500</v>
      </c>
      <c r="W724" s="36">
        <f>RATE(Table1[[#This Row],[Total No. of Coupons]],Table1[[#This Row],[Coupon Amount]],-Table1[[#This Row],[Ask Price]],Table1[[#This Row],[Face value]])</f>
        <v>9.7948929800327503E-2</v>
      </c>
      <c r="X724" s="27">
        <f>Table1[[#This Row],[IRR]]*Table1[[#This Row],[Coupon Frequency2]]</f>
        <v>0.39179571920131001</v>
      </c>
      <c r="Y724" s="19" cm="1">
        <f t="array" ref="Y7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4" s="33">
        <f>DURATION(Table1[[#This Row],[Issue date]],Table1[[#This Row],[Maturity date]],Table1[[#This Row],[Current coupon %]],Table1[[#This Row],[Yield (Annualised)]],Table1[[#This Row],[Coupon Frequency2]])</f>
        <v>3.0860567463426758</v>
      </c>
      <c r="AA724" s="33">
        <f>Table1[[#This Row],[Macaulay Duration in Years]]/(1+Table1[[#This Row],[IRR]])</f>
        <v>2.8107470781030814</v>
      </c>
      <c r="AB724" s="58">
        <f>VLOOKUP(Table1[[#This Row],[Yield Cluster]],'Cluster Details'!$B$3:$C$16,2,0)</f>
        <v>0.37868966038993918</v>
      </c>
      <c r="AC724" s="78">
        <f>PRICE(Table1[[#This Row],[Issue date]],Table1[[#This Row],[Maturity date]],Table1[[#This Row],[Current coupon %]],Table1[[#This Row],[Average Cluster Yield]],100,Table1[[#This Row],[Coupon Frequency2]])*Table1[[#This Row],[Face value]]/100</f>
        <v>297974.91919402417</v>
      </c>
      <c r="AD724" s="58" t="str">
        <f>IF(Table1[[#This Row],[Ask Price]]&gt;Table1[[#This Row],[Calculated Bond Price]],"Rich","Cheap")</f>
        <v>Rich</v>
      </c>
      <c r="AE72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277967.46132505627</v>
      </c>
      <c r="AF72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295135.5171960427</v>
      </c>
      <c r="AG724" s="78">
        <f>(Table1[[#This Row],[P (+ shock)]]+Table1[[#This Row],[P (-shock)]]-2*Table1[[#This Row],[Ask Price]])/(2*Table1[[#This Row],[Ask Price]]*($AF$2^2))</f>
        <v>-7231.3865771927594</v>
      </c>
      <c r="AH724">
        <v>9.8083610378692292</v>
      </c>
      <c r="AI724" s="6">
        <f t="shared" si="45"/>
        <v>9.8067632850241546E-2</v>
      </c>
      <c r="AK724" s="47">
        <f>RATE(Table1[[#This Row],[Total No. of Coupons]],Table1[[#This Row],[Coupon Amount]],-Table1[[#This Row],[Ask Price]],Table1[[#This Row],[Face value]])</f>
        <v>9.7948929800327503E-2</v>
      </c>
      <c r="AL724" s="27">
        <f>Table1[[#This Row],[IRR]]*Table1[[#This Row],[Coupon Frequency2]]</f>
        <v>0.39179571920131001</v>
      </c>
      <c r="AM724" s="5">
        <f t="shared" si="46"/>
        <v>-2909123.2258366891</v>
      </c>
      <c r="AN724" t="s">
        <v>64</v>
      </c>
      <c r="AO724" t="s">
        <v>62</v>
      </c>
      <c r="AP724">
        <f t="shared" si="47"/>
        <v>4</v>
      </c>
    </row>
    <row r="725" spans="1:42" x14ac:dyDescent="0.35">
      <c r="A725" s="48" t="s">
        <v>1181</v>
      </c>
      <c r="B725" s="49" t="s">
        <v>3041</v>
      </c>
      <c r="C725" s="49" t="s">
        <v>2273</v>
      </c>
      <c r="D725" s="50">
        <v>45705</v>
      </c>
      <c r="E725" s="50">
        <v>46615</v>
      </c>
      <c r="F725" s="49">
        <v>100000</v>
      </c>
      <c r="G725" s="49" t="s">
        <v>76</v>
      </c>
      <c r="H725" s="49">
        <v>98821.38</v>
      </c>
      <c r="I725" s="49" t="s">
        <v>76</v>
      </c>
      <c r="J725" s="49">
        <v>98.821380000000005</v>
      </c>
      <c r="K725" s="49">
        <v>1</v>
      </c>
      <c r="L725" s="51">
        <v>9.6000000000000002E-2</v>
      </c>
      <c r="M725" s="49" t="s">
        <v>105</v>
      </c>
      <c r="N725" s="49">
        <v>698</v>
      </c>
      <c r="O725" s="49">
        <v>9.7144970045955592</v>
      </c>
      <c r="P725" s="49"/>
      <c r="Q725" s="49"/>
      <c r="R725" s="49" t="s">
        <v>2275</v>
      </c>
      <c r="S725">
        <f t="shared" si="44"/>
        <v>2</v>
      </c>
      <c r="T725" s="5" cm="1">
        <f t="array" ref="T7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5">
        <f>Table1[[#This Row],[Term to Maturity (Years)]]*Table1[[#This Row],[Coupon Frequency2]]</f>
        <v>8</v>
      </c>
      <c r="V725">
        <f>Table1[[#This Row],[Face value]]*Table1[[#This Row],[Current coupon %]]</f>
        <v>9600</v>
      </c>
      <c r="W725" s="36">
        <f>RATE(Table1[[#This Row],[Total No. of Coupons]],Table1[[#This Row],[Coupon Amount]],-Table1[[#This Row],[Ask Price]],Table1[[#This Row],[Face value]])</f>
        <v>9.8194754394152345E-2</v>
      </c>
      <c r="X725" s="27">
        <f>Table1[[#This Row],[IRR]]*Table1[[#This Row],[Coupon Frequency2]]</f>
        <v>0.39277901757660938</v>
      </c>
      <c r="Y725" s="19" cm="1">
        <f t="array" ref="Y7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5" s="33">
        <f>DURATION(Table1[[#This Row],[Issue date]],Table1[[#This Row],[Maturity date]],Table1[[#This Row],[Current coupon %]],Table1[[#This Row],[Yield (Annualised)]],Table1[[#This Row],[Coupon Frequency2]])</f>
        <v>2.1355630076560708</v>
      </c>
      <c r="AA725" s="33">
        <f>Table1[[#This Row],[Macaulay Duration in Years]]/(1+Table1[[#This Row],[IRR]])</f>
        <v>1.9446122822123746</v>
      </c>
      <c r="AB725" s="58">
        <f>VLOOKUP(Table1[[#This Row],[Yield Cluster]],'Cluster Details'!$B$3:$C$16,2,0)</f>
        <v>0.37868966038993918</v>
      </c>
      <c r="AC725" s="78">
        <f>PRICE(Table1[[#This Row],[Issue date]],Table1[[#This Row],[Maturity date]],Table1[[#This Row],[Current coupon %]],Table1[[#This Row],[Average Cluster Yield]],100,Table1[[#This Row],[Coupon Frequency2]])*Table1[[#This Row],[Face value]]/100</f>
        <v>55592.144385575637</v>
      </c>
      <c r="AD725" s="58" t="str">
        <f>IF(Table1[[#This Row],[Ask Price]]&gt;Table1[[#This Row],[Calculated Bond Price]],"Rich","Cheap")</f>
        <v>Rich</v>
      </c>
      <c r="AE72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53044.593791128638</v>
      </c>
      <c r="AF72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55149.318634208663</v>
      </c>
      <c r="AG725" s="78">
        <f>(Table1[[#This Row],[P (+ shock)]]+Table1[[#This Row],[P (-shock)]]-2*Table1[[#This Row],[Ask Price]])/(2*Table1[[#This Row],[Ask Price]]*($AF$2^2))</f>
        <v>-4525.784176190552</v>
      </c>
      <c r="AH725">
        <v>7.7190517255394697</v>
      </c>
      <c r="AI725" s="6">
        <f t="shared" si="45"/>
        <v>9.7144970045955639E-2</v>
      </c>
      <c r="AK725" s="47">
        <f>RATE(Table1[[#This Row],[Total No. of Coupons]],Table1[[#This Row],[Coupon Amount]],-Table1[[#This Row],[Ask Price]],Table1[[#This Row],[Face value]])</f>
        <v>9.8194754394152345E-2</v>
      </c>
      <c r="AL725" s="27">
        <f>Table1[[#This Row],[IRR]]*Table1[[#This Row],[Coupon Frequency2]]</f>
        <v>0.39277901757660938</v>
      </c>
      <c r="AM725" s="5">
        <f t="shared" si="46"/>
        <v>-192169.26929317633</v>
      </c>
      <c r="AN725" t="s">
        <v>64</v>
      </c>
      <c r="AO725" t="s">
        <v>62</v>
      </c>
      <c r="AP725">
        <f t="shared" si="47"/>
        <v>4</v>
      </c>
    </row>
    <row r="726" spans="1:42" x14ac:dyDescent="0.35">
      <c r="A726" s="48" t="s">
        <v>1914</v>
      </c>
      <c r="B726" s="49" t="s">
        <v>3042</v>
      </c>
      <c r="C726" s="49" t="s">
        <v>2273</v>
      </c>
      <c r="D726" s="50">
        <v>45362</v>
      </c>
      <c r="E726" s="50">
        <v>46092</v>
      </c>
      <c r="F726" s="49">
        <v>100000</v>
      </c>
      <c r="G726" s="49" t="s">
        <v>76</v>
      </c>
      <c r="H726" s="49">
        <v>100404.04</v>
      </c>
      <c r="I726" s="49" t="s">
        <v>76</v>
      </c>
      <c r="J726" s="49">
        <v>100.404039999999</v>
      </c>
      <c r="K726" s="49">
        <v>1</v>
      </c>
      <c r="L726" s="51">
        <v>9.9000000000000005E-2</v>
      </c>
      <c r="M726" s="49" t="s">
        <v>105</v>
      </c>
      <c r="N726" s="49">
        <v>175</v>
      </c>
      <c r="O726" s="49">
        <v>9.8601610054734792</v>
      </c>
      <c r="P726" s="49"/>
      <c r="Q726" s="49"/>
      <c r="R726" s="49" t="s">
        <v>2275</v>
      </c>
      <c r="S726">
        <f t="shared" si="44"/>
        <v>2</v>
      </c>
      <c r="T726" s="5" cm="1">
        <f t="array" ref="T7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6">
        <f>Table1[[#This Row],[Term to Maturity (Years)]]*Table1[[#This Row],[Coupon Frequency2]]</f>
        <v>8</v>
      </c>
      <c r="V726">
        <f>Table1[[#This Row],[Face value]]*Table1[[#This Row],[Current coupon %]]</f>
        <v>9900</v>
      </c>
      <c r="W726" s="36">
        <f>RATE(Table1[[#This Row],[Total No. of Coupons]],Table1[[#This Row],[Coupon Amount]],-Table1[[#This Row],[Ask Price]],Table1[[#This Row],[Face value]])</f>
        <v>9.8247476364468136E-2</v>
      </c>
      <c r="X726" s="27">
        <f>Table1[[#This Row],[IRR]]*Table1[[#This Row],[Coupon Frequency2]]</f>
        <v>0.39298990545787255</v>
      </c>
      <c r="Y726" s="19" cm="1">
        <f t="array" ref="Y7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6" s="33">
        <f>DURATION(Table1[[#This Row],[Issue date]],Table1[[#This Row],[Maturity date]],Table1[[#This Row],[Current coupon %]],Table1[[#This Row],[Yield (Annualised)]],Table1[[#This Row],[Coupon Frequency2]])</f>
        <v>1.7811844071911078</v>
      </c>
      <c r="AA726" s="33">
        <f>Table1[[#This Row],[Macaulay Duration in Years]]/(1+Table1[[#This Row],[IRR]])</f>
        <v>1.6218424767861683</v>
      </c>
      <c r="AB726" s="58">
        <f>VLOOKUP(Table1[[#This Row],[Yield Cluster]],'Cluster Details'!$B$3:$C$16,2,0)</f>
        <v>0.37868966038993918</v>
      </c>
      <c r="AC726" s="78">
        <f>PRICE(Table1[[#This Row],[Issue date]],Table1[[#This Row],[Maturity date]],Table1[[#This Row],[Current coupon %]],Table1[[#This Row],[Average Cluster Yield]],100,Table1[[#This Row],[Coupon Frequency2]])*Table1[[#This Row],[Face value]]/100</f>
        <v>61962.282870764742</v>
      </c>
      <c r="AD726" s="58" t="str">
        <f>IF(Table1[[#This Row],[Ask Price]]&gt;Table1[[#This Row],[Calculated Bond Price]],"Rich","Cheap")</f>
        <v>Rich</v>
      </c>
      <c r="AE72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59565.998463197146</v>
      </c>
      <c r="AF72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61529.811928175288</v>
      </c>
      <c r="AG726" s="78">
        <f>(Table1[[#This Row],[P (+ shock)]]+Table1[[#This Row],[P (-shock)]]-2*Table1[[#This Row],[Ask Price]])/(2*Table1[[#This Row],[Ask Price]]*($AF$2^2))</f>
        <v>-3969.5748103675683</v>
      </c>
      <c r="AH726">
        <v>11.0353307236776</v>
      </c>
      <c r="AI726" s="6">
        <f t="shared" si="45"/>
        <v>9.8601610054734862E-2</v>
      </c>
      <c r="AK726" s="47">
        <f>RATE(Table1[[#This Row],[Total No. of Coupons]],Table1[[#This Row],[Coupon Amount]],-Table1[[#This Row],[Ask Price]],Table1[[#This Row],[Face value]])</f>
        <v>9.8247476364468136E-2</v>
      </c>
      <c r="AL726" s="27">
        <f>Table1[[#This Row],[IRR]]*Table1[[#This Row],[Coupon Frequency2]]</f>
        <v>0.39298990545787255</v>
      </c>
      <c r="AM726" s="5">
        <f t="shared" si="46"/>
        <v>-162839.5369129375</v>
      </c>
      <c r="AN726" t="s">
        <v>64</v>
      </c>
      <c r="AO726" t="s">
        <v>62</v>
      </c>
      <c r="AP726">
        <f t="shared" si="47"/>
        <v>4</v>
      </c>
    </row>
    <row r="727" spans="1:42" x14ac:dyDescent="0.35">
      <c r="A727" s="48" t="s">
        <v>1765</v>
      </c>
      <c r="B727" s="49" t="s">
        <v>3043</v>
      </c>
      <c r="C727" s="49" t="s">
        <v>2273</v>
      </c>
      <c r="D727" s="50">
        <v>45650</v>
      </c>
      <c r="E727" s="50">
        <v>46197</v>
      </c>
      <c r="F727" s="49">
        <v>10000</v>
      </c>
      <c r="G727" s="49" t="s">
        <v>76</v>
      </c>
      <c r="H727" s="49">
        <v>9937.2900000000009</v>
      </c>
      <c r="I727" s="49" t="s">
        <v>76</v>
      </c>
      <c r="J727" s="49">
        <v>99.372900000000001</v>
      </c>
      <c r="K727" s="49">
        <v>12</v>
      </c>
      <c r="L727" s="51">
        <v>9.74E-2</v>
      </c>
      <c r="M727" s="49" t="s">
        <v>105</v>
      </c>
      <c r="N727" s="49">
        <v>280</v>
      </c>
      <c r="O727" s="49">
        <v>9.8014649869330501</v>
      </c>
      <c r="P727" s="49"/>
      <c r="Q727" s="49"/>
      <c r="R727" s="49" t="s">
        <v>2275</v>
      </c>
      <c r="S727">
        <f t="shared" si="44"/>
        <v>2</v>
      </c>
      <c r="T727" s="5" cm="1">
        <f t="array" ref="T7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7">
        <f>Table1[[#This Row],[Term to Maturity (Years)]]*Table1[[#This Row],[Coupon Frequency2]]</f>
        <v>8</v>
      </c>
      <c r="V727">
        <f>Table1[[#This Row],[Face value]]*Table1[[#This Row],[Current coupon %]]</f>
        <v>974</v>
      </c>
      <c r="W727" s="36">
        <f>RATE(Table1[[#This Row],[Total No. of Coupons]],Table1[[#This Row],[Coupon Amount]],-Table1[[#This Row],[Ask Price]],Table1[[#This Row],[Face value]])</f>
        <v>9.8569346294219096E-2</v>
      </c>
      <c r="X727" s="27">
        <f>Table1[[#This Row],[IRR]]*Table1[[#This Row],[Coupon Frequency2]]</f>
        <v>0.39427738517687638</v>
      </c>
      <c r="Y727" s="19" cm="1">
        <f t="array" ref="Y7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7" s="33">
        <f>DURATION(Table1[[#This Row],[Issue date]],Table1[[#This Row],[Maturity date]],Table1[[#This Row],[Current coupon %]],Table1[[#This Row],[Yield (Annualised)]],Table1[[#This Row],[Coupon Frequency2]])</f>
        <v>1.3906994858210018</v>
      </c>
      <c r="AA727" s="33">
        <f>Table1[[#This Row],[Macaulay Duration in Years]]/(1+Table1[[#This Row],[IRR]])</f>
        <v>1.2659187064632917</v>
      </c>
      <c r="AB727" s="58">
        <f>VLOOKUP(Table1[[#This Row],[Yield Cluster]],'Cluster Details'!$B$3:$C$16,2,0)</f>
        <v>0.37868966038993918</v>
      </c>
      <c r="AC727" s="78">
        <f>PRICE(Table1[[#This Row],[Issue date]],Table1[[#This Row],[Maturity date]],Table1[[#This Row],[Current coupon %]],Table1[[#This Row],[Average Cluster Yield]],100,Table1[[#This Row],[Coupon Frequency2]])*Table1[[#This Row],[Face value]]/100</f>
        <v>6888.8601889203683</v>
      </c>
      <c r="AD727" s="58" t="str">
        <f>IF(Table1[[#This Row],[Ask Price]]&gt;Table1[[#This Row],[Calculated Bond Price]],"Rich","Cheap")</f>
        <v>Rich</v>
      </c>
      <c r="AE72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6669.117298902911</v>
      </c>
      <c r="AF72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6840.1244637290492</v>
      </c>
      <c r="AG727" s="78">
        <f>(Table1[[#This Row],[P (+ shock)]]+Table1[[#This Row],[P (-shock)]]-2*Table1[[#This Row],[Ask Price]])/(2*Table1[[#This Row],[Ask Price]]*($AF$2^2))</f>
        <v>-3202.7535864244883</v>
      </c>
      <c r="AH727">
        <v>6.1304959034610604</v>
      </c>
      <c r="AI727" s="6">
        <f t="shared" si="45"/>
        <v>9.8014649869330561E-2</v>
      </c>
      <c r="AK727" s="47">
        <f>RATE(Table1[[#This Row],[Total No. of Coupons]],Table1[[#This Row],[Coupon Amount]],-Table1[[#This Row],[Ask Price]],Table1[[#This Row],[Face value]])</f>
        <v>9.8569346294219096E-2</v>
      </c>
      <c r="AL727" s="27">
        <f>Table1[[#This Row],[IRR]]*Table1[[#This Row],[Coupon Frequency2]]</f>
        <v>0.39427738517687638</v>
      </c>
      <c r="AM727" s="5">
        <f t="shared" si="46"/>
        <v>-12579.801302550606</v>
      </c>
      <c r="AN727" t="s">
        <v>64</v>
      </c>
      <c r="AO727" t="s">
        <v>62</v>
      </c>
      <c r="AP727">
        <f t="shared" si="47"/>
        <v>4</v>
      </c>
    </row>
    <row r="728" spans="1:42" x14ac:dyDescent="0.35">
      <c r="A728" s="48" t="s">
        <v>1885</v>
      </c>
      <c r="B728" s="49" t="s">
        <v>3044</v>
      </c>
      <c r="C728" s="49" t="s">
        <v>2273</v>
      </c>
      <c r="D728" s="50">
        <v>44841</v>
      </c>
      <c r="E728" s="50">
        <v>46112</v>
      </c>
      <c r="F728" s="49">
        <v>1000000</v>
      </c>
      <c r="G728" s="49" t="s">
        <v>76</v>
      </c>
      <c r="H728" s="49">
        <v>1006151</v>
      </c>
      <c r="I728" s="49" t="s">
        <v>76</v>
      </c>
      <c r="J728" s="49">
        <v>100.6151</v>
      </c>
      <c r="K728" s="49">
        <v>1</v>
      </c>
      <c r="L728" s="51">
        <v>9.9499999999999991E-2</v>
      </c>
      <c r="M728" s="49" t="s">
        <v>105</v>
      </c>
      <c r="N728" s="49">
        <v>195</v>
      </c>
      <c r="O728" s="49">
        <v>9.8891717048435002</v>
      </c>
      <c r="P728" s="49"/>
      <c r="Q728" s="49"/>
      <c r="R728" s="49" t="s">
        <v>2275</v>
      </c>
      <c r="S728">
        <f t="shared" si="44"/>
        <v>3</v>
      </c>
      <c r="T728" s="5" cm="1">
        <f t="array" ref="T7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8">
        <f>Table1[[#This Row],[Term to Maturity (Years)]]*Table1[[#This Row],[Coupon Frequency2]]</f>
        <v>12</v>
      </c>
      <c r="V728">
        <f>Table1[[#This Row],[Face value]]*Table1[[#This Row],[Current coupon %]]</f>
        <v>99499.999999999985</v>
      </c>
      <c r="W728" s="36">
        <f>RATE(Table1[[#This Row],[Total No. of Coupons]],Table1[[#This Row],[Coupon Amount]],-Table1[[#This Row],[Ask Price]],Table1[[#This Row],[Face value]])</f>
        <v>9.860342557602654E-2</v>
      </c>
      <c r="X728" s="27">
        <f>Table1[[#This Row],[IRR]]*Table1[[#This Row],[Coupon Frequency2]]</f>
        <v>0.39441370230410616</v>
      </c>
      <c r="Y728" s="19" cm="1">
        <f t="array" ref="Y7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8" s="33">
        <f>DURATION(Table1[[#This Row],[Issue date]],Table1[[#This Row],[Maturity date]],Table1[[#This Row],[Current coupon %]],Table1[[#This Row],[Yield (Annualised)]],Table1[[#This Row],[Coupon Frequency2]])</f>
        <v>2.6662720536870559</v>
      </c>
      <c r="AA728" s="33">
        <f>Table1[[#This Row],[Macaulay Duration in Years]]/(1+Table1[[#This Row],[IRR]])</f>
        <v>2.4269649917476448</v>
      </c>
      <c r="AB728" s="58">
        <f>VLOOKUP(Table1[[#This Row],[Yield Cluster]],'Cluster Details'!$B$3:$C$16,2,0)</f>
        <v>0.37868966038993918</v>
      </c>
      <c r="AC728" s="78">
        <f>PRICE(Table1[[#This Row],[Issue date]],Table1[[#This Row],[Maturity date]],Table1[[#This Row],[Current coupon %]],Table1[[#This Row],[Average Cluster Yield]],100,Table1[[#This Row],[Coupon Frequency2]])*Table1[[#This Row],[Face value]]/100</f>
        <v>471931.67143405793</v>
      </c>
      <c r="AD728" s="58" t="str">
        <f>IF(Table1[[#This Row],[Ask Price]]&gt;Table1[[#This Row],[Calculated Bond Price]],"Rich","Cheap")</f>
        <v>Rich</v>
      </c>
      <c r="AE72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443197.60303780739</v>
      </c>
      <c r="AF72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465336.95986998192</v>
      </c>
      <c r="AG728" s="78">
        <f>(Table1[[#This Row],[P (+ shock)]]+Table1[[#This Row],[P (-shock)]]-2*Table1[[#This Row],[Ask Price]])/(2*Table1[[#This Row],[Ask Price]]*($AF$2^2))</f>
        <v>-5485.0983455376509</v>
      </c>
      <c r="AH728">
        <v>14.987518931265299</v>
      </c>
      <c r="AI728" s="6">
        <f t="shared" si="45"/>
        <v>9.8891717048435065E-2</v>
      </c>
      <c r="AK728" s="47">
        <f>RATE(Table1[[#This Row],[Total No. of Coupons]],Table1[[#This Row],[Coupon Amount]],-Table1[[#This Row],[Ask Price]],Table1[[#This Row],[Face value]])</f>
        <v>9.860342557602654E-2</v>
      </c>
      <c r="AL728" s="27">
        <f>Table1[[#This Row],[IRR]]*Table1[[#This Row],[Coupon Frequency2]]</f>
        <v>0.39441370230410616</v>
      </c>
      <c r="AM728" s="5">
        <f t="shared" si="46"/>
        <v>-2441893.2534118844</v>
      </c>
      <c r="AN728" t="s">
        <v>64</v>
      </c>
      <c r="AO728" t="s">
        <v>62</v>
      </c>
      <c r="AP728">
        <f t="shared" si="47"/>
        <v>4</v>
      </c>
    </row>
    <row r="729" spans="1:42" x14ac:dyDescent="0.35">
      <c r="A729" s="48" t="s">
        <v>1513</v>
      </c>
      <c r="B729" s="49" t="s">
        <v>3045</v>
      </c>
      <c r="C729" s="49" t="s">
        <v>2273</v>
      </c>
      <c r="D729" s="50">
        <v>45440</v>
      </c>
      <c r="E729" s="50">
        <v>46354</v>
      </c>
      <c r="F729" s="49">
        <v>100000</v>
      </c>
      <c r="G729" s="49" t="s">
        <v>76</v>
      </c>
      <c r="H729" s="49">
        <v>100541.85</v>
      </c>
      <c r="I729" s="49" t="s">
        <v>76</v>
      </c>
      <c r="J729" s="49">
        <v>100.54185</v>
      </c>
      <c r="K729" s="49">
        <v>1</v>
      </c>
      <c r="L729" s="51">
        <v>9.9499999999999991E-2</v>
      </c>
      <c r="M729" s="49" t="s">
        <v>105</v>
      </c>
      <c r="N729" s="49">
        <v>437</v>
      </c>
      <c r="O729" s="49">
        <v>9.8963764840213297</v>
      </c>
      <c r="P729" s="49"/>
      <c r="Q729" s="49"/>
      <c r="R729" s="49" t="s">
        <v>2275</v>
      </c>
      <c r="S729">
        <f t="shared" si="44"/>
        <v>3</v>
      </c>
      <c r="T729" s="5" cm="1">
        <f t="array" ref="T7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29">
        <f>Table1[[#This Row],[Term to Maturity (Years)]]*Table1[[#This Row],[Coupon Frequency2]]</f>
        <v>12</v>
      </c>
      <c r="V729">
        <f>Table1[[#This Row],[Face value]]*Table1[[#This Row],[Current coupon %]]</f>
        <v>9950</v>
      </c>
      <c r="W729" s="36">
        <f>RATE(Table1[[#This Row],[Total No. of Coupons]],Table1[[#This Row],[Coupon Amount]],-Table1[[#This Row],[Ask Price]],Table1[[#This Row],[Face value]])</f>
        <v>9.8709782193062437E-2</v>
      </c>
      <c r="X729" s="27">
        <f>Table1[[#This Row],[IRR]]*Table1[[#This Row],[Coupon Frequency2]]</f>
        <v>0.39483912877224975</v>
      </c>
      <c r="Y729" s="19" cm="1">
        <f t="array" ref="Y7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29" s="33">
        <f>DURATION(Table1[[#This Row],[Issue date]],Table1[[#This Row],[Maturity date]],Table1[[#This Row],[Current coupon %]],Table1[[#This Row],[Yield (Annualised)]],Table1[[#This Row],[Coupon Frequency2]])</f>
        <v>2.127956046753734</v>
      </c>
      <c r="AA729" s="33">
        <f>Table1[[#This Row],[Macaulay Duration in Years]]/(1+Table1[[#This Row],[IRR]])</f>
        <v>1.9367771919771757</v>
      </c>
      <c r="AB729" s="58">
        <f>VLOOKUP(Table1[[#This Row],[Yield Cluster]],'Cluster Details'!$B$3:$C$16,2,0)</f>
        <v>0.37868966038993918</v>
      </c>
      <c r="AC729" s="78">
        <f>PRICE(Table1[[#This Row],[Issue date]],Table1[[#This Row],[Maturity date]],Table1[[#This Row],[Current coupon %]],Table1[[#This Row],[Average Cluster Yield]],100,Table1[[#This Row],[Coupon Frequency2]])*Table1[[#This Row],[Face value]]/100</f>
        <v>56113.117331735666</v>
      </c>
      <c r="AD729" s="58" t="str">
        <f>IF(Table1[[#This Row],[Ask Price]]&gt;Table1[[#This Row],[Calculated Bond Price]],"Rich","Cheap")</f>
        <v>Rich</v>
      </c>
      <c r="AE72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53338.358643517</v>
      </c>
      <c r="AF72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55444.987236877663</v>
      </c>
      <c r="AG729" s="78">
        <f>(Table1[[#This Row],[P (+ shock)]]+Table1[[#This Row],[P (-shock)]]-2*Table1[[#This Row],[Ask Price]])/(2*Table1[[#This Row],[Ask Price]]*($AF$2^2))</f>
        <v>-4590.1459998799182</v>
      </c>
      <c r="AI729" s="6">
        <f t="shared" si="45"/>
        <v>9.8963764840213297E-2</v>
      </c>
      <c r="AK729" s="47">
        <f>RATE(Table1[[#This Row],[Total No. of Coupons]],Table1[[#This Row],[Coupon Amount]],-Table1[[#This Row],[Ask Price]],Table1[[#This Row],[Face value]])</f>
        <v>9.8709782193062437E-2</v>
      </c>
      <c r="AL729" s="27">
        <f>Table1[[#This Row],[IRR]]*Table1[[#This Row],[Coupon Frequency2]]</f>
        <v>0.39483912877224975</v>
      </c>
      <c r="AM729" s="5">
        <f t="shared" si="46"/>
        <v>-194727.1619191904</v>
      </c>
      <c r="AN729" t="s">
        <v>64</v>
      </c>
      <c r="AO729" t="s">
        <v>62</v>
      </c>
      <c r="AP729">
        <f t="shared" si="47"/>
        <v>4</v>
      </c>
    </row>
    <row r="730" spans="1:42" x14ac:dyDescent="0.35">
      <c r="A730" s="48" t="s">
        <v>192</v>
      </c>
      <c r="B730" s="49" t="s">
        <v>3046</v>
      </c>
      <c r="C730" s="49" t="s">
        <v>2273</v>
      </c>
      <c r="D730" s="50">
        <v>45309</v>
      </c>
      <c r="E730" s="50">
        <v>48961</v>
      </c>
      <c r="F730" s="49">
        <v>100000</v>
      </c>
      <c r="G730" s="49" t="s">
        <v>76</v>
      </c>
      <c r="H730" s="49">
        <v>100517</v>
      </c>
      <c r="I730" s="49" t="s">
        <v>76</v>
      </c>
      <c r="J730" s="49">
        <v>100.517</v>
      </c>
      <c r="K730" s="49">
        <v>13</v>
      </c>
      <c r="L730" s="51">
        <v>9.9499999999999991E-2</v>
      </c>
      <c r="M730" s="49" t="s">
        <v>105</v>
      </c>
      <c r="N730" s="49">
        <v>3044</v>
      </c>
      <c r="O730" s="49">
        <v>9.8988230846523404</v>
      </c>
      <c r="P730" s="49"/>
      <c r="Q730" s="49"/>
      <c r="R730" s="49" t="s">
        <v>2275</v>
      </c>
      <c r="S730">
        <f t="shared" si="44"/>
        <v>10</v>
      </c>
      <c r="T730" s="5" cm="1">
        <f t="array" ref="T7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0">
        <f>Table1[[#This Row],[Term to Maturity (Years)]]*Table1[[#This Row],[Coupon Frequency2]]</f>
        <v>40</v>
      </c>
      <c r="V730">
        <f>Table1[[#This Row],[Face value]]*Table1[[#This Row],[Current coupon %]]</f>
        <v>9950</v>
      </c>
      <c r="W730" s="36">
        <f>RATE(Table1[[#This Row],[Total No. of Coupons]],Table1[[#This Row],[Coupon Amount]],-Table1[[#This Row],[Ask Price]],Table1[[#This Row],[Face value]])</f>
        <v>9.8976282022123122E-2</v>
      </c>
      <c r="X730" s="27">
        <f>Table1[[#This Row],[IRR]]*Table1[[#This Row],[Coupon Frequency2]]</f>
        <v>0.39590512808849249</v>
      </c>
      <c r="Y730" s="19" cm="1">
        <f t="array" ref="Y7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0" s="33">
        <f>DURATION(Table1[[#This Row],[Issue date]],Table1[[#This Row],[Maturity date]],Table1[[#This Row],[Current coupon %]],Table1[[#This Row],[Yield (Annualised)]],Table1[[#This Row],[Coupon Frequency2]])</f>
        <v>3.1754634399488237</v>
      </c>
      <c r="AA730" s="33">
        <f>Table1[[#This Row],[Macaulay Duration in Years]]/(1+Table1[[#This Row],[IRR]])</f>
        <v>2.8894740422477101</v>
      </c>
      <c r="AB730" s="58">
        <f>VLOOKUP(Table1[[#This Row],[Yield Cluster]],'Cluster Details'!$B$3:$C$16,2,0)</f>
        <v>0.37868966038993918</v>
      </c>
      <c r="AC730" s="78">
        <f>PRICE(Table1[[#This Row],[Issue date]],Table1[[#This Row],[Maturity date]],Table1[[#This Row],[Current coupon %]],Table1[[#This Row],[Average Cluster Yield]],100,Table1[[#This Row],[Coupon Frequency2]])*Table1[[#This Row],[Face value]]/100</f>
        <v>28253.687189317647</v>
      </c>
      <c r="AD730" s="58" t="str">
        <f>IF(Table1[[#This Row],[Ask Price]]&gt;Table1[[#This Row],[Calculated Bond Price]],"Rich","Cheap")</f>
        <v>Rich</v>
      </c>
      <c r="AE73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26094.274115429347</v>
      </c>
      <c r="AF73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27648.571718073144</v>
      </c>
      <c r="AG730" s="78">
        <f>(Table1[[#This Row],[P (+ shock)]]+Table1[[#This Row],[P (-shock)]]-2*Table1[[#This Row],[Ask Price]])/(2*Table1[[#This Row],[Ask Price]]*($AF$2^2))</f>
        <v>-7326.6787790372537</v>
      </c>
      <c r="AI730" s="6">
        <f t="shared" si="45"/>
        <v>9.8988230846523473E-2</v>
      </c>
      <c r="AK730" s="47">
        <f>RATE(Table1[[#This Row],[Total No. of Coupons]],Table1[[#This Row],[Coupon Amount]],-Table1[[#This Row],[Ask Price]],Table1[[#This Row],[Face value]])</f>
        <v>9.8976282022123122E-2</v>
      </c>
      <c r="AL730" s="27">
        <f>Table1[[#This Row],[IRR]]*Table1[[#This Row],[Coupon Frequency2]]</f>
        <v>0.39590512808849249</v>
      </c>
      <c r="AM730" s="5">
        <f t="shared" si="46"/>
        <v>-290441.26230461308</v>
      </c>
      <c r="AN730" t="s">
        <v>64</v>
      </c>
      <c r="AO730" t="s">
        <v>62</v>
      </c>
      <c r="AP730">
        <f t="shared" si="47"/>
        <v>4</v>
      </c>
    </row>
    <row r="731" spans="1:42" x14ac:dyDescent="0.35">
      <c r="A731" s="48" t="s">
        <v>185</v>
      </c>
      <c r="B731" s="49" t="s">
        <v>3047</v>
      </c>
      <c r="C731" s="49" t="s">
        <v>2273</v>
      </c>
      <c r="D731" s="50">
        <v>45349</v>
      </c>
      <c r="E731" s="50">
        <v>48999</v>
      </c>
      <c r="F731" s="49">
        <v>100000</v>
      </c>
      <c r="G731" s="49" t="s">
        <v>76</v>
      </c>
      <c r="H731" s="49">
        <v>100464</v>
      </c>
      <c r="I731" s="49" t="s">
        <v>76</v>
      </c>
      <c r="J731" s="49">
        <v>100.464</v>
      </c>
      <c r="K731" s="49">
        <v>6</v>
      </c>
      <c r="L731" s="51">
        <v>9.9499999999999991E-2</v>
      </c>
      <c r="M731" s="49" t="s">
        <v>105</v>
      </c>
      <c r="N731" s="49">
        <v>3082</v>
      </c>
      <c r="O731" s="49">
        <v>9.90404523013218</v>
      </c>
      <c r="P731" s="49"/>
      <c r="Q731" s="49"/>
      <c r="R731" s="49" t="s">
        <v>2275</v>
      </c>
      <c r="S731">
        <f t="shared" si="44"/>
        <v>10</v>
      </c>
      <c r="T731" s="5" cm="1">
        <f t="array" ref="T7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1">
        <f>Table1[[#This Row],[Term to Maturity (Years)]]*Table1[[#This Row],[Coupon Frequency2]]</f>
        <v>40</v>
      </c>
      <c r="V731">
        <f>Table1[[#This Row],[Face value]]*Table1[[#This Row],[Current coupon %]]</f>
        <v>9950</v>
      </c>
      <c r="W731" s="36">
        <f>RATE(Table1[[#This Row],[Total No. of Coupons]],Table1[[#This Row],[Coupon Amount]],-Table1[[#This Row],[Ask Price]],Table1[[#This Row],[Face value]])</f>
        <v>9.9029738307895826E-2</v>
      </c>
      <c r="X731" s="27">
        <f>Table1[[#This Row],[IRR]]*Table1[[#This Row],[Coupon Frequency2]]</f>
        <v>0.3961189532315833</v>
      </c>
      <c r="Y731" s="19" cm="1">
        <f t="array" ref="Y7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1" s="33">
        <f>DURATION(Table1[[#This Row],[Issue date]],Table1[[#This Row],[Maturity date]],Table1[[#This Row],[Current coupon %]],Table1[[#This Row],[Yield (Annualised)]],Table1[[#This Row],[Coupon Frequency2]])</f>
        <v>3.1682426764980254</v>
      </c>
      <c r="AA731" s="33">
        <f>Table1[[#This Row],[Macaulay Duration in Years]]/(1+Table1[[#This Row],[IRR]])</f>
        <v>2.8827633739701728</v>
      </c>
      <c r="AB731" s="58">
        <f>VLOOKUP(Table1[[#This Row],[Yield Cluster]],'Cluster Details'!$B$3:$C$16,2,0)</f>
        <v>0.37868966038993918</v>
      </c>
      <c r="AC731" s="78">
        <f>PRICE(Table1[[#This Row],[Issue date]],Table1[[#This Row],[Maturity date]],Table1[[#This Row],[Current coupon %]],Table1[[#This Row],[Average Cluster Yield]],100,Table1[[#This Row],[Coupon Frequency2]])*Table1[[#This Row],[Face value]]/100</f>
        <v>28255.315290753544</v>
      </c>
      <c r="AD731" s="58" t="str">
        <f>IF(Table1[[#This Row],[Ask Price]]&gt;Table1[[#This Row],[Calculated Bond Price]],"Rich","Cheap")</f>
        <v>Rich</v>
      </c>
      <c r="AE73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26079.450901346885</v>
      </c>
      <c r="AF73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27632.435490920827</v>
      </c>
      <c r="AG731" s="78">
        <f>(Table1[[#This Row],[P (+ shock)]]+Table1[[#This Row],[P (-shock)]]-2*Table1[[#This Row],[Ask Price]])/(2*Table1[[#This Row],[Ask Price]]*($AF$2^2))</f>
        <v>-7326.8092853028093</v>
      </c>
      <c r="AH731">
        <v>10</v>
      </c>
      <c r="AI731" s="6">
        <f t="shared" si="45"/>
        <v>9.9040452301321871E-2</v>
      </c>
      <c r="AK731" s="47">
        <f>RATE(Table1[[#This Row],[Total No. of Coupons]],Table1[[#This Row],[Coupon Amount]],-Table1[[#This Row],[Ask Price]],Table1[[#This Row],[Face value]])</f>
        <v>9.9029738307895826E-2</v>
      </c>
      <c r="AL731" s="27">
        <f>Table1[[#This Row],[IRR]]*Table1[[#This Row],[Coupon Frequency2]]</f>
        <v>0.3961189532315833</v>
      </c>
      <c r="AM731" s="5">
        <f t="shared" si="46"/>
        <v>-289613.93960253947</v>
      </c>
      <c r="AN731" t="s">
        <v>64</v>
      </c>
      <c r="AO731" t="s">
        <v>62</v>
      </c>
      <c r="AP731">
        <f t="shared" si="47"/>
        <v>4</v>
      </c>
    </row>
    <row r="732" spans="1:42" x14ac:dyDescent="0.35">
      <c r="A732" s="48" t="s">
        <v>753</v>
      </c>
      <c r="B732" s="49" t="s">
        <v>3048</v>
      </c>
      <c r="C732" s="49" t="s">
        <v>2273</v>
      </c>
      <c r="D732" s="50">
        <v>45687</v>
      </c>
      <c r="E732" s="50">
        <v>47148</v>
      </c>
      <c r="F732" s="49">
        <v>100000</v>
      </c>
      <c r="G732" s="49" t="s">
        <v>76</v>
      </c>
      <c r="H732" s="49">
        <v>100762.79</v>
      </c>
      <c r="I732" s="49" t="s">
        <v>76</v>
      </c>
      <c r="J732" s="49">
        <v>100.76279</v>
      </c>
      <c r="K732" s="49">
        <v>1</v>
      </c>
      <c r="L732" s="51">
        <v>0.1</v>
      </c>
      <c r="M732" s="49" t="s">
        <v>105</v>
      </c>
      <c r="N732" s="49">
        <v>1231</v>
      </c>
      <c r="O732" s="49">
        <v>9.9242984438997706</v>
      </c>
      <c r="P732" s="49"/>
      <c r="Q732" s="49"/>
      <c r="R732" s="49" t="s">
        <v>2275</v>
      </c>
      <c r="S732">
        <f t="shared" si="44"/>
        <v>4</v>
      </c>
      <c r="T732" s="5" cm="1">
        <f t="array" ref="T7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2">
        <f>Table1[[#This Row],[Term to Maturity (Years)]]*Table1[[#This Row],[Coupon Frequency2]]</f>
        <v>16</v>
      </c>
      <c r="V732">
        <f>Table1[[#This Row],[Face value]]*Table1[[#This Row],[Current coupon %]]</f>
        <v>10000</v>
      </c>
      <c r="W732" s="36">
        <f>RATE(Table1[[#This Row],[Total No. of Coupons]],Table1[[#This Row],[Coupon Amount]],-Table1[[#This Row],[Ask Price]],Table1[[#This Row],[Face value]])</f>
        <v>9.9030648037140026E-2</v>
      </c>
      <c r="X732" s="27">
        <f>Table1[[#This Row],[IRR]]*Table1[[#This Row],[Coupon Frequency2]]</f>
        <v>0.3961225921485601</v>
      </c>
      <c r="Y732" s="19" cm="1">
        <f t="array" ref="Y7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2" s="33">
        <f>DURATION(Table1[[#This Row],[Issue date]],Table1[[#This Row],[Maturity date]],Table1[[#This Row],[Current coupon %]],Table1[[#This Row],[Yield (Annualised)]],Table1[[#This Row],[Coupon Frequency2]])</f>
        <v>2.8885414459419501</v>
      </c>
      <c r="AA732" s="33">
        <f>Table1[[#This Row],[Macaulay Duration in Years]]/(1+Table1[[#This Row],[IRR]])</f>
        <v>2.6282628706495692</v>
      </c>
      <c r="AB732" s="58">
        <f>VLOOKUP(Table1[[#This Row],[Yield Cluster]],'Cluster Details'!$B$3:$C$16,2,0)</f>
        <v>0.37868966038993918</v>
      </c>
      <c r="AC732" s="78">
        <f>PRICE(Table1[[#This Row],[Issue date]],Table1[[#This Row],[Maturity date]],Table1[[#This Row],[Current coupon %]],Table1[[#This Row],[Average Cluster Yield]],100,Table1[[#This Row],[Coupon Frequency2]])*Table1[[#This Row],[Face value]]/100</f>
        <v>43716.590189635848</v>
      </c>
      <c r="AD732" s="58" t="str">
        <f>IF(Table1[[#This Row],[Ask Price]]&gt;Table1[[#This Row],[Calculated Bond Price]],"Rich","Cheap")</f>
        <v>Rich</v>
      </c>
      <c r="AE73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40666.376111248566</v>
      </c>
      <c r="AF73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42861.193339445803</v>
      </c>
      <c r="AG732" s="78">
        <f>(Table1[[#This Row],[P (+ shock)]]+Table1[[#This Row],[P (-shock)]]-2*Table1[[#This Row],[Ask Price]])/(2*Table1[[#This Row],[Ask Price]]*($AF$2^2))</f>
        <v>-5855.2373623887161</v>
      </c>
      <c r="AH732">
        <v>15.563135340553499</v>
      </c>
      <c r="AI732" s="6">
        <f t="shared" si="45"/>
        <v>9.9242984438997775E-2</v>
      </c>
      <c r="AK732" s="47">
        <f>RATE(Table1[[#This Row],[Total No. of Coupons]],Table1[[#This Row],[Coupon Amount]],-Table1[[#This Row],[Ask Price]],Table1[[#This Row],[Face value]])</f>
        <v>9.9030648037140026E-2</v>
      </c>
      <c r="AL732" s="27">
        <f>Table1[[#This Row],[IRR]]*Table1[[#This Row],[Coupon Frequency2]]</f>
        <v>0.3961225921485601</v>
      </c>
      <c r="AM732" s="5">
        <f t="shared" si="46"/>
        <v>-264831.09970005968</v>
      </c>
      <c r="AN732" t="s">
        <v>64</v>
      </c>
      <c r="AO732" t="s">
        <v>62</v>
      </c>
      <c r="AP732">
        <f t="shared" si="47"/>
        <v>4</v>
      </c>
    </row>
    <row r="733" spans="1:42" x14ac:dyDescent="0.35">
      <c r="A733" s="48" t="s">
        <v>1608</v>
      </c>
      <c r="B733" s="49" t="s">
        <v>3049</v>
      </c>
      <c r="C733" s="49" t="s">
        <v>2273</v>
      </c>
      <c r="D733" s="50">
        <v>45196</v>
      </c>
      <c r="E733" s="50">
        <v>46291</v>
      </c>
      <c r="F733" s="49">
        <v>100000</v>
      </c>
      <c r="G733" s="49" t="s">
        <v>76</v>
      </c>
      <c r="H733" s="49">
        <v>100250</v>
      </c>
      <c r="I733" s="49" t="s">
        <v>76</v>
      </c>
      <c r="J733" s="49">
        <v>100.25</v>
      </c>
      <c r="K733" s="49">
        <v>1</v>
      </c>
      <c r="L733" s="51">
        <v>9.9499999999999991E-2</v>
      </c>
      <c r="M733" s="49" t="s">
        <v>105</v>
      </c>
      <c r="N733" s="49">
        <v>374</v>
      </c>
      <c r="O733" s="49">
        <v>9.9251870324189504</v>
      </c>
      <c r="P733" s="49"/>
      <c r="Q733" s="49"/>
      <c r="R733" s="49" t="s">
        <v>2275</v>
      </c>
      <c r="S733">
        <f t="shared" si="44"/>
        <v>3</v>
      </c>
      <c r="T733" s="5" cm="1">
        <f t="array" ref="T7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3">
        <f>Table1[[#This Row],[Term to Maturity (Years)]]*Table1[[#This Row],[Coupon Frequency2]]</f>
        <v>12</v>
      </c>
      <c r="V733">
        <f>Table1[[#This Row],[Face value]]*Table1[[#This Row],[Current coupon %]]</f>
        <v>9950</v>
      </c>
      <c r="W733" s="36">
        <f>RATE(Table1[[#This Row],[Total No. of Coupons]],Table1[[#This Row],[Coupon Amount]],-Table1[[#This Row],[Ask Price]],Table1[[#This Row],[Face value]])</f>
        <v>9.9134645610993E-2</v>
      </c>
      <c r="X733" s="27">
        <f>Table1[[#This Row],[IRR]]*Table1[[#This Row],[Coupon Frequency2]]</f>
        <v>0.396538582443972</v>
      </c>
      <c r="Y733" s="19" cm="1">
        <f t="array" ref="Y7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3" s="33">
        <f>DURATION(Table1[[#This Row],[Issue date]],Table1[[#This Row],[Maturity date]],Table1[[#This Row],[Current coupon %]],Table1[[#This Row],[Yield (Annualised)]],Table1[[#This Row],[Coupon Frequency2]])</f>
        <v>2.4259928298064426</v>
      </c>
      <c r="AA733" s="33">
        <f>Table1[[#This Row],[Macaulay Duration in Years]]/(1+Table1[[#This Row],[IRR]])</f>
        <v>2.2071843877306483</v>
      </c>
      <c r="AB733" s="58">
        <f>VLOOKUP(Table1[[#This Row],[Yield Cluster]],'Cluster Details'!$B$3:$C$16,2,0)</f>
        <v>0.37868966038993918</v>
      </c>
      <c r="AC733" s="78">
        <f>PRICE(Table1[[#This Row],[Issue date]],Table1[[#This Row],[Maturity date]],Table1[[#This Row],[Current coupon %]],Table1[[#This Row],[Average Cluster Yield]],100,Table1[[#This Row],[Coupon Frequency2]])*Table1[[#This Row],[Face value]]/100</f>
        <v>51199.003381751987</v>
      </c>
      <c r="AD733" s="58" t="str">
        <f>IF(Table1[[#This Row],[Ask Price]]&gt;Table1[[#This Row],[Calculated Bond Price]],"Rich","Cheap")</f>
        <v>Rich</v>
      </c>
      <c r="AE73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48138.659667997381</v>
      </c>
      <c r="AF73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50312.525069012794</v>
      </c>
      <c r="AG733" s="78">
        <f>(Table1[[#This Row],[P (+ shock)]]+Table1[[#This Row],[P (-shock)]]-2*Table1[[#This Row],[Ask Price]])/(2*Table1[[#This Row],[Ask Price]]*($AF$2^2))</f>
        <v>-5089.7164719695675</v>
      </c>
      <c r="AH733">
        <v>9.69985211920695</v>
      </c>
      <c r="AI733" s="6">
        <f t="shared" si="45"/>
        <v>9.9251870324189528E-2</v>
      </c>
      <c r="AK733" s="47">
        <f>RATE(Table1[[#This Row],[Total No. of Coupons]],Table1[[#This Row],[Coupon Amount]],-Table1[[#This Row],[Ask Price]],Table1[[#This Row],[Face value]])</f>
        <v>9.9134645610993E-2</v>
      </c>
      <c r="AL733" s="27">
        <f>Table1[[#This Row],[IRR]]*Table1[[#This Row],[Coupon Frequency2]]</f>
        <v>0.396538582443972</v>
      </c>
      <c r="AM733" s="5">
        <f t="shared" si="46"/>
        <v>-221270.23486999748</v>
      </c>
      <c r="AN733" t="s">
        <v>64</v>
      </c>
      <c r="AO733" t="s">
        <v>62</v>
      </c>
      <c r="AP733">
        <f t="shared" si="47"/>
        <v>4</v>
      </c>
    </row>
    <row r="734" spans="1:42" x14ac:dyDescent="0.35">
      <c r="A734" s="48" t="s">
        <v>1668</v>
      </c>
      <c r="B734" s="49" t="s">
        <v>3050</v>
      </c>
      <c r="C734" s="49" t="s">
        <v>2273</v>
      </c>
      <c r="D734" s="50">
        <v>45526</v>
      </c>
      <c r="E734" s="50">
        <v>46255</v>
      </c>
      <c r="F734" s="49">
        <v>100000</v>
      </c>
      <c r="G734" s="49" t="s">
        <v>76</v>
      </c>
      <c r="H734" s="49">
        <v>99906.77</v>
      </c>
      <c r="I734" s="49" t="s">
        <v>76</v>
      </c>
      <c r="J734" s="49">
        <v>99.906769999999995</v>
      </c>
      <c r="K734" s="49">
        <v>2</v>
      </c>
      <c r="L734" s="51">
        <v>9.9000000000000005E-2</v>
      </c>
      <c r="M734" s="49" t="s">
        <v>105</v>
      </c>
      <c r="N734" s="49">
        <v>338</v>
      </c>
      <c r="O734" s="49">
        <v>9.9092383829444195</v>
      </c>
      <c r="P734" s="49"/>
      <c r="Q734" s="49"/>
      <c r="R734" s="49" t="s">
        <v>2275</v>
      </c>
      <c r="S734">
        <f t="shared" si="44"/>
        <v>2</v>
      </c>
      <c r="T734" s="5" cm="1">
        <f t="array" ref="T7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4">
        <f>Table1[[#This Row],[Term to Maturity (Years)]]*Table1[[#This Row],[Coupon Frequency2]]</f>
        <v>8</v>
      </c>
      <c r="V734">
        <f>Table1[[#This Row],[Face value]]*Table1[[#This Row],[Current coupon %]]</f>
        <v>9900</v>
      </c>
      <c r="W734" s="36">
        <f>RATE(Table1[[#This Row],[Total No. of Coupons]],Table1[[#This Row],[Coupon Amount]],-Table1[[#This Row],[Ask Price]],Table1[[#This Row],[Face value]])</f>
        <v>9.9174229059580496E-2</v>
      </c>
      <c r="X734" s="27">
        <f>Table1[[#This Row],[IRR]]*Table1[[#This Row],[Coupon Frequency2]]</f>
        <v>0.39669691623832198</v>
      </c>
      <c r="Y734" s="19" cm="1">
        <f t="array" ref="Y7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4" s="33">
        <f>DURATION(Table1[[#This Row],[Issue date]],Table1[[#This Row],[Maturity date]],Table1[[#This Row],[Current coupon %]],Table1[[#This Row],[Yield (Annualised)]],Table1[[#This Row],[Coupon Frequency2]])</f>
        <v>1.7775945857707709</v>
      </c>
      <c r="AA734" s="33">
        <f>Table1[[#This Row],[Macaulay Duration in Years]]/(1+Table1[[#This Row],[IRR]])</f>
        <v>1.617209118241087</v>
      </c>
      <c r="AB734" s="58">
        <f>VLOOKUP(Table1[[#This Row],[Yield Cluster]],'Cluster Details'!$B$3:$C$16,2,0)</f>
        <v>0.37868966038993918</v>
      </c>
      <c r="AC734" s="78">
        <f>PRICE(Table1[[#This Row],[Issue date]],Table1[[#This Row],[Maturity date]],Table1[[#This Row],[Current coupon %]],Table1[[#This Row],[Average Cluster Yield]],100,Table1[[#This Row],[Coupon Frequency2]])*Table1[[#This Row],[Face value]]/100</f>
        <v>61997.089819352419</v>
      </c>
      <c r="AD734" s="58" t="str">
        <f>IF(Table1[[#This Row],[Ask Price]]&gt;Table1[[#This Row],[Calculated Bond Price]],"Rich","Cheap")</f>
        <v>Rich</v>
      </c>
      <c r="AE73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59246.666696194116</v>
      </c>
      <c r="AF73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61195.185239445651</v>
      </c>
      <c r="AG734" s="78">
        <f>(Table1[[#This Row],[P (+ shock)]]+Table1[[#This Row],[P (-shock)]]-2*Table1[[#This Row],[Ask Price]])/(2*Table1[[#This Row],[Ask Price]]*($AF$2^2))</f>
        <v>-3972.2877671032816</v>
      </c>
      <c r="AH734">
        <v>17.5532890639155</v>
      </c>
      <c r="AI734" s="6">
        <f t="shared" si="45"/>
        <v>9.9092383829444186E-2</v>
      </c>
      <c r="AK734" s="47">
        <f>RATE(Table1[[#This Row],[Total No. of Coupons]],Table1[[#This Row],[Coupon Amount]],-Table1[[#This Row],[Ask Price]],Table1[[#This Row],[Face value]])</f>
        <v>9.9174229059580496E-2</v>
      </c>
      <c r="AL734" s="27">
        <f>Table1[[#This Row],[IRR]]*Table1[[#This Row],[Coupon Frequency2]]</f>
        <v>0.39669691623832198</v>
      </c>
      <c r="AM734" s="5">
        <f t="shared" si="46"/>
        <v>-161570.13941801508</v>
      </c>
      <c r="AN734" t="s">
        <v>64</v>
      </c>
      <c r="AO734" t="s">
        <v>62</v>
      </c>
      <c r="AP734">
        <f t="shared" si="47"/>
        <v>4</v>
      </c>
    </row>
    <row r="735" spans="1:42" x14ac:dyDescent="0.35">
      <c r="A735" s="48" t="s">
        <v>1447</v>
      </c>
      <c r="B735" s="49" t="s">
        <v>3051</v>
      </c>
      <c r="C735" s="49" t="s">
        <v>2273</v>
      </c>
      <c r="D735" s="50">
        <v>45813</v>
      </c>
      <c r="E735" s="50">
        <v>46393</v>
      </c>
      <c r="F735" s="49">
        <v>10000</v>
      </c>
      <c r="G735" s="49" t="s">
        <v>76</v>
      </c>
      <c r="H735" s="49">
        <v>9952.7800000000007</v>
      </c>
      <c r="I735" s="49" t="s">
        <v>76</v>
      </c>
      <c r="J735" s="49">
        <v>99.527799999999999</v>
      </c>
      <c r="K735" s="49">
        <v>1</v>
      </c>
      <c r="L735" s="51">
        <v>9.8599999999999993E-2</v>
      </c>
      <c r="M735" s="49" t="s">
        <v>105</v>
      </c>
      <c r="N735" s="49">
        <v>476</v>
      </c>
      <c r="O735" s="49">
        <v>9.9067798142830394</v>
      </c>
      <c r="P735" s="49"/>
      <c r="Q735" s="49"/>
      <c r="R735" s="49" t="s">
        <v>2275</v>
      </c>
      <c r="S735">
        <f t="shared" si="44"/>
        <v>2</v>
      </c>
      <c r="T735" s="5" cm="1">
        <f t="array" ref="T7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5">
        <f>Table1[[#This Row],[Term to Maturity (Years)]]*Table1[[#This Row],[Coupon Frequency2]]</f>
        <v>8</v>
      </c>
      <c r="V735">
        <f>Table1[[#This Row],[Face value]]*Table1[[#This Row],[Current coupon %]]</f>
        <v>985.99999999999989</v>
      </c>
      <c r="W735" s="36">
        <f>RATE(Table1[[#This Row],[Total No. of Coupons]],Table1[[#This Row],[Coupon Amount]],-Table1[[#This Row],[Ask Price]],Table1[[#This Row],[Face value]])</f>
        <v>9.9483446896880129E-2</v>
      </c>
      <c r="X735" s="27">
        <f>Table1[[#This Row],[IRR]]*Table1[[#This Row],[Coupon Frequency2]]</f>
        <v>0.39793378758752052</v>
      </c>
      <c r="Y735" s="19" cm="1">
        <f t="array" ref="Y7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5" s="33">
        <f>DURATION(Table1[[#This Row],[Issue date]],Table1[[#This Row],[Maturity date]],Table1[[#This Row],[Current coupon %]],Table1[[#This Row],[Yield (Annualised)]],Table1[[#This Row],[Coupon Frequency2]])</f>
        <v>1.4263236655580025</v>
      </c>
      <c r="AA735" s="33">
        <f>Table1[[#This Row],[Macaulay Duration in Years]]/(1+Table1[[#This Row],[IRR]])</f>
        <v>1.2972670662605952</v>
      </c>
      <c r="AB735" s="58">
        <f>VLOOKUP(Table1[[#This Row],[Yield Cluster]],'Cluster Details'!$B$3:$C$16,2,0)</f>
        <v>0.37868966038993918</v>
      </c>
      <c r="AC735" s="78">
        <f>PRICE(Table1[[#This Row],[Issue date]],Table1[[#This Row],[Maturity date]],Table1[[#This Row],[Current coupon %]],Table1[[#This Row],[Average Cluster Yield]],100,Table1[[#This Row],[Coupon Frequency2]])*Table1[[#This Row],[Face value]]/100</f>
        <v>6767.743724120447</v>
      </c>
      <c r="AD735" s="58" t="str">
        <f>IF(Table1[[#This Row],[Ask Price]]&gt;Table1[[#This Row],[Calculated Bond Price]],"Rich","Cheap")</f>
        <v>Rich</v>
      </c>
      <c r="AE73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6509.4033268744961</v>
      </c>
      <c r="AF73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6684.7497673403359</v>
      </c>
      <c r="AG735" s="78">
        <f>(Table1[[#This Row],[P (+ shock)]]+Table1[[#This Row],[P (-shock)]]-2*Table1[[#This Row],[Ask Price]])/(2*Table1[[#This Row],[Ask Price]]*($AF$2^2))</f>
        <v>-3371.6242626608696</v>
      </c>
      <c r="AI735" s="6">
        <f t="shared" si="45"/>
        <v>9.9067798142830427E-2</v>
      </c>
      <c r="AK735" s="47">
        <f>RATE(Table1[[#This Row],[Total No. of Coupons]],Table1[[#This Row],[Coupon Amount]],-Table1[[#This Row],[Ask Price]],Table1[[#This Row],[Face value]])</f>
        <v>9.9483446896880129E-2</v>
      </c>
      <c r="AL735" s="27">
        <f>Table1[[#This Row],[IRR]]*Table1[[#This Row],[Coupon Frequency2]]</f>
        <v>0.39793378758752052</v>
      </c>
      <c r="AM735" s="5">
        <f t="shared" si="46"/>
        <v>-12911.413711737127</v>
      </c>
      <c r="AN735" t="s">
        <v>69</v>
      </c>
      <c r="AO735" t="s">
        <v>62</v>
      </c>
      <c r="AP735">
        <f t="shared" si="47"/>
        <v>4</v>
      </c>
    </row>
    <row r="736" spans="1:42" x14ac:dyDescent="0.35">
      <c r="A736" s="48" t="s">
        <v>202</v>
      </c>
      <c r="B736" s="49" t="s">
        <v>3052</v>
      </c>
      <c r="C736" s="49" t="s">
        <v>2273</v>
      </c>
      <c r="D736" s="50">
        <v>45275</v>
      </c>
      <c r="E736" s="50">
        <v>48928</v>
      </c>
      <c r="F736" s="49">
        <v>100000</v>
      </c>
      <c r="G736" s="49" t="s">
        <v>76</v>
      </c>
      <c r="H736" s="49">
        <v>100000</v>
      </c>
      <c r="I736" s="49" t="s">
        <v>76</v>
      </c>
      <c r="J736" s="49">
        <v>100</v>
      </c>
      <c r="K736" s="49">
        <v>11</v>
      </c>
      <c r="L736" s="51">
        <v>9.9499999999999991E-2</v>
      </c>
      <c r="M736" s="49" t="s">
        <v>105</v>
      </c>
      <c r="N736" s="49">
        <v>3011</v>
      </c>
      <c r="O736" s="49">
        <v>9.9499999999999993</v>
      </c>
      <c r="P736" s="49"/>
      <c r="Q736" s="49"/>
      <c r="R736" s="49" t="s">
        <v>2275</v>
      </c>
      <c r="S736">
        <f t="shared" si="44"/>
        <v>10</v>
      </c>
      <c r="T736" s="5" cm="1">
        <f t="array" ref="T7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6">
        <f>Table1[[#This Row],[Term to Maturity (Years)]]*Table1[[#This Row],[Coupon Frequency2]]</f>
        <v>40</v>
      </c>
      <c r="V736">
        <f>Table1[[#This Row],[Face value]]*Table1[[#This Row],[Current coupon %]]</f>
        <v>9950</v>
      </c>
      <c r="W736" s="36">
        <f>RATE(Table1[[#This Row],[Total No. of Coupons]],Table1[[#This Row],[Coupon Amount]],-Table1[[#This Row],[Ask Price]],Table1[[#This Row],[Face value]])</f>
        <v>9.9499999999999991E-2</v>
      </c>
      <c r="X736" s="27">
        <f>Table1[[#This Row],[IRR]]*Table1[[#This Row],[Coupon Frequency2]]</f>
        <v>0.39799999999999996</v>
      </c>
      <c r="Y736" s="19" cm="1">
        <f t="array" ref="Y7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6" s="33">
        <f>DURATION(Table1[[#This Row],[Issue date]],Table1[[#This Row],[Maturity date]],Table1[[#This Row],[Current coupon %]],Table1[[#This Row],[Yield (Annualised)]],Table1[[#This Row],[Coupon Frequency2]])</f>
        <v>3.1619790458604315</v>
      </c>
      <c r="AA736" s="33">
        <f>Table1[[#This Row],[Macaulay Duration in Years]]/(1+Table1[[#This Row],[IRR]])</f>
        <v>2.8758336024196742</v>
      </c>
      <c r="AB736" s="58">
        <f>VLOOKUP(Table1[[#This Row],[Yield Cluster]],'Cluster Details'!$B$3:$C$16,2,0)</f>
        <v>0.37868966038993918</v>
      </c>
      <c r="AC736" s="78">
        <f>PRICE(Table1[[#This Row],[Issue date]],Table1[[#This Row],[Maturity date]],Table1[[#This Row],[Current coupon %]],Table1[[#This Row],[Average Cluster Yield]],100,Table1[[#This Row],[Coupon Frequency2]])*Table1[[#This Row],[Face value]]/100</f>
        <v>28252.916005119743</v>
      </c>
      <c r="AD736" s="58" t="str">
        <f>IF(Table1[[#This Row],[Ask Price]]&gt;Table1[[#This Row],[Calculated Bond Price]],"Rich","Cheap")</f>
        <v>Rich</v>
      </c>
      <c r="AE73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25940.826327084847</v>
      </c>
      <c r="AF73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27476.851018076824</v>
      </c>
      <c r="AG736" s="78">
        <f>(Table1[[#This Row],[P (+ shock)]]+Table1[[#This Row],[P (-shock)]]-2*Table1[[#This Row],[Ask Price]])/(2*Table1[[#This Row],[Ask Price]]*($AF$2^2))</f>
        <v>-7329.1161327419159</v>
      </c>
      <c r="AH736">
        <v>13.4671358131073</v>
      </c>
      <c r="AI736" s="6">
        <f t="shared" si="45"/>
        <v>9.9500000000000005E-2</v>
      </c>
      <c r="AK736" s="47">
        <f>RATE(Table1[[#This Row],[Total No. of Coupons]],Table1[[#This Row],[Coupon Amount]],-Table1[[#This Row],[Ask Price]],Table1[[#This Row],[Face value]])</f>
        <v>9.9499999999999991E-2</v>
      </c>
      <c r="AL736" s="27">
        <f>Table1[[#This Row],[IRR]]*Table1[[#This Row],[Coupon Frequency2]]</f>
        <v>0.39799999999999996</v>
      </c>
      <c r="AM736" s="5">
        <f t="shared" si="46"/>
        <v>-287583.36024196743</v>
      </c>
      <c r="AN736" t="s">
        <v>69</v>
      </c>
      <c r="AO736" t="s">
        <v>62</v>
      </c>
      <c r="AP736">
        <f t="shared" si="47"/>
        <v>4</v>
      </c>
    </row>
    <row r="737" spans="1:42" x14ac:dyDescent="0.35">
      <c r="A737" s="48" t="s">
        <v>3053</v>
      </c>
      <c r="B737" s="49" t="s">
        <v>3054</v>
      </c>
      <c r="C737" s="49" t="s">
        <v>2273</v>
      </c>
      <c r="D737" s="50">
        <v>45868</v>
      </c>
      <c r="E737" s="50">
        <v>46417</v>
      </c>
      <c r="F737" s="49">
        <v>100000</v>
      </c>
      <c r="G737" s="49" t="s">
        <v>76</v>
      </c>
      <c r="H737" s="49">
        <v>101376</v>
      </c>
      <c r="I737" s="49" t="s">
        <v>76</v>
      </c>
      <c r="J737" s="49">
        <v>101.376</v>
      </c>
      <c r="K737" s="49">
        <v>7</v>
      </c>
      <c r="L737" s="51">
        <v>0.10249999999999999</v>
      </c>
      <c r="M737" s="49" t="s">
        <v>105</v>
      </c>
      <c r="N737" s="49">
        <v>500</v>
      </c>
      <c r="O737" s="49">
        <v>10.110874368686799</v>
      </c>
      <c r="P737" s="49"/>
      <c r="Q737" s="49"/>
      <c r="R737" s="49" t="s">
        <v>2275</v>
      </c>
      <c r="S737">
        <f t="shared" si="44"/>
        <v>2</v>
      </c>
      <c r="T737" s="5" cm="1">
        <f t="array" ref="T7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7">
        <f>Table1[[#This Row],[Term to Maturity (Years)]]*Table1[[#This Row],[Coupon Frequency2]]</f>
        <v>8</v>
      </c>
      <c r="V737">
        <f>Table1[[#This Row],[Face value]]*Table1[[#This Row],[Current coupon %]]</f>
        <v>10250</v>
      </c>
      <c r="W737" s="36">
        <f>RATE(Table1[[#This Row],[Total No. of Coupons]],Table1[[#This Row],[Coupon Amount]],-Table1[[#This Row],[Ask Price]],Table1[[#This Row],[Face value]])</f>
        <v>9.9921507281455893E-2</v>
      </c>
      <c r="X737" s="27">
        <f>Table1[[#This Row],[IRR]]*Table1[[#This Row],[Coupon Frequency2]]</f>
        <v>0.39968602912582357</v>
      </c>
      <c r="Y737" s="19" cm="1">
        <f t="array" ref="Y7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8</v>
      </c>
      <c r="Z737" s="33">
        <f>DURATION(Table1[[#This Row],[Issue date]],Table1[[#This Row],[Maturity date]],Table1[[#This Row],[Current coupon %]],Table1[[#This Row],[Yield (Annualised)]],Table1[[#This Row],[Coupon Frequency2]])</f>
        <v>1.3854470065844022</v>
      </c>
      <c r="AA737" s="33">
        <f>Table1[[#This Row],[Macaulay Duration in Years]]/(1+Table1[[#This Row],[IRR]])</f>
        <v>1.259587159095239</v>
      </c>
      <c r="AB737" s="58">
        <f>VLOOKUP(Table1[[#This Row],[Yield Cluster]],'Cluster Details'!$B$3:$C$16,2,0)</f>
        <v>0.37868966038993918</v>
      </c>
      <c r="AC737" s="78">
        <f>PRICE(Table1[[#This Row],[Issue date]],Table1[[#This Row],[Maturity date]],Table1[[#This Row],[Current coupon %]],Table1[[#This Row],[Average Cluster Yield]],100,Table1[[#This Row],[Coupon Frequency2]])*Table1[[#This Row],[Face value]]/100</f>
        <v>69452.675698902574</v>
      </c>
      <c r="AD737" s="58" t="str">
        <f>IF(Table1[[#This Row],[Ask Price]]&gt;Table1[[#This Row],[Calculated Bond Price]],"Rich","Cheap")</f>
        <v>Rich</v>
      </c>
      <c r="AE73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66789.136778688946</v>
      </c>
      <c r="AF73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68493.046479498822</v>
      </c>
      <c r="AG737" s="78">
        <f>(Table1[[#This Row],[P (+ shock)]]+Table1[[#This Row],[P (-shock)]]-2*Table1[[#This Row],[Ask Price]])/(2*Table1[[#This Row],[Ask Price]]*($AF$2^2))</f>
        <v>-3327.7016622184842</v>
      </c>
      <c r="AH737">
        <v>10.389335344622801</v>
      </c>
      <c r="AI737" s="6">
        <f t="shared" si="45"/>
        <v>0.10110874368686869</v>
      </c>
      <c r="AK737" s="47">
        <f>RATE(Table1[[#This Row],[Total No. of Coupons]],Table1[[#This Row],[Coupon Amount]],-Table1[[#This Row],[Ask Price]],Table1[[#This Row],[Face value]])</f>
        <v>9.9921507281455893E-2</v>
      </c>
      <c r="AL737" s="27">
        <f>Table1[[#This Row],[IRR]]*Table1[[#This Row],[Coupon Frequency2]]</f>
        <v>0.39968602912582357</v>
      </c>
      <c r="AM737" s="5">
        <f t="shared" si="46"/>
        <v>-127691.90784043894</v>
      </c>
      <c r="AN737" t="s">
        <v>64</v>
      </c>
      <c r="AO737" t="s">
        <v>62</v>
      </c>
      <c r="AP737">
        <f t="shared" si="47"/>
        <v>4</v>
      </c>
    </row>
    <row r="738" spans="1:42" x14ac:dyDescent="0.35">
      <c r="A738" s="48" t="s">
        <v>3055</v>
      </c>
      <c r="B738" s="49" t="s">
        <v>3056</v>
      </c>
      <c r="C738" s="49" t="s">
        <v>2273</v>
      </c>
      <c r="D738" s="50">
        <v>45877</v>
      </c>
      <c r="E738" s="50">
        <v>46973</v>
      </c>
      <c r="F738" s="49">
        <v>100000</v>
      </c>
      <c r="G738" s="49" t="s">
        <v>76</v>
      </c>
      <c r="H738" s="49">
        <v>98150</v>
      </c>
      <c r="I738" s="49" t="s">
        <v>76</v>
      </c>
      <c r="J738" s="49">
        <v>98.15</v>
      </c>
      <c r="K738" s="49">
        <v>2</v>
      </c>
      <c r="L738" s="51">
        <v>9.7500000000000003E-2</v>
      </c>
      <c r="M738" s="49" t="s">
        <v>105</v>
      </c>
      <c r="N738" s="49">
        <v>1056</v>
      </c>
      <c r="O738" s="49">
        <v>9.9337748344370809</v>
      </c>
      <c r="P738" s="49"/>
      <c r="Q738" s="49"/>
      <c r="R738" s="49" t="s">
        <v>2275</v>
      </c>
      <c r="S738">
        <f t="shared" si="44"/>
        <v>3</v>
      </c>
      <c r="T738" s="5" cm="1">
        <f t="array" ref="T7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8">
        <f>Table1[[#This Row],[Term to Maturity (Years)]]*Table1[[#This Row],[Coupon Frequency2]]</f>
        <v>12</v>
      </c>
      <c r="V738">
        <f>Table1[[#This Row],[Face value]]*Table1[[#This Row],[Current coupon %]]</f>
        <v>9750</v>
      </c>
      <c r="W738" s="36">
        <f>RATE(Table1[[#This Row],[Total No. of Coupons]],Table1[[#This Row],[Coupon Amount]],-Table1[[#This Row],[Ask Price]],Table1[[#This Row],[Face value]])</f>
        <v>0.10021802171617199</v>
      </c>
      <c r="X738" s="27">
        <f>Table1[[#This Row],[IRR]]*Table1[[#This Row],[Coupon Frequency2]]</f>
        <v>0.40087208686468795</v>
      </c>
      <c r="Y738" s="19" cm="1">
        <f t="array" ref="Y7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38" s="33">
        <f>DURATION(Table1[[#This Row],[Issue date]],Table1[[#This Row],[Maturity date]],Table1[[#This Row],[Current coupon %]],Table1[[#This Row],[Yield (Annualised)]],Table1[[#This Row],[Coupon Frequency2]])</f>
        <v>2.4329688542469823</v>
      </c>
      <c r="AA738" s="33">
        <f>Table1[[#This Row],[Macaulay Duration in Years]]/(1+Table1[[#This Row],[IRR]])</f>
        <v>2.211351574165203</v>
      </c>
      <c r="AB738" s="58">
        <f>VLOOKUP(Table1[[#This Row],[Yield Cluster]],'Cluster Details'!$B$3:$C$16,2,0)</f>
        <v>0.41726513499454237</v>
      </c>
      <c r="AC738" s="78">
        <f>PRICE(Table1[[#This Row],[Issue date]],Table1[[#This Row],[Maturity date]],Table1[[#This Row],[Current coupon %]],Table1[[#This Row],[Average Cluster Yield]],100,Table1[[#This Row],[Coupon Frequency2]])*Table1[[#This Row],[Face value]]/100</f>
        <v>46663.293280781385</v>
      </c>
      <c r="AD738" s="58" t="str">
        <f>IF(Table1[[#This Row],[Ask Price]]&gt;Table1[[#This Row],[Calculated Bond Price]],"Rich","Cheap")</f>
        <v>Rich</v>
      </c>
      <c r="AE73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47322.841233737272</v>
      </c>
      <c r="AF73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49462.761478256667</v>
      </c>
      <c r="AG738" s="78">
        <f>(Table1[[#This Row],[P (+ shock)]]+Table1[[#This Row],[P (-shock)]]-2*Table1[[#This Row],[Ask Price]])/(2*Table1[[#This Row],[Ask Price]]*($AF$2^2))</f>
        <v>-5069.5057202244552</v>
      </c>
      <c r="AH738">
        <v>10.674060215159599</v>
      </c>
      <c r="AI738" s="6">
        <f t="shared" si="45"/>
        <v>9.9337748344370855E-2</v>
      </c>
      <c r="AK738" s="47">
        <f>RATE(Table1[[#This Row],[Total No. of Coupons]],Table1[[#This Row],[Coupon Amount]],-Table1[[#This Row],[Ask Price]],Table1[[#This Row],[Face value]])</f>
        <v>0.10021802171617199</v>
      </c>
      <c r="AL738" s="27">
        <f>Table1[[#This Row],[IRR]]*Table1[[#This Row],[Coupon Frequency2]]</f>
        <v>0.40087208686468795</v>
      </c>
      <c r="AM738" s="5">
        <f t="shared" si="46"/>
        <v>-217044.15700431468</v>
      </c>
      <c r="AN738" t="s">
        <v>64</v>
      </c>
      <c r="AO738" t="s">
        <v>62</v>
      </c>
      <c r="AP738">
        <f t="shared" si="47"/>
        <v>4</v>
      </c>
    </row>
    <row r="739" spans="1:42" x14ac:dyDescent="0.35">
      <c r="A739" s="48" t="s">
        <v>394</v>
      </c>
      <c r="B739" s="49" t="s">
        <v>3057</v>
      </c>
      <c r="C739" s="49" t="s">
        <v>2273</v>
      </c>
      <c r="D739" s="50">
        <v>44207</v>
      </c>
      <c r="E739" s="50">
        <v>47858</v>
      </c>
      <c r="F739" s="49">
        <v>1000000</v>
      </c>
      <c r="G739" s="49" t="s">
        <v>76</v>
      </c>
      <c r="H739" s="49">
        <v>1094624.5900000001</v>
      </c>
      <c r="I739" s="49" t="s">
        <v>76</v>
      </c>
      <c r="J739" s="49">
        <v>109.462459</v>
      </c>
      <c r="K739" s="49">
        <v>6</v>
      </c>
      <c r="L739" s="51">
        <v>0.1101</v>
      </c>
      <c r="M739" s="49" t="s">
        <v>105</v>
      </c>
      <c r="N739" s="49">
        <v>1941</v>
      </c>
      <c r="O739" s="49">
        <v>10.058242890377601</v>
      </c>
      <c r="P739" s="49"/>
      <c r="Q739" s="49"/>
      <c r="R739" s="49" t="s">
        <v>2275</v>
      </c>
      <c r="S739">
        <f t="shared" si="44"/>
        <v>10</v>
      </c>
      <c r="T739" s="5" cm="1">
        <f t="array" ref="T7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39">
        <f>Table1[[#This Row],[Term to Maturity (Years)]]*Table1[[#This Row],[Coupon Frequency2]]</f>
        <v>40</v>
      </c>
      <c r="V739">
        <f>Table1[[#This Row],[Face value]]*Table1[[#This Row],[Current coupon %]]</f>
        <v>110100</v>
      </c>
      <c r="W739" s="36">
        <f>RATE(Table1[[#This Row],[Total No. of Coupons]],Table1[[#This Row],[Coupon Amount]],-Table1[[#This Row],[Ask Price]],Table1[[#This Row],[Face value]])</f>
        <v>0.10038917030065632</v>
      </c>
      <c r="X739" s="27">
        <f>Table1[[#This Row],[IRR]]*Table1[[#This Row],[Coupon Frequency2]]</f>
        <v>0.40155668120262528</v>
      </c>
      <c r="Y739" s="19" cm="1">
        <f t="array" ref="Y7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39" s="33">
        <f>DURATION(Table1[[#This Row],[Issue date]],Table1[[#This Row],[Maturity date]],Table1[[#This Row],[Current coupon %]],Table1[[#This Row],[Yield (Annualised)]],Table1[[#This Row],[Coupon Frequency2]])</f>
        <v>3.07691428101682</v>
      </c>
      <c r="AA739" s="33">
        <f>Table1[[#This Row],[Macaulay Duration in Years]]/(1+Table1[[#This Row],[IRR]])</f>
        <v>2.7962055280643332</v>
      </c>
      <c r="AB739" s="58">
        <f>VLOOKUP(Table1[[#This Row],[Yield Cluster]],'Cluster Details'!$B$3:$C$16,2,0)</f>
        <v>0.41726513499454237</v>
      </c>
      <c r="AC739" s="78">
        <f>PRICE(Table1[[#This Row],[Issue date]],Table1[[#This Row],[Maturity date]],Table1[[#This Row],[Current coupon %]],Table1[[#This Row],[Average Cluster Yield]],100,Table1[[#This Row],[Coupon Frequency2]])*Table1[[#This Row],[Face value]]/100</f>
        <v>277768.18274951057</v>
      </c>
      <c r="AD739" s="58" t="str">
        <f>IF(Table1[[#This Row],[Ask Price]]&gt;Table1[[#This Row],[Calculated Bond Price]],"Rich","Cheap")</f>
        <v>Rich</v>
      </c>
      <c r="AE73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282094.19937692228</v>
      </c>
      <c r="AF73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298339.74584335112</v>
      </c>
      <c r="AG739" s="78">
        <f>(Table1[[#This Row],[P (+ shock)]]+Table1[[#This Row],[P (-shock)]]-2*Table1[[#This Row],[Ask Price]])/(2*Table1[[#This Row],[Ask Price]]*($AF$2^2))</f>
        <v>-7348.7077189620168</v>
      </c>
      <c r="AH739">
        <v>8.9121400069745693</v>
      </c>
      <c r="AI739" s="6">
        <f t="shared" si="45"/>
        <v>0.10058242890377604</v>
      </c>
      <c r="AK739" s="47">
        <f>RATE(Table1[[#This Row],[Total No. of Coupons]],Table1[[#This Row],[Coupon Amount]],-Table1[[#This Row],[Ask Price]],Table1[[#This Row],[Face value]])</f>
        <v>0.10038917030065632</v>
      </c>
      <c r="AL739" s="27">
        <f>Table1[[#This Row],[IRR]]*Table1[[#This Row],[Coupon Frequency2]]</f>
        <v>0.40155668120262528</v>
      </c>
      <c r="AM739" s="5">
        <f t="shared" si="46"/>
        <v>-3060795.3297131546</v>
      </c>
      <c r="AN739" t="s">
        <v>64</v>
      </c>
      <c r="AO739" t="s">
        <v>62</v>
      </c>
      <c r="AP739">
        <f t="shared" si="47"/>
        <v>4</v>
      </c>
    </row>
    <row r="740" spans="1:42" x14ac:dyDescent="0.35">
      <c r="A740" s="48" t="s">
        <v>1512</v>
      </c>
      <c r="B740" s="49" t="s">
        <v>3058</v>
      </c>
      <c r="C740" s="49" t="s">
        <v>2273</v>
      </c>
      <c r="D740" s="50">
        <v>45259</v>
      </c>
      <c r="E740" s="50">
        <v>46355</v>
      </c>
      <c r="F740" s="49">
        <v>100000</v>
      </c>
      <c r="G740" s="49" t="s">
        <v>76</v>
      </c>
      <c r="H740" s="49">
        <v>99020.68</v>
      </c>
      <c r="I740" s="49" t="s">
        <v>76</v>
      </c>
      <c r="J740" s="49">
        <v>99.020679999999999</v>
      </c>
      <c r="K740" s="49">
        <v>5</v>
      </c>
      <c r="L740" s="51">
        <v>9.9000000000000005E-2</v>
      </c>
      <c r="M740" s="49" t="s">
        <v>105</v>
      </c>
      <c r="N740" s="49">
        <v>438</v>
      </c>
      <c r="O740" s="49">
        <v>9.9979115473656606</v>
      </c>
      <c r="P740" s="49"/>
      <c r="Q740" s="49"/>
      <c r="R740" s="49" t="s">
        <v>2275</v>
      </c>
      <c r="S740">
        <f t="shared" si="44"/>
        <v>3</v>
      </c>
      <c r="T740" s="5" cm="1">
        <f t="array" ref="T7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0">
        <f>Table1[[#This Row],[Term to Maturity (Years)]]*Table1[[#This Row],[Coupon Frequency2]]</f>
        <v>12</v>
      </c>
      <c r="V740">
        <f>Table1[[#This Row],[Face value]]*Table1[[#This Row],[Current coupon %]]</f>
        <v>9900</v>
      </c>
      <c r="W740" s="36">
        <f>RATE(Table1[[#This Row],[Total No. of Coupons]],Table1[[#This Row],[Coupon Amount]],-Table1[[#This Row],[Ask Price]],Table1[[#This Row],[Face value]])</f>
        <v>0.10044038450322756</v>
      </c>
      <c r="X740" s="27">
        <f>Table1[[#This Row],[IRR]]*Table1[[#This Row],[Coupon Frequency2]]</f>
        <v>0.40176153801291026</v>
      </c>
      <c r="Y740" s="19" cm="1">
        <f t="array" ref="Y7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0" s="33">
        <f>DURATION(Table1[[#This Row],[Issue date]],Table1[[#This Row],[Maturity date]],Table1[[#This Row],[Current coupon %]],Table1[[#This Row],[Yield (Annualised)]],Table1[[#This Row],[Coupon Frequency2]])</f>
        <v>2.4265709060883576</v>
      </c>
      <c r="AA740" s="33">
        <f>Table1[[#This Row],[Macaulay Duration in Years]]/(1+Table1[[#This Row],[IRR]])</f>
        <v>2.2050907439059371</v>
      </c>
      <c r="AB740" s="58">
        <f>VLOOKUP(Table1[[#This Row],[Yield Cluster]],'Cluster Details'!$B$3:$C$16,2,0)</f>
        <v>0.41726513499454237</v>
      </c>
      <c r="AC740" s="78">
        <f>PRICE(Table1[[#This Row],[Issue date]],Table1[[#This Row],[Maturity date]],Table1[[#This Row],[Current coupon %]],Table1[[#This Row],[Average Cluster Yield]],100,Table1[[#This Row],[Coupon Frequency2]])*Table1[[#This Row],[Face value]]/100</f>
        <v>46913.492728198311</v>
      </c>
      <c r="AD740" s="58" t="str">
        <f>IF(Table1[[#This Row],[Ask Price]]&gt;Table1[[#This Row],[Calculated Bond Price]],"Rich","Cheap")</f>
        <v>Rich</v>
      </c>
      <c r="AE74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47482.258946752278</v>
      </c>
      <c r="AF74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49623.174043648185</v>
      </c>
      <c r="AG740" s="78">
        <f>(Table1[[#This Row],[P (+ shock)]]+Table1[[#This Row],[P (-shock)]]-2*Table1[[#This Row],[Ask Price]])/(2*Table1[[#This Row],[Ask Price]]*($AF$2^2))</f>
        <v>-5096.7094454208718</v>
      </c>
      <c r="AH740">
        <v>7.8380588538666798</v>
      </c>
      <c r="AI740" s="6">
        <f t="shared" si="45"/>
        <v>9.9979115473656621E-2</v>
      </c>
      <c r="AK740" s="47">
        <f>RATE(Table1[[#This Row],[Total No. of Coupons]],Table1[[#This Row],[Coupon Amount]],-Table1[[#This Row],[Ask Price]],Table1[[#This Row],[Face value]])</f>
        <v>0.10044038450322756</v>
      </c>
      <c r="AL740" s="27">
        <f>Table1[[#This Row],[IRR]]*Table1[[#This Row],[Coupon Frequency2]]</f>
        <v>0.40176153801291026</v>
      </c>
      <c r="AM740" s="5">
        <f t="shared" si="46"/>
        <v>-218349.58492327173</v>
      </c>
      <c r="AN740" t="s">
        <v>64</v>
      </c>
      <c r="AO740" t="s">
        <v>62</v>
      </c>
      <c r="AP740">
        <f t="shared" si="47"/>
        <v>4</v>
      </c>
    </row>
    <row r="741" spans="1:42" x14ac:dyDescent="0.35">
      <c r="A741" s="48" t="s">
        <v>1159</v>
      </c>
      <c r="B741" s="49" t="s">
        <v>3059</v>
      </c>
      <c r="C741" s="49" t="s">
        <v>2273</v>
      </c>
      <c r="D741" s="50">
        <v>45560</v>
      </c>
      <c r="E741" s="50">
        <v>46655</v>
      </c>
      <c r="F741" s="49">
        <v>1000</v>
      </c>
      <c r="G741" s="49" t="s">
        <v>76</v>
      </c>
      <c r="H741" s="49">
        <v>1014.29</v>
      </c>
      <c r="I741" s="49" t="s">
        <v>76</v>
      </c>
      <c r="J741" s="49">
        <v>101.42899999999899</v>
      </c>
      <c r="K741" s="49">
        <v>225</v>
      </c>
      <c r="L741" s="51">
        <v>0.10300000000000001</v>
      </c>
      <c r="M741" s="49" t="s">
        <v>105</v>
      </c>
      <c r="N741" s="49">
        <v>738</v>
      </c>
      <c r="O741" s="49">
        <v>10.1548866694929</v>
      </c>
      <c r="P741" s="49"/>
      <c r="Q741" s="49"/>
      <c r="R741" s="49" t="s">
        <v>2275</v>
      </c>
      <c r="S741">
        <f t="shared" si="44"/>
        <v>3</v>
      </c>
      <c r="T741" s="5" cm="1">
        <f t="array" ref="T7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1">
        <f>Table1[[#This Row],[Term to Maturity (Years)]]*Table1[[#This Row],[Coupon Frequency2]]</f>
        <v>12</v>
      </c>
      <c r="V741">
        <f>Table1[[#This Row],[Face value]]*Table1[[#This Row],[Current coupon %]]</f>
        <v>103.00000000000001</v>
      </c>
      <c r="W741" s="36">
        <f>RATE(Table1[[#This Row],[Total No. of Coupons]],Table1[[#This Row],[Coupon Amount]],-Table1[[#This Row],[Ask Price]],Table1[[#This Row],[Face value]])</f>
        <v>0.10089356360734635</v>
      </c>
      <c r="X741" s="27">
        <f>Table1[[#This Row],[IRR]]*Table1[[#This Row],[Coupon Frequency2]]</f>
        <v>0.40357425442938538</v>
      </c>
      <c r="Y741" s="19" cm="1">
        <f t="array" ref="Y7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1" s="33">
        <f>DURATION(Table1[[#This Row],[Issue date]],Table1[[#This Row],[Maturity date]],Table1[[#This Row],[Current coupon %]],Table1[[#This Row],[Yield (Annualised)]],Table1[[#This Row],[Coupon Frequency2]])</f>
        <v>2.4102007629034197</v>
      </c>
      <c r="AA741" s="33">
        <f>Table1[[#This Row],[Macaulay Duration in Years]]/(1+Table1[[#This Row],[IRR]])</f>
        <v>2.1893131566741193</v>
      </c>
      <c r="AB741" s="58">
        <f>VLOOKUP(Table1[[#This Row],[Yield Cluster]],'Cluster Details'!$B$3:$C$16,2,0)</f>
        <v>0.41726513499454237</v>
      </c>
      <c r="AC741" s="78">
        <f>PRICE(Table1[[#This Row],[Issue date]],Table1[[#This Row],[Maturity date]],Table1[[#This Row],[Current coupon %]],Table1[[#This Row],[Average Cluster Yield]],100,Table1[[#This Row],[Coupon Frequency2]])*Table1[[#This Row],[Face value]]/100</f>
        <v>475.80691254643398</v>
      </c>
      <c r="AD741" s="58" t="str">
        <f>IF(Table1[[#This Row],[Ask Price]]&gt;Table1[[#This Row],[Calculated Bond Price]],"Rich","Cheap")</f>
        <v>Rich</v>
      </c>
      <c r="AE74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479.6416400821588</v>
      </c>
      <c r="AF74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501.10992708033888</v>
      </c>
      <c r="AG741" s="78">
        <f>(Table1[[#This Row],[P (+ shock)]]+Table1[[#This Row],[P (-shock)]]-2*Table1[[#This Row],[Ask Price]])/(2*Table1[[#This Row],[Ask Price]]*($AF$2^2))</f>
        <v>-5165.3296041442891</v>
      </c>
      <c r="AH741">
        <v>7.3049409883793102</v>
      </c>
      <c r="AI741" s="6">
        <f t="shared" si="45"/>
        <v>0.10154886669492948</v>
      </c>
      <c r="AK741" s="47">
        <f>RATE(Table1[[#This Row],[Total No. of Coupons]],Table1[[#This Row],[Coupon Amount]],-Table1[[#This Row],[Ask Price]],Table1[[#This Row],[Face value]])</f>
        <v>0.10089356360734635</v>
      </c>
      <c r="AL741" s="27">
        <f>Table1[[#This Row],[IRR]]*Table1[[#This Row],[Coupon Frequency2]]</f>
        <v>0.40357425442938538</v>
      </c>
      <c r="AM741" s="5">
        <f t="shared" si="46"/>
        <v>-2220.5984416829924</v>
      </c>
      <c r="AN741" t="s">
        <v>64</v>
      </c>
      <c r="AO741" t="s">
        <v>62</v>
      </c>
      <c r="AP741">
        <f t="shared" si="47"/>
        <v>4</v>
      </c>
    </row>
    <row r="742" spans="1:42" x14ac:dyDescent="0.35">
      <c r="A742" s="48" t="s">
        <v>1981</v>
      </c>
      <c r="B742" s="49" t="s">
        <v>3060</v>
      </c>
      <c r="C742" s="49" t="s">
        <v>2273</v>
      </c>
      <c r="D742" s="50">
        <v>45407</v>
      </c>
      <c r="E742" s="50">
        <v>46047</v>
      </c>
      <c r="F742" s="49">
        <v>100000</v>
      </c>
      <c r="G742" s="49" t="s">
        <v>76</v>
      </c>
      <c r="H742" s="49">
        <v>100363.45</v>
      </c>
      <c r="I742" s="49" t="s">
        <v>76</v>
      </c>
      <c r="J742" s="49">
        <v>100.36345</v>
      </c>
      <c r="K742" s="49">
        <v>5</v>
      </c>
      <c r="L742" s="51">
        <v>0.10199999999999999</v>
      </c>
      <c r="M742" s="49" t="s">
        <v>105</v>
      </c>
      <c r="N742" s="49">
        <v>130</v>
      </c>
      <c r="O742" s="49">
        <v>10.1630623498893</v>
      </c>
      <c r="P742" s="49"/>
      <c r="Q742" s="49"/>
      <c r="R742" s="49" t="s">
        <v>2275</v>
      </c>
      <c r="S742">
        <f t="shared" si="44"/>
        <v>2</v>
      </c>
      <c r="T742" s="5" cm="1">
        <f t="array" ref="T7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2">
        <f>Table1[[#This Row],[Term to Maturity (Years)]]*Table1[[#This Row],[Coupon Frequency2]]</f>
        <v>8</v>
      </c>
      <c r="V742">
        <f>Table1[[#This Row],[Face value]]*Table1[[#This Row],[Current coupon %]]</f>
        <v>10200</v>
      </c>
      <c r="W742" s="36">
        <f>RATE(Table1[[#This Row],[Total No. of Coupons]],Table1[[#This Row],[Coupon Amount]],-Table1[[#This Row],[Ask Price]],Table1[[#This Row],[Face value]])</f>
        <v>0.10131546884745964</v>
      </c>
      <c r="X742" s="27">
        <f>Table1[[#This Row],[IRR]]*Table1[[#This Row],[Coupon Frequency2]]</f>
        <v>0.40526187538983854</v>
      </c>
      <c r="Y742" s="19" cm="1">
        <f t="array" ref="Y7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2" s="33">
        <f>DURATION(Table1[[#This Row],[Issue date]],Table1[[#This Row],[Maturity date]],Table1[[#This Row],[Current coupon %]],Table1[[#This Row],[Yield (Annualised)]],Table1[[#This Row],[Coupon Frequency2]])</f>
        <v>1.5847109476878265</v>
      </c>
      <c r="AA742" s="33">
        <f>Table1[[#This Row],[Macaulay Duration in Years]]/(1+Table1[[#This Row],[IRR]])</f>
        <v>1.4389255327052168</v>
      </c>
      <c r="AB742" s="58">
        <f>VLOOKUP(Table1[[#This Row],[Yield Cluster]],'Cluster Details'!$B$3:$C$16,2,0)</f>
        <v>0.41726513499454237</v>
      </c>
      <c r="AC742" s="78">
        <f>PRICE(Table1[[#This Row],[Issue date]],Table1[[#This Row],[Maturity date]],Table1[[#This Row],[Current coupon %]],Table1[[#This Row],[Average Cluster Yield]],100,Table1[[#This Row],[Coupon Frequency2]])*Table1[[#This Row],[Face value]]/100</f>
        <v>62168.175009473329</v>
      </c>
      <c r="AD742" s="58" t="str">
        <f>IF(Table1[[#This Row],[Ask Price]]&gt;Table1[[#This Row],[Calculated Bond Price]],"Rich","Cheap")</f>
        <v>Rich</v>
      </c>
      <c r="AE74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62347.006494592475</v>
      </c>
      <c r="AF74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64167.330622496462</v>
      </c>
      <c r="AG742" s="78">
        <f>(Table1[[#This Row],[P (+ shock)]]+Table1[[#This Row],[P (-shock)]]-2*Table1[[#This Row],[Ask Price]])/(2*Table1[[#This Row],[Ask Price]]*($AF$2^2))</f>
        <v>-3697.190704529939</v>
      </c>
      <c r="AH742">
        <v>12.063846839829701</v>
      </c>
      <c r="AI742" s="6">
        <f t="shared" si="45"/>
        <v>0.10163062349889328</v>
      </c>
      <c r="AK742" s="47">
        <f>RATE(Table1[[#This Row],[Total No. of Coupons]],Table1[[#This Row],[Coupon Amount]],-Table1[[#This Row],[Ask Price]],Table1[[#This Row],[Face value]])</f>
        <v>0.10131546884745964</v>
      </c>
      <c r="AL742" s="27">
        <f>Table1[[#This Row],[IRR]]*Table1[[#This Row],[Coupon Frequency2]]</f>
        <v>0.40526187538983854</v>
      </c>
      <c r="AM742" s="5">
        <f t="shared" si="46"/>
        <v>-144415.5307553834</v>
      </c>
      <c r="AN742" t="s">
        <v>64</v>
      </c>
      <c r="AO742" t="s">
        <v>62</v>
      </c>
      <c r="AP742">
        <f t="shared" si="47"/>
        <v>4</v>
      </c>
    </row>
    <row r="743" spans="1:42" x14ac:dyDescent="0.35">
      <c r="A743" s="48" t="s">
        <v>1932</v>
      </c>
      <c r="B743" s="49" t="s">
        <v>3061</v>
      </c>
      <c r="C743" s="49" t="s">
        <v>2273</v>
      </c>
      <c r="D743" s="50">
        <v>45350</v>
      </c>
      <c r="E743" s="50">
        <v>46081</v>
      </c>
      <c r="F743" s="49">
        <v>100000</v>
      </c>
      <c r="G743" s="49" t="s">
        <v>76</v>
      </c>
      <c r="H743" s="49">
        <v>99000</v>
      </c>
      <c r="I743" s="49" t="s">
        <v>76</v>
      </c>
      <c r="J743" s="49">
        <v>99</v>
      </c>
      <c r="K743" s="49">
        <v>1</v>
      </c>
      <c r="L743" s="51">
        <v>9.9499999999999991E-2</v>
      </c>
      <c r="M743" s="49" t="s">
        <v>105</v>
      </c>
      <c r="N743" s="49">
        <v>164</v>
      </c>
      <c r="O743" s="49">
        <v>10.050505050505</v>
      </c>
      <c r="P743" s="49"/>
      <c r="Q743" s="49"/>
      <c r="R743" s="49" t="s">
        <v>2275</v>
      </c>
      <c r="S743">
        <f t="shared" si="44"/>
        <v>2</v>
      </c>
      <c r="T743" s="5" cm="1">
        <f t="array" ref="T7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3">
        <f>Table1[[#This Row],[Term to Maturity (Years)]]*Table1[[#This Row],[Coupon Frequency2]]</f>
        <v>8</v>
      </c>
      <c r="V743">
        <f>Table1[[#This Row],[Face value]]*Table1[[#This Row],[Current coupon %]]</f>
        <v>9950</v>
      </c>
      <c r="W743" s="36">
        <f>RATE(Table1[[#This Row],[Total No. of Coupons]],Table1[[#This Row],[Coupon Amount]],-Table1[[#This Row],[Ask Price]],Table1[[#This Row],[Face value]])</f>
        <v>0.10138389383236641</v>
      </c>
      <c r="X743" s="27">
        <f>Table1[[#This Row],[IRR]]*Table1[[#This Row],[Coupon Frequency2]]</f>
        <v>0.40553557532946566</v>
      </c>
      <c r="Y743" s="19" cm="1">
        <f t="array" ref="Y7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3" s="33">
        <f>DURATION(Table1[[#This Row],[Issue date]],Table1[[#This Row],[Maturity date]],Table1[[#This Row],[Current coupon %]],Table1[[#This Row],[Yield (Annualised)]],Table1[[#This Row],[Coupon Frequency2]])</f>
        <v>1.7116519217647854</v>
      </c>
      <c r="AA743" s="33">
        <f>Table1[[#This Row],[Macaulay Duration in Years]]/(1+Table1[[#This Row],[IRR]])</f>
        <v>1.5540920212741949</v>
      </c>
      <c r="AB743" s="58">
        <f>VLOOKUP(Table1[[#This Row],[Yield Cluster]],'Cluster Details'!$B$3:$C$16,2,0)</f>
        <v>0.41726513499454237</v>
      </c>
      <c r="AC743" s="78">
        <f>PRICE(Table1[[#This Row],[Issue date]],Table1[[#This Row],[Maturity date]],Table1[[#This Row],[Current coupon %]],Table1[[#This Row],[Average Cluster Yield]],100,Table1[[#This Row],[Coupon Frequency2]])*Table1[[#This Row],[Face value]]/100</f>
        <v>58197.927167733265</v>
      </c>
      <c r="AD743" s="58" t="str">
        <f>IF(Table1[[#This Row],[Ask Price]]&gt;Table1[[#This Row],[Calculated Bond Price]],"Rich","Cheap")</f>
        <v>Rich</v>
      </c>
      <c r="AE74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58360.376051799998</v>
      </c>
      <c r="AF74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60279.595223128439</v>
      </c>
      <c r="AG743" s="78">
        <f>(Table1[[#This Row],[P (+ shock)]]+Table1[[#This Row],[P (-shock)]]-2*Table1[[#This Row],[Ask Price]])/(2*Table1[[#This Row],[Ask Price]]*($AF$2^2))</f>
        <v>-4008.0822588419978</v>
      </c>
      <c r="AH743">
        <v>10.5005463597562</v>
      </c>
      <c r="AI743" s="6">
        <f t="shared" si="45"/>
        <v>0.1005050505050505</v>
      </c>
      <c r="AK743" s="47">
        <f>RATE(Table1[[#This Row],[Total No. of Coupons]],Table1[[#This Row],[Coupon Amount]],-Table1[[#This Row],[Ask Price]],Table1[[#This Row],[Face value]])</f>
        <v>0.10138389383236641</v>
      </c>
      <c r="AL743" s="27">
        <f>Table1[[#This Row],[IRR]]*Table1[[#This Row],[Coupon Frequency2]]</f>
        <v>0.40553557532946566</v>
      </c>
      <c r="AM743" s="5">
        <f t="shared" si="46"/>
        <v>-153855.11010614529</v>
      </c>
      <c r="AN743" t="s">
        <v>64</v>
      </c>
      <c r="AO743" t="s">
        <v>62</v>
      </c>
      <c r="AP743">
        <f t="shared" si="47"/>
        <v>4</v>
      </c>
    </row>
    <row r="744" spans="1:42" x14ac:dyDescent="0.35">
      <c r="A744" s="48" t="s">
        <v>3062</v>
      </c>
      <c r="B744" s="49" t="s">
        <v>3063</v>
      </c>
      <c r="C744" s="49" t="s">
        <v>2273</v>
      </c>
      <c r="D744" s="50">
        <v>45902</v>
      </c>
      <c r="E744" s="50">
        <v>46448</v>
      </c>
      <c r="F744" s="49">
        <v>100000</v>
      </c>
      <c r="G744" s="49" t="s">
        <v>76</v>
      </c>
      <c r="H744" s="49">
        <v>100421.23</v>
      </c>
      <c r="I744" s="49" t="s">
        <v>76</v>
      </c>
      <c r="J744" s="49">
        <v>100.42122999999999</v>
      </c>
      <c r="K744" s="49">
        <v>26</v>
      </c>
      <c r="L744" s="51">
        <v>0.10249999999999999</v>
      </c>
      <c r="M744" s="49" t="s">
        <v>105</v>
      </c>
      <c r="N744" s="49">
        <v>531</v>
      </c>
      <c r="O744" s="49">
        <v>10.2070050327007</v>
      </c>
      <c r="P744" s="49"/>
      <c r="Q744" s="49"/>
      <c r="R744" s="49" t="s">
        <v>2275</v>
      </c>
      <c r="S744">
        <f t="shared" si="44"/>
        <v>2</v>
      </c>
      <c r="T744" s="5" cm="1">
        <f t="array" ref="T7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4">
        <f>Table1[[#This Row],[Term to Maturity (Years)]]*Table1[[#This Row],[Coupon Frequency2]]</f>
        <v>8</v>
      </c>
      <c r="V744">
        <f>Table1[[#This Row],[Face value]]*Table1[[#This Row],[Current coupon %]]</f>
        <v>10250</v>
      </c>
      <c r="W744" s="36">
        <f>RATE(Table1[[#This Row],[Total No. of Coupons]],Table1[[#This Row],[Coupon Amount]],-Table1[[#This Row],[Ask Price]],Table1[[#This Row],[Face value]])</f>
        <v>0.10170552067993566</v>
      </c>
      <c r="X744" s="27">
        <f>Table1[[#This Row],[IRR]]*Table1[[#This Row],[Coupon Frequency2]]</f>
        <v>0.40682208271974263</v>
      </c>
      <c r="Y744" s="19" cm="1">
        <f t="array" ref="Y7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4" s="33">
        <f>DURATION(Table1[[#This Row],[Issue date]],Table1[[#This Row],[Maturity date]],Table1[[#This Row],[Current coupon %]],Table1[[#This Row],[Yield (Annualised)]],Table1[[#This Row],[Coupon Frequency2]])</f>
        <v>1.3848231835485427</v>
      </c>
      <c r="AA744" s="33">
        <f>Table1[[#This Row],[Macaulay Duration in Years]]/(1+Table1[[#This Row],[IRR]])</f>
        <v>1.2569812509370712</v>
      </c>
      <c r="AB744" s="58">
        <f>VLOOKUP(Table1[[#This Row],[Yield Cluster]],'Cluster Details'!$B$3:$C$16,2,0)</f>
        <v>0.41726513499454237</v>
      </c>
      <c r="AC744" s="78">
        <f>PRICE(Table1[[#This Row],[Issue date]],Table1[[#This Row],[Maturity date]],Table1[[#This Row],[Current coupon %]],Table1[[#This Row],[Average Cluster Yield]],100,Table1[[#This Row],[Coupon Frequency2]])*Table1[[#This Row],[Face value]]/100</f>
        <v>66157.086986318245</v>
      </c>
      <c r="AD744" s="58" t="str">
        <f>IF(Table1[[#This Row],[Ask Price]]&gt;Table1[[#This Row],[Calculated Bond Price]],"Rich","Cheap")</f>
        <v>Rich</v>
      </c>
      <c r="AE74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66193.8315380477</v>
      </c>
      <c r="AF74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67879.016106916402</v>
      </c>
      <c r="AG744" s="78">
        <f>(Table1[[#This Row],[P (+ shock)]]+Table1[[#This Row],[P (-shock)]]-2*Table1[[#This Row],[Ask Price]])/(2*Table1[[#This Row],[Ask Price]]*($AF$2^2))</f>
        <v>-3324.4769236064863</v>
      </c>
      <c r="AH744">
        <v>9.1067327016939394</v>
      </c>
      <c r="AI744" s="6">
        <f t="shared" si="45"/>
        <v>0.10207005032700756</v>
      </c>
      <c r="AK744" s="47">
        <f>RATE(Table1[[#This Row],[Total No. of Coupons]],Table1[[#This Row],[Coupon Amount]],-Table1[[#This Row],[Ask Price]],Table1[[#This Row],[Face value]])</f>
        <v>0.10170552067993566</v>
      </c>
      <c r="AL744" s="27">
        <f>Table1[[#This Row],[IRR]]*Table1[[#This Row],[Coupon Frequency2]]</f>
        <v>0.40682208271974263</v>
      </c>
      <c r="AM744" s="5">
        <f t="shared" si="46"/>
        <v>-126227.60330603934</v>
      </c>
      <c r="AN744" t="s">
        <v>64</v>
      </c>
      <c r="AO744" t="s">
        <v>62</v>
      </c>
      <c r="AP744">
        <f t="shared" si="47"/>
        <v>4</v>
      </c>
    </row>
    <row r="745" spans="1:42" x14ac:dyDescent="0.35">
      <c r="A745" s="48" t="s">
        <v>1817</v>
      </c>
      <c r="B745" s="49" t="s">
        <v>3064</v>
      </c>
      <c r="C745" s="49" t="s">
        <v>2273</v>
      </c>
      <c r="D745" s="50">
        <v>45061</v>
      </c>
      <c r="E745" s="50">
        <v>46167</v>
      </c>
      <c r="F745" s="49">
        <v>100000</v>
      </c>
      <c r="G745" s="49" t="s">
        <v>76</v>
      </c>
      <c r="H745" s="49">
        <v>100000</v>
      </c>
      <c r="I745" s="49" t="s">
        <v>76</v>
      </c>
      <c r="J745" s="49">
        <v>100</v>
      </c>
      <c r="K745" s="49">
        <v>10</v>
      </c>
      <c r="L745" s="51">
        <v>0.10249999999999999</v>
      </c>
      <c r="M745" s="49" t="s">
        <v>105</v>
      </c>
      <c r="N745" s="49">
        <v>250</v>
      </c>
      <c r="O745" s="49">
        <v>10.25</v>
      </c>
      <c r="P745" s="49"/>
      <c r="Q745" s="49"/>
      <c r="R745" s="49" t="s">
        <v>2275</v>
      </c>
      <c r="S745">
        <f t="shared" si="44"/>
        <v>3</v>
      </c>
      <c r="T745" s="5" cm="1">
        <f t="array" ref="T7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5">
        <f>Table1[[#This Row],[Term to Maturity (Years)]]*Table1[[#This Row],[Coupon Frequency2]]</f>
        <v>12</v>
      </c>
      <c r="V745">
        <f>Table1[[#This Row],[Face value]]*Table1[[#This Row],[Current coupon %]]</f>
        <v>10250</v>
      </c>
      <c r="W745" s="36">
        <f>RATE(Table1[[#This Row],[Total No. of Coupons]],Table1[[#This Row],[Coupon Amount]],-Table1[[#This Row],[Ask Price]],Table1[[#This Row],[Face value]])</f>
        <v>0.10250000000000252</v>
      </c>
      <c r="X745" s="27">
        <f>Table1[[#This Row],[IRR]]*Table1[[#This Row],[Coupon Frequency2]]</f>
        <v>0.41000000000001008</v>
      </c>
      <c r="Y745" s="19" cm="1">
        <f t="array" ref="Y7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5" s="33">
        <f>DURATION(Table1[[#This Row],[Issue date]],Table1[[#This Row],[Maturity date]],Table1[[#This Row],[Current coupon %]],Table1[[#This Row],[Yield (Annualised)]],Table1[[#This Row],[Coupon Frequency2]])</f>
        <v>2.3133324008647795</v>
      </c>
      <c r="AA745" s="33">
        <f>Table1[[#This Row],[Macaulay Duration in Years]]/(1+Table1[[#This Row],[IRR]])</f>
        <v>2.0982606810564848</v>
      </c>
      <c r="AB745" s="58">
        <f>VLOOKUP(Table1[[#This Row],[Yield Cluster]],'Cluster Details'!$B$3:$C$16,2,0)</f>
        <v>0.41726513499454237</v>
      </c>
      <c r="AC745" s="78">
        <f>PRICE(Table1[[#This Row],[Issue date]],Table1[[#This Row],[Maturity date]],Table1[[#This Row],[Current coupon %]],Table1[[#This Row],[Average Cluster Yield]],100,Table1[[#This Row],[Coupon Frequency2]])*Table1[[#This Row],[Face value]]/100</f>
        <v>47233.128031653076</v>
      </c>
      <c r="AD745" s="58" t="str">
        <f>IF(Table1[[#This Row],[Ask Price]]&gt;Table1[[#This Row],[Calculated Bond Price]],"Rich","Cheap")</f>
        <v>Rich</v>
      </c>
      <c r="AE74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46951.444033108797</v>
      </c>
      <c r="AF74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49061.318245822658</v>
      </c>
      <c r="AG745" s="78">
        <f>(Table1[[#This Row],[P (+ shock)]]+Table1[[#This Row],[P (-shock)]]-2*Table1[[#This Row],[Ask Price]])/(2*Table1[[#This Row],[Ask Price]]*($AF$2^2))</f>
        <v>-5199.361886053428</v>
      </c>
      <c r="AI745" s="6">
        <f t="shared" si="45"/>
        <v>0.10249999999999999</v>
      </c>
      <c r="AK745" s="47">
        <f>RATE(Table1[[#This Row],[Total No. of Coupons]],Table1[[#This Row],[Coupon Amount]],-Table1[[#This Row],[Ask Price]],Table1[[#This Row],[Face value]])</f>
        <v>0.10250000000000252</v>
      </c>
      <c r="AL745" s="27">
        <f>Table1[[#This Row],[IRR]]*Table1[[#This Row],[Coupon Frequency2]]</f>
        <v>0.41000000000001008</v>
      </c>
      <c r="AM745" s="5">
        <f t="shared" si="46"/>
        <v>-209826.06810564848</v>
      </c>
      <c r="AN745" t="s">
        <v>64</v>
      </c>
      <c r="AO745" t="s">
        <v>62</v>
      </c>
      <c r="AP745">
        <f t="shared" si="47"/>
        <v>4</v>
      </c>
    </row>
    <row r="746" spans="1:42" x14ac:dyDescent="0.35">
      <c r="A746" s="48" t="s">
        <v>2051</v>
      </c>
      <c r="B746" s="49" t="s">
        <v>3065</v>
      </c>
      <c r="C746" s="49" t="s">
        <v>2273</v>
      </c>
      <c r="D746" s="50">
        <v>45278</v>
      </c>
      <c r="E746" s="50">
        <v>46009</v>
      </c>
      <c r="F746" s="49">
        <v>100000</v>
      </c>
      <c r="G746" s="49" t="s">
        <v>76</v>
      </c>
      <c r="H746" s="49">
        <v>99055.55</v>
      </c>
      <c r="I746" s="49" t="s">
        <v>76</v>
      </c>
      <c r="J746" s="49">
        <v>99.055549999999997</v>
      </c>
      <c r="K746" s="49">
        <v>2</v>
      </c>
      <c r="L746" s="51">
        <v>0.1011</v>
      </c>
      <c r="M746" s="49" t="s">
        <v>105</v>
      </c>
      <c r="N746" s="49">
        <v>92</v>
      </c>
      <c r="O746" s="49">
        <v>10.206394290880199</v>
      </c>
      <c r="P746" s="49"/>
      <c r="Q746" s="49"/>
      <c r="R746" s="49" t="s">
        <v>2275</v>
      </c>
      <c r="S746">
        <f t="shared" si="44"/>
        <v>2</v>
      </c>
      <c r="T746" s="5" cm="1">
        <f t="array" ref="T7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6">
        <f>Table1[[#This Row],[Term to Maturity (Years)]]*Table1[[#This Row],[Coupon Frequency2]]</f>
        <v>8</v>
      </c>
      <c r="V746">
        <f>Table1[[#This Row],[Face value]]*Table1[[#This Row],[Current coupon %]]</f>
        <v>10110</v>
      </c>
      <c r="W746" s="36">
        <f>RATE(Table1[[#This Row],[Total No. of Coupons]],Table1[[#This Row],[Coupon Amount]],-Table1[[#This Row],[Ask Price]],Table1[[#This Row],[Face value]])</f>
        <v>0.10288897588434605</v>
      </c>
      <c r="X746" s="27">
        <f>Table1[[#This Row],[IRR]]*Table1[[#This Row],[Coupon Frequency2]]</f>
        <v>0.41155590353738419</v>
      </c>
      <c r="Y746" s="19" cm="1">
        <f t="array" ref="Y7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6" s="33">
        <f>DURATION(Table1[[#This Row],[Issue date]],Table1[[#This Row],[Maturity date]],Table1[[#This Row],[Current coupon %]],Table1[[#This Row],[Yield (Annualised)]],Table1[[#This Row],[Coupon Frequency2]])</f>
        <v>1.7734365016383968</v>
      </c>
      <c r="AA746" s="33">
        <f>Table1[[#This Row],[Macaulay Duration in Years]]/(1+Table1[[#This Row],[IRR]])</f>
        <v>1.6079918653791743</v>
      </c>
      <c r="AB746" s="58">
        <f>VLOOKUP(Table1[[#This Row],[Yield Cluster]],'Cluster Details'!$B$3:$C$16,2,0)</f>
        <v>0.41726513499454237</v>
      </c>
      <c r="AC746" s="78">
        <f>PRICE(Table1[[#This Row],[Issue date]],Table1[[#This Row],[Maturity date]],Table1[[#This Row],[Current coupon %]],Table1[[#This Row],[Average Cluster Yield]],100,Table1[[#This Row],[Coupon Frequency2]])*Table1[[#This Row],[Face value]]/100</f>
        <v>58486.573036061673</v>
      </c>
      <c r="AD746" s="58" t="str">
        <f>IF(Table1[[#This Row],[Ask Price]]&gt;Table1[[#This Row],[Calculated Bond Price]],"Rich","Cheap")</f>
        <v>Rich</v>
      </c>
      <c r="AE74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58085.543787196475</v>
      </c>
      <c r="AF74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59983.929976268497</v>
      </c>
      <c r="AG746" s="78">
        <f>(Table1[[#This Row],[P (+ shock)]]+Table1[[#This Row],[P (-shock)]]-2*Table1[[#This Row],[Ask Price]])/(2*Table1[[#This Row],[Ask Price]]*($AF$2^2))</f>
        <v>-4040.239352390402</v>
      </c>
      <c r="AH746">
        <v>11.3518795846113</v>
      </c>
      <c r="AI746" s="6">
        <f t="shared" si="45"/>
        <v>0.10206394290880218</v>
      </c>
      <c r="AK746" s="47">
        <f>RATE(Table1[[#This Row],[Total No. of Coupons]],Table1[[#This Row],[Coupon Amount]],-Table1[[#This Row],[Ask Price]],Table1[[#This Row],[Face value]])</f>
        <v>0.10288897588434605</v>
      </c>
      <c r="AL746" s="27">
        <f>Table1[[#This Row],[IRR]]*Table1[[#This Row],[Coupon Frequency2]]</f>
        <v>0.41155590353738419</v>
      </c>
      <c r="AM746" s="5">
        <f t="shared" si="46"/>
        <v>-159280.51862066006</v>
      </c>
      <c r="AN746" t="s">
        <v>64</v>
      </c>
      <c r="AO746" t="s">
        <v>62</v>
      </c>
      <c r="AP746">
        <f t="shared" si="47"/>
        <v>4</v>
      </c>
    </row>
    <row r="747" spans="1:42" x14ac:dyDescent="0.35">
      <c r="A747" s="48" t="s">
        <v>1905</v>
      </c>
      <c r="B747" s="49" t="s">
        <v>3066</v>
      </c>
      <c r="C747" s="49" t="s">
        <v>2273</v>
      </c>
      <c r="D747" s="50">
        <v>45463</v>
      </c>
      <c r="E747" s="50">
        <v>46101</v>
      </c>
      <c r="F747" s="49">
        <v>100000</v>
      </c>
      <c r="G747" s="49" t="s">
        <v>76</v>
      </c>
      <c r="H747" s="49">
        <v>99475.24</v>
      </c>
      <c r="I747" s="49" t="s">
        <v>76</v>
      </c>
      <c r="J747" s="49">
        <v>99.475239999999999</v>
      </c>
      <c r="K747" s="49">
        <v>2</v>
      </c>
      <c r="L747" s="51">
        <v>0.10249999999999999</v>
      </c>
      <c r="M747" s="49" t="s">
        <v>105</v>
      </c>
      <c r="N747" s="49">
        <v>184</v>
      </c>
      <c r="O747" s="49">
        <v>10.304071646371399</v>
      </c>
      <c r="P747" s="49"/>
      <c r="Q747" s="49"/>
      <c r="R747" s="49" t="s">
        <v>2275</v>
      </c>
      <c r="S747">
        <f t="shared" si="44"/>
        <v>2</v>
      </c>
      <c r="T747" s="5" cm="1">
        <f t="array" ref="T7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7">
        <f>Table1[[#This Row],[Term to Maturity (Years)]]*Table1[[#This Row],[Coupon Frequency2]]</f>
        <v>8</v>
      </c>
      <c r="V747">
        <f>Table1[[#This Row],[Face value]]*Table1[[#This Row],[Current coupon %]]</f>
        <v>10250</v>
      </c>
      <c r="W747" s="36">
        <f>RATE(Table1[[#This Row],[Total No. of Coupons]],Table1[[#This Row],[Coupon Amount]],-Table1[[#This Row],[Ask Price]],Table1[[#This Row],[Face value]])</f>
        <v>0.10349618487064297</v>
      </c>
      <c r="X747" s="27">
        <f>Table1[[#This Row],[IRR]]*Table1[[#This Row],[Coupon Frequency2]]</f>
        <v>0.41398473948257186</v>
      </c>
      <c r="Y747" s="19" cm="1">
        <f t="array" ref="Y7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7" s="33">
        <f>DURATION(Table1[[#This Row],[Issue date]],Table1[[#This Row],[Maturity date]],Table1[[#This Row],[Current coupon %]],Table1[[#This Row],[Yield (Annualised)]],Table1[[#This Row],[Coupon Frequency2]])</f>
        <v>1.5827831144206981</v>
      </c>
      <c r="AA747" s="33">
        <f>Table1[[#This Row],[Macaulay Duration in Years]]/(1+Table1[[#This Row],[IRR]])</f>
        <v>1.4343349221513071</v>
      </c>
      <c r="AB747" s="58">
        <f>VLOOKUP(Table1[[#This Row],[Yield Cluster]],'Cluster Details'!$B$3:$C$16,2,0)</f>
        <v>0.41726513499454237</v>
      </c>
      <c r="AC747" s="78">
        <f>PRICE(Table1[[#This Row],[Issue date]],Table1[[#This Row],[Maturity date]],Table1[[#This Row],[Current coupon %]],Table1[[#This Row],[Average Cluster Yield]],100,Table1[[#This Row],[Coupon Frequency2]])*Table1[[#This Row],[Face value]]/100</f>
        <v>62228.175023415846</v>
      </c>
      <c r="AD747" s="58" t="str">
        <f>IF(Table1[[#This Row],[Ask Price]]&gt;Table1[[#This Row],[Calculated Bond Price]],"Rich","Cheap")</f>
        <v>Rich</v>
      </c>
      <c r="AE74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61632.548825373429</v>
      </c>
      <c r="AF74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63426.189595250071</v>
      </c>
      <c r="AG747" s="78">
        <f>(Table1[[#This Row],[P (+ shock)]]+Table1[[#This Row],[P (-shock)]]-2*Table1[[#This Row],[Ask Price]])/(2*Table1[[#This Row],[Ask Price]]*($AF$2^2))</f>
        <v>-3714.0770698003089</v>
      </c>
      <c r="AH747">
        <v>7.6774834899079103</v>
      </c>
      <c r="AI747" s="6">
        <f t="shared" si="45"/>
        <v>0.10304071646371499</v>
      </c>
      <c r="AK747" s="47">
        <f>RATE(Table1[[#This Row],[Total No. of Coupons]],Table1[[#This Row],[Coupon Amount]],-Table1[[#This Row],[Ask Price]],Table1[[#This Row],[Face value]])</f>
        <v>0.10349618487064297</v>
      </c>
      <c r="AL747" s="27">
        <f>Table1[[#This Row],[IRR]]*Table1[[#This Row],[Coupon Frequency2]]</f>
        <v>0.41398473948257186</v>
      </c>
      <c r="AM747" s="5">
        <f t="shared" si="46"/>
        <v>-142680.81062138261</v>
      </c>
      <c r="AN747" t="s">
        <v>64</v>
      </c>
      <c r="AO747" t="s">
        <v>62</v>
      </c>
      <c r="AP747">
        <f t="shared" si="47"/>
        <v>4</v>
      </c>
    </row>
    <row r="748" spans="1:42" x14ac:dyDescent="0.35">
      <c r="A748" s="48" t="s">
        <v>512</v>
      </c>
      <c r="B748" s="49" t="s">
        <v>3067</v>
      </c>
      <c r="C748" s="49" t="s">
        <v>2273</v>
      </c>
      <c r="D748" s="50">
        <v>43875</v>
      </c>
      <c r="E748" s="50">
        <v>47527</v>
      </c>
      <c r="F748" s="49">
        <v>1000000</v>
      </c>
      <c r="G748" s="49" t="s">
        <v>76</v>
      </c>
      <c r="H748" s="49">
        <v>1103763.25</v>
      </c>
      <c r="I748" s="49" t="s">
        <v>76</v>
      </c>
      <c r="J748" s="49">
        <v>110.37632499999999</v>
      </c>
      <c r="K748" s="49">
        <v>2</v>
      </c>
      <c r="L748" s="51">
        <v>0.11449999999999999</v>
      </c>
      <c r="M748" s="49" t="s">
        <v>105</v>
      </c>
      <c r="N748" s="49">
        <v>1610</v>
      </c>
      <c r="O748" s="49">
        <v>10.373601404105401</v>
      </c>
      <c r="P748" s="49"/>
      <c r="Q748" s="49"/>
      <c r="R748" s="49" t="s">
        <v>2275</v>
      </c>
      <c r="S748">
        <f t="shared" si="44"/>
        <v>10</v>
      </c>
      <c r="T748" s="5" cm="1">
        <f t="array" ref="T7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8">
        <f>Table1[[#This Row],[Term to Maturity (Years)]]*Table1[[#This Row],[Coupon Frequency2]]</f>
        <v>40</v>
      </c>
      <c r="V748">
        <f>Table1[[#This Row],[Face value]]*Table1[[#This Row],[Current coupon %]]</f>
        <v>114499.99999999999</v>
      </c>
      <c r="W748" s="36">
        <f>RATE(Table1[[#This Row],[Total No. of Coupons]],Table1[[#This Row],[Coupon Amount]],-Table1[[#This Row],[Ask Price]],Table1[[#This Row],[Face value]])</f>
        <v>0.10354315648716654</v>
      </c>
      <c r="X748" s="27">
        <f>Table1[[#This Row],[IRR]]*Table1[[#This Row],[Coupon Frequency2]]</f>
        <v>0.41417262594866616</v>
      </c>
      <c r="Y748" s="19" cm="1">
        <f t="array" ref="Y7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8" s="33">
        <f>DURATION(Table1[[#This Row],[Issue date]],Table1[[#This Row],[Maturity date]],Table1[[#This Row],[Current coupon %]],Table1[[#This Row],[Yield (Annualised)]],Table1[[#This Row],[Coupon Frequency2]])</f>
        <v>2.9673597392804361</v>
      </c>
      <c r="AA748" s="33">
        <f>Table1[[#This Row],[Macaulay Duration in Years]]/(1+Table1[[#This Row],[IRR]])</f>
        <v>2.6889385538180757</v>
      </c>
      <c r="AB748" s="58">
        <f>VLOOKUP(Table1[[#This Row],[Yield Cluster]],'Cluster Details'!$B$3:$C$16,2,0)</f>
        <v>0.41726513499454237</v>
      </c>
      <c r="AC748" s="78">
        <f>PRICE(Table1[[#This Row],[Issue date]],Table1[[#This Row],[Maturity date]],Table1[[#This Row],[Current coupon %]],Table1[[#This Row],[Average Cluster Yield]],100,Table1[[#This Row],[Coupon Frequency2]])*Table1[[#This Row],[Face value]]/100</f>
        <v>288113.02163287118</v>
      </c>
      <c r="AD748" s="58" t="str">
        <f>IF(Table1[[#This Row],[Ask Price]]&gt;Table1[[#This Row],[Calculated Bond Price]],"Rich","Cheap")</f>
        <v>Rich</v>
      </c>
      <c r="AE74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282892.38479386864</v>
      </c>
      <c r="AF74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298542.59223033191</v>
      </c>
      <c r="AG748" s="78">
        <f>(Table1[[#This Row],[P (+ shock)]]+Table1[[#This Row],[P (-shock)]]-2*Table1[[#This Row],[Ask Price]])/(2*Table1[[#This Row],[Ask Price]]*($AF$2^2))</f>
        <v>-7366.1245877492265</v>
      </c>
      <c r="AH748">
        <v>8.7731536071922402</v>
      </c>
      <c r="AI748" s="6">
        <f t="shared" si="45"/>
        <v>0.10373601404105454</v>
      </c>
      <c r="AK748" s="47">
        <f>RATE(Table1[[#This Row],[Total No. of Coupons]],Table1[[#This Row],[Coupon Amount]],-Table1[[#This Row],[Ask Price]],Table1[[#This Row],[Face value]])</f>
        <v>0.10354315648716654</v>
      </c>
      <c r="AL748" s="27">
        <f>Table1[[#This Row],[IRR]]*Table1[[#This Row],[Coupon Frequency2]]</f>
        <v>0.41417262594866616</v>
      </c>
      <c r="AM748" s="5">
        <f t="shared" si="46"/>
        <v>-2967951.557212539</v>
      </c>
      <c r="AN748" t="s">
        <v>64</v>
      </c>
      <c r="AO748" t="s">
        <v>62</v>
      </c>
      <c r="AP748">
        <f t="shared" si="47"/>
        <v>4</v>
      </c>
    </row>
    <row r="749" spans="1:42" x14ac:dyDescent="0.35">
      <c r="A749" s="48" t="s">
        <v>1478</v>
      </c>
      <c r="B749" s="49" t="s">
        <v>3068</v>
      </c>
      <c r="C749" s="49" t="s">
        <v>2273</v>
      </c>
      <c r="D749" s="50">
        <v>45650</v>
      </c>
      <c r="E749" s="50">
        <v>46379</v>
      </c>
      <c r="F749" s="49">
        <v>10000</v>
      </c>
      <c r="G749" s="49" t="s">
        <v>76</v>
      </c>
      <c r="H749" s="49">
        <v>9850.5</v>
      </c>
      <c r="I749" s="49" t="s">
        <v>76</v>
      </c>
      <c r="J749" s="49">
        <v>98.504999999999995</v>
      </c>
      <c r="K749" s="49">
        <v>4</v>
      </c>
      <c r="L749" s="51">
        <v>0.1011</v>
      </c>
      <c r="M749" s="49" t="s">
        <v>105</v>
      </c>
      <c r="N749" s="49">
        <v>462</v>
      </c>
      <c r="O749" s="49">
        <v>10.263438404141899</v>
      </c>
      <c r="P749" s="49"/>
      <c r="Q749" s="49"/>
      <c r="R749" s="49" t="s">
        <v>2275</v>
      </c>
      <c r="S749">
        <f t="shared" si="44"/>
        <v>2</v>
      </c>
      <c r="T749" s="5" cm="1">
        <f t="array" ref="T7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49">
        <f>Table1[[#This Row],[Term to Maturity (Years)]]*Table1[[#This Row],[Coupon Frequency2]]</f>
        <v>8</v>
      </c>
      <c r="V749">
        <f>Table1[[#This Row],[Face value]]*Table1[[#This Row],[Current coupon %]]</f>
        <v>1011</v>
      </c>
      <c r="W749" s="36">
        <f>RATE(Table1[[#This Row],[Total No. of Coupons]],Table1[[#This Row],[Coupon Amount]],-Table1[[#This Row],[Ask Price]],Table1[[#This Row],[Face value]])</f>
        <v>0.10394263341361809</v>
      </c>
      <c r="X749" s="27">
        <f>Table1[[#This Row],[IRR]]*Table1[[#This Row],[Coupon Frequency2]]</f>
        <v>0.41577053365447236</v>
      </c>
      <c r="Y749" s="19" cm="1">
        <f t="array" ref="Y7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49" s="33">
        <f>DURATION(Table1[[#This Row],[Issue date]],Table1[[#This Row],[Maturity date]],Table1[[#This Row],[Current coupon %]],Table1[[#This Row],[Yield (Annualised)]],Table1[[#This Row],[Coupon Frequency2]])</f>
        <v>1.7697109309647547</v>
      </c>
      <c r="AA749" s="33">
        <f>Table1[[#This Row],[Macaulay Duration in Years]]/(1+Table1[[#This Row],[IRR]])</f>
        <v>1.6030823318168663</v>
      </c>
      <c r="AB749" s="58">
        <f>VLOOKUP(Table1[[#This Row],[Yield Cluster]],'Cluster Details'!$B$3:$C$16,2,0)</f>
        <v>0.41726513499454237</v>
      </c>
      <c r="AC749" s="78">
        <f>PRICE(Table1[[#This Row],[Issue date]],Table1[[#This Row],[Maturity date]],Table1[[#This Row],[Current coupon %]],Table1[[#This Row],[Average Cluster Yield]],100,Table1[[#This Row],[Coupon Frequency2]])*Table1[[#This Row],[Face value]]/100</f>
        <v>5852.3007615979886</v>
      </c>
      <c r="AD749" s="58" t="str">
        <f>IF(Table1[[#This Row],[Ask Price]]&gt;Table1[[#This Row],[Calculated Bond Price]],"Rich","Cheap")</f>
        <v>Rich</v>
      </c>
      <c r="AE74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5773.1689873126124</v>
      </c>
      <c r="AF74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5961.3572480975745</v>
      </c>
      <c r="AG749" s="78">
        <f>(Table1[[#This Row],[P (+ shock)]]+Table1[[#This Row],[P (-shock)]]-2*Table1[[#This Row],[Ask Price]])/(2*Table1[[#This Row],[Ask Price]]*($AF$2^2))</f>
        <v>-4043.6900485202846</v>
      </c>
      <c r="AH749">
        <v>8.1981645299880306</v>
      </c>
      <c r="AI749" s="6">
        <f t="shared" si="45"/>
        <v>0.10263438404141921</v>
      </c>
      <c r="AK749" s="47">
        <f>RATE(Table1[[#This Row],[Total No. of Coupons]],Table1[[#This Row],[Coupon Amount]],-Table1[[#This Row],[Ask Price]],Table1[[#This Row],[Face value]])</f>
        <v>0.10394263341361809</v>
      </c>
      <c r="AL749" s="27">
        <f>Table1[[#This Row],[IRR]]*Table1[[#This Row],[Coupon Frequency2]]</f>
        <v>0.41577053365447236</v>
      </c>
      <c r="AM749" s="5">
        <f t="shared" si="46"/>
        <v>-15791.162509562042</v>
      </c>
      <c r="AN749" t="s">
        <v>64</v>
      </c>
      <c r="AO749" t="s">
        <v>62</v>
      </c>
      <c r="AP749">
        <f t="shared" si="47"/>
        <v>4</v>
      </c>
    </row>
    <row r="750" spans="1:42" x14ac:dyDescent="0.35">
      <c r="A750" s="48" t="s">
        <v>615</v>
      </c>
      <c r="B750" s="49" t="s">
        <v>3069</v>
      </c>
      <c r="C750" s="49" t="s">
        <v>2273</v>
      </c>
      <c r="D750" s="50">
        <v>43705</v>
      </c>
      <c r="E750" s="50">
        <v>47357</v>
      </c>
      <c r="F750" s="49">
        <v>1000000</v>
      </c>
      <c r="G750" s="49" t="s">
        <v>76</v>
      </c>
      <c r="H750" s="49">
        <v>1096859.3999999999</v>
      </c>
      <c r="I750" s="49" t="s">
        <v>76</v>
      </c>
      <c r="J750" s="49">
        <v>109.68593999999899</v>
      </c>
      <c r="K750" s="49">
        <v>1</v>
      </c>
      <c r="L750" s="51">
        <v>0.11449999999999999</v>
      </c>
      <c r="M750" s="49" t="s">
        <v>105</v>
      </c>
      <c r="N750" s="49">
        <v>1440</v>
      </c>
      <c r="O750" s="49">
        <v>10.4388949030295</v>
      </c>
      <c r="P750" s="49"/>
      <c r="Q750" s="49"/>
      <c r="R750" s="49" t="s">
        <v>2275</v>
      </c>
      <c r="S750">
        <f t="shared" si="44"/>
        <v>10</v>
      </c>
      <c r="T750" s="5" cm="1">
        <f t="array" ref="T7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0">
        <f>Table1[[#This Row],[Term to Maturity (Years)]]*Table1[[#This Row],[Coupon Frequency2]]</f>
        <v>40</v>
      </c>
      <c r="V750">
        <f>Table1[[#This Row],[Face value]]*Table1[[#This Row],[Current coupon %]]</f>
        <v>114499.99999999999</v>
      </c>
      <c r="W750" s="36">
        <f>RATE(Table1[[#This Row],[Total No. of Coupons]],Table1[[#This Row],[Coupon Amount]],-Table1[[#This Row],[Ask Price]],Table1[[#This Row],[Face value]])</f>
        <v>0.10421106554098897</v>
      </c>
      <c r="X750" s="27">
        <f>Table1[[#This Row],[IRR]]*Table1[[#This Row],[Coupon Frequency2]]</f>
        <v>0.41684426216395587</v>
      </c>
      <c r="Y750" s="19" cm="1">
        <f t="array" ref="Y7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0" s="33">
        <f>DURATION(Table1[[#This Row],[Issue date]],Table1[[#This Row],[Maturity date]],Table1[[#This Row],[Current coupon %]],Table1[[#This Row],[Yield (Annualised)]],Table1[[#This Row],[Coupon Frequency2]])</f>
        <v>2.9489037196165748</v>
      </c>
      <c r="AA750" s="33">
        <f>Table1[[#This Row],[Macaulay Duration in Years]]/(1+Table1[[#This Row],[IRR]])</f>
        <v>2.6705978699568735</v>
      </c>
      <c r="AB750" s="58">
        <f>VLOOKUP(Table1[[#This Row],[Yield Cluster]],'Cluster Details'!$B$3:$C$16,2,0)</f>
        <v>0.41726513499454237</v>
      </c>
      <c r="AC750" s="78">
        <f>PRICE(Table1[[#This Row],[Issue date]],Table1[[#This Row],[Maturity date]],Table1[[#This Row],[Current coupon %]],Table1[[#This Row],[Average Cluster Yield]],100,Table1[[#This Row],[Coupon Frequency2]])*Table1[[#This Row],[Face value]]/100</f>
        <v>288113.02163287118</v>
      </c>
      <c r="AD750" s="58" t="str">
        <f>IF(Table1[[#This Row],[Ask Price]]&gt;Table1[[#This Row],[Calculated Bond Price]],"Rich","Cheap")</f>
        <v>Rich</v>
      </c>
      <c r="AE75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280922.67053259542</v>
      </c>
      <c r="AF75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296355.17092704383</v>
      </c>
      <c r="AG750" s="78">
        <f>(Table1[[#This Row],[P (+ shock)]]+Table1[[#This Row],[P (-shock)]]-2*Table1[[#This Row],[Ask Price]])/(2*Table1[[#This Row],[Ask Price]]*($AF$2^2))</f>
        <v>-7368.4966301987315</v>
      </c>
      <c r="AH750">
        <v>10.6931884535927</v>
      </c>
      <c r="AI750" s="6">
        <f t="shared" si="45"/>
        <v>0.10438894903029504</v>
      </c>
      <c r="AK750" s="47">
        <f>RATE(Table1[[#This Row],[Total No. of Coupons]],Table1[[#This Row],[Coupon Amount]],-Table1[[#This Row],[Ask Price]],Table1[[#This Row],[Face value]])</f>
        <v>0.10421106554098897</v>
      </c>
      <c r="AL750" s="27">
        <f>Table1[[#This Row],[IRR]]*Table1[[#This Row],[Coupon Frequency2]]</f>
        <v>0.41684426216395587</v>
      </c>
      <c r="AM750" s="5">
        <f t="shared" si="46"/>
        <v>-2929270.3772821743</v>
      </c>
      <c r="AN750" t="s">
        <v>64</v>
      </c>
      <c r="AO750" t="s">
        <v>62</v>
      </c>
      <c r="AP750">
        <f t="shared" si="47"/>
        <v>4</v>
      </c>
    </row>
    <row r="751" spans="1:42" x14ac:dyDescent="0.35">
      <c r="A751" s="48" t="s">
        <v>659</v>
      </c>
      <c r="B751" s="49" t="s">
        <v>3070</v>
      </c>
      <c r="C751" s="49" t="s">
        <v>2273</v>
      </c>
      <c r="D751" s="50">
        <v>43627</v>
      </c>
      <c r="E751" s="50">
        <v>47279</v>
      </c>
      <c r="F751" s="49">
        <v>1000000</v>
      </c>
      <c r="G751" s="49" t="s">
        <v>76</v>
      </c>
      <c r="H751" s="49">
        <v>1110000</v>
      </c>
      <c r="I751" s="49" t="s">
        <v>76</v>
      </c>
      <c r="J751" s="49">
        <v>111</v>
      </c>
      <c r="K751" s="49">
        <v>1</v>
      </c>
      <c r="L751" s="51">
        <v>0.1164</v>
      </c>
      <c r="M751" s="49" t="s">
        <v>105</v>
      </c>
      <c r="N751" s="49">
        <v>1362</v>
      </c>
      <c r="O751" s="49">
        <v>10.486486486486401</v>
      </c>
      <c r="P751" s="49"/>
      <c r="Q751" s="49"/>
      <c r="R751" s="49" t="s">
        <v>2275</v>
      </c>
      <c r="S751">
        <f t="shared" si="44"/>
        <v>10</v>
      </c>
      <c r="T751" s="5" cm="1">
        <f t="array" ref="T7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1">
        <f>Table1[[#This Row],[Term to Maturity (Years)]]*Table1[[#This Row],[Coupon Frequency2]]</f>
        <v>40</v>
      </c>
      <c r="V751">
        <f>Table1[[#This Row],[Face value]]*Table1[[#This Row],[Current coupon %]]</f>
        <v>116400</v>
      </c>
      <c r="W751" s="36">
        <f>RATE(Table1[[#This Row],[Total No. of Coupons]],Table1[[#This Row],[Coupon Amount]],-Table1[[#This Row],[Ask Price]],Table1[[#This Row],[Face value]])</f>
        <v>0.1046677165434637</v>
      </c>
      <c r="X751" s="27">
        <f>Table1[[#This Row],[IRR]]*Table1[[#This Row],[Coupon Frequency2]]</f>
        <v>0.41867086617385479</v>
      </c>
      <c r="Y751" s="19" cm="1">
        <f t="array" ref="Y7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1" s="33">
        <f>DURATION(Table1[[#This Row],[Issue date]],Table1[[#This Row],[Maturity date]],Table1[[#This Row],[Current coupon %]],Table1[[#This Row],[Yield (Annualised)]],Table1[[#This Row],[Coupon Frequency2]])</f>
        <v>2.9288874742617304</v>
      </c>
      <c r="AA751" s="33">
        <f>Table1[[#This Row],[Macaulay Duration in Years]]/(1+Table1[[#This Row],[IRR]])</f>
        <v>2.6513741918939222</v>
      </c>
      <c r="AB751" s="58">
        <f>VLOOKUP(Table1[[#This Row],[Yield Cluster]],'Cluster Details'!$B$3:$C$16,2,0)</f>
        <v>0.41726513499454237</v>
      </c>
      <c r="AC751" s="78">
        <f>PRICE(Table1[[#This Row],[Issue date]],Table1[[#This Row],[Maturity date]],Table1[[#This Row],[Current coupon %]],Table1[[#This Row],[Average Cluster Yield]],100,Table1[[#This Row],[Coupon Frequency2]])*Table1[[#This Row],[Face value]]/100</f>
        <v>292580.11115068605</v>
      </c>
      <c r="AD751" s="58" t="str">
        <f>IF(Table1[[#This Row],[Ask Price]]&gt;Table1[[#This Row],[Calculated Bond Price]],"Rich","Cheap")</f>
        <v>Rich</v>
      </c>
      <c r="AE75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283947.87504943251</v>
      </c>
      <c r="AF75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299431.36954879953</v>
      </c>
      <c r="AG751" s="78">
        <f>(Table1[[#This Row],[P (+ shock)]]+Table1[[#This Row],[P (-shock)]]-2*Table1[[#This Row],[Ask Price]])/(2*Table1[[#This Row],[Ask Price]]*($AF$2^2))</f>
        <v>-7372.1655648728292</v>
      </c>
      <c r="AI751" s="6">
        <f t="shared" si="45"/>
        <v>0.10486486486486486</v>
      </c>
      <c r="AK751" s="47">
        <f>RATE(Table1[[#This Row],[Total No. of Coupons]],Table1[[#This Row],[Coupon Amount]],-Table1[[#This Row],[Ask Price]],Table1[[#This Row],[Face value]])</f>
        <v>0.1046677165434637</v>
      </c>
      <c r="AL751" s="27">
        <f>Table1[[#This Row],[IRR]]*Table1[[#This Row],[Coupon Frequency2]]</f>
        <v>0.41867086617385479</v>
      </c>
      <c r="AM751" s="5">
        <f t="shared" si="46"/>
        <v>-2943025.3530022535</v>
      </c>
      <c r="AN751" t="s">
        <v>64</v>
      </c>
      <c r="AO751" t="s">
        <v>62</v>
      </c>
      <c r="AP751">
        <f t="shared" si="47"/>
        <v>4</v>
      </c>
    </row>
    <row r="752" spans="1:42" x14ac:dyDescent="0.35">
      <c r="A752" s="48" t="s">
        <v>407</v>
      </c>
      <c r="B752" s="49" t="s">
        <v>3071</v>
      </c>
      <c r="C752" s="49" t="s">
        <v>2273</v>
      </c>
      <c r="D752" s="50">
        <v>44186</v>
      </c>
      <c r="E752" s="50">
        <v>47837</v>
      </c>
      <c r="F752" s="49">
        <v>1000000</v>
      </c>
      <c r="G752" s="49" t="s">
        <v>76</v>
      </c>
      <c r="H752" s="49">
        <v>1050000</v>
      </c>
      <c r="I752" s="49" t="s">
        <v>76</v>
      </c>
      <c r="J752" s="49">
        <v>105</v>
      </c>
      <c r="K752" s="49">
        <v>1</v>
      </c>
      <c r="L752" s="51">
        <v>0.1101</v>
      </c>
      <c r="M752" s="49" t="s">
        <v>105</v>
      </c>
      <c r="N752" s="49">
        <v>1920</v>
      </c>
      <c r="O752" s="49">
        <v>10.4857142857142</v>
      </c>
      <c r="P752" s="49"/>
      <c r="Q752" s="49"/>
      <c r="R752" s="49" t="s">
        <v>2275</v>
      </c>
      <c r="S752">
        <f t="shared" si="44"/>
        <v>10</v>
      </c>
      <c r="T752" s="5" cm="1">
        <f t="array" ref="T7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2">
        <f>Table1[[#This Row],[Term to Maturity (Years)]]*Table1[[#This Row],[Coupon Frequency2]]</f>
        <v>40</v>
      </c>
      <c r="V752">
        <f>Table1[[#This Row],[Face value]]*Table1[[#This Row],[Current coupon %]]</f>
        <v>110100</v>
      </c>
      <c r="W752" s="36">
        <f>RATE(Table1[[#This Row],[Total No. of Coupons]],Table1[[#This Row],[Coupon Amount]],-Table1[[#This Row],[Ask Price]],Table1[[#This Row],[Face value]])</f>
        <v>0.10476265487248833</v>
      </c>
      <c r="X752" s="27">
        <f>Table1[[#This Row],[IRR]]*Table1[[#This Row],[Coupon Frequency2]]</f>
        <v>0.41905061948995331</v>
      </c>
      <c r="Y752" s="19" cm="1">
        <f t="array" ref="Y7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2" s="33">
        <f>DURATION(Table1[[#This Row],[Issue date]],Table1[[#This Row],[Maturity date]],Table1[[#This Row],[Current coupon %]],Table1[[#This Row],[Yield (Annualised)]],Table1[[#This Row],[Coupon Frequency2]])</f>
        <v>2.9520439970740417</v>
      </c>
      <c r="AA752" s="33">
        <f>Table1[[#This Row],[Macaulay Duration in Years]]/(1+Table1[[#This Row],[IRR]])</f>
        <v>2.6721069761493403</v>
      </c>
      <c r="AB752" s="58">
        <f>VLOOKUP(Table1[[#This Row],[Yield Cluster]],'Cluster Details'!$B$3:$C$16,2,0)</f>
        <v>0.41726513499454237</v>
      </c>
      <c r="AC752" s="78">
        <f>PRICE(Table1[[#This Row],[Issue date]],Table1[[#This Row],[Maturity date]],Table1[[#This Row],[Current coupon %]],Table1[[#This Row],[Average Cluster Yield]],100,Table1[[#This Row],[Coupon Frequency2]])*Table1[[#This Row],[Face value]]/100</f>
        <v>277768.18274951057</v>
      </c>
      <c r="AD752" s="58" t="str">
        <f>IF(Table1[[#This Row],[Ask Price]]&gt;Table1[[#This Row],[Calculated Bond Price]],"Rich","Cheap")</f>
        <v>Rich</v>
      </c>
      <c r="AE75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269235.98827545973</v>
      </c>
      <c r="AF75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284035.13943116675</v>
      </c>
      <c r="AG752" s="78">
        <f>(Table1[[#This Row],[P (+ shock)]]+Table1[[#This Row],[P (-shock)]]-2*Table1[[#This Row],[Ask Price]])/(2*Table1[[#This Row],[Ask Price]]*($AF$2^2))</f>
        <v>-7365.3755823493975</v>
      </c>
      <c r="AH752">
        <v>9.5</v>
      </c>
      <c r="AI752" s="6">
        <f t="shared" si="45"/>
        <v>0.10485714285714286</v>
      </c>
      <c r="AK752" s="47">
        <f>RATE(Table1[[#This Row],[Total No. of Coupons]],Table1[[#This Row],[Coupon Amount]],-Table1[[#This Row],[Ask Price]],Table1[[#This Row],[Face value]])</f>
        <v>0.10476265487248833</v>
      </c>
      <c r="AL752" s="27">
        <f>Table1[[#This Row],[IRR]]*Table1[[#This Row],[Coupon Frequency2]]</f>
        <v>0.41905061948995331</v>
      </c>
      <c r="AM752" s="5">
        <f t="shared" si="46"/>
        <v>-2805712.3249568073</v>
      </c>
      <c r="AN752" t="s">
        <v>64</v>
      </c>
      <c r="AO752" t="s">
        <v>62</v>
      </c>
      <c r="AP752">
        <f t="shared" si="47"/>
        <v>4</v>
      </c>
    </row>
    <row r="753" spans="1:42" x14ac:dyDescent="0.35">
      <c r="A753" s="48" t="s">
        <v>1686</v>
      </c>
      <c r="B753" s="49" t="s">
        <v>3072</v>
      </c>
      <c r="C753" s="49" t="s">
        <v>2273</v>
      </c>
      <c r="D753" s="50">
        <v>45701</v>
      </c>
      <c r="E753" s="50">
        <v>46247</v>
      </c>
      <c r="F753" s="49">
        <v>100000</v>
      </c>
      <c r="G753" s="49" t="s">
        <v>76</v>
      </c>
      <c r="H753" s="49">
        <v>101100</v>
      </c>
      <c r="I753" s="49" t="s">
        <v>76</v>
      </c>
      <c r="J753" s="49">
        <v>101.1</v>
      </c>
      <c r="K753" s="49">
        <v>3</v>
      </c>
      <c r="L753" s="51">
        <v>0.1075</v>
      </c>
      <c r="M753" s="49" t="s">
        <v>105</v>
      </c>
      <c r="N753" s="49">
        <v>330</v>
      </c>
      <c r="O753" s="49">
        <v>10.6330365974282</v>
      </c>
      <c r="P753" s="49"/>
      <c r="Q753" s="49"/>
      <c r="R753" s="49" t="s">
        <v>2275</v>
      </c>
      <c r="S753">
        <f t="shared" si="44"/>
        <v>2</v>
      </c>
      <c r="T753" s="5" cm="1">
        <f t="array" ref="T7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3">
        <f>Table1[[#This Row],[Term to Maturity (Years)]]*Table1[[#This Row],[Coupon Frequency2]]</f>
        <v>8</v>
      </c>
      <c r="V753">
        <f>Table1[[#This Row],[Face value]]*Table1[[#This Row],[Current coupon %]]</f>
        <v>10750</v>
      </c>
      <c r="W753" s="36">
        <f>RATE(Table1[[#This Row],[Total No. of Coupons]],Table1[[#This Row],[Coupon Amount]],-Table1[[#This Row],[Ask Price]],Table1[[#This Row],[Face value]])</f>
        <v>0.10539743053268227</v>
      </c>
      <c r="X753" s="27">
        <f>Table1[[#This Row],[IRR]]*Table1[[#This Row],[Coupon Frequency2]]</f>
        <v>0.42158972213072909</v>
      </c>
      <c r="Y753" s="19" cm="1">
        <f t="array" ref="Y7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3" s="33">
        <f>DURATION(Table1[[#This Row],[Issue date]],Table1[[#This Row],[Maturity date]],Table1[[#This Row],[Current coupon %]],Table1[[#This Row],[Yield (Annualised)]],Table1[[#This Row],[Coupon Frequency2]])</f>
        <v>1.3788299074673558</v>
      </c>
      <c r="AA753" s="33">
        <f>Table1[[#This Row],[Macaulay Duration in Years]]/(1+Table1[[#This Row],[IRR]])</f>
        <v>1.2473612380326491</v>
      </c>
      <c r="AB753" s="58">
        <f>VLOOKUP(Table1[[#This Row],[Yield Cluster]],'Cluster Details'!$B$3:$C$16,2,0)</f>
        <v>0.41726513499454237</v>
      </c>
      <c r="AC753" s="78">
        <f>PRICE(Table1[[#This Row],[Issue date]],Table1[[#This Row],[Maturity date]],Table1[[#This Row],[Current coupon %]],Table1[[#This Row],[Average Cluster Yield]],100,Table1[[#This Row],[Coupon Frequency2]])*Table1[[#This Row],[Face value]]/100</f>
        <v>66694.67691053696</v>
      </c>
      <c r="AD753" s="58" t="str">
        <f>IF(Table1[[#This Row],[Ask Price]]&gt;Table1[[#This Row],[Calculated Bond Price]],"Rich","Cheap")</f>
        <v>Rich</v>
      </c>
      <c r="AE75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65514.534025918183</v>
      </c>
      <c r="AF75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67169.500112013193</v>
      </c>
      <c r="AG753" s="78">
        <f>(Table1[[#This Row],[P (+ shock)]]+Table1[[#This Row],[P (-shock)]]-2*Table1[[#This Row],[Ask Price]])/(2*Table1[[#This Row],[Ask Price]]*($AF$2^2))</f>
        <v>-3437.9805075207037</v>
      </c>
      <c r="AH753">
        <v>10.614874815905701</v>
      </c>
      <c r="AI753" s="6">
        <f t="shared" si="45"/>
        <v>0.10633036597428289</v>
      </c>
      <c r="AK753" s="47">
        <f>RATE(Table1[[#This Row],[Total No. of Coupons]],Table1[[#This Row],[Coupon Amount]],-Table1[[#This Row],[Ask Price]],Table1[[#This Row],[Face value]])</f>
        <v>0.10539743053268227</v>
      </c>
      <c r="AL753" s="27">
        <f>Table1[[#This Row],[IRR]]*Table1[[#This Row],[Coupon Frequency2]]</f>
        <v>0.42158972213072909</v>
      </c>
      <c r="AM753" s="5">
        <f t="shared" si="46"/>
        <v>-126108.22116510083</v>
      </c>
      <c r="AN753" t="s">
        <v>64</v>
      </c>
      <c r="AO753" t="s">
        <v>62</v>
      </c>
      <c r="AP753">
        <f t="shared" si="47"/>
        <v>4</v>
      </c>
    </row>
    <row r="754" spans="1:42" x14ac:dyDescent="0.35">
      <c r="A754" s="48" t="s">
        <v>1284</v>
      </c>
      <c r="B754" s="49" t="s">
        <v>3073</v>
      </c>
      <c r="C754" s="49" t="s">
        <v>2273</v>
      </c>
      <c r="D754" s="50">
        <v>45414</v>
      </c>
      <c r="E754" s="50">
        <v>46507</v>
      </c>
      <c r="F754" s="49">
        <v>100000</v>
      </c>
      <c r="G754" s="49" t="s">
        <v>76</v>
      </c>
      <c r="H754" s="49">
        <v>99000</v>
      </c>
      <c r="I754" s="49" t="s">
        <v>76</v>
      </c>
      <c r="J754" s="49">
        <v>99</v>
      </c>
      <c r="K754" s="49">
        <v>6</v>
      </c>
      <c r="L754" s="51">
        <v>0.10400000000000001</v>
      </c>
      <c r="M754" s="49" t="s">
        <v>105</v>
      </c>
      <c r="N754" s="49">
        <v>590</v>
      </c>
      <c r="O754" s="49">
        <v>10.5050505050505</v>
      </c>
      <c r="P754" s="49"/>
      <c r="Q754" s="49"/>
      <c r="R754" s="49" t="s">
        <v>2275</v>
      </c>
      <c r="S754">
        <f t="shared" si="44"/>
        <v>3</v>
      </c>
      <c r="T754" s="5" cm="1">
        <f t="array" ref="T7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4">
        <f>Table1[[#This Row],[Term to Maturity (Years)]]*Table1[[#This Row],[Coupon Frequency2]]</f>
        <v>12</v>
      </c>
      <c r="V754">
        <f>Table1[[#This Row],[Face value]]*Table1[[#This Row],[Current coupon %]]</f>
        <v>10400.000000000002</v>
      </c>
      <c r="W754" s="36">
        <f>RATE(Table1[[#This Row],[Total No. of Coupons]],Table1[[#This Row],[Coupon Amount]],-Table1[[#This Row],[Ask Price]],Table1[[#This Row],[Face value]])</f>
        <v>0.1055074556314837</v>
      </c>
      <c r="X754" s="27">
        <f>Table1[[#This Row],[IRR]]*Table1[[#This Row],[Coupon Frequency2]]</f>
        <v>0.42202982252593479</v>
      </c>
      <c r="Y754" s="19" cm="1">
        <f t="array" ref="Y7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4" s="33">
        <f>DURATION(Table1[[#This Row],[Issue date]],Table1[[#This Row],[Maturity date]],Table1[[#This Row],[Current coupon %]],Table1[[#This Row],[Yield (Annualised)]],Table1[[#This Row],[Coupon Frequency2]])</f>
        <v>2.386107121365094</v>
      </c>
      <c r="AA754" s="33">
        <f>Table1[[#This Row],[Macaulay Duration in Years]]/(1+Table1[[#This Row],[IRR]])</f>
        <v>2.1583817541982211</v>
      </c>
      <c r="AB754" s="58">
        <f>VLOOKUP(Table1[[#This Row],[Yield Cluster]],'Cluster Details'!$B$3:$C$16,2,0)</f>
        <v>0.41726513499454237</v>
      </c>
      <c r="AC754" s="78">
        <f>PRICE(Table1[[#This Row],[Issue date]],Table1[[#This Row],[Maturity date]],Table1[[#This Row],[Current coupon %]],Table1[[#This Row],[Average Cluster Yield]],100,Table1[[#This Row],[Coupon Frequency2]])*Table1[[#This Row],[Face value]]/100</f>
        <v>47795.113970203551</v>
      </c>
      <c r="AD754" s="58" t="str">
        <f>IF(Table1[[#This Row],[Ask Price]]&gt;Table1[[#This Row],[Calculated Bond Price]],"Rich","Cheap")</f>
        <v>Rich</v>
      </c>
      <c r="AE75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46296.378172850709</v>
      </c>
      <c r="AF75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48341.194480617698</v>
      </c>
      <c r="AG754" s="78">
        <f>(Table1[[#This Row],[P (+ shock)]]+Table1[[#This Row],[P (-shock)]]-2*Table1[[#This Row],[Ask Price]])/(2*Table1[[#This Row],[Ask Price]]*($AF$2^2))</f>
        <v>-5220.3246134611918</v>
      </c>
      <c r="AH754">
        <v>9.7741433021806792</v>
      </c>
      <c r="AI754" s="6">
        <f t="shared" si="45"/>
        <v>0.10505050505050507</v>
      </c>
      <c r="AK754" s="47">
        <f>RATE(Table1[[#This Row],[Total No. of Coupons]],Table1[[#This Row],[Coupon Amount]],-Table1[[#This Row],[Ask Price]],Table1[[#This Row],[Face value]])</f>
        <v>0.1055074556314837</v>
      </c>
      <c r="AL754" s="27">
        <f>Table1[[#This Row],[IRR]]*Table1[[#This Row],[Coupon Frequency2]]</f>
        <v>0.42202982252593479</v>
      </c>
      <c r="AM754" s="5">
        <f t="shared" si="46"/>
        <v>-213679.79366562387</v>
      </c>
      <c r="AN754" t="s">
        <v>64</v>
      </c>
      <c r="AO754" t="s">
        <v>62</v>
      </c>
      <c r="AP754">
        <f t="shared" si="47"/>
        <v>4</v>
      </c>
    </row>
    <row r="755" spans="1:42" x14ac:dyDescent="0.35">
      <c r="A755" s="48" t="s">
        <v>1043</v>
      </c>
      <c r="B755" s="49" t="s">
        <v>3074</v>
      </c>
      <c r="C755" s="49" t="s">
        <v>2273</v>
      </c>
      <c r="D755" s="50">
        <v>45702</v>
      </c>
      <c r="E755" s="50">
        <v>46783</v>
      </c>
      <c r="F755" s="49">
        <v>100000</v>
      </c>
      <c r="G755" s="49" t="s">
        <v>76</v>
      </c>
      <c r="H755" s="49">
        <v>99774.73</v>
      </c>
      <c r="I755" s="49" t="s">
        <v>76</v>
      </c>
      <c r="J755" s="49">
        <v>99.774730000000005</v>
      </c>
      <c r="K755" s="49">
        <v>1</v>
      </c>
      <c r="L755" s="51">
        <v>0.1081</v>
      </c>
      <c r="M755" s="49" t="s">
        <v>105</v>
      </c>
      <c r="N755" s="49">
        <v>866</v>
      </c>
      <c r="O755" s="49">
        <v>10.8344066679007</v>
      </c>
      <c r="P755" s="49"/>
      <c r="Q755" s="49"/>
      <c r="R755" s="49" t="s">
        <v>2275</v>
      </c>
      <c r="S755">
        <f t="shared" si="44"/>
        <v>3</v>
      </c>
      <c r="T755" s="5" cm="1">
        <f t="array" ref="T7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5">
        <f>Table1[[#This Row],[Term to Maturity (Years)]]*Table1[[#This Row],[Coupon Frequency2]]</f>
        <v>12</v>
      </c>
      <c r="V755">
        <f>Table1[[#This Row],[Face value]]*Table1[[#This Row],[Current coupon %]]</f>
        <v>10810</v>
      </c>
      <c r="W755" s="36">
        <f>RATE(Table1[[#This Row],[Total No. of Coupons]],Table1[[#This Row],[Coupon Amount]],-Table1[[#This Row],[Ask Price]],Table1[[#This Row],[Face value]])</f>
        <v>0.10844440990580931</v>
      </c>
      <c r="X755" s="27">
        <f>Table1[[#This Row],[IRR]]*Table1[[#This Row],[Coupon Frequency2]]</f>
        <v>0.43377763962323723</v>
      </c>
      <c r="Y755" s="19" cm="1">
        <f t="array" ref="Y7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5" s="33">
        <f>DURATION(Table1[[#This Row],[Issue date]],Table1[[#This Row],[Maturity date]],Table1[[#This Row],[Current coupon %]],Table1[[#This Row],[Yield (Annualised)]],Table1[[#This Row],[Coupon Frequency2]])</f>
        <v>2.3280493707946039</v>
      </c>
      <c r="AA755" s="33">
        <f>Table1[[#This Row],[Macaulay Duration in Years]]/(1+Table1[[#This Row],[IRR]])</f>
        <v>2.1002851834422902</v>
      </c>
      <c r="AB755" s="58">
        <f>VLOOKUP(Table1[[#This Row],[Yield Cluster]],'Cluster Details'!$B$3:$C$16,2,0)</f>
        <v>0.41726513499454237</v>
      </c>
      <c r="AC755" s="78">
        <f>PRICE(Table1[[#This Row],[Issue date]],Table1[[#This Row],[Maturity date]],Table1[[#This Row],[Current coupon %]],Table1[[#This Row],[Average Cluster Yield]],100,Table1[[#This Row],[Coupon Frequency2]])*Table1[[#This Row],[Face value]]/100</f>
        <v>48764.328274933716</v>
      </c>
      <c r="AD755" s="58" t="str">
        <f>IF(Table1[[#This Row],[Ask Price]]&gt;Table1[[#This Row],[Calculated Bond Price]],"Rich","Cheap")</f>
        <v>Rich</v>
      </c>
      <c r="AE75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46095.482546704392</v>
      </c>
      <c r="AF75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48091.033176321405</v>
      </c>
      <c r="AG755" s="78">
        <f>(Table1[[#This Row],[P (+ shock)]]+Table1[[#This Row],[P (-shock)]]-2*Table1[[#This Row],[Ask Price]])/(2*Table1[[#This Row],[Ask Price]]*($AF$2^2))</f>
        <v>-5280.0415634787578</v>
      </c>
      <c r="AH755">
        <v>7.7133046337904396</v>
      </c>
      <c r="AI755" s="6">
        <f t="shared" si="45"/>
        <v>0.10834406667900781</v>
      </c>
      <c r="AK755" s="47">
        <f>RATE(Table1[[#This Row],[Total No. of Coupons]],Table1[[#This Row],[Coupon Amount]],-Table1[[#This Row],[Ask Price]],Table1[[#This Row],[Face value]])</f>
        <v>0.10844440990580931</v>
      </c>
      <c r="AL755" s="27">
        <f>Table1[[#This Row],[IRR]]*Table1[[#This Row],[Coupon Frequency2]]</f>
        <v>0.43377763962323723</v>
      </c>
      <c r="AM755" s="5">
        <f t="shared" si="46"/>
        <v>-209555.38710095498</v>
      </c>
      <c r="AN755" t="s">
        <v>64</v>
      </c>
      <c r="AO755" t="s">
        <v>62</v>
      </c>
      <c r="AP755">
        <f t="shared" si="47"/>
        <v>4</v>
      </c>
    </row>
    <row r="756" spans="1:42" x14ac:dyDescent="0.35">
      <c r="A756" s="48" t="s">
        <v>3075</v>
      </c>
      <c r="B756" s="49" t="s">
        <v>3076</v>
      </c>
      <c r="C756" s="49" t="s">
        <v>2273</v>
      </c>
      <c r="D756" s="50">
        <v>45488</v>
      </c>
      <c r="E756" s="50">
        <v>46464</v>
      </c>
      <c r="F756" s="49">
        <v>100000</v>
      </c>
      <c r="G756" s="49" t="s">
        <v>76</v>
      </c>
      <c r="H756" s="49">
        <v>97000</v>
      </c>
      <c r="I756" s="49" t="s">
        <v>76</v>
      </c>
      <c r="J756" s="49">
        <v>97</v>
      </c>
      <c r="K756" s="49">
        <v>1</v>
      </c>
      <c r="L756" s="51">
        <v>0.10400000000000001</v>
      </c>
      <c r="M756" s="49" t="s">
        <v>105</v>
      </c>
      <c r="N756" s="49">
        <v>547</v>
      </c>
      <c r="O756" s="49">
        <v>10.721649484536</v>
      </c>
      <c r="P756" s="49"/>
      <c r="Q756" s="49"/>
      <c r="R756" s="49" t="s">
        <v>2275</v>
      </c>
      <c r="S756">
        <f t="shared" si="44"/>
        <v>3</v>
      </c>
      <c r="T756" s="5" cm="1">
        <f t="array" ref="T7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6">
        <f>Table1[[#This Row],[Term to Maturity (Years)]]*Table1[[#This Row],[Coupon Frequency2]]</f>
        <v>12</v>
      </c>
      <c r="V756">
        <f>Table1[[#This Row],[Face value]]*Table1[[#This Row],[Current coupon %]]</f>
        <v>10400.000000000002</v>
      </c>
      <c r="W756" s="36">
        <f>RATE(Table1[[#This Row],[Total No. of Coupons]],Table1[[#This Row],[Coupon Amount]],-Table1[[#This Row],[Ask Price]],Table1[[#This Row],[Face value]])</f>
        <v>0.10858981960331966</v>
      </c>
      <c r="X756" s="27">
        <f>Table1[[#This Row],[IRR]]*Table1[[#This Row],[Coupon Frequency2]]</f>
        <v>0.43435927841327865</v>
      </c>
      <c r="Y756" s="19" cm="1">
        <f t="array" ref="Y7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6" s="33">
        <f>DURATION(Table1[[#This Row],[Issue date]],Table1[[#This Row],[Maturity date]],Table1[[#This Row],[Current coupon %]],Table1[[#This Row],[Yield (Annualised)]],Table1[[#This Row],[Coupon Frequency2]])</f>
        <v>2.1710837630936184</v>
      </c>
      <c r="AA756" s="33">
        <f>Table1[[#This Row],[Macaulay Duration in Years]]/(1+Table1[[#This Row],[IRR]])</f>
        <v>1.9584193582712899</v>
      </c>
      <c r="AB756" s="58">
        <f>VLOOKUP(Table1[[#This Row],[Yield Cluster]],'Cluster Details'!$B$3:$C$16,2,0)</f>
        <v>0.41726513499454237</v>
      </c>
      <c r="AC756" s="78">
        <f>PRICE(Table1[[#This Row],[Issue date]],Table1[[#This Row],[Maturity date]],Table1[[#This Row],[Current coupon %]],Table1[[#This Row],[Average Cluster Yield]],100,Table1[[#This Row],[Coupon Frequency2]])*Table1[[#This Row],[Face value]]/100</f>
        <v>50862.979913564988</v>
      </c>
      <c r="AD756" s="58" t="str">
        <f>IF(Table1[[#This Row],[Ask Price]]&gt;Table1[[#This Row],[Calculated Bond Price]],"Rich","Cheap")</f>
        <v>Rich</v>
      </c>
      <c r="AE75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48189.389178866841</v>
      </c>
      <c r="AF75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50145.500172231921</v>
      </c>
      <c r="AG756" s="78">
        <f>(Table1[[#This Row],[P (+ shock)]]+Table1[[#This Row],[P (-shock)]]-2*Table1[[#This Row],[Ask Price]])/(2*Table1[[#This Row],[Ask Price]]*($AF$2^2))</f>
        <v>-4931.1912705619188</v>
      </c>
      <c r="AH756">
        <v>15.1087350986939</v>
      </c>
      <c r="AI756" s="6">
        <f t="shared" si="45"/>
        <v>0.10721649484536085</v>
      </c>
      <c r="AK756" s="47">
        <f>RATE(Table1[[#This Row],[Total No. of Coupons]],Table1[[#This Row],[Coupon Amount]],-Table1[[#This Row],[Ask Price]],Table1[[#This Row],[Face value]])</f>
        <v>0.10858981960331966</v>
      </c>
      <c r="AL756" s="27">
        <f>Table1[[#This Row],[IRR]]*Table1[[#This Row],[Coupon Frequency2]]</f>
        <v>0.43435927841327865</v>
      </c>
      <c r="AM756" s="5">
        <f t="shared" si="46"/>
        <v>-189966.67775231512</v>
      </c>
      <c r="AN756" t="s">
        <v>64</v>
      </c>
      <c r="AO756" t="s">
        <v>62</v>
      </c>
      <c r="AP756">
        <f t="shared" si="47"/>
        <v>4</v>
      </c>
    </row>
    <row r="757" spans="1:42" x14ac:dyDescent="0.35">
      <c r="A757" s="48" t="s">
        <v>329</v>
      </c>
      <c r="B757" s="49" t="s">
        <v>3077</v>
      </c>
      <c r="C757" s="49" t="s">
        <v>2273</v>
      </c>
      <c r="D757" s="50">
        <v>45471</v>
      </c>
      <c r="E757" s="50">
        <v>48027</v>
      </c>
      <c r="F757" s="49">
        <v>100000</v>
      </c>
      <c r="G757" s="49" t="s">
        <v>76</v>
      </c>
      <c r="H757" s="49">
        <v>100999</v>
      </c>
      <c r="I757" s="49" t="s">
        <v>76</v>
      </c>
      <c r="J757" s="49">
        <v>100.999</v>
      </c>
      <c r="K757" s="49">
        <v>12</v>
      </c>
      <c r="L757" s="51">
        <v>0.11</v>
      </c>
      <c r="M757" s="49" t="s">
        <v>105</v>
      </c>
      <c r="N757" s="49">
        <v>2110</v>
      </c>
      <c r="O757" s="49">
        <v>10.8911969425439</v>
      </c>
      <c r="P757" s="49"/>
      <c r="Q757" s="49"/>
      <c r="R757" s="49" t="s">
        <v>2275</v>
      </c>
      <c r="S757">
        <f t="shared" si="44"/>
        <v>7</v>
      </c>
      <c r="T757" s="5" cm="1">
        <f t="array" ref="T7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7">
        <f>Table1[[#This Row],[Term to Maturity (Years)]]*Table1[[#This Row],[Coupon Frequency2]]</f>
        <v>28</v>
      </c>
      <c r="V757">
        <f>Table1[[#This Row],[Face value]]*Table1[[#This Row],[Current coupon %]]</f>
        <v>11000</v>
      </c>
      <c r="W757" s="36">
        <f>RATE(Table1[[#This Row],[Total No. of Coupons]],Table1[[#This Row],[Coupon Amount]],-Table1[[#This Row],[Ask Price]],Table1[[#This Row],[Face value]])</f>
        <v>0.10884881517993991</v>
      </c>
      <c r="X757" s="27">
        <f>Table1[[#This Row],[IRR]]*Table1[[#This Row],[Coupon Frequency2]]</f>
        <v>0.43539526071975965</v>
      </c>
      <c r="Y757" s="19" cm="1">
        <f t="array" ref="Y7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7" s="33">
        <f>DURATION(Table1[[#This Row],[Issue date]],Table1[[#This Row],[Maturity date]],Table1[[#This Row],[Current coupon %]],Table1[[#This Row],[Yield (Annualised)]],Table1[[#This Row],[Coupon Frequency2]])</f>
        <v>3.052644521120949</v>
      </c>
      <c r="AA757" s="33">
        <f>Table1[[#This Row],[Macaulay Duration in Years]]/(1+Table1[[#This Row],[IRR]])</f>
        <v>2.7529853297679514</v>
      </c>
      <c r="AB757" s="58">
        <f>VLOOKUP(Table1[[#This Row],[Yield Cluster]],'Cluster Details'!$B$3:$C$16,2,0)</f>
        <v>0.41726513499454237</v>
      </c>
      <c r="AC757" s="78">
        <f>PRICE(Table1[[#This Row],[Issue date]],Table1[[#This Row],[Maturity date]],Table1[[#This Row],[Current coupon %]],Table1[[#This Row],[Average Cluster Yield]],100,Table1[[#This Row],[Coupon Frequency2]])*Table1[[#This Row],[Face value]]/100</f>
        <v>30938.112658874146</v>
      </c>
      <c r="AD757" s="58" t="str">
        <f>IF(Table1[[#This Row],[Ask Price]]&gt;Table1[[#This Row],[Calculated Bond Price]],"Rich","Cheap")</f>
        <v>Rich</v>
      </c>
      <c r="AE75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28614.586710593925</v>
      </c>
      <c r="AF75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30234.375607732902</v>
      </c>
      <c r="AG757" s="78">
        <f>(Table1[[#This Row],[P (+ shock)]]+Table1[[#This Row],[P (-shock)]]-2*Table1[[#This Row],[Ask Price]])/(2*Table1[[#This Row],[Ask Price]]*($AF$2^2))</f>
        <v>-7086.6561887579674</v>
      </c>
      <c r="AH757">
        <v>5.9360677578434897</v>
      </c>
      <c r="AI757" s="6">
        <f t="shared" si="45"/>
        <v>0.10891196942543986</v>
      </c>
      <c r="AK757" s="47">
        <f>RATE(Table1[[#This Row],[Total No. of Coupons]],Table1[[#This Row],[Coupon Amount]],-Table1[[#This Row],[Ask Price]],Table1[[#This Row],[Face value]])</f>
        <v>0.10884881517993991</v>
      </c>
      <c r="AL757" s="27">
        <f>Table1[[#This Row],[IRR]]*Table1[[#This Row],[Coupon Frequency2]]</f>
        <v>0.43539526071975965</v>
      </c>
      <c r="AM757" s="5">
        <f t="shared" si="46"/>
        <v>-278048.76532123331</v>
      </c>
      <c r="AN757" t="s">
        <v>64</v>
      </c>
      <c r="AO757" t="s">
        <v>62</v>
      </c>
      <c r="AP757">
        <f t="shared" si="47"/>
        <v>4</v>
      </c>
    </row>
    <row r="758" spans="1:42" x14ac:dyDescent="0.35">
      <c r="A758" s="48" t="s">
        <v>1819</v>
      </c>
      <c r="B758" s="49" t="s">
        <v>3078</v>
      </c>
      <c r="C758" s="49" t="s">
        <v>2273</v>
      </c>
      <c r="D758" s="50">
        <v>45436</v>
      </c>
      <c r="E758" s="50">
        <v>46166</v>
      </c>
      <c r="F758" s="49">
        <v>100000</v>
      </c>
      <c r="G758" s="49" t="s">
        <v>76</v>
      </c>
      <c r="H758" s="49">
        <v>99950</v>
      </c>
      <c r="I758" s="49" t="s">
        <v>76</v>
      </c>
      <c r="J758" s="49">
        <v>99.95</v>
      </c>
      <c r="K758" s="49">
        <v>1</v>
      </c>
      <c r="L758" s="51">
        <v>0.11</v>
      </c>
      <c r="M758" s="49" t="s">
        <v>105</v>
      </c>
      <c r="N758" s="49">
        <v>249</v>
      </c>
      <c r="O758" s="49">
        <v>11.0055027513756</v>
      </c>
      <c r="P758" s="49"/>
      <c r="Q758" s="49"/>
      <c r="R758" s="49" t="s">
        <v>2275</v>
      </c>
      <c r="S758">
        <f t="shared" si="44"/>
        <v>2</v>
      </c>
      <c r="T758" s="5" cm="1">
        <f t="array" ref="T7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8">
        <f>Table1[[#This Row],[Term to Maturity (Years)]]*Table1[[#This Row],[Coupon Frequency2]]</f>
        <v>8</v>
      </c>
      <c r="V758">
        <f>Table1[[#This Row],[Face value]]*Table1[[#This Row],[Current coupon %]]</f>
        <v>11000</v>
      </c>
      <c r="W758" s="36">
        <f>RATE(Table1[[#This Row],[Total No. of Coupons]],Table1[[#This Row],[Coupon Amount]],-Table1[[#This Row],[Ask Price]],Table1[[#This Row],[Face value]])</f>
        <v>0.11009719420666349</v>
      </c>
      <c r="X758" s="27">
        <f>Table1[[#This Row],[IRR]]*Table1[[#This Row],[Coupon Frequency2]]</f>
        <v>0.44038877682665395</v>
      </c>
      <c r="Y758" s="19" cm="1">
        <f t="array" ref="Y7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8" s="33">
        <f>DURATION(Table1[[#This Row],[Issue date]],Table1[[#This Row],[Maturity date]],Table1[[#This Row],[Current coupon %]],Table1[[#This Row],[Yield (Annualised)]],Table1[[#This Row],[Coupon Frequency2]])</f>
        <v>1.7514243183916667</v>
      </c>
      <c r="AA758" s="33">
        <f>Table1[[#This Row],[Macaulay Duration in Years]]/(1+Table1[[#This Row],[IRR]])</f>
        <v>1.5777215972907046</v>
      </c>
      <c r="AB758" s="58">
        <f>VLOOKUP(Table1[[#This Row],[Yield Cluster]],'Cluster Details'!$B$3:$C$16,2,0)</f>
        <v>0.41726513499454237</v>
      </c>
      <c r="AC758" s="78">
        <f>PRICE(Table1[[#This Row],[Issue date]],Table1[[#This Row],[Maturity date]],Table1[[#This Row],[Current coupon %]],Table1[[#This Row],[Average Cluster Yield]],100,Table1[[#This Row],[Coupon Frequency2]])*Table1[[#This Row],[Face value]]/100</f>
        <v>59655.169630323813</v>
      </c>
      <c r="AD758" s="58" t="str">
        <f>IF(Table1[[#This Row],[Ask Price]]&gt;Table1[[#This Row],[Calculated Bond Price]],"Rich","Cheap")</f>
        <v>Rich</v>
      </c>
      <c r="AE75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56610.602538176769</v>
      </c>
      <c r="AF75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58425.402049922479</v>
      </c>
      <c r="AG758" s="78">
        <f>(Table1[[#This Row],[P (+ shock)]]+Table1[[#This Row],[P (-shock)]]-2*Table1[[#This Row],[Ask Price]])/(2*Table1[[#This Row],[Ask Price]]*($AF$2^2))</f>
        <v>-4245.3224318109424</v>
      </c>
      <c r="AH758">
        <v>11.265381508931901</v>
      </c>
      <c r="AI758" s="6">
        <f t="shared" si="45"/>
        <v>0.11005502751375688</v>
      </c>
      <c r="AK758" s="47">
        <f>RATE(Table1[[#This Row],[Total No. of Coupons]],Table1[[#This Row],[Coupon Amount]],-Table1[[#This Row],[Ask Price]],Table1[[#This Row],[Face value]])</f>
        <v>0.11009719420666349</v>
      </c>
      <c r="AL758" s="27">
        <f>Table1[[#This Row],[IRR]]*Table1[[#This Row],[Coupon Frequency2]]</f>
        <v>0.44038877682665395</v>
      </c>
      <c r="AM758" s="5">
        <f t="shared" si="46"/>
        <v>-157693.27364920592</v>
      </c>
      <c r="AN758" t="s">
        <v>64</v>
      </c>
      <c r="AO758" t="s">
        <v>62</v>
      </c>
      <c r="AP758">
        <f t="shared" si="47"/>
        <v>4</v>
      </c>
    </row>
    <row r="759" spans="1:42" x14ac:dyDescent="0.35">
      <c r="A759" s="48" t="s">
        <v>1655</v>
      </c>
      <c r="B759" s="49" t="s">
        <v>3079</v>
      </c>
      <c r="C759" s="49" t="s">
        <v>2273</v>
      </c>
      <c r="D759" s="50">
        <v>45534</v>
      </c>
      <c r="E759" s="50">
        <v>46264</v>
      </c>
      <c r="F759" s="49">
        <v>100000</v>
      </c>
      <c r="G759" s="49" t="s">
        <v>76</v>
      </c>
      <c r="H759" s="49">
        <v>98100</v>
      </c>
      <c r="I759" s="49" t="s">
        <v>76</v>
      </c>
      <c r="J759" s="49">
        <v>98.1</v>
      </c>
      <c r="K759" s="49">
        <v>1</v>
      </c>
      <c r="L759" s="51">
        <v>0.10800000000000001</v>
      </c>
      <c r="M759" s="49" t="s">
        <v>105</v>
      </c>
      <c r="N759" s="49">
        <v>347</v>
      </c>
      <c r="O759" s="49">
        <v>11.0091743119266</v>
      </c>
      <c r="P759" s="49"/>
      <c r="Q759" s="49"/>
      <c r="R759" s="49" t="s">
        <v>2275</v>
      </c>
      <c r="S759">
        <f t="shared" si="44"/>
        <v>2</v>
      </c>
      <c r="T759" s="5" cm="1">
        <f t="array" ref="T7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59">
        <f>Table1[[#This Row],[Term to Maturity (Years)]]*Table1[[#This Row],[Coupon Frequency2]]</f>
        <v>8</v>
      </c>
      <c r="V759">
        <f>Table1[[#This Row],[Face value]]*Table1[[#This Row],[Current coupon %]]</f>
        <v>10800.000000000002</v>
      </c>
      <c r="W759" s="36">
        <f>RATE(Table1[[#This Row],[Total No. of Coupons]],Table1[[#This Row],[Coupon Amount]],-Table1[[#This Row],[Ask Price]],Table1[[#This Row],[Face value]])</f>
        <v>0.11171470631020385</v>
      </c>
      <c r="X759" s="27">
        <f>Table1[[#This Row],[IRR]]*Table1[[#This Row],[Coupon Frequency2]]</f>
        <v>0.44685882524081538</v>
      </c>
      <c r="Y759" s="19" cm="1">
        <f t="array" ref="Y7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9</v>
      </c>
      <c r="Z759" s="33">
        <f>DURATION(Table1[[#This Row],[Issue date]],Table1[[#This Row],[Maturity date]],Table1[[#This Row],[Current coupon %]],Table1[[#This Row],[Yield (Annualised)]],Table1[[#This Row],[Coupon Frequency2]])</f>
        <v>1.7533025743569308</v>
      </c>
      <c r="AA759" s="33">
        <f>Table1[[#This Row],[Macaulay Duration in Years]]/(1+Table1[[#This Row],[IRR]])</f>
        <v>1.5771155714726182</v>
      </c>
      <c r="AB759" s="58">
        <f>VLOOKUP(Table1[[#This Row],[Yield Cluster]],'Cluster Details'!$B$3:$C$16,2,0)</f>
        <v>0.41726513499454237</v>
      </c>
      <c r="AC759" s="78">
        <f>PRICE(Table1[[#This Row],[Issue date]],Table1[[#This Row],[Maturity date]],Table1[[#This Row],[Current coupon %]],Table1[[#This Row],[Average Cluster Yield]],100,Table1[[#This Row],[Coupon Frequency2]])*Table1[[#This Row],[Face value]]/100</f>
        <v>59392.563654085134</v>
      </c>
      <c r="AD759" s="58" t="str">
        <f>IF(Table1[[#This Row],[Ask Price]]&gt;Table1[[#This Row],[Calculated Bond Price]],"Rich","Cheap")</f>
        <v>Rich</v>
      </c>
      <c r="AE75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55784.922776294232</v>
      </c>
      <c r="AF75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57572.555154030888</v>
      </c>
      <c r="AG759" s="78">
        <f>(Table1[[#This Row],[P (+ shock)]]+Table1[[#This Row],[P (-shock)]]-2*Table1[[#This Row],[Ask Price]])/(2*Table1[[#This Row],[Ask Price]]*($AF$2^2))</f>
        <v>-4222.3507680772109</v>
      </c>
      <c r="AH759">
        <v>11.604340484704</v>
      </c>
      <c r="AI759" s="6">
        <f t="shared" si="45"/>
        <v>0.11009174311926608</v>
      </c>
      <c r="AK759" s="47">
        <f>RATE(Table1[[#This Row],[Total No. of Coupons]],Table1[[#This Row],[Coupon Amount]],-Table1[[#This Row],[Ask Price]],Table1[[#This Row],[Face value]])</f>
        <v>0.11171470631020385</v>
      </c>
      <c r="AL759" s="27">
        <f>Table1[[#This Row],[IRR]]*Table1[[#This Row],[Coupon Frequency2]]</f>
        <v>0.44685882524081538</v>
      </c>
      <c r="AM759" s="5">
        <f t="shared" si="46"/>
        <v>-154715.03756146383</v>
      </c>
      <c r="AN759" t="s">
        <v>64</v>
      </c>
      <c r="AO759" t="s">
        <v>62</v>
      </c>
      <c r="AP759">
        <f t="shared" si="47"/>
        <v>4</v>
      </c>
    </row>
    <row r="760" spans="1:42" x14ac:dyDescent="0.35">
      <c r="A760" s="48" t="s">
        <v>1627</v>
      </c>
      <c r="B760" s="49" t="s">
        <v>3080</v>
      </c>
      <c r="C760" s="49" t="s">
        <v>2273</v>
      </c>
      <c r="D760" s="50">
        <v>45551</v>
      </c>
      <c r="E760" s="50">
        <v>46281</v>
      </c>
      <c r="F760" s="49">
        <v>10000</v>
      </c>
      <c r="G760" s="49" t="s">
        <v>76</v>
      </c>
      <c r="H760" s="49">
        <v>10192.379999999999</v>
      </c>
      <c r="I760" s="49" t="s">
        <v>76</v>
      </c>
      <c r="J760" s="49">
        <v>101.92379999999901</v>
      </c>
      <c r="K760" s="49">
        <v>120</v>
      </c>
      <c r="L760" s="51">
        <v>0.11650000000000001</v>
      </c>
      <c r="M760" s="49" t="s">
        <v>105</v>
      </c>
      <c r="N760" s="49">
        <v>364</v>
      </c>
      <c r="O760" s="49">
        <v>11.4301075901801</v>
      </c>
      <c r="P760" s="49"/>
      <c r="Q760" s="49"/>
      <c r="R760" s="49" t="s">
        <v>2275</v>
      </c>
      <c r="S760">
        <f t="shared" si="44"/>
        <v>2</v>
      </c>
      <c r="T760" s="5" cm="1">
        <f t="array" ref="T7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0">
        <f>Table1[[#This Row],[Term to Maturity (Years)]]*Table1[[#This Row],[Coupon Frequency2]]</f>
        <v>8</v>
      </c>
      <c r="V760">
        <f>Table1[[#This Row],[Face value]]*Table1[[#This Row],[Current coupon %]]</f>
        <v>1165</v>
      </c>
      <c r="W760" s="36">
        <f>RATE(Table1[[#This Row],[Total No. of Coupons]],Table1[[#This Row],[Coupon Amount]],-Table1[[#This Row],[Ask Price]],Table1[[#This Row],[Face value]])</f>
        <v>0.11272524487602573</v>
      </c>
      <c r="X760" s="27">
        <f>Table1[[#This Row],[IRR]]*Table1[[#This Row],[Coupon Frequency2]]</f>
        <v>0.45090097950410291</v>
      </c>
      <c r="Y760" s="19" cm="1">
        <f t="array" ref="Y7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10</v>
      </c>
      <c r="Z760" s="33">
        <f>DURATION(Table1[[#This Row],[Issue date]],Table1[[#This Row],[Maturity date]],Table1[[#This Row],[Current coupon %]],Table1[[#This Row],[Yield (Annualised)]],Table1[[#This Row],[Coupon Frequency2]])</f>
        <v>1.7378831029728261</v>
      </c>
      <c r="AA760" s="33">
        <f>Table1[[#This Row],[Macaulay Duration in Years]]/(1+Table1[[#This Row],[IRR]])</f>
        <v>1.5618258963527447</v>
      </c>
      <c r="AB760" s="58">
        <f>VLOOKUP(Table1[[#This Row],[Yield Cluster]],'Cluster Details'!$B$3:$C$16,2,0)</f>
        <v>0.47253870418164173</v>
      </c>
      <c r="AC760" s="78">
        <f>PRICE(Table1[[#This Row],[Issue date]],Table1[[#This Row],[Maturity date]],Table1[[#This Row],[Current coupon %]],Table1[[#This Row],[Average Cluster Yield]],100,Table1[[#This Row],[Coupon Frequency2]])*Table1[[#This Row],[Face value]]/100</f>
        <v>5549.3534468548633</v>
      </c>
      <c r="AD760" s="58" t="str">
        <f>IF(Table1[[#This Row],[Ask Price]]&gt;Table1[[#This Row],[Calculated Bond Price]],"Rich","Cheap")</f>
        <v>Rich</v>
      </c>
      <c r="AE76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5650.5430451386383</v>
      </c>
      <c r="AF76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5829.832161771089</v>
      </c>
      <c r="AG760" s="78">
        <f>(Table1[[#This Row],[P (+ shock)]]+Table1[[#This Row],[P (-shock)]]-2*Table1[[#This Row],[Ask Price]])/(2*Table1[[#This Row],[Ask Price]]*($AF$2^2))</f>
        <v>-4368.1577772268456</v>
      </c>
      <c r="AH760">
        <v>7.3051262049757897</v>
      </c>
      <c r="AI760" s="6">
        <f t="shared" si="45"/>
        <v>0.11430107590180116</v>
      </c>
      <c r="AK760" s="47">
        <f>RATE(Table1[[#This Row],[Total No. of Coupons]],Table1[[#This Row],[Coupon Amount]],-Table1[[#This Row],[Ask Price]],Table1[[#This Row],[Face value]])</f>
        <v>0.11272524487602573</v>
      </c>
      <c r="AL760" s="27">
        <f>Table1[[#This Row],[IRR]]*Table1[[#This Row],[Coupon Frequency2]]</f>
        <v>0.45090097950410291</v>
      </c>
      <c r="AM760" s="5">
        <f t="shared" si="46"/>
        <v>-15918.723029467787</v>
      </c>
      <c r="AN760" t="s">
        <v>64</v>
      </c>
      <c r="AO760" t="s">
        <v>62</v>
      </c>
      <c r="AP760">
        <f t="shared" si="47"/>
        <v>4</v>
      </c>
    </row>
    <row r="761" spans="1:42" x14ac:dyDescent="0.35">
      <c r="A761" s="48" t="s">
        <v>371</v>
      </c>
      <c r="B761" s="49" t="s">
        <v>3081</v>
      </c>
      <c r="C761" s="49" t="s">
        <v>2273</v>
      </c>
      <c r="D761" s="50">
        <v>44245</v>
      </c>
      <c r="E761" s="50">
        <v>47896</v>
      </c>
      <c r="F761" s="49">
        <v>1000000</v>
      </c>
      <c r="G761" s="49" t="s">
        <v>76</v>
      </c>
      <c r="H761" s="49">
        <v>950000</v>
      </c>
      <c r="I761" s="49" t="s">
        <v>76</v>
      </c>
      <c r="J761" s="49">
        <v>95</v>
      </c>
      <c r="K761" s="49">
        <v>1</v>
      </c>
      <c r="L761" s="51">
        <v>0.1096</v>
      </c>
      <c r="M761" s="49" t="s">
        <v>105</v>
      </c>
      <c r="N761" s="49">
        <v>1979</v>
      </c>
      <c r="O761" s="49">
        <v>11.5368421052631</v>
      </c>
      <c r="P761" s="49"/>
      <c r="Q761" s="49"/>
      <c r="R761" s="49" t="s">
        <v>2275</v>
      </c>
      <c r="S761">
        <f t="shared" si="44"/>
        <v>10</v>
      </c>
      <c r="T761" s="5" cm="1">
        <f t="array" ref="T7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1">
        <f>Table1[[#This Row],[Term to Maturity (Years)]]*Table1[[#This Row],[Coupon Frequency2]]</f>
        <v>40</v>
      </c>
      <c r="V761">
        <f>Table1[[#This Row],[Face value]]*Table1[[#This Row],[Current coupon %]]</f>
        <v>109600</v>
      </c>
      <c r="W761" s="36">
        <f>RATE(Table1[[#This Row],[Total No. of Coupons]],Table1[[#This Row],[Coupon Amount]],-Table1[[#This Row],[Ask Price]],Table1[[#This Row],[Face value]])</f>
        <v>0.11544626208298174</v>
      </c>
      <c r="X761" s="27">
        <f>Table1[[#This Row],[IRR]]*Table1[[#This Row],[Coupon Frequency2]]</f>
        <v>0.46178504833192696</v>
      </c>
      <c r="Y761" s="19" cm="1">
        <f t="array" ref="Y7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10</v>
      </c>
      <c r="Z761" s="33">
        <f>DURATION(Table1[[#This Row],[Issue date]],Table1[[#This Row],[Maturity date]],Table1[[#This Row],[Current coupon %]],Table1[[#This Row],[Yield (Annualised)]],Table1[[#This Row],[Coupon Frequency2]])</f>
        <v>2.6796076283835237</v>
      </c>
      <c r="AA761" s="33">
        <f>Table1[[#This Row],[Macaulay Duration in Years]]/(1+Table1[[#This Row],[IRR]])</f>
        <v>2.4022740668650688</v>
      </c>
      <c r="AB761" s="58">
        <f>VLOOKUP(Table1[[#This Row],[Yield Cluster]],'Cluster Details'!$B$3:$C$16,2,0)</f>
        <v>0.47253870418164173</v>
      </c>
      <c r="AC761" s="78">
        <f>PRICE(Table1[[#This Row],[Issue date]],Table1[[#This Row],[Maturity date]],Table1[[#This Row],[Current coupon %]],Table1[[#This Row],[Average Cluster Yield]],100,Table1[[#This Row],[Coupon Frequency2]])*Table1[[#This Row],[Face value]]/100</f>
        <v>240756.42836513728</v>
      </c>
      <c r="AD761" s="58" t="str">
        <f>IF(Table1[[#This Row],[Ask Price]]&gt;Table1[[#This Row],[Calculated Bond Price]],"Rich","Cheap")</f>
        <v>Rich</v>
      </c>
      <c r="AE76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241182.4092187887</v>
      </c>
      <c r="AF76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253069.88583278685</v>
      </c>
      <c r="AG761" s="78">
        <f>(Table1[[#This Row],[P (+ shock)]]+Table1[[#This Row],[P (-shock)]]-2*Table1[[#This Row],[Ask Price]])/(2*Table1[[#This Row],[Ask Price]]*($AF$2^2))</f>
        <v>-7398.6721313074968</v>
      </c>
      <c r="AH761">
        <v>10.782135743833299</v>
      </c>
      <c r="AI761" s="6">
        <f t="shared" si="45"/>
        <v>0.11536842105263158</v>
      </c>
      <c r="AK761" s="47">
        <f>RATE(Table1[[#This Row],[Total No. of Coupons]],Table1[[#This Row],[Coupon Amount]],-Table1[[#This Row],[Ask Price]],Table1[[#This Row],[Face value]])</f>
        <v>0.11544626208298174</v>
      </c>
      <c r="AL761" s="27">
        <f>Table1[[#This Row],[IRR]]*Table1[[#This Row],[Coupon Frequency2]]</f>
        <v>0.46178504833192696</v>
      </c>
      <c r="AM761" s="5">
        <f t="shared" si="46"/>
        <v>-2282160.3635218153</v>
      </c>
      <c r="AN761" t="s">
        <v>64</v>
      </c>
      <c r="AO761" t="s">
        <v>62</v>
      </c>
      <c r="AP761">
        <f t="shared" si="47"/>
        <v>4</v>
      </c>
    </row>
    <row r="762" spans="1:42" x14ac:dyDescent="0.35">
      <c r="A762" s="48" t="s">
        <v>1091</v>
      </c>
      <c r="B762" s="49" t="s">
        <v>3082</v>
      </c>
      <c r="C762" s="49" t="s">
        <v>2273</v>
      </c>
      <c r="D762" s="50">
        <v>45644</v>
      </c>
      <c r="E762" s="50">
        <v>46739</v>
      </c>
      <c r="F762" s="49">
        <v>100000</v>
      </c>
      <c r="G762" s="49" t="s">
        <v>76</v>
      </c>
      <c r="H762" s="49">
        <v>100888.03</v>
      </c>
      <c r="I762" s="49" t="s">
        <v>76</v>
      </c>
      <c r="J762" s="49">
        <v>100.88803</v>
      </c>
      <c r="K762" s="49">
        <v>2</v>
      </c>
      <c r="L762" s="51">
        <v>0.12</v>
      </c>
      <c r="M762" s="49" t="s">
        <v>105</v>
      </c>
      <c r="N762" s="49">
        <v>822</v>
      </c>
      <c r="O762" s="49">
        <v>11.894374387129901</v>
      </c>
      <c r="P762" s="49"/>
      <c r="Q762" s="49"/>
      <c r="R762" s="49" t="s">
        <v>2275</v>
      </c>
      <c r="S762">
        <f t="shared" si="44"/>
        <v>3</v>
      </c>
      <c r="T762" s="5" cm="1">
        <f t="array" ref="T7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2">
        <f>Table1[[#This Row],[Term to Maturity (Years)]]*Table1[[#This Row],[Coupon Frequency2]]</f>
        <v>12</v>
      </c>
      <c r="V762">
        <f>Table1[[#This Row],[Face value]]*Table1[[#This Row],[Current coupon %]]</f>
        <v>12000</v>
      </c>
      <c r="W762" s="36">
        <f>RATE(Table1[[#This Row],[Total No. of Coupons]],Table1[[#This Row],[Coupon Amount]],-Table1[[#This Row],[Ask Price]],Table1[[#This Row],[Face value]])</f>
        <v>0.11857584049795918</v>
      </c>
      <c r="X762" s="27">
        <f>Table1[[#This Row],[IRR]]*Table1[[#This Row],[Coupon Frequency2]]</f>
        <v>0.4743033619918367</v>
      </c>
      <c r="Y762" s="19" cm="1">
        <f t="array" ref="Y7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10</v>
      </c>
      <c r="Z762" s="33">
        <f>DURATION(Table1[[#This Row],[Issue date]],Table1[[#This Row],[Maturity date]],Table1[[#This Row],[Current coupon %]],Table1[[#This Row],[Yield (Annualised)]],Table1[[#This Row],[Coupon Frequency2]])</f>
        <v>2.290031646418373</v>
      </c>
      <c r="AA762" s="33">
        <f>Table1[[#This Row],[Macaulay Duration in Years]]/(1+Table1[[#This Row],[IRR]])</f>
        <v>2.0472743675555463</v>
      </c>
      <c r="AB762" s="58">
        <f>VLOOKUP(Table1[[#This Row],[Yield Cluster]],'Cluster Details'!$B$3:$C$16,2,0)</f>
        <v>0.47253870418164173</v>
      </c>
      <c r="AC762" s="78">
        <f>PRICE(Table1[[#This Row],[Issue date]],Table1[[#This Row],[Maturity date]],Table1[[#This Row],[Current coupon %]],Table1[[#This Row],[Average Cluster Yield]],100,Table1[[#This Row],[Coupon Frequency2]])*Table1[[#This Row],[Face value]]/100</f>
        <v>44930.942107600946</v>
      </c>
      <c r="AD762" s="58" t="str">
        <f>IF(Table1[[#This Row],[Ask Price]]&gt;Table1[[#This Row],[Calculated Bond Price]],"Rich","Cheap")</f>
        <v>Rich</v>
      </c>
      <c r="AE76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43864.335137962335</v>
      </c>
      <c r="AF76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45697.659790360602</v>
      </c>
      <c r="AG762" s="78">
        <f>(Table1[[#This Row],[P (+ shock)]]+Table1[[#This Row],[P (-shock)]]-2*Table1[[#This Row],[Ask Price]])/(2*Table1[[#This Row],[Ask Price]]*($AF$2^2))</f>
        <v>-5561.3170894345476</v>
      </c>
      <c r="AH762">
        <v>5.0653841756826496</v>
      </c>
      <c r="AI762" s="6">
        <f t="shared" si="45"/>
        <v>0.1189437438712997</v>
      </c>
      <c r="AK762" s="47">
        <f>RATE(Table1[[#This Row],[Total No. of Coupons]],Table1[[#This Row],[Coupon Amount]],-Table1[[#This Row],[Ask Price]],Table1[[#This Row],[Face value]])</f>
        <v>0.11857584049795918</v>
      </c>
      <c r="AL762" s="27">
        <f>Table1[[#This Row],[IRR]]*Table1[[#This Row],[Coupon Frequency2]]</f>
        <v>0.4743033619918367</v>
      </c>
      <c r="AM762" s="5">
        <f t="shared" si="46"/>
        <v>-206545.47781217497</v>
      </c>
      <c r="AN762" t="s">
        <v>64</v>
      </c>
      <c r="AO762" t="s">
        <v>62</v>
      </c>
      <c r="AP762">
        <f t="shared" si="47"/>
        <v>4</v>
      </c>
    </row>
    <row r="763" spans="1:42" x14ac:dyDescent="0.35">
      <c r="A763" s="48" t="s">
        <v>2070</v>
      </c>
      <c r="B763" s="49" t="s">
        <v>3083</v>
      </c>
      <c r="C763" s="49" t="s">
        <v>2273</v>
      </c>
      <c r="D763" s="50">
        <v>44916</v>
      </c>
      <c r="E763" s="50">
        <v>45989</v>
      </c>
      <c r="F763" s="49">
        <v>1000000</v>
      </c>
      <c r="G763" s="49" t="s">
        <v>76</v>
      </c>
      <c r="H763" s="49">
        <v>855000</v>
      </c>
      <c r="I763" s="49" t="s">
        <v>76</v>
      </c>
      <c r="J763" s="49">
        <v>85.5</v>
      </c>
      <c r="K763" s="49">
        <v>3</v>
      </c>
      <c r="L763" s="51">
        <v>9.6199999999999994E-2</v>
      </c>
      <c r="M763" s="49" t="s">
        <v>105</v>
      </c>
      <c r="N763" s="49">
        <v>72</v>
      </c>
      <c r="O763" s="49">
        <v>11.251461988303999</v>
      </c>
      <c r="P763" s="49"/>
      <c r="Q763" s="49"/>
      <c r="R763" s="49" t="s">
        <v>2275</v>
      </c>
      <c r="S763">
        <f t="shared" si="44"/>
        <v>3</v>
      </c>
      <c r="T763" s="5" cm="1">
        <f t="array" ref="T7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3">
        <f>Table1[[#This Row],[Term to Maturity (Years)]]*Table1[[#This Row],[Coupon Frequency2]]</f>
        <v>12</v>
      </c>
      <c r="V763">
        <f>Table1[[#This Row],[Face value]]*Table1[[#This Row],[Current coupon %]]</f>
        <v>96200</v>
      </c>
      <c r="W763" s="36">
        <f>RATE(Table1[[#This Row],[Total No. of Coupons]],Table1[[#This Row],[Coupon Amount]],-Table1[[#This Row],[Ask Price]],Table1[[#This Row],[Face value]])</f>
        <v>0.11956070881549699</v>
      </c>
      <c r="X763" s="27">
        <f>Table1[[#This Row],[IRR]]*Table1[[#This Row],[Coupon Frequency2]]</f>
        <v>0.47824283526198796</v>
      </c>
      <c r="Y763" s="19" cm="1">
        <f t="array" ref="Y7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10</v>
      </c>
      <c r="Z763" s="33">
        <f>DURATION(Table1[[#This Row],[Issue date]],Table1[[#This Row],[Maturity date]],Table1[[#This Row],[Current coupon %]],Table1[[#This Row],[Yield (Annualised)]],Table1[[#This Row],[Coupon Frequency2]])</f>
        <v>2.3122846660599339</v>
      </c>
      <c r="AA763" s="33">
        <f>Table1[[#This Row],[Macaulay Duration in Years]]/(1+Table1[[#This Row],[IRR]])</f>
        <v>2.0653499607952006</v>
      </c>
      <c r="AB763" s="58">
        <f>VLOOKUP(Table1[[#This Row],[Yield Cluster]],'Cluster Details'!$B$3:$C$16,2,0)</f>
        <v>0.47253870418164173</v>
      </c>
      <c r="AC763" s="78">
        <f>PRICE(Table1[[#This Row],[Issue date]],Table1[[#This Row],[Maturity date]],Table1[[#This Row],[Current coupon %]],Table1[[#This Row],[Average Cluster Yield]],100,Table1[[#This Row],[Coupon Frequency2]])*Table1[[#This Row],[Face value]]/100</f>
        <v>417915.93957467144</v>
      </c>
      <c r="AD763" s="58" t="str">
        <f>IF(Table1[[#This Row],[Ask Price]]&gt;Table1[[#This Row],[Calculated Bond Price]],"Rich","Cheap")</f>
        <v>Rich</v>
      </c>
      <c r="AE763" s="78">
        <f>PRICE(Table1[[#This Row],[Issue date]],Table1[[#This Row],[Maturity date]],Table1[[#This Row],[Current coupon %]],Table1[[#This Row],[Yield (Annualised)]]+$AF$2,100,Table1[[#This Row],[Coupon Frequency2]])*Table1[[#This Row],[Face value]]/100</f>
        <v>404398.92508642754</v>
      </c>
      <c r="AF763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421712.42783843138</v>
      </c>
      <c r="AG763" s="78">
        <f>(Table1[[#This Row],[P (+ shock)]]+Table1[[#This Row],[P (-shock)]]-2*Table1[[#This Row],[Ask Price]])/(2*Table1[[#This Row],[Ask Price]]*($AF$2^2))</f>
        <v>-5168.939456579772</v>
      </c>
      <c r="AH763">
        <v>5.8864166762312298</v>
      </c>
      <c r="AI763" s="6">
        <f t="shared" si="45"/>
        <v>0.11251461988304094</v>
      </c>
      <c r="AK763" s="47">
        <f>RATE(Table1[[#This Row],[Total No. of Coupons]],Table1[[#This Row],[Coupon Amount]],-Table1[[#This Row],[Ask Price]],Table1[[#This Row],[Face value]])</f>
        <v>0.11956070881549699</v>
      </c>
      <c r="AL763" s="27">
        <f>Table1[[#This Row],[IRR]]*Table1[[#This Row],[Coupon Frequency2]]</f>
        <v>0.47824283526198796</v>
      </c>
      <c r="AM763" s="5">
        <f t="shared" si="46"/>
        <v>-1765874.2164798966</v>
      </c>
      <c r="AN763" t="s">
        <v>64</v>
      </c>
      <c r="AO763" t="s">
        <v>62</v>
      </c>
      <c r="AP763">
        <f t="shared" si="47"/>
        <v>4</v>
      </c>
    </row>
    <row r="764" spans="1:42" x14ac:dyDescent="0.35">
      <c r="A764" s="48" t="s">
        <v>2046</v>
      </c>
      <c r="B764" s="49" t="s">
        <v>3084</v>
      </c>
      <c r="C764" s="49" t="s">
        <v>2273</v>
      </c>
      <c r="D764" s="50">
        <v>45463</v>
      </c>
      <c r="E764" s="50">
        <v>46011</v>
      </c>
      <c r="F764" s="49">
        <v>100000</v>
      </c>
      <c r="G764" s="49" t="s">
        <v>76</v>
      </c>
      <c r="H764" s="49">
        <v>100000</v>
      </c>
      <c r="I764" s="49" t="s">
        <v>76</v>
      </c>
      <c r="J764" s="49">
        <v>100</v>
      </c>
      <c r="K764" s="49">
        <v>150</v>
      </c>
      <c r="L764" s="51">
        <v>0.12</v>
      </c>
      <c r="M764" s="49" t="s">
        <v>105</v>
      </c>
      <c r="N764" s="49">
        <v>94</v>
      </c>
      <c r="O764" s="49">
        <v>12</v>
      </c>
      <c r="P764" s="49"/>
      <c r="Q764" s="49"/>
      <c r="R764" s="49" t="s">
        <v>2275</v>
      </c>
      <c r="S764">
        <f t="shared" si="44"/>
        <v>2</v>
      </c>
      <c r="T764" s="5" cm="1">
        <f t="array" ref="T7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4">
        <f>Table1[[#This Row],[Term to Maturity (Years)]]*Table1[[#This Row],[Coupon Frequency2]]</f>
        <v>8</v>
      </c>
      <c r="V764">
        <f>Table1[[#This Row],[Face value]]*Table1[[#This Row],[Current coupon %]]</f>
        <v>12000</v>
      </c>
      <c r="W764" s="36">
        <f>RATE(Table1[[#This Row],[Total No. of Coupons]],Table1[[#This Row],[Coupon Amount]],-Table1[[#This Row],[Ask Price]],Table1[[#This Row],[Face value]])</f>
        <v>0.11999999999999894</v>
      </c>
      <c r="X764" s="27">
        <f>Table1[[#This Row],[IRR]]*Table1[[#This Row],[Coupon Frequency2]]</f>
        <v>0.47999999999999576</v>
      </c>
      <c r="Y764" s="19" cm="1">
        <f t="array" ref="Y7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10</v>
      </c>
      <c r="Z764" s="33">
        <f>DURATION(Table1[[#This Row],[Issue date]],Table1[[#This Row],[Maturity date]],Table1[[#This Row],[Current coupon %]],Table1[[#This Row],[Yield (Annualised)]],Table1[[#This Row],[Coupon Frequency2]])</f>
        <v>1.3615790832811872</v>
      </c>
      <c r="AA764" s="33">
        <f>Table1[[#This Row],[Macaulay Duration in Years]]/(1+Table1[[#This Row],[IRR]])</f>
        <v>1.2156956100724896</v>
      </c>
      <c r="AB764" s="58">
        <f>VLOOKUP(Table1[[#This Row],[Yield Cluster]],'Cluster Details'!$B$3:$C$16,2,0)</f>
        <v>0.47253870418164173</v>
      </c>
      <c r="AC764" s="78">
        <f>PRICE(Table1[[#This Row],[Issue date]],Table1[[#This Row],[Maturity date]],Table1[[#This Row],[Current coupon %]],Table1[[#This Row],[Average Cluster Yield]],100,Table1[[#This Row],[Coupon Frequency2]])*Table1[[#This Row],[Face value]]/100</f>
        <v>63572.00214352287</v>
      </c>
      <c r="AD764" s="58" t="str">
        <f>IF(Table1[[#This Row],[Ask Price]]&gt;Table1[[#This Row],[Calculated Bond Price]],"Rich","Cheap")</f>
        <v>Rich</v>
      </c>
      <c r="AE764" s="78">
        <f>PRICE(Table1[[#This Row],[Issue date]],Table1[[#This Row],[Maturity date]],Table1[[#This Row],[Current coupon %]],Table1[[#This Row],[Yield (Annualised)]]+$AF$2,100,Table1[[#This Row],[Coupon Frequency2]])*Table1[[#This Row],[Face value]]/100</f>
        <v>62237.239613467398</v>
      </c>
      <c r="AF764" s="78">
        <f>PRICE(Table1[[#This Row],[Issue date]],Table1[[#This Row],[Maturity date]],Table1[[#This Row],[Current coupon %]],Table1[[#This Row],[Yield (Annualised)]]-$AF$2,100,Table1[[#This Row],[Coupon Frequency2]])*Table1[[#This Row],[Face value]]/100</f>
        <v>63769.019185600766</v>
      </c>
      <c r="AG764" s="78">
        <f>(Table1[[#This Row],[P (+ shock)]]+Table1[[#This Row],[P (-shock)]]-2*Table1[[#This Row],[Ask Price]])/(2*Table1[[#This Row],[Ask Price]]*($AF$2^2))</f>
        <v>-3699.6870600465918</v>
      </c>
      <c r="AH764">
        <v>8.9915648438717106</v>
      </c>
      <c r="AI764" s="6">
        <f t="shared" si="45"/>
        <v>0.12</v>
      </c>
      <c r="AK764" s="47">
        <f>RATE(Table1[[#This Row],[Total No. of Coupons]],Table1[[#This Row],[Coupon Amount]],-Table1[[#This Row],[Ask Price]],Table1[[#This Row],[Face value]])</f>
        <v>0.11999999999999894</v>
      </c>
      <c r="AL764" s="27">
        <f>Table1[[#This Row],[IRR]]*Table1[[#This Row],[Coupon Frequency2]]</f>
        <v>0.47999999999999576</v>
      </c>
      <c r="AM764" s="5">
        <f t="shared" si="46"/>
        <v>-121569.56100724897</v>
      </c>
      <c r="AN764" t="s">
        <v>64</v>
      </c>
      <c r="AO764" t="s">
        <v>62</v>
      </c>
      <c r="AP764">
        <f t="shared" si="47"/>
        <v>4</v>
      </c>
    </row>
    <row r="765" spans="1:42" x14ac:dyDescent="0.35">
      <c r="A765" s="48" t="s">
        <v>1958</v>
      </c>
      <c r="B765" s="49" t="s">
        <v>3085</v>
      </c>
      <c r="C765" s="49" t="s">
        <v>2273</v>
      </c>
      <c r="D765" s="50">
        <v>44298</v>
      </c>
      <c r="E765" s="50">
        <v>46063</v>
      </c>
      <c r="F765" s="49">
        <v>500000</v>
      </c>
      <c r="G765" s="49" t="s">
        <v>76</v>
      </c>
      <c r="H765" s="49">
        <v>500000</v>
      </c>
      <c r="I765" s="49" t="s">
        <v>76</v>
      </c>
      <c r="J765" s="49">
        <v>100</v>
      </c>
      <c r="K765" s="49">
        <v>2</v>
      </c>
      <c r="L765" s="51">
        <v>0.1225</v>
      </c>
      <c r="M765" s="49" t="s">
        <v>105</v>
      </c>
      <c r="N765" s="49">
        <v>146</v>
      </c>
      <c r="O765" s="49">
        <v>12.25</v>
      </c>
      <c r="P765" s="49"/>
      <c r="Q765" s="49"/>
      <c r="R765" s="49" t="s">
        <v>2275</v>
      </c>
      <c r="S765">
        <f t="shared" si="44"/>
        <v>5</v>
      </c>
      <c r="T765" s="5" cm="1">
        <f t="array" ref="T7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5">
        <f>Table1[[#This Row],[Term to Maturity (Years)]]*Table1[[#This Row],[Coupon Frequency2]]</f>
        <v>20</v>
      </c>
      <c r="V765">
        <f>Table1[[#This Row],[Face value]]*Table1[[#This Row],[Current coupon %]]</f>
        <v>61250</v>
      </c>
      <c r="W765" s="36">
        <f>RATE(Table1[[#This Row],[Total No. of Coupons]],Table1[[#This Row],[Coupon Amount]],-Table1[[#This Row],[Ask Price]],Table1[[#This Row],[Face value]])</f>
        <v>0.1225</v>
      </c>
      <c r="X765" s="27">
        <f>Table1[[#This Row],[IRR]]*Table1[[#This Row],[Coupon Frequency2]]</f>
        <v>0.49</v>
      </c>
      <c r="Y765" s="19" cm="1">
        <f t="array" ref="Y7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10</v>
      </c>
      <c r="Z765" s="33">
        <f>DURATION(Table1[[#This Row],[Issue date]],Table1[[#This Row],[Maturity date]],Table1[[#This Row],[Current coupon %]],Table1[[#This Row],[Yield (Annualised)]],Table1[[#This Row],[Coupon Frequency2]])</f>
        <v>2.5646166871185869</v>
      </c>
      <c r="AA765" s="33">
        <f>Table1[[#This Row],[Macaulay Duration in Years]]/(1+Table1[[#This Row],[IRR]])</f>
        <v>2.2847364695933958</v>
      </c>
      <c r="AB765" s="58">
        <f>VLOOKUP(Table1[[#This Row],[Yield Cluster]],'Cluster Details'!$B$3:$C$16,2,0)</f>
        <v>0.47253870418164173</v>
      </c>
      <c r="AC765" s="78">
        <f>PRICE(Table1[[#This Row],[Issue date]],Table1[[#This Row],[Maturity date]],Table1[[#This Row],[Current coupon %]],Table1[[#This Row],[Average Cluster Yield]],100,Table1[[#This Row],[Coupon Frequency2]])*Table1[[#This Row],[Face value]]/100</f>
        <v>172306.50775120611</v>
      </c>
      <c r="AD765" s="58" t="str">
        <f>IF(Table1[[#This Row],[Ask Price]]&gt;Table1[[#This Row],[Calculated Bond Price]],"Rich","Cheap")</f>
        <v>Rich</v>
      </c>
      <c r="AE765" s="78">
        <f>PRICE(Table1[[#This Row],[Issue date]],Table1[[#This Row],[Maturity date]],Table1[[#This Row],[Current coupon %]],Table1[[#This Row],[Yield (Annualised)]]+$AF$2,100,Table1[[#This Row],[Coupon Frequency2]])*Table1[[#This Row],[Face value]]/100</f>
        <v>161129.75970946182</v>
      </c>
      <c r="AF765" s="78">
        <f>PRICE(Table1[[#This Row],[Issue date]],Table1[[#This Row],[Maturity date]],Table1[[#This Row],[Current coupon %]],Table1[[#This Row],[Yield (Annualised)]]-$AF$2,100,Table1[[#This Row],[Coupon Frequency2]])*Table1[[#This Row],[Face value]]/100</f>
        <v>169156.69785329877</v>
      </c>
      <c r="AG765" s="78">
        <f>(Table1[[#This Row],[P (+ shock)]]+Table1[[#This Row],[P (-shock)]]-2*Table1[[#This Row],[Ask Price]])/(2*Table1[[#This Row],[Ask Price]]*($AF$2^2))</f>
        <v>-6697.1354243723945</v>
      </c>
      <c r="AH765">
        <v>5.3954346358767804</v>
      </c>
      <c r="AI765" s="6">
        <f t="shared" si="45"/>
        <v>0.1225</v>
      </c>
      <c r="AK765" s="47">
        <f>RATE(Table1[[#This Row],[Total No. of Coupons]],Table1[[#This Row],[Coupon Amount]],-Table1[[#This Row],[Ask Price]],Table1[[#This Row],[Face value]])</f>
        <v>0.1225</v>
      </c>
      <c r="AL765" s="27">
        <f>Table1[[#This Row],[IRR]]*Table1[[#This Row],[Coupon Frequency2]]</f>
        <v>0.49</v>
      </c>
      <c r="AM765" s="5">
        <f t="shared" si="46"/>
        <v>-1142368.234796698</v>
      </c>
      <c r="AN765" t="s">
        <v>64</v>
      </c>
      <c r="AO765" t="s">
        <v>62</v>
      </c>
      <c r="AP765">
        <f t="shared" si="47"/>
        <v>4</v>
      </c>
    </row>
    <row r="766" spans="1:42" x14ac:dyDescent="0.35">
      <c r="A766" s="48" t="s">
        <v>1496</v>
      </c>
      <c r="B766" s="49" t="s">
        <v>3086</v>
      </c>
      <c r="C766" s="49" t="s">
        <v>2273</v>
      </c>
      <c r="D766" s="50">
        <v>45820</v>
      </c>
      <c r="E766" s="50">
        <v>46368</v>
      </c>
      <c r="F766" s="49">
        <v>100000</v>
      </c>
      <c r="G766" s="49" t="s">
        <v>76</v>
      </c>
      <c r="H766" s="49">
        <v>86500</v>
      </c>
      <c r="I766" s="49" t="s">
        <v>76</v>
      </c>
      <c r="J766" s="49">
        <v>86.5</v>
      </c>
      <c r="K766" s="49">
        <v>20</v>
      </c>
      <c r="L766" s="51">
        <v>0.10249999999999999</v>
      </c>
      <c r="M766" s="49" t="s">
        <v>105</v>
      </c>
      <c r="N766" s="49">
        <v>451</v>
      </c>
      <c r="O766" s="49">
        <v>11.8497109826589</v>
      </c>
      <c r="P766" s="49"/>
      <c r="Q766" s="49"/>
      <c r="R766" s="49" t="s">
        <v>2275</v>
      </c>
      <c r="S766">
        <f t="shared" si="44"/>
        <v>2</v>
      </c>
      <c r="T766" s="5" cm="1">
        <f t="array" ref="T7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6">
        <f>Table1[[#This Row],[Term to Maturity (Years)]]*Table1[[#This Row],[Coupon Frequency2]]</f>
        <v>8</v>
      </c>
      <c r="V766">
        <f>Table1[[#This Row],[Face value]]*Table1[[#This Row],[Current coupon %]]</f>
        <v>10250</v>
      </c>
      <c r="W766" s="36">
        <f>RATE(Table1[[#This Row],[Total No. of Coupons]],Table1[[#This Row],[Coupon Amount]],-Table1[[#This Row],[Ask Price]],Table1[[#This Row],[Face value]])</f>
        <v>0.130699620021658</v>
      </c>
      <c r="X766" s="27">
        <f>Table1[[#This Row],[IRR]]*Table1[[#This Row],[Coupon Frequency2]]</f>
        <v>0.52279848008663199</v>
      </c>
      <c r="Y766" s="19" cm="1">
        <f t="array" ref="Y7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11</v>
      </c>
      <c r="Z766" s="33">
        <f>DURATION(Table1[[#This Row],[Issue date]],Table1[[#This Row],[Maturity date]],Table1[[#This Row],[Current coupon %]],Table1[[#This Row],[Yield (Annualised)]],Table1[[#This Row],[Coupon Frequency2]])</f>
        <v>1.3743545249128371</v>
      </c>
      <c r="AA766" s="33">
        <f>Table1[[#This Row],[Macaulay Duration in Years]]/(1+Table1[[#This Row],[IRR]])</f>
        <v>1.2154903924762193</v>
      </c>
      <c r="AB766" s="58">
        <f>VLOOKUP(Table1[[#This Row],[Yield Cluster]],'Cluster Details'!$B$3:$C$16,2,0)</f>
        <v>0.52279848008663199</v>
      </c>
      <c r="AC766" s="78">
        <f>PRICE(Table1[[#This Row],[Issue date]],Table1[[#This Row],[Maturity date]],Table1[[#This Row],[Current coupon %]],Table1[[#This Row],[Average Cluster Yield]],100,Table1[[#This Row],[Coupon Frequency2]])*Table1[[#This Row],[Face value]]/100</f>
        <v>58077.605132070341</v>
      </c>
      <c r="AD766" s="58" t="str">
        <f>IF(Table1[[#This Row],[Ask Price]]&gt;Table1[[#This Row],[Calculated Bond Price]],"Rich","Cheap")</f>
        <v>Rich</v>
      </c>
      <c r="AE766" s="78">
        <f>PRICE(Table1[[#This Row],[Issue date]],Table1[[#This Row],[Maturity date]],Table1[[#This Row],[Current coupon %]],Table1[[#This Row],[Yield (Annualised)]]+$AF$2,100,Table1[[#This Row],[Coupon Frequency2]])*Table1[[#This Row],[Face value]]/100</f>
        <v>57376.956082293531</v>
      </c>
      <c r="AF766" s="78">
        <f>PRICE(Table1[[#This Row],[Issue date]],Table1[[#This Row],[Maturity date]],Table1[[#This Row],[Current coupon %]],Table1[[#This Row],[Yield (Annualised)]]-$AF$2,100,Table1[[#This Row],[Coupon Frequency2]])*Table1[[#This Row],[Face value]]/100</f>
        <v>58788.873252882979</v>
      </c>
      <c r="AG766" s="78">
        <f>(Table1[[#This Row],[P (+ shock)]]+Table1[[#This Row],[P (-shock)]]-2*Table1[[#This Row],[Ask Price]])/(2*Table1[[#This Row],[Ask Price]]*($AF$2^2))</f>
        <v>-3285.2121771574275</v>
      </c>
      <c r="AI766" s="6">
        <f t="shared" si="45"/>
        <v>0.11849710982658959</v>
      </c>
      <c r="AK766" s="47">
        <f>RATE(Table1[[#This Row],[Total No. of Coupons]],Table1[[#This Row],[Coupon Amount]],-Table1[[#This Row],[Ask Price]],Table1[[#This Row],[Face value]])</f>
        <v>0.130699620021658</v>
      </c>
      <c r="AL766" s="27">
        <f>Table1[[#This Row],[IRR]]*Table1[[#This Row],[Coupon Frequency2]]</f>
        <v>0.52279848008663199</v>
      </c>
      <c r="AM766" s="5">
        <f t="shared" si="46"/>
        <v>-105139.91894919297</v>
      </c>
      <c r="AN766" t="s">
        <v>64</v>
      </c>
      <c r="AO766" t="s">
        <v>62</v>
      </c>
      <c r="AP766">
        <f t="shared" si="47"/>
        <v>4</v>
      </c>
    </row>
    <row r="767" spans="1:42" x14ac:dyDescent="0.35">
      <c r="A767" s="48" t="s">
        <v>1962</v>
      </c>
      <c r="B767" s="49" t="s">
        <v>3087</v>
      </c>
      <c r="C767" s="49" t="s">
        <v>2273</v>
      </c>
      <c r="D767" s="50">
        <v>44959</v>
      </c>
      <c r="E767" s="50">
        <v>46055</v>
      </c>
      <c r="F767" s="49">
        <v>1000</v>
      </c>
      <c r="G767" s="49" t="s">
        <v>76</v>
      </c>
      <c r="H767" s="49">
        <v>400.8</v>
      </c>
      <c r="I767" s="49" t="s">
        <v>76</v>
      </c>
      <c r="J767" s="49">
        <v>40.08</v>
      </c>
      <c r="K767" s="49">
        <v>10</v>
      </c>
      <c r="L767" s="51">
        <v>0.10050000000000001</v>
      </c>
      <c r="M767" s="49" t="s">
        <v>93</v>
      </c>
      <c r="N767" s="49">
        <v>138</v>
      </c>
      <c r="O767" s="49">
        <v>25.074850299401199</v>
      </c>
      <c r="P767" s="49"/>
      <c r="Q767" s="49"/>
      <c r="R767" s="49" t="s">
        <v>2275</v>
      </c>
      <c r="S767">
        <f t="shared" si="44"/>
        <v>3</v>
      </c>
      <c r="T767" s="5" cm="1">
        <f t="array" ref="T7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67">
        <f>Table1[[#This Row],[Term to Maturity (Years)]]*Table1[[#This Row],[Coupon Frequency2]]</f>
        <v>3</v>
      </c>
      <c r="V767">
        <f>Table1[[#This Row],[Face value]]*Table1[[#This Row],[Current coupon %]]</f>
        <v>100.5</v>
      </c>
      <c r="W767" s="36">
        <f>RATE(Table1[[#This Row],[Total No. of Coupons]],Table1[[#This Row],[Coupon Amount]],-Table1[[#This Row],[Ask Price]],Table1[[#This Row],[Face value]])</f>
        <v>0.5520952767503059</v>
      </c>
      <c r="X767" s="27">
        <f>Table1[[#This Row],[IRR]]*Table1[[#This Row],[Coupon Frequency2]]</f>
        <v>0.5520952767503059</v>
      </c>
      <c r="Y767" s="19" cm="1">
        <f t="array" ref="Y7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12</v>
      </c>
      <c r="Z767" s="33">
        <f>DURATION(Table1[[#This Row],[Issue date]],Table1[[#This Row],[Maturity date]],Table1[[#This Row],[Current coupon %]],Table1[[#This Row],[Yield (Annualised)]],Table1[[#This Row],[Coupon Frequency2]])</f>
        <v>2.5728020984229345</v>
      </c>
      <c r="AA767" s="33">
        <f>Table1[[#This Row],[Macaulay Duration in Years]]/(1+Table1[[#This Row],[IRR]])</f>
        <v>1.6576315494044478</v>
      </c>
      <c r="AB767" s="58">
        <f>VLOOKUP(Table1[[#This Row],[Yield Cluster]],'Cluster Details'!$B$3:$C$16,2,0)</f>
        <v>0.57774971389832552</v>
      </c>
      <c r="AC767" s="78">
        <f>PRICE(Table1[[#This Row],[Issue date]],Table1[[#This Row],[Maturity date]],Table1[[#This Row],[Current coupon %]],Table1[[#This Row],[Average Cluster Yield]],100,Table1[[#This Row],[Coupon Frequency2]])*Table1[[#This Row],[Face value]]/100</f>
        <v>384.27610057504018</v>
      </c>
      <c r="AD767" s="58" t="str">
        <f>IF(Table1[[#This Row],[Ask Price]]&gt;Table1[[#This Row],[Calculated Bond Price]],"Rich","Cheap")</f>
        <v>Rich</v>
      </c>
      <c r="AE767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394.23656251183434</v>
      </c>
      <c r="AF767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407.52583543397009</v>
      </c>
      <c r="AG767" s="78">
        <f>(Table1[[#This Row],[P (+ shock)]]+Table1[[#This Row],[P (-shock)]]-2*Table1[[#This Row],[Ask Price]])/(2*Table1[[#This Row],[Ask Price]]*($AF$2^2))</f>
        <v>2.0259224775998059</v>
      </c>
      <c r="AI767" s="6">
        <f t="shared" si="45"/>
        <v>0.25074850299401197</v>
      </c>
      <c r="AK767" s="47">
        <f>RATE(Table1[[#This Row],[Total No. of Coupons]],Table1[[#This Row],[Coupon Amount]],-Table1[[#This Row],[Ask Price]],Table1[[#This Row],[Face value]])</f>
        <v>0.5520952767503059</v>
      </c>
      <c r="AL767" s="27">
        <f>Table1[[#This Row],[IRR]]*Table1[[#This Row],[Coupon Frequency2]]</f>
        <v>0.5520952767503059</v>
      </c>
      <c r="AM767" s="5">
        <f t="shared" si="46"/>
        <v>-664.37872500130266</v>
      </c>
      <c r="AN767" t="s">
        <v>69</v>
      </c>
      <c r="AO767" t="s">
        <v>62</v>
      </c>
      <c r="AP767">
        <f t="shared" si="47"/>
        <v>1</v>
      </c>
    </row>
    <row r="768" spans="1:42" x14ac:dyDescent="0.35">
      <c r="A768" s="48" t="s">
        <v>1157</v>
      </c>
      <c r="B768" s="49" t="s">
        <v>3088</v>
      </c>
      <c r="C768" s="49" t="s">
        <v>2273</v>
      </c>
      <c r="D768" s="50">
        <v>45743</v>
      </c>
      <c r="E768" s="50">
        <v>46657</v>
      </c>
      <c r="F768" s="49">
        <v>100000</v>
      </c>
      <c r="G768" s="49" t="s">
        <v>76</v>
      </c>
      <c r="H768" s="49">
        <v>83000</v>
      </c>
      <c r="I768" s="49" t="s">
        <v>76</v>
      </c>
      <c r="J768" s="49">
        <v>83</v>
      </c>
      <c r="K768" s="49">
        <v>1</v>
      </c>
      <c r="L768" s="51">
        <v>0.11349999999999999</v>
      </c>
      <c r="M768" s="49" t="s">
        <v>105</v>
      </c>
      <c r="N768" s="49">
        <v>740</v>
      </c>
      <c r="O768" s="49">
        <v>13.674698795180699</v>
      </c>
      <c r="P768" s="49"/>
      <c r="Q768" s="49"/>
      <c r="R768" s="49" t="s">
        <v>2275</v>
      </c>
      <c r="S768">
        <f t="shared" si="44"/>
        <v>3</v>
      </c>
      <c r="T768" s="5" cm="1">
        <f t="array" ref="T7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8">
        <f>Table1[[#This Row],[Term to Maturity (Years)]]*Table1[[#This Row],[Coupon Frequency2]]</f>
        <v>12</v>
      </c>
      <c r="V768">
        <f>Table1[[#This Row],[Face value]]*Table1[[#This Row],[Current coupon %]]</f>
        <v>11349.999999999998</v>
      </c>
      <c r="W768" s="36">
        <f>RATE(Table1[[#This Row],[Total No. of Coupons]],Table1[[#This Row],[Coupon Amount]],-Table1[[#This Row],[Ask Price]],Table1[[#This Row],[Face value]])</f>
        <v>0.14407194225094416</v>
      </c>
      <c r="X768" s="27">
        <f>Table1[[#This Row],[IRR]]*Table1[[#This Row],[Coupon Frequency2]]</f>
        <v>0.57628776900377665</v>
      </c>
      <c r="Y768" s="19" cm="1">
        <f t="array" ref="Y7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12</v>
      </c>
      <c r="Z768" s="33">
        <f>DURATION(Table1[[#This Row],[Issue date]],Table1[[#This Row],[Maturity date]],Table1[[#This Row],[Current coupon %]],Table1[[#This Row],[Yield (Annualised)]],Table1[[#This Row],[Coupon Frequency2]])</f>
        <v>1.9995933619390682</v>
      </c>
      <c r="AA768" s="33">
        <f>Table1[[#This Row],[Macaulay Duration in Years]]/(1+Table1[[#This Row],[IRR]])</f>
        <v>1.7477863830878491</v>
      </c>
      <c r="AB768" s="58">
        <f>VLOOKUP(Table1[[#This Row],[Yield Cluster]],'Cluster Details'!$B$3:$C$16,2,0)</f>
        <v>0.57774971389832552</v>
      </c>
      <c r="AC768" s="78">
        <f>PRICE(Table1[[#This Row],[Issue date]],Table1[[#This Row],[Maturity date]],Table1[[#This Row],[Current coupon %]],Table1[[#This Row],[Average Cluster Yield]],100,Table1[[#This Row],[Coupon Frequency2]])*Table1[[#This Row],[Face value]]/100</f>
        <v>40494.480124328264</v>
      </c>
      <c r="AD768" s="58" t="str">
        <f>IF(Table1[[#This Row],[Ask Price]]&gt;Table1[[#This Row],[Calculated Bond Price]],"Rich","Cheap")</f>
        <v>Rich</v>
      </c>
      <c r="AE768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39896.344389896709</v>
      </c>
      <c r="AF768" s="78">
        <f>PRICE(Table1[[#This Row],[Issue date]],Table1[[#This Row],[Maturity date]],Table1[[#This Row],[Current coupon %]],Table1[[#This Row],[Yield (Annualised)]]-$AF$2,100,Table1[[#This Row],[Coupon Frequency2]])*Table1[[#This Row],[Face value]]/100</f>
        <v>41315.612639866747</v>
      </c>
      <c r="AG768" s="78">
        <f>(Table1[[#This Row],[P (+ shock)]]+Table1[[#This Row],[P (-shock)]]-2*Table1[[#This Row],[Ask Price]])/(2*Table1[[#This Row],[Ask Price]]*($AF$2^2))</f>
        <v>-5107.7134319419592</v>
      </c>
      <c r="AH768">
        <v>12</v>
      </c>
      <c r="AI768" s="6">
        <f t="shared" si="45"/>
        <v>0.1367469879518072</v>
      </c>
      <c r="AK768" s="47">
        <f>RATE(Table1[[#This Row],[Total No. of Coupons]],Table1[[#This Row],[Coupon Amount]],-Table1[[#This Row],[Ask Price]],Table1[[#This Row],[Face value]])</f>
        <v>0.14407194225094416</v>
      </c>
      <c r="AL768" s="27">
        <f>Table1[[#This Row],[IRR]]*Table1[[#This Row],[Coupon Frequency2]]</f>
        <v>0.57628776900377665</v>
      </c>
      <c r="AM768" s="5">
        <f t="shared" si="46"/>
        <v>-145066.26979629148</v>
      </c>
      <c r="AN768" t="s">
        <v>64</v>
      </c>
      <c r="AO768" t="s">
        <v>62</v>
      </c>
      <c r="AP768">
        <f t="shared" si="47"/>
        <v>4</v>
      </c>
    </row>
    <row r="769" spans="1:42" x14ac:dyDescent="0.35">
      <c r="A769" s="48" t="s">
        <v>1406</v>
      </c>
      <c r="B769" s="49" t="s">
        <v>3089</v>
      </c>
      <c r="C769" s="49" t="s">
        <v>2273</v>
      </c>
      <c r="D769" s="50">
        <v>45322</v>
      </c>
      <c r="E769" s="50">
        <v>46418</v>
      </c>
      <c r="F769" s="49">
        <v>100000</v>
      </c>
      <c r="G769" s="49" t="s">
        <v>76</v>
      </c>
      <c r="H769" s="49">
        <v>84357.960999999996</v>
      </c>
      <c r="I769" s="49" t="s">
        <v>76</v>
      </c>
      <c r="J769" s="49">
        <v>84.357960999999904</v>
      </c>
      <c r="K769" s="49">
        <v>7</v>
      </c>
      <c r="L769" s="51">
        <v>0.11749999999999999</v>
      </c>
      <c r="M769" s="49" t="s">
        <v>105</v>
      </c>
      <c r="N769" s="49">
        <v>501</v>
      </c>
      <c r="O769" s="49">
        <v>13.9287387470164</v>
      </c>
      <c r="P769" s="49"/>
      <c r="Q769" s="49"/>
      <c r="R769" s="49" t="s">
        <v>2275</v>
      </c>
      <c r="S769">
        <f t="shared" si="44"/>
        <v>3</v>
      </c>
      <c r="T769" s="5" cm="1">
        <f t="array" ref="T7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69">
        <f>Table1[[#This Row],[Term to Maturity (Years)]]*Table1[[#This Row],[Coupon Frequency2]]</f>
        <v>12</v>
      </c>
      <c r="V769">
        <f>Table1[[#This Row],[Face value]]*Table1[[#This Row],[Current coupon %]]</f>
        <v>11750</v>
      </c>
      <c r="W769" s="36">
        <f>RATE(Table1[[#This Row],[Total No. of Coupons]],Table1[[#This Row],[Coupon Amount]],-Table1[[#This Row],[Ask Price]],Table1[[#This Row],[Face value]])</f>
        <v>0.14584669800594299</v>
      </c>
      <c r="X769" s="27">
        <f>Table1[[#This Row],[IRR]]*Table1[[#This Row],[Coupon Frequency2]]</f>
        <v>0.58338679202377197</v>
      </c>
      <c r="Y769" s="19" cm="1">
        <f t="array" ref="Y7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12</v>
      </c>
      <c r="Z769" s="33">
        <f>DURATION(Table1[[#This Row],[Issue date]],Table1[[#This Row],[Maturity date]],Table1[[#This Row],[Current coupon %]],Table1[[#This Row],[Yield (Annualised)]],Table1[[#This Row],[Coupon Frequency2]])</f>
        <v>2.1999465885036091</v>
      </c>
      <c r="AA769" s="33">
        <f>Table1[[#This Row],[Macaulay Duration in Years]]/(1+Table1[[#This Row],[IRR]])</f>
        <v>1.9199309928038899</v>
      </c>
      <c r="AB769" s="58">
        <f>VLOOKUP(Table1[[#This Row],[Yield Cluster]],'Cluster Details'!$B$3:$C$16,2,0)</f>
        <v>0.57774971389832552</v>
      </c>
      <c r="AC769" s="78">
        <f>PRICE(Table1[[#This Row],[Issue date]],Table1[[#This Row],[Maturity date]],Table1[[#This Row],[Current coupon %]],Table1[[#This Row],[Average Cluster Yield]],100,Table1[[#This Row],[Coupon Frequency2]])*Table1[[#This Row],[Face value]]/100</f>
        <v>36119.058074469976</v>
      </c>
      <c r="AD769" s="58" t="str">
        <f>IF(Table1[[#This Row],[Ask Price]]&gt;Table1[[#This Row],[Calculated Bond Price]],"Rich","Cheap")</f>
        <v>Rich</v>
      </c>
      <c r="AE769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35052.275678870959</v>
      </c>
      <c r="AF769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36424.411967445405</v>
      </c>
      <c r="AG769" s="78">
        <f>(Table1[[#This Row],[P (+ shock)]]+Table1[[#This Row],[P (-shock)]]-2*Table1[[#This Row],[Ask Price]])/(2*Table1[[#This Row],[Ask Price]]*($AF$2^2))</f>
        <v>-5763.4888990313339</v>
      </c>
      <c r="AH769">
        <v>13.2556735876388</v>
      </c>
      <c r="AI769" s="6">
        <f t="shared" si="45"/>
        <v>0.1392873874701642</v>
      </c>
      <c r="AK769" s="47">
        <f>RATE(Table1[[#This Row],[Total No. of Coupons]],Table1[[#This Row],[Coupon Amount]],-Table1[[#This Row],[Ask Price]],Table1[[#This Row],[Face value]])</f>
        <v>0.14584669800594299</v>
      </c>
      <c r="AL769" s="27">
        <f>Table1[[#This Row],[IRR]]*Table1[[#This Row],[Coupon Frequency2]]</f>
        <v>0.58338679202377197</v>
      </c>
      <c r="AM769" s="5">
        <f t="shared" si="46"/>
        <v>-161961.46381364181</v>
      </c>
      <c r="AN769" t="s">
        <v>64</v>
      </c>
      <c r="AO769" t="s">
        <v>62</v>
      </c>
      <c r="AP769">
        <f t="shared" si="47"/>
        <v>4</v>
      </c>
    </row>
    <row r="770" spans="1:42" x14ac:dyDescent="0.35">
      <c r="A770" s="48" t="s">
        <v>2024</v>
      </c>
      <c r="B770" s="49" t="s">
        <v>3090</v>
      </c>
      <c r="C770" s="49" t="s">
        <v>2273</v>
      </c>
      <c r="D770" s="50">
        <v>44923</v>
      </c>
      <c r="E770" s="50">
        <v>46019</v>
      </c>
      <c r="F770" s="49">
        <v>1000</v>
      </c>
      <c r="G770" s="49" t="s">
        <v>76</v>
      </c>
      <c r="H770" s="49">
        <v>364.9</v>
      </c>
      <c r="I770" s="49" t="s">
        <v>76</v>
      </c>
      <c r="J770" s="49">
        <v>36.49</v>
      </c>
      <c r="K770" s="49">
        <v>6</v>
      </c>
      <c r="L770" s="51">
        <v>9.5500000000000002E-2</v>
      </c>
      <c r="M770" s="49" t="s">
        <v>93</v>
      </c>
      <c r="N770" s="49">
        <v>102</v>
      </c>
      <c r="O770" s="49">
        <v>26.1715538503699</v>
      </c>
      <c r="P770" s="49" t="s">
        <v>2279</v>
      </c>
      <c r="Q770" s="49"/>
      <c r="R770" s="49" t="s">
        <v>2275</v>
      </c>
      <c r="S770">
        <f t="shared" si="44"/>
        <v>3</v>
      </c>
      <c r="T770" s="5" cm="1">
        <f t="array" ref="T7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70">
        <f>Table1[[#This Row],[Term to Maturity (Years)]]*Table1[[#This Row],[Coupon Frequency2]]</f>
        <v>3</v>
      </c>
      <c r="V770">
        <f>Table1[[#This Row],[Face value]]*Table1[[#This Row],[Current coupon %]]</f>
        <v>95.5</v>
      </c>
      <c r="W770" s="36">
        <f>RATE(Table1[[#This Row],[Total No. of Coupons]],Table1[[#This Row],[Coupon Amount]],-Table1[[#This Row],[Ask Price]],Table1[[#This Row],[Face value]])</f>
        <v>0.59922901781544768</v>
      </c>
      <c r="X770" s="27">
        <f>Table1[[#This Row],[IRR]]*Table1[[#This Row],[Coupon Frequency2]]</f>
        <v>0.59922901781544768</v>
      </c>
      <c r="Y770" s="19" cm="1">
        <f t="array" ref="Y7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12</v>
      </c>
      <c r="Z770" s="33">
        <f>DURATION(Table1[[#This Row],[Issue date]],Table1[[#This Row],[Maturity date]],Table1[[#This Row],[Current coupon %]],Table1[[#This Row],[Yield (Annualised)]],Table1[[#This Row],[Coupon Frequency2]])</f>
        <v>2.5703666338867852</v>
      </c>
      <c r="AA770" s="33">
        <f>Table1[[#This Row],[Macaulay Duration in Years]]/(1+Table1[[#This Row],[IRR]])</f>
        <v>1.6072536236229098</v>
      </c>
      <c r="AB770" s="58">
        <f>VLOOKUP(Table1[[#This Row],[Yield Cluster]],'Cluster Details'!$B$3:$C$16,2,0)</f>
        <v>0.57774971389832552</v>
      </c>
      <c r="AC770" s="78">
        <f>PRICE(Table1[[#This Row],[Issue date]],Table1[[#This Row],[Maturity date]],Table1[[#This Row],[Current coupon %]],Table1[[#This Row],[Average Cluster Yield]],100,Table1[[#This Row],[Coupon Frequency2]])*Table1[[#This Row],[Face value]]/100</f>
        <v>377.82534867834931</v>
      </c>
      <c r="AD770" s="58" t="str">
        <f>IF(Table1[[#This Row],[Ask Price]]&gt;Table1[[#This Row],[Calculated Bond Price]],"Rich","Cheap")</f>
        <v>Cheap</v>
      </c>
      <c r="AE770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359.10398326704455</v>
      </c>
      <c r="AF770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370.83513228209523</v>
      </c>
      <c r="AG770" s="78">
        <f>(Table1[[#This Row],[P (+ shock)]]+Table1[[#This Row],[P (-shock)]]-2*Table1[[#This Row],[Ask Price]])/(2*Table1[[#This Row],[Ask Price]]*($AF$2^2))</f>
        <v>1.906214704575057</v>
      </c>
      <c r="AI770" s="6">
        <f t="shared" si="45"/>
        <v>0.26171553850369966</v>
      </c>
      <c r="AK770" s="47">
        <f>RATE(Table1[[#This Row],[Total No. of Coupons]],Table1[[#This Row],[Coupon Amount]],-Table1[[#This Row],[Ask Price]],Table1[[#This Row],[Face value]])</f>
        <v>0.59922901781544768</v>
      </c>
      <c r="AL770" s="27">
        <f>Table1[[#This Row],[IRR]]*Table1[[#This Row],[Coupon Frequency2]]</f>
        <v>0.59922901781544768</v>
      </c>
      <c r="AM770" s="5">
        <f t="shared" si="46"/>
        <v>-586.48684725999976</v>
      </c>
      <c r="AN770" t="s">
        <v>64</v>
      </c>
      <c r="AO770" t="s">
        <v>62</v>
      </c>
      <c r="AP770">
        <f t="shared" si="47"/>
        <v>1</v>
      </c>
    </row>
    <row r="771" spans="1:42" x14ac:dyDescent="0.35">
      <c r="A771" s="48" t="s">
        <v>3091</v>
      </c>
      <c r="B771" s="49" t="s">
        <v>3092</v>
      </c>
      <c r="C771" s="49" t="s">
        <v>2273</v>
      </c>
      <c r="D771" s="50">
        <v>45509</v>
      </c>
      <c r="E771" s="50">
        <v>46604</v>
      </c>
      <c r="F771" s="49">
        <v>100000</v>
      </c>
      <c r="G771" s="49" t="s">
        <v>76</v>
      </c>
      <c r="H771" s="49">
        <v>76407.89</v>
      </c>
      <c r="I771" s="49" t="s">
        <v>76</v>
      </c>
      <c r="J771" s="49">
        <v>76.407889999999995</v>
      </c>
      <c r="K771" s="49">
        <v>1</v>
      </c>
      <c r="L771" s="51">
        <v>0.11749999999999999</v>
      </c>
      <c r="M771" s="49" t="s">
        <v>105</v>
      </c>
      <c r="N771" s="49">
        <v>687</v>
      </c>
      <c r="O771" s="49">
        <v>15.3779930318714</v>
      </c>
      <c r="P771" s="49"/>
      <c r="Q771" s="49"/>
      <c r="R771" s="49" t="s">
        <v>2275</v>
      </c>
      <c r="S771">
        <f t="shared" si="44"/>
        <v>3</v>
      </c>
      <c r="T771" s="5" cm="1">
        <f t="array" ref="T7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4</v>
      </c>
      <c r="U771">
        <f>Table1[[#This Row],[Term to Maturity (Years)]]*Table1[[#This Row],[Coupon Frequency2]]</f>
        <v>12</v>
      </c>
      <c r="V771">
        <f>Table1[[#This Row],[Face value]]*Table1[[#This Row],[Current coupon %]]</f>
        <v>11750</v>
      </c>
      <c r="W771" s="36">
        <f>RATE(Table1[[#This Row],[Total No. of Coupons]],Table1[[#This Row],[Coupon Amount]],-Table1[[#This Row],[Ask Price]],Table1[[#This Row],[Face value]])</f>
        <v>0.16356959499797535</v>
      </c>
      <c r="X771" s="27">
        <f>Table1[[#This Row],[IRR]]*Table1[[#This Row],[Coupon Frequency2]]</f>
        <v>0.65427837999190142</v>
      </c>
      <c r="Y771" s="19" cm="1">
        <f t="array" ref="Y7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14</v>
      </c>
      <c r="Z771" s="33">
        <f>DURATION(Table1[[#This Row],[Issue date]],Table1[[#This Row],[Maturity date]],Table1[[#This Row],[Current coupon %]],Table1[[#This Row],[Yield (Annualised)]],Table1[[#This Row],[Coupon Frequency2]])</f>
        <v>2.1328484519719089</v>
      </c>
      <c r="AA771" s="33">
        <f>Table1[[#This Row],[Macaulay Duration in Years]]/(1+Table1[[#This Row],[IRR]])</f>
        <v>1.8330218159195024</v>
      </c>
      <c r="AB771" s="58">
        <f>VLOOKUP(Table1[[#This Row],[Yield Cluster]],'Cluster Details'!$B$3:$C$16,2,0)</f>
        <v>0.66178549607419423</v>
      </c>
      <c r="AC771" s="78">
        <f>PRICE(Table1[[#This Row],[Issue date]],Table1[[#This Row],[Maturity date]],Table1[[#This Row],[Current coupon %]],Table1[[#This Row],[Average Cluster Yield]],100,Table1[[#This Row],[Coupon Frequency2]])*Table1[[#This Row],[Face value]]/100</f>
        <v>30852.906995902486</v>
      </c>
      <c r="AD771" s="58" t="str">
        <f>IF(Table1[[#This Row],[Ask Price]]&gt;Table1[[#This Row],[Calculated Bond Price]],"Rich","Cheap")</f>
        <v>Rich</v>
      </c>
      <c r="AE771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30713.062261707732</v>
      </c>
      <c r="AF771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31859.912368130204</v>
      </c>
      <c r="AG771" s="78">
        <f>(Table1[[#This Row],[P (+ shock)]]+Table1[[#This Row],[P (-shock)]]-2*Table1[[#This Row],[Ask Price]])/(2*Table1[[#This Row],[Ask Price]]*($AF$2^2))</f>
        <v>-5905.3329028037588</v>
      </c>
      <c r="AH771">
        <v>10</v>
      </c>
      <c r="AI771" s="6">
        <f t="shared" si="45"/>
        <v>0.15377993031871448</v>
      </c>
      <c r="AK771" s="47">
        <f>RATE(Table1[[#This Row],[Total No. of Coupons]],Table1[[#This Row],[Coupon Amount]],-Table1[[#This Row],[Ask Price]],Table1[[#This Row],[Face value]])</f>
        <v>0.16356959499797535</v>
      </c>
      <c r="AL771" s="27">
        <f>Table1[[#This Row],[IRR]]*Table1[[#This Row],[Coupon Frequency2]]</f>
        <v>0.65427837999190142</v>
      </c>
      <c r="AM771" s="5">
        <f t="shared" si="46"/>
        <v>-140057.32927837758</v>
      </c>
      <c r="AN771" t="s">
        <v>64</v>
      </c>
      <c r="AO771" t="s">
        <v>62</v>
      </c>
      <c r="AP771">
        <f t="shared" si="47"/>
        <v>4</v>
      </c>
    </row>
    <row r="772" spans="1:42" x14ac:dyDescent="0.35">
      <c r="A772" s="52" t="s">
        <v>1900</v>
      </c>
      <c r="B772" s="53" t="s">
        <v>3093</v>
      </c>
      <c r="C772" s="53" t="s">
        <v>2273</v>
      </c>
      <c r="D772" s="54">
        <v>45008</v>
      </c>
      <c r="E772" s="54">
        <v>46104</v>
      </c>
      <c r="F772" s="53">
        <v>1000</v>
      </c>
      <c r="G772" s="53" t="s">
        <v>76</v>
      </c>
      <c r="H772" s="53">
        <v>331.1</v>
      </c>
      <c r="I772" s="53" t="s">
        <v>76</v>
      </c>
      <c r="J772" s="53">
        <v>33.11</v>
      </c>
      <c r="K772" s="53">
        <v>11</v>
      </c>
      <c r="L772" s="55">
        <v>9.9000000000000005E-2</v>
      </c>
      <c r="M772" s="53" t="s">
        <v>93</v>
      </c>
      <c r="N772" s="53">
        <v>187</v>
      </c>
      <c r="O772" s="53">
        <v>29.900332225913601</v>
      </c>
      <c r="P772" s="53" t="s">
        <v>2279</v>
      </c>
      <c r="Q772" s="53"/>
      <c r="R772" s="53" t="s">
        <v>2275</v>
      </c>
      <c r="S772">
        <f t="shared" ref="S772:S835" si="48">ROUND(YEARFRAC(D772,E772),0)</f>
        <v>3</v>
      </c>
      <c r="T772" s="5" cm="1">
        <f t="array" ref="T7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1</v>
      </c>
      <c r="U772">
        <f>Table1[[#This Row],[Term to Maturity (Years)]]*Table1[[#This Row],[Coupon Frequency2]]</f>
        <v>3</v>
      </c>
      <c r="V772">
        <f>Table1[[#This Row],[Face value]]*Table1[[#This Row],[Current coupon %]]</f>
        <v>99</v>
      </c>
      <c r="W772" s="36">
        <f>RATE(Table1[[#This Row],[Total No. of Coupons]],Table1[[#This Row],[Coupon Amount]],-Table1[[#This Row],[Ask Price]],Table1[[#This Row],[Face value]])</f>
        <v>0.66929261215648705</v>
      </c>
      <c r="X772" s="27">
        <f>Table1[[#This Row],[IRR]]*Table1[[#This Row],[Coupon Frequency2]]</f>
        <v>0.66929261215648705</v>
      </c>
      <c r="Y772" s="19" cm="1">
        <f t="array" ref="Y7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14</v>
      </c>
      <c r="Z772" s="33">
        <f>DURATION(Table1[[#This Row],[Issue date]],Table1[[#This Row],[Maturity date]],Table1[[#This Row],[Current coupon %]],Table1[[#This Row],[Yield (Annualised)]],Table1[[#This Row],[Coupon Frequency2]])</f>
        <v>2.5344576397509075</v>
      </c>
      <c r="AA772" s="33">
        <f>Table1[[#This Row],[Macaulay Duration in Years]]/(1+Table1[[#This Row],[IRR]])</f>
        <v>1.5182824277145461</v>
      </c>
      <c r="AB772" s="58">
        <f>VLOOKUP(Table1[[#This Row],[Yield Cluster]],'Cluster Details'!$B$3:$C$16,2,0)</f>
        <v>0.66178549607419423</v>
      </c>
      <c r="AC772" s="78">
        <f>PRICE(Table1[[#This Row],[Issue date]],Table1[[#This Row],[Maturity date]],Table1[[#This Row],[Current coupon %]],Table1[[#This Row],[Average Cluster Yield]],100,Table1[[#This Row],[Coupon Frequency2]])*Table1[[#This Row],[Face value]]/100</f>
        <v>334.90611230449872</v>
      </c>
      <c r="AD772" s="58" t="str">
        <f>IF(Table1[[#This Row],[Ask Price]]&gt;Table1[[#This Row],[Calculated Bond Price]],"Rich","Cheap")</f>
        <v>Cheap</v>
      </c>
      <c r="AE772" s="78">
        <f>PRICE(Table1[[#This Row],[Issue date]],Table1[[#This Row],[Maturity date]],Table1[[#This Row],[Current coupon %]],Table1[[#This Row],[Yield (Annualised)]]+$AF$2,100,Table1[[#This Row],[Coupon Frequency2]])*Table1[[#This Row],[Face value]]/100</f>
        <v>326.12924667279935</v>
      </c>
      <c r="AF772" s="78">
        <f>PRICE(Table1[[#This Row],[Issue date]],Table1[[#This Row],[Maturity date]],Table1[[#This Row],[Current coupon %]],Table1[[#This Row],[Yield (Annualised)]]-$AF$2,100,Table1[[#This Row],[Coupon Frequency2]])*Table1[[#This Row],[Face value]]/100</f>
        <v>336.1844154503076</v>
      </c>
      <c r="AG772" s="78">
        <f>(Table1[[#This Row],[P (+ shock)]]+Table1[[#This Row],[P (-shock)]]-2*Table1[[#This Row],[Ask Price]])/(2*Table1[[#This Row],[Ask Price]]*($AF$2^2))</f>
        <v>1.7164319406056434</v>
      </c>
      <c r="AI772" s="6">
        <f t="shared" ref="AI772:AI835" si="49">(L772*F772)/H772</f>
        <v>0.29900332225913617</v>
      </c>
      <c r="AK772" s="47">
        <f>RATE(Table1[[#This Row],[Total No. of Coupons]],Table1[[#This Row],[Coupon Amount]],-Table1[[#This Row],[Ask Price]],Table1[[#This Row],[Face value]])</f>
        <v>0.66929261215648705</v>
      </c>
      <c r="AL772" s="27">
        <f>Table1[[#This Row],[IRR]]*Table1[[#This Row],[Coupon Frequency2]]</f>
        <v>0.66929261215648705</v>
      </c>
      <c r="AM772" s="5">
        <f t="shared" ref="AM772:AM835" si="50">-AA772*H772</f>
        <v>-502.70331181628626</v>
      </c>
      <c r="AN772" t="s">
        <v>64</v>
      </c>
      <c r="AO772" t="s">
        <v>62</v>
      </c>
      <c r="AP772">
        <f t="shared" ref="AP772:AP835" si="51">_xlfn.SWITCH(PROPER(TRIM(M772)),
   "Annual",1,
   "Semi-Annual",2,
   "Quarterly",4,
   "Monthly",12,
   "")</f>
        <v>1</v>
      </c>
    </row>
    <row r="773" spans="1:42" x14ac:dyDescent="0.35">
      <c r="D773" s="21"/>
      <c r="E773" s="21"/>
      <c r="L773" s="22"/>
      <c r="S773">
        <f t="shared" si="48"/>
        <v>0</v>
      </c>
      <c r="T773" s="5" t="e" cm="1">
        <f t="array" ref="T7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73" t="e">
        <f>Table1[[#This Row],[Term to Maturity (Years)]]*Table1[[#This Row],[Coupon Frequency2]]</f>
        <v>#N/A</v>
      </c>
      <c r="V773">
        <f>Table1[[#This Row],[Face value]]*Table1[[#This Row],[Current coupon %]]</f>
        <v>0</v>
      </c>
      <c r="W773" s="36" t="e">
        <f>RATE(Table1[[#This Row],[Total No. of Coupons]],Table1[[#This Row],[Coupon Amount]],-Table1[[#This Row],[Ask Price]],Table1[[#This Row],[Face value]])</f>
        <v>#N/A</v>
      </c>
      <c r="X773" s="27" t="e">
        <f>Table1[[#This Row],[IRR]]*Table1[[#This Row],[Coupon Frequency2]]</f>
        <v>#N/A</v>
      </c>
      <c r="Y773" s="19" t="e" cm="1">
        <f t="array" ref="Y7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73" s="33" t="e">
        <f>DURATION(Table1[[#This Row],[Issue date]],Table1[[#This Row],[Maturity date]],Table1[[#This Row],[Current coupon %]],Table1[[#This Row],[Yield (Annualised)]],Table1[[#This Row],[Coupon Frequency2]])</f>
        <v>#N/A</v>
      </c>
      <c r="AA773" s="33" t="e">
        <f>Table1[[#This Row],[Macaulay Duration in Years]]/(1+Table1[[#This Row],[IRR]])</f>
        <v>#N/A</v>
      </c>
      <c r="AB773" s="58" t="e">
        <f>VLOOKUP(Table1[[#This Row],[Yield Cluster]],'Cluster Details'!$B$3:$C$16,2,0)</f>
        <v>#N/A</v>
      </c>
      <c r="AC7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73" s="58" t="e">
        <f>IF(Table1[[#This Row],[Ask Price]]&gt;Table1[[#This Row],[Calculated Bond Price]],"Rich","Cheap")</f>
        <v>#N/A</v>
      </c>
      <c r="AE7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73" s="78" t="e">
        <f>(Table1[[#This Row],[P (+ shock)]]+Table1[[#This Row],[P (-shock)]]-2*Table1[[#This Row],[Ask Price]])/(2*Table1[[#This Row],[Ask Price]]*($AF$2^2))</f>
        <v>#N/A</v>
      </c>
      <c r="AI773" s="6" t="e">
        <f t="shared" si="49"/>
        <v>#DIV/0!</v>
      </c>
      <c r="AK773" s="47" t="e">
        <f>RATE(Table1[[#This Row],[Total No. of Coupons]],Table1[[#This Row],[Coupon Amount]],-Table1[[#This Row],[Ask Price]],Table1[[#This Row],[Face value]])</f>
        <v>#N/A</v>
      </c>
      <c r="AL773" s="27" t="e">
        <f>Table1[[#This Row],[IRR]]*Table1[[#This Row],[Coupon Frequency2]]</f>
        <v>#N/A</v>
      </c>
      <c r="AM773" s="5" t="e">
        <f t="shared" si="50"/>
        <v>#N/A</v>
      </c>
      <c r="AN773" t="s">
        <v>64</v>
      </c>
      <c r="AO773" t="s">
        <v>62</v>
      </c>
      <c r="AP773" t="str">
        <f t="shared" si="51"/>
        <v/>
      </c>
    </row>
    <row r="774" spans="1:42" x14ac:dyDescent="0.35">
      <c r="D774" s="21"/>
      <c r="E774" s="21"/>
      <c r="L774" s="22"/>
      <c r="S774">
        <f t="shared" si="48"/>
        <v>0</v>
      </c>
      <c r="T774" s="5" t="e" cm="1">
        <f t="array" ref="T7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74" t="e">
        <f>Table1[[#This Row],[Term to Maturity (Years)]]*Table1[[#This Row],[Coupon Frequency2]]</f>
        <v>#N/A</v>
      </c>
      <c r="V774">
        <f>Table1[[#This Row],[Face value]]*Table1[[#This Row],[Current coupon %]]</f>
        <v>0</v>
      </c>
      <c r="W774" s="36" t="e">
        <f>RATE(Table1[[#This Row],[Total No. of Coupons]],Table1[[#This Row],[Coupon Amount]],-Table1[[#This Row],[Ask Price]],Table1[[#This Row],[Face value]])</f>
        <v>#N/A</v>
      </c>
      <c r="X774" s="27" t="e">
        <f>Table1[[#This Row],[IRR]]*Table1[[#This Row],[Coupon Frequency2]]</f>
        <v>#N/A</v>
      </c>
      <c r="Y774" s="19" t="e" cm="1">
        <f t="array" ref="Y7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74" s="33" t="e">
        <f>DURATION(Table1[[#This Row],[Issue date]],Table1[[#This Row],[Maturity date]],Table1[[#This Row],[Current coupon %]],Table1[[#This Row],[Yield (Annualised)]],Table1[[#This Row],[Coupon Frequency2]])</f>
        <v>#N/A</v>
      </c>
      <c r="AA774" s="33" t="e">
        <f>Table1[[#This Row],[Macaulay Duration in Years]]/(1+Table1[[#This Row],[IRR]])</f>
        <v>#N/A</v>
      </c>
      <c r="AB774" s="58" t="e">
        <f>VLOOKUP(Table1[[#This Row],[Yield Cluster]],'Cluster Details'!$B$3:$C$16,2,0)</f>
        <v>#N/A</v>
      </c>
      <c r="AC7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74" s="58" t="e">
        <f>IF(Table1[[#This Row],[Ask Price]]&gt;Table1[[#This Row],[Calculated Bond Price]],"Rich","Cheap")</f>
        <v>#N/A</v>
      </c>
      <c r="AE7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74" s="78" t="e">
        <f>(Table1[[#This Row],[P (+ shock)]]+Table1[[#This Row],[P (-shock)]]-2*Table1[[#This Row],[Ask Price]])/(2*Table1[[#This Row],[Ask Price]]*($AF$2^2))</f>
        <v>#N/A</v>
      </c>
      <c r="AI774" s="6" t="e">
        <f t="shared" si="49"/>
        <v>#DIV/0!</v>
      </c>
      <c r="AK774" s="47" t="e">
        <f>RATE(Table1[[#This Row],[Total No. of Coupons]],Table1[[#This Row],[Coupon Amount]],-Table1[[#This Row],[Ask Price]],Table1[[#This Row],[Face value]])</f>
        <v>#N/A</v>
      </c>
      <c r="AL774" s="27" t="e">
        <f>Table1[[#This Row],[IRR]]*Table1[[#This Row],[Coupon Frequency2]]</f>
        <v>#N/A</v>
      </c>
      <c r="AM774" s="5" t="e">
        <f t="shared" si="50"/>
        <v>#N/A</v>
      </c>
      <c r="AN774" t="s">
        <v>64</v>
      </c>
      <c r="AO774" t="s">
        <v>62</v>
      </c>
      <c r="AP774" t="str">
        <f t="shared" si="51"/>
        <v/>
      </c>
    </row>
    <row r="775" spans="1:42" x14ac:dyDescent="0.35">
      <c r="D775" s="21"/>
      <c r="E775" s="21"/>
      <c r="L775" s="22"/>
      <c r="S775">
        <f t="shared" si="48"/>
        <v>0</v>
      </c>
      <c r="T775" s="5" t="e" cm="1">
        <f t="array" ref="T7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75" t="e">
        <f>Table1[[#This Row],[Term to Maturity (Years)]]*Table1[[#This Row],[Coupon Frequency2]]</f>
        <v>#N/A</v>
      </c>
      <c r="V775">
        <f>Table1[[#This Row],[Face value]]*Table1[[#This Row],[Current coupon %]]</f>
        <v>0</v>
      </c>
      <c r="W775" s="36" t="e">
        <f>RATE(Table1[[#This Row],[Total No. of Coupons]],Table1[[#This Row],[Coupon Amount]],-Table1[[#This Row],[Ask Price]],Table1[[#This Row],[Face value]])</f>
        <v>#N/A</v>
      </c>
      <c r="X775" s="27" t="e">
        <f>Table1[[#This Row],[IRR]]*Table1[[#This Row],[Coupon Frequency2]]</f>
        <v>#N/A</v>
      </c>
      <c r="Y775" s="19" t="e" cm="1">
        <f t="array" ref="Y7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75" s="33" t="e">
        <f>DURATION(Table1[[#This Row],[Issue date]],Table1[[#This Row],[Maturity date]],Table1[[#This Row],[Current coupon %]],Table1[[#This Row],[Yield (Annualised)]],Table1[[#This Row],[Coupon Frequency2]])</f>
        <v>#N/A</v>
      </c>
      <c r="AA775" s="33" t="e">
        <f>Table1[[#This Row],[Macaulay Duration in Years]]/(1+Table1[[#This Row],[IRR]])</f>
        <v>#N/A</v>
      </c>
      <c r="AB775" s="58" t="e">
        <f>VLOOKUP(Table1[[#This Row],[Yield Cluster]],'Cluster Details'!$B$3:$C$16,2,0)</f>
        <v>#N/A</v>
      </c>
      <c r="AC7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75" s="58" t="e">
        <f>IF(Table1[[#This Row],[Ask Price]]&gt;Table1[[#This Row],[Calculated Bond Price]],"Rich","Cheap")</f>
        <v>#N/A</v>
      </c>
      <c r="AE7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75" s="78" t="e">
        <f>(Table1[[#This Row],[P (+ shock)]]+Table1[[#This Row],[P (-shock)]]-2*Table1[[#This Row],[Ask Price]])/(2*Table1[[#This Row],[Ask Price]]*($AF$2^2))</f>
        <v>#N/A</v>
      </c>
      <c r="AI775" s="6" t="e">
        <f t="shared" si="49"/>
        <v>#DIV/0!</v>
      </c>
      <c r="AK775" s="47" t="e">
        <f>RATE(Table1[[#This Row],[Total No. of Coupons]],Table1[[#This Row],[Coupon Amount]],-Table1[[#This Row],[Ask Price]],Table1[[#This Row],[Face value]])</f>
        <v>#N/A</v>
      </c>
      <c r="AL775" s="27" t="e">
        <f>Table1[[#This Row],[IRR]]*Table1[[#This Row],[Coupon Frequency2]]</f>
        <v>#N/A</v>
      </c>
      <c r="AM775" s="5" t="e">
        <f t="shared" si="50"/>
        <v>#N/A</v>
      </c>
      <c r="AN775" t="s">
        <v>64</v>
      </c>
      <c r="AO775" t="s">
        <v>62</v>
      </c>
      <c r="AP775" t="str">
        <f t="shared" si="51"/>
        <v/>
      </c>
    </row>
    <row r="776" spans="1:42" x14ac:dyDescent="0.35">
      <c r="D776" s="21"/>
      <c r="E776" s="21"/>
      <c r="L776" s="22"/>
      <c r="S776">
        <f t="shared" si="48"/>
        <v>0</v>
      </c>
      <c r="T776" s="5" t="e" cm="1">
        <f t="array" ref="T7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76" t="e">
        <f>Table1[[#This Row],[Term to Maturity (Years)]]*Table1[[#This Row],[Coupon Frequency2]]</f>
        <v>#N/A</v>
      </c>
      <c r="V776">
        <f>Table1[[#This Row],[Face value]]*Table1[[#This Row],[Current coupon %]]</f>
        <v>0</v>
      </c>
      <c r="W776" s="36" t="e">
        <f>RATE(Table1[[#This Row],[Total No. of Coupons]],Table1[[#This Row],[Coupon Amount]],-Table1[[#This Row],[Ask Price]],Table1[[#This Row],[Face value]])</f>
        <v>#N/A</v>
      </c>
      <c r="X776" s="27" t="e">
        <f>Table1[[#This Row],[IRR]]*Table1[[#This Row],[Coupon Frequency2]]</f>
        <v>#N/A</v>
      </c>
      <c r="Y776" s="19" t="e" cm="1">
        <f t="array" ref="Y7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76" s="33" t="e">
        <f>DURATION(Table1[[#This Row],[Issue date]],Table1[[#This Row],[Maturity date]],Table1[[#This Row],[Current coupon %]],Table1[[#This Row],[Yield (Annualised)]],Table1[[#This Row],[Coupon Frequency2]])</f>
        <v>#N/A</v>
      </c>
      <c r="AA776" s="33" t="e">
        <f>Table1[[#This Row],[Macaulay Duration in Years]]/(1+Table1[[#This Row],[IRR]])</f>
        <v>#N/A</v>
      </c>
      <c r="AB776" s="58" t="e">
        <f>VLOOKUP(Table1[[#This Row],[Yield Cluster]],'Cluster Details'!$B$3:$C$16,2,0)</f>
        <v>#N/A</v>
      </c>
      <c r="AC7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76" s="58" t="e">
        <f>IF(Table1[[#This Row],[Ask Price]]&gt;Table1[[#This Row],[Calculated Bond Price]],"Rich","Cheap")</f>
        <v>#N/A</v>
      </c>
      <c r="AE7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76" s="78" t="e">
        <f>(Table1[[#This Row],[P (+ shock)]]+Table1[[#This Row],[P (-shock)]]-2*Table1[[#This Row],[Ask Price]])/(2*Table1[[#This Row],[Ask Price]]*($AF$2^2))</f>
        <v>#N/A</v>
      </c>
      <c r="AH776">
        <v>8.7150958147650393</v>
      </c>
      <c r="AI776" s="6" t="e">
        <f t="shared" si="49"/>
        <v>#DIV/0!</v>
      </c>
      <c r="AK776" s="47" t="e">
        <f>RATE(Table1[[#This Row],[Total No. of Coupons]],Table1[[#This Row],[Coupon Amount]],-Table1[[#This Row],[Ask Price]],Table1[[#This Row],[Face value]])</f>
        <v>#N/A</v>
      </c>
      <c r="AL776" s="27" t="e">
        <f>Table1[[#This Row],[IRR]]*Table1[[#This Row],[Coupon Frequency2]]</f>
        <v>#N/A</v>
      </c>
      <c r="AM776" s="5" t="e">
        <f t="shared" si="50"/>
        <v>#N/A</v>
      </c>
      <c r="AN776" t="s">
        <v>64</v>
      </c>
      <c r="AO776" t="s">
        <v>62</v>
      </c>
      <c r="AP776" t="str">
        <f t="shared" si="51"/>
        <v/>
      </c>
    </row>
    <row r="777" spans="1:42" x14ac:dyDescent="0.35">
      <c r="D777" s="21"/>
      <c r="E777" s="21"/>
      <c r="L777" s="22"/>
      <c r="S777">
        <f t="shared" si="48"/>
        <v>0</v>
      </c>
      <c r="T777" s="5" t="e" cm="1">
        <f t="array" ref="T7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77" t="e">
        <f>Table1[[#This Row],[Term to Maturity (Years)]]*Table1[[#This Row],[Coupon Frequency2]]</f>
        <v>#N/A</v>
      </c>
      <c r="V777">
        <f>Table1[[#This Row],[Face value]]*Table1[[#This Row],[Current coupon %]]</f>
        <v>0</v>
      </c>
      <c r="W777" s="36" t="e">
        <f>RATE(Table1[[#This Row],[Total No. of Coupons]],Table1[[#This Row],[Coupon Amount]],-Table1[[#This Row],[Ask Price]],Table1[[#This Row],[Face value]])</f>
        <v>#N/A</v>
      </c>
      <c r="X777" s="27" t="e">
        <f>Table1[[#This Row],[IRR]]*Table1[[#This Row],[Coupon Frequency2]]</f>
        <v>#N/A</v>
      </c>
      <c r="Y777" s="19" t="e" cm="1">
        <f t="array" ref="Y7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77" s="33" t="e">
        <f>DURATION(Table1[[#This Row],[Issue date]],Table1[[#This Row],[Maturity date]],Table1[[#This Row],[Current coupon %]],Table1[[#This Row],[Yield (Annualised)]],Table1[[#This Row],[Coupon Frequency2]])</f>
        <v>#N/A</v>
      </c>
      <c r="AA777" s="33" t="e">
        <f>Table1[[#This Row],[Macaulay Duration in Years]]/(1+Table1[[#This Row],[IRR]])</f>
        <v>#N/A</v>
      </c>
      <c r="AB777" s="58" t="e">
        <f>VLOOKUP(Table1[[#This Row],[Yield Cluster]],'Cluster Details'!$B$3:$C$16,2,0)</f>
        <v>#N/A</v>
      </c>
      <c r="AC7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77" s="58" t="e">
        <f>IF(Table1[[#This Row],[Ask Price]]&gt;Table1[[#This Row],[Calculated Bond Price]],"Rich","Cheap")</f>
        <v>#N/A</v>
      </c>
      <c r="AE7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77" s="78" t="e">
        <f>(Table1[[#This Row],[P (+ shock)]]+Table1[[#This Row],[P (-shock)]]-2*Table1[[#This Row],[Ask Price]])/(2*Table1[[#This Row],[Ask Price]]*($AF$2^2))</f>
        <v>#N/A</v>
      </c>
      <c r="AI777" s="6" t="e">
        <f t="shared" si="49"/>
        <v>#DIV/0!</v>
      </c>
      <c r="AK777" s="47" t="e">
        <f>RATE(Table1[[#This Row],[Total No. of Coupons]],Table1[[#This Row],[Coupon Amount]],-Table1[[#This Row],[Ask Price]],Table1[[#This Row],[Face value]])</f>
        <v>#N/A</v>
      </c>
      <c r="AL777" s="27" t="e">
        <f>Table1[[#This Row],[IRR]]*Table1[[#This Row],[Coupon Frequency2]]</f>
        <v>#N/A</v>
      </c>
      <c r="AM777" s="5" t="e">
        <f t="shared" si="50"/>
        <v>#N/A</v>
      </c>
      <c r="AN777" t="s">
        <v>64</v>
      </c>
      <c r="AO777" t="s">
        <v>62</v>
      </c>
      <c r="AP777" t="str">
        <f t="shared" si="51"/>
        <v/>
      </c>
    </row>
    <row r="778" spans="1:42" x14ac:dyDescent="0.35">
      <c r="D778" s="21"/>
      <c r="E778" s="21"/>
      <c r="L778" s="22"/>
      <c r="S778">
        <f t="shared" si="48"/>
        <v>0</v>
      </c>
      <c r="T778" s="5" t="e" cm="1">
        <f t="array" ref="T7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78" t="e">
        <f>Table1[[#This Row],[Term to Maturity (Years)]]*Table1[[#This Row],[Coupon Frequency2]]</f>
        <v>#N/A</v>
      </c>
      <c r="V778">
        <f>Table1[[#This Row],[Face value]]*Table1[[#This Row],[Current coupon %]]</f>
        <v>0</v>
      </c>
      <c r="W778" s="36" t="e">
        <f>RATE(Table1[[#This Row],[Total No. of Coupons]],Table1[[#This Row],[Coupon Amount]],-Table1[[#This Row],[Ask Price]],Table1[[#This Row],[Face value]])</f>
        <v>#N/A</v>
      </c>
      <c r="X778" s="27" t="e">
        <f>Table1[[#This Row],[IRR]]*Table1[[#This Row],[Coupon Frequency2]]</f>
        <v>#N/A</v>
      </c>
      <c r="Y778" s="19" t="e" cm="1">
        <f t="array" ref="Y7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78" s="33" t="e">
        <f>DURATION(Table1[[#This Row],[Issue date]],Table1[[#This Row],[Maturity date]],Table1[[#This Row],[Current coupon %]],Table1[[#This Row],[Yield (Annualised)]],Table1[[#This Row],[Coupon Frequency2]])</f>
        <v>#N/A</v>
      </c>
      <c r="AA778" s="33" t="e">
        <f>Table1[[#This Row],[Macaulay Duration in Years]]/(1+Table1[[#This Row],[IRR]])</f>
        <v>#N/A</v>
      </c>
      <c r="AB778" s="58" t="e">
        <f>VLOOKUP(Table1[[#This Row],[Yield Cluster]],'Cluster Details'!$B$3:$C$16,2,0)</f>
        <v>#N/A</v>
      </c>
      <c r="AC7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78" s="58" t="e">
        <f>IF(Table1[[#This Row],[Ask Price]]&gt;Table1[[#This Row],[Calculated Bond Price]],"Rich","Cheap")</f>
        <v>#N/A</v>
      </c>
      <c r="AE7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78" s="78" t="e">
        <f>(Table1[[#This Row],[P (+ shock)]]+Table1[[#This Row],[P (-shock)]]-2*Table1[[#This Row],[Ask Price]])/(2*Table1[[#This Row],[Ask Price]]*($AF$2^2))</f>
        <v>#N/A</v>
      </c>
      <c r="AH778">
        <v>2.9424679103058899</v>
      </c>
      <c r="AI778" s="6" t="e">
        <f t="shared" si="49"/>
        <v>#DIV/0!</v>
      </c>
      <c r="AK778" s="47" t="e">
        <f>RATE(Table1[[#This Row],[Total No. of Coupons]],Table1[[#This Row],[Coupon Amount]],-Table1[[#This Row],[Ask Price]],Table1[[#This Row],[Face value]])</f>
        <v>#N/A</v>
      </c>
      <c r="AL778" s="27" t="e">
        <f>Table1[[#This Row],[IRR]]*Table1[[#This Row],[Coupon Frequency2]]</f>
        <v>#N/A</v>
      </c>
      <c r="AM778" s="5" t="e">
        <f t="shared" si="50"/>
        <v>#N/A</v>
      </c>
      <c r="AN778" t="s">
        <v>64</v>
      </c>
      <c r="AO778" t="s">
        <v>62</v>
      </c>
      <c r="AP778" t="str">
        <f t="shared" si="51"/>
        <v/>
      </c>
    </row>
    <row r="779" spans="1:42" x14ac:dyDescent="0.35">
      <c r="D779" s="21"/>
      <c r="E779" s="21"/>
      <c r="L779" s="22"/>
      <c r="S779">
        <f t="shared" si="48"/>
        <v>0</v>
      </c>
      <c r="T779" s="5" t="e" cm="1">
        <f t="array" ref="T7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79" t="e">
        <f>Table1[[#This Row],[Term to Maturity (Years)]]*Table1[[#This Row],[Coupon Frequency2]]</f>
        <v>#N/A</v>
      </c>
      <c r="V779">
        <f>Table1[[#This Row],[Face value]]*Table1[[#This Row],[Current coupon %]]</f>
        <v>0</v>
      </c>
      <c r="W779" s="36" t="e">
        <f>RATE(Table1[[#This Row],[Total No. of Coupons]],Table1[[#This Row],[Coupon Amount]],-Table1[[#This Row],[Ask Price]],Table1[[#This Row],[Face value]])</f>
        <v>#N/A</v>
      </c>
      <c r="X779" s="27" t="e">
        <f>Table1[[#This Row],[IRR]]*Table1[[#This Row],[Coupon Frequency2]]</f>
        <v>#N/A</v>
      </c>
      <c r="Y779" s="19" t="e" cm="1">
        <f t="array" ref="Y7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79" s="33" t="e">
        <f>DURATION(Table1[[#This Row],[Issue date]],Table1[[#This Row],[Maturity date]],Table1[[#This Row],[Current coupon %]],Table1[[#This Row],[Yield (Annualised)]],Table1[[#This Row],[Coupon Frequency2]])</f>
        <v>#N/A</v>
      </c>
      <c r="AA779" s="33" t="e">
        <f>Table1[[#This Row],[Macaulay Duration in Years]]/(1+Table1[[#This Row],[IRR]])</f>
        <v>#N/A</v>
      </c>
      <c r="AB779" s="58" t="e">
        <f>VLOOKUP(Table1[[#This Row],[Yield Cluster]],'Cluster Details'!$B$3:$C$16,2,0)</f>
        <v>#N/A</v>
      </c>
      <c r="AC7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79" s="58" t="e">
        <f>IF(Table1[[#This Row],[Ask Price]]&gt;Table1[[#This Row],[Calculated Bond Price]],"Rich","Cheap")</f>
        <v>#N/A</v>
      </c>
      <c r="AE7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79" s="78" t="e">
        <f>(Table1[[#This Row],[P (+ shock)]]+Table1[[#This Row],[P (-shock)]]-2*Table1[[#This Row],[Ask Price]])/(2*Table1[[#This Row],[Ask Price]]*($AF$2^2))</f>
        <v>#N/A</v>
      </c>
      <c r="AH779">
        <v>10.770696201525899</v>
      </c>
      <c r="AI779" s="6" t="e">
        <f t="shared" si="49"/>
        <v>#DIV/0!</v>
      </c>
      <c r="AK779" s="47" t="e">
        <f>RATE(Table1[[#This Row],[Total No. of Coupons]],Table1[[#This Row],[Coupon Amount]],-Table1[[#This Row],[Ask Price]],Table1[[#This Row],[Face value]])</f>
        <v>#N/A</v>
      </c>
      <c r="AL779" s="27" t="e">
        <f>Table1[[#This Row],[IRR]]*Table1[[#This Row],[Coupon Frequency2]]</f>
        <v>#N/A</v>
      </c>
      <c r="AM779" s="5" t="e">
        <f t="shared" si="50"/>
        <v>#N/A</v>
      </c>
      <c r="AN779" t="s">
        <v>64</v>
      </c>
      <c r="AO779" t="s">
        <v>62</v>
      </c>
      <c r="AP779" t="str">
        <f t="shared" si="51"/>
        <v/>
      </c>
    </row>
    <row r="780" spans="1:42" x14ac:dyDescent="0.35">
      <c r="D780" s="21"/>
      <c r="E780" s="21"/>
      <c r="L780" s="22"/>
      <c r="S780">
        <f t="shared" si="48"/>
        <v>0</v>
      </c>
      <c r="T780" s="5" t="e" cm="1">
        <f t="array" ref="T7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0" t="e">
        <f>Table1[[#This Row],[Term to Maturity (Years)]]*Table1[[#This Row],[Coupon Frequency2]]</f>
        <v>#N/A</v>
      </c>
      <c r="V780">
        <f>Table1[[#This Row],[Face value]]*Table1[[#This Row],[Current coupon %]]</f>
        <v>0</v>
      </c>
      <c r="W780" s="36" t="e">
        <f>RATE(Table1[[#This Row],[Total No. of Coupons]],Table1[[#This Row],[Coupon Amount]],-Table1[[#This Row],[Ask Price]],Table1[[#This Row],[Face value]])</f>
        <v>#N/A</v>
      </c>
      <c r="X780" s="27" t="e">
        <f>Table1[[#This Row],[IRR]]*Table1[[#This Row],[Coupon Frequency2]]</f>
        <v>#N/A</v>
      </c>
      <c r="Y780" s="19" t="e" cm="1">
        <f t="array" ref="Y7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0" s="33" t="e">
        <f>DURATION(Table1[[#This Row],[Issue date]],Table1[[#This Row],[Maturity date]],Table1[[#This Row],[Current coupon %]],Table1[[#This Row],[Yield (Annualised)]],Table1[[#This Row],[Coupon Frequency2]])</f>
        <v>#N/A</v>
      </c>
      <c r="AA780" s="33" t="e">
        <f>Table1[[#This Row],[Macaulay Duration in Years]]/(1+Table1[[#This Row],[IRR]])</f>
        <v>#N/A</v>
      </c>
      <c r="AB780" s="58" t="e">
        <f>VLOOKUP(Table1[[#This Row],[Yield Cluster]],'Cluster Details'!$B$3:$C$16,2,0)</f>
        <v>#N/A</v>
      </c>
      <c r="AC7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0" s="58" t="e">
        <f>IF(Table1[[#This Row],[Ask Price]]&gt;Table1[[#This Row],[Calculated Bond Price]],"Rich","Cheap")</f>
        <v>#N/A</v>
      </c>
      <c r="AE7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0" s="78" t="e">
        <f>(Table1[[#This Row],[P (+ shock)]]+Table1[[#This Row],[P (-shock)]]-2*Table1[[#This Row],[Ask Price]])/(2*Table1[[#This Row],[Ask Price]]*($AF$2^2))</f>
        <v>#N/A</v>
      </c>
      <c r="AH780">
        <v>6.5410944434456901</v>
      </c>
      <c r="AI780" s="6" t="e">
        <f t="shared" si="49"/>
        <v>#DIV/0!</v>
      </c>
      <c r="AK780" s="47" t="e">
        <f>RATE(Table1[[#This Row],[Total No. of Coupons]],Table1[[#This Row],[Coupon Amount]],-Table1[[#This Row],[Ask Price]],Table1[[#This Row],[Face value]])</f>
        <v>#N/A</v>
      </c>
      <c r="AL780" s="27" t="e">
        <f>Table1[[#This Row],[IRR]]*Table1[[#This Row],[Coupon Frequency2]]</f>
        <v>#N/A</v>
      </c>
      <c r="AM780" s="5" t="e">
        <f t="shared" si="50"/>
        <v>#N/A</v>
      </c>
      <c r="AN780" t="s">
        <v>64</v>
      </c>
      <c r="AO780" t="s">
        <v>62</v>
      </c>
      <c r="AP780" t="str">
        <f t="shared" si="51"/>
        <v/>
      </c>
    </row>
    <row r="781" spans="1:42" x14ac:dyDescent="0.35">
      <c r="D781" s="21"/>
      <c r="E781" s="21"/>
      <c r="L781" s="22"/>
      <c r="S781">
        <f t="shared" si="48"/>
        <v>0</v>
      </c>
      <c r="T781" s="5" t="e" cm="1">
        <f t="array" ref="T7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1" t="e">
        <f>Table1[[#This Row],[Term to Maturity (Years)]]*Table1[[#This Row],[Coupon Frequency2]]</f>
        <v>#N/A</v>
      </c>
      <c r="V781">
        <f>Table1[[#This Row],[Face value]]*Table1[[#This Row],[Current coupon %]]</f>
        <v>0</v>
      </c>
      <c r="W781" s="36" t="e">
        <f>RATE(Table1[[#This Row],[Total No. of Coupons]],Table1[[#This Row],[Coupon Amount]],-Table1[[#This Row],[Ask Price]],Table1[[#This Row],[Face value]])</f>
        <v>#N/A</v>
      </c>
      <c r="X781" s="27" t="e">
        <f>Table1[[#This Row],[IRR]]*Table1[[#This Row],[Coupon Frequency2]]</f>
        <v>#N/A</v>
      </c>
      <c r="Y781" s="19" t="e" cm="1">
        <f t="array" ref="Y7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1" s="33" t="e">
        <f>DURATION(Table1[[#This Row],[Issue date]],Table1[[#This Row],[Maturity date]],Table1[[#This Row],[Current coupon %]],Table1[[#This Row],[Yield (Annualised)]],Table1[[#This Row],[Coupon Frequency2]])</f>
        <v>#N/A</v>
      </c>
      <c r="AA781" s="33" t="e">
        <f>Table1[[#This Row],[Macaulay Duration in Years]]/(1+Table1[[#This Row],[IRR]])</f>
        <v>#N/A</v>
      </c>
      <c r="AB781" s="58" t="e">
        <f>VLOOKUP(Table1[[#This Row],[Yield Cluster]],'Cluster Details'!$B$3:$C$16,2,0)</f>
        <v>#N/A</v>
      </c>
      <c r="AC7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1" s="58" t="e">
        <f>IF(Table1[[#This Row],[Ask Price]]&gt;Table1[[#This Row],[Calculated Bond Price]],"Rich","Cheap")</f>
        <v>#N/A</v>
      </c>
      <c r="AE7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1" s="78" t="e">
        <f>(Table1[[#This Row],[P (+ shock)]]+Table1[[#This Row],[P (-shock)]]-2*Table1[[#This Row],[Ask Price]])/(2*Table1[[#This Row],[Ask Price]]*($AF$2^2))</f>
        <v>#N/A</v>
      </c>
      <c r="AH781">
        <v>7.4036284971955499</v>
      </c>
      <c r="AI781" s="6" t="e">
        <f t="shared" si="49"/>
        <v>#DIV/0!</v>
      </c>
      <c r="AK781" s="47" t="e">
        <f>RATE(Table1[[#This Row],[Total No. of Coupons]],Table1[[#This Row],[Coupon Amount]],-Table1[[#This Row],[Ask Price]],Table1[[#This Row],[Face value]])</f>
        <v>#N/A</v>
      </c>
      <c r="AL781" s="27" t="e">
        <f>Table1[[#This Row],[IRR]]*Table1[[#This Row],[Coupon Frequency2]]</f>
        <v>#N/A</v>
      </c>
      <c r="AM781" s="5" t="e">
        <f t="shared" si="50"/>
        <v>#N/A</v>
      </c>
      <c r="AN781" t="s">
        <v>64</v>
      </c>
      <c r="AO781" t="s">
        <v>62</v>
      </c>
      <c r="AP781" t="str">
        <f t="shared" si="51"/>
        <v/>
      </c>
    </row>
    <row r="782" spans="1:42" x14ac:dyDescent="0.35">
      <c r="D782" s="21"/>
      <c r="E782" s="21"/>
      <c r="L782" s="22"/>
      <c r="S782">
        <f t="shared" si="48"/>
        <v>0</v>
      </c>
      <c r="T782" s="5" t="e" cm="1">
        <f t="array" ref="T7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2" t="e">
        <f>Table1[[#This Row],[Term to Maturity (Years)]]*Table1[[#This Row],[Coupon Frequency2]]</f>
        <v>#N/A</v>
      </c>
      <c r="V782">
        <f>Table1[[#This Row],[Face value]]*Table1[[#This Row],[Current coupon %]]</f>
        <v>0</v>
      </c>
      <c r="W782" s="36" t="e">
        <f>RATE(Table1[[#This Row],[Total No. of Coupons]],Table1[[#This Row],[Coupon Amount]],-Table1[[#This Row],[Ask Price]],Table1[[#This Row],[Face value]])</f>
        <v>#N/A</v>
      </c>
      <c r="X782" s="27" t="e">
        <f>Table1[[#This Row],[IRR]]*Table1[[#This Row],[Coupon Frequency2]]</f>
        <v>#N/A</v>
      </c>
      <c r="Y782" s="19" t="e" cm="1">
        <f t="array" ref="Y7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2" s="33" t="e">
        <f>DURATION(Table1[[#This Row],[Issue date]],Table1[[#This Row],[Maturity date]],Table1[[#This Row],[Current coupon %]],Table1[[#This Row],[Yield (Annualised)]],Table1[[#This Row],[Coupon Frequency2]])</f>
        <v>#N/A</v>
      </c>
      <c r="AA782" s="33" t="e">
        <f>Table1[[#This Row],[Macaulay Duration in Years]]/(1+Table1[[#This Row],[IRR]])</f>
        <v>#N/A</v>
      </c>
      <c r="AB782" s="58" t="e">
        <f>VLOOKUP(Table1[[#This Row],[Yield Cluster]],'Cluster Details'!$B$3:$C$16,2,0)</f>
        <v>#N/A</v>
      </c>
      <c r="AC7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2" s="58" t="e">
        <f>IF(Table1[[#This Row],[Ask Price]]&gt;Table1[[#This Row],[Calculated Bond Price]],"Rich","Cheap")</f>
        <v>#N/A</v>
      </c>
      <c r="AE7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2" s="78" t="e">
        <f>(Table1[[#This Row],[P (+ shock)]]+Table1[[#This Row],[P (-shock)]]-2*Table1[[#This Row],[Ask Price]])/(2*Table1[[#This Row],[Ask Price]]*($AF$2^2))</f>
        <v>#N/A</v>
      </c>
      <c r="AH782">
        <v>10.531253933201301</v>
      </c>
      <c r="AI782" s="6" t="e">
        <f t="shared" si="49"/>
        <v>#DIV/0!</v>
      </c>
      <c r="AK782" s="47" t="e">
        <f>RATE(Table1[[#This Row],[Total No. of Coupons]],Table1[[#This Row],[Coupon Amount]],-Table1[[#This Row],[Ask Price]],Table1[[#This Row],[Face value]])</f>
        <v>#N/A</v>
      </c>
      <c r="AL782" s="27" t="e">
        <f>Table1[[#This Row],[IRR]]*Table1[[#This Row],[Coupon Frequency2]]</f>
        <v>#N/A</v>
      </c>
      <c r="AM782" s="5" t="e">
        <f t="shared" si="50"/>
        <v>#N/A</v>
      </c>
      <c r="AN782" t="s">
        <v>64</v>
      </c>
      <c r="AO782" t="s">
        <v>62</v>
      </c>
      <c r="AP782" t="str">
        <f t="shared" si="51"/>
        <v/>
      </c>
    </row>
    <row r="783" spans="1:42" x14ac:dyDescent="0.35">
      <c r="D783" s="21"/>
      <c r="E783" s="21"/>
      <c r="L783" s="22"/>
      <c r="S783">
        <f t="shared" si="48"/>
        <v>0</v>
      </c>
      <c r="T783" s="5" t="e" cm="1">
        <f t="array" ref="T7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3" t="e">
        <f>Table1[[#This Row],[Term to Maturity (Years)]]*Table1[[#This Row],[Coupon Frequency2]]</f>
        <v>#N/A</v>
      </c>
      <c r="V783">
        <f>Table1[[#This Row],[Face value]]*Table1[[#This Row],[Current coupon %]]</f>
        <v>0</v>
      </c>
      <c r="W783" s="36" t="e">
        <f>RATE(Table1[[#This Row],[Total No. of Coupons]],Table1[[#This Row],[Coupon Amount]],-Table1[[#This Row],[Ask Price]],Table1[[#This Row],[Face value]])</f>
        <v>#N/A</v>
      </c>
      <c r="X783" s="27" t="e">
        <f>Table1[[#This Row],[IRR]]*Table1[[#This Row],[Coupon Frequency2]]</f>
        <v>#N/A</v>
      </c>
      <c r="Y783" s="19" t="e" cm="1">
        <f t="array" ref="Y7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3" s="33" t="e">
        <f>DURATION(Table1[[#This Row],[Issue date]],Table1[[#This Row],[Maturity date]],Table1[[#This Row],[Current coupon %]],Table1[[#This Row],[Yield (Annualised)]],Table1[[#This Row],[Coupon Frequency2]])</f>
        <v>#N/A</v>
      </c>
      <c r="AA783" s="33" t="e">
        <f>Table1[[#This Row],[Macaulay Duration in Years]]/(1+Table1[[#This Row],[IRR]])</f>
        <v>#N/A</v>
      </c>
      <c r="AB783" s="58" t="e">
        <f>VLOOKUP(Table1[[#This Row],[Yield Cluster]],'Cluster Details'!$B$3:$C$16,2,0)</f>
        <v>#N/A</v>
      </c>
      <c r="AC7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3" s="58" t="e">
        <f>IF(Table1[[#This Row],[Ask Price]]&gt;Table1[[#This Row],[Calculated Bond Price]],"Rich","Cheap")</f>
        <v>#N/A</v>
      </c>
      <c r="AE7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3" s="78" t="e">
        <f>(Table1[[#This Row],[P (+ shock)]]+Table1[[#This Row],[P (-shock)]]-2*Table1[[#This Row],[Ask Price]])/(2*Table1[[#This Row],[Ask Price]]*($AF$2^2))</f>
        <v>#N/A</v>
      </c>
      <c r="AH783">
        <v>9.5560877925565197</v>
      </c>
      <c r="AI783" s="6" t="e">
        <f t="shared" si="49"/>
        <v>#DIV/0!</v>
      </c>
      <c r="AK783" s="47" t="e">
        <f>RATE(Table1[[#This Row],[Total No. of Coupons]],Table1[[#This Row],[Coupon Amount]],-Table1[[#This Row],[Ask Price]],Table1[[#This Row],[Face value]])</f>
        <v>#N/A</v>
      </c>
      <c r="AL783" s="27" t="e">
        <f>Table1[[#This Row],[IRR]]*Table1[[#This Row],[Coupon Frequency2]]</f>
        <v>#N/A</v>
      </c>
      <c r="AM783" s="5" t="e">
        <f t="shared" si="50"/>
        <v>#N/A</v>
      </c>
      <c r="AN783" t="s">
        <v>64</v>
      </c>
      <c r="AO783" t="s">
        <v>62</v>
      </c>
      <c r="AP783" t="str">
        <f t="shared" si="51"/>
        <v/>
      </c>
    </row>
    <row r="784" spans="1:42" x14ac:dyDescent="0.35">
      <c r="D784" s="21"/>
      <c r="E784" s="21"/>
      <c r="L784" s="22"/>
      <c r="S784">
        <f t="shared" si="48"/>
        <v>0</v>
      </c>
      <c r="T784" s="5" t="e" cm="1">
        <f t="array" ref="T7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4" t="e">
        <f>Table1[[#This Row],[Term to Maturity (Years)]]*Table1[[#This Row],[Coupon Frequency2]]</f>
        <v>#N/A</v>
      </c>
      <c r="V784">
        <f>Table1[[#This Row],[Face value]]*Table1[[#This Row],[Current coupon %]]</f>
        <v>0</v>
      </c>
      <c r="W784" s="36" t="e">
        <f>RATE(Table1[[#This Row],[Total No. of Coupons]],Table1[[#This Row],[Coupon Amount]],-Table1[[#This Row],[Ask Price]],Table1[[#This Row],[Face value]])</f>
        <v>#N/A</v>
      </c>
      <c r="X784" s="27" t="e">
        <f>Table1[[#This Row],[IRR]]*Table1[[#This Row],[Coupon Frequency2]]</f>
        <v>#N/A</v>
      </c>
      <c r="Y784" s="19" t="e" cm="1">
        <f t="array" ref="Y7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4" s="33" t="e">
        <f>DURATION(Table1[[#This Row],[Issue date]],Table1[[#This Row],[Maturity date]],Table1[[#This Row],[Current coupon %]],Table1[[#This Row],[Yield (Annualised)]],Table1[[#This Row],[Coupon Frequency2]])</f>
        <v>#N/A</v>
      </c>
      <c r="AA784" s="33" t="e">
        <f>Table1[[#This Row],[Macaulay Duration in Years]]/(1+Table1[[#This Row],[IRR]])</f>
        <v>#N/A</v>
      </c>
      <c r="AB784" s="58" t="e">
        <f>VLOOKUP(Table1[[#This Row],[Yield Cluster]],'Cluster Details'!$B$3:$C$16,2,0)</f>
        <v>#N/A</v>
      </c>
      <c r="AC7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4" s="58" t="e">
        <f>IF(Table1[[#This Row],[Ask Price]]&gt;Table1[[#This Row],[Calculated Bond Price]],"Rich","Cheap")</f>
        <v>#N/A</v>
      </c>
      <c r="AE7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4" s="78" t="e">
        <f>(Table1[[#This Row],[P (+ shock)]]+Table1[[#This Row],[P (-shock)]]-2*Table1[[#This Row],[Ask Price]])/(2*Table1[[#This Row],[Ask Price]]*($AF$2^2))</f>
        <v>#N/A</v>
      </c>
      <c r="AH784">
        <v>10.8204843795834</v>
      </c>
      <c r="AI784" s="6" t="e">
        <f t="shared" si="49"/>
        <v>#DIV/0!</v>
      </c>
      <c r="AK784" s="47" t="e">
        <f>RATE(Table1[[#This Row],[Total No. of Coupons]],Table1[[#This Row],[Coupon Amount]],-Table1[[#This Row],[Ask Price]],Table1[[#This Row],[Face value]])</f>
        <v>#N/A</v>
      </c>
      <c r="AL784" s="27" t="e">
        <f>Table1[[#This Row],[IRR]]*Table1[[#This Row],[Coupon Frequency2]]</f>
        <v>#N/A</v>
      </c>
      <c r="AM784" s="5" t="e">
        <f t="shared" si="50"/>
        <v>#N/A</v>
      </c>
      <c r="AN784" t="s">
        <v>64</v>
      </c>
      <c r="AO784" t="s">
        <v>62</v>
      </c>
      <c r="AP784" t="str">
        <f t="shared" si="51"/>
        <v/>
      </c>
    </row>
    <row r="785" spans="4:42" x14ac:dyDescent="0.35">
      <c r="D785" s="21"/>
      <c r="E785" s="21"/>
      <c r="L785" s="22"/>
      <c r="S785">
        <f t="shared" si="48"/>
        <v>0</v>
      </c>
      <c r="T785" s="5" t="e" cm="1">
        <f t="array" ref="T7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5" t="e">
        <f>Table1[[#This Row],[Term to Maturity (Years)]]*Table1[[#This Row],[Coupon Frequency2]]</f>
        <v>#N/A</v>
      </c>
      <c r="V785">
        <f>Table1[[#This Row],[Face value]]*Table1[[#This Row],[Current coupon %]]</f>
        <v>0</v>
      </c>
      <c r="W785" s="36" t="e">
        <f>RATE(Table1[[#This Row],[Total No. of Coupons]],Table1[[#This Row],[Coupon Amount]],-Table1[[#This Row],[Ask Price]],Table1[[#This Row],[Face value]])</f>
        <v>#N/A</v>
      </c>
      <c r="X785" s="27" t="e">
        <f>Table1[[#This Row],[IRR]]*Table1[[#This Row],[Coupon Frequency2]]</f>
        <v>#N/A</v>
      </c>
      <c r="Y785" s="19" t="e" cm="1">
        <f t="array" ref="Y7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5" s="33" t="e">
        <f>DURATION(Table1[[#This Row],[Issue date]],Table1[[#This Row],[Maturity date]],Table1[[#This Row],[Current coupon %]],Table1[[#This Row],[Yield (Annualised)]],Table1[[#This Row],[Coupon Frequency2]])</f>
        <v>#N/A</v>
      </c>
      <c r="AA785" s="33" t="e">
        <f>Table1[[#This Row],[Macaulay Duration in Years]]/(1+Table1[[#This Row],[IRR]])</f>
        <v>#N/A</v>
      </c>
      <c r="AB785" s="58" t="e">
        <f>VLOOKUP(Table1[[#This Row],[Yield Cluster]],'Cluster Details'!$B$3:$C$16,2,0)</f>
        <v>#N/A</v>
      </c>
      <c r="AC7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5" s="58" t="e">
        <f>IF(Table1[[#This Row],[Ask Price]]&gt;Table1[[#This Row],[Calculated Bond Price]],"Rich","Cheap")</f>
        <v>#N/A</v>
      </c>
      <c r="AE7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5" s="78" t="e">
        <f>(Table1[[#This Row],[P (+ shock)]]+Table1[[#This Row],[P (-shock)]]-2*Table1[[#This Row],[Ask Price]])/(2*Table1[[#This Row],[Ask Price]]*($AF$2^2))</f>
        <v>#N/A</v>
      </c>
      <c r="AH785">
        <v>2.3524314446574199</v>
      </c>
      <c r="AI785" s="6" t="e">
        <f t="shared" si="49"/>
        <v>#DIV/0!</v>
      </c>
      <c r="AK785" s="47" t="e">
        <f>RATE(Table1[[#This Row],[Total No. of Coupons]],Table1[[#This Row],[Coupon Amount]],-Table1[[#This Row],[Ask Price]],Table1[[#This Row],[Face value]])</f>
        <v>#N/A</v>
      </c>
      <c r="AL785" s="27" t="e">
        <f>Table1[[#This Row],[IRR]]*Table1[[#This Row],[Coupon Frequency2]]</f>
        <v>#N/A</v>
      </c>
      <c r="AM785" s="5" t="e">
        <f t="shared" si="50"/>
        <v>#N/A</v>
      </c>
      <c r="AN785" t="s">
        <v>64</v>
      </c>
      <c r="AO785" t="s">
        <v>62</v>
      </c>
      <c r="AP785" t="str">
        <f t="shared" si="51"/>
        <v/>
      </c>
    </row>
    <row r="786" spans="4:42" x14ac:dyDescent="0.35">
      <c r="D786" s="21"/>
      <c r="E786" s="21"/>
      <c r="L786" s="22"/>
      <c r="S786">
        <f t="shared" si="48"/>
        <v>0</v>
      </c>
      <c r="T786" s="5" t="e" cm="1">
        <f t="array" ref="T7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6" t="e">
        <f>Table1[[#This Row],[Term to Maturity (Years)]]*Table1[[#This Row],[Coupon Frequency2]]</f>
        <v>#N/A</v>
      </c>
      <c r="V786">
        <f>Table1[[#This Row],[Face value]]*Table1[[#This Row],[Current coupon %]]</f>
        <v>0</v>
      </c>
      <c r="W786" s="36" t="e">
        <f>RATE(Table1[[#This Row],[Total No. of Coupons]],Table1[[#This Row],[Coupon Amount]],-Table1[[#This Row],[Ask Price]],Table1[[#This Row],[Face value]])</f>
        <v>#N/A</v>
      </c>
      <c r="X786" s="27" t="e">
        <f>Table1[[#This Row],[IRR]]*Table1[[#This Row],[Coupon Frequency2]]</f>
        <v>#N/A</v>
      </c>
      <c r="Y786" s="19" t="e" cm="1">
        <f t="array" ref="Y7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6" s="33" t="e">
        <f>DURATION(Table1[[#This Row],[Issue date]],Table1[[#This Row],[Maturity date]],Table1[[#This Row],[Current coupon %]],Table1[[#This Row],[Yield (Annualised)]],Table1[[#This Row],[Coupon Frequency2]])</f>
        <v>#N/A</v>
      </c>
      <c r="AA786" s="33" t="e">
        <f>Table1[[#This Row],[Macaulay Duration in Years]]/(1+Table1[[#This Row],[IRR]])</f>
        <v>#N/A</v>
      </c>
      <c r="AB786" s="58" t="e">
        <f>VLOOKUP(Table1[[#This Row],[Yield Cluster]],'Cluster Details'!$B$3:$C$16,2,0)</f>
        <v>#N/A</v>
      </c>
      <c r="AC7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6" s="58" t="e">
        <f>IF(Table1[[#This Row],[Ask Price]]&gt;Table1[[#This Row],[Calculated Bond Price]],"Rich","Cheap")</f>
        <v>#N/A</v>
      </c>
      <c r="AE7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6" s="78" t="e">
        <f>(Table1[[#This Row],[P (+ shock)]]+Table1[[#This Row],[P (-shock)]]-2*Table1[[#This Row],[Ask Price]])/(2*Table1[[#This Row],[Ask Price]]*($AF$2^2))</f>
        <v>#N/A</v>
      </c>
      <c r="AH786">
        <v>11.684841210913801</v>
      </c>
      <c r="AI786" s="6" t="e">
        <f t="shared" si="49"/>
        <v>#DIV/0!</v>
      </c>
      <c r="AK786" s="47" t="e">
        <f>RATE(Table1[[#This Row],[Total No. of Coupons]],Table1[[#This Row],[Coupon Amount]],-Table1[[#This Row],[Ask Price]],Table1[[#This Row],[Face value]])</f>
        <v>#N/A</v>
      </c>
      <c r="AL786" s="27" t="e">
        <f>Table1[[#This Row],[IRR]]*Table1[[#This Row],[Coupon Frequency2]]</f>
        <v>#N/A</v>
      </c>
      <c r="AM786" s="5" t="e">
        <f t="shared" si="50"/>
        <v>#N/A</v>
      </c>
      <c r="AN786" t="s">
        <v>64</v>
      </c>
      <c r="AO786" t="s">
        <v>62</v>
      </c>
      <c r="AP786" t="str">
        <f t="shared" si="51"/>
        <v/>
      </c>
    </row>
    <row r="787" spans="4:42" x14ac:dyDescent="0.35">
      <c r="D787" s="21"/>
      <c r="E787" s="21"/>
      <c r="L787" s="22"/>
      <c r="S787">
        <f t="shared" si="48"/>
        <v>0</v>
      </c>
      <c r="T787" s="5" t="e" cm="1">
        <f t="array" ref="T7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7" t="e">
        <f>Table1[[#This Row],[Term to Maturity (Years)]]*Table1[[#This Row],[Coupon Frequency2]]</f>
        <v>#N/A</v>
      </c>
      <c r="V787">
        <f>Table1[[#This Row],[Face value]]*Table1[[#This Row],[Current coupon %]]</f>
        <v>0</v>
      </c>
      <c r="W787" s="36" t="e">
        <f>RATE(Table1[[#This Row],[Total No. of Coupons]],Table1[[#This Row],[Coupon Amount]],-Table1[[#This Row],[Ask Price]],Table1[[#This Row],[Face value]])</f>
        <v>#N/A</v>
      </c>
      <c r="X787" s="27" t="e">
        <f>Table1[[#This Row],[IRR]]*Table1[[#This Row],[Coupon Frequency2]]</f>
        <v>#N/A</v>
      </c>
      <c r="Y787" s="19" t="e" cm="1">
        <f t="array" ref="Y7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7" s="33" t="e">
        <f>DURATION(Table1[[#This Row],[Issue date]],Table1[[#This Row],[Maturity date]],Table1[[#This Row],[Current coupon %]],Table1[[#This Row],[Yield (Annualised)]],Table1[[#This Row],[Coupon Frequency2]])</f>
        <v>#N/A</v>
      </c>
      <c r="AA787" s="33" t="e">
        <f>Table1[[#This Row],[Macaulay Duration in Years]]/(1+Table1[[#This Row],[IRR]])</f>
        <v>#N/A</v>
      </c>
      <c r="AB787" s="58" t="e">
        <f>VLOOKUP(Table1[[#This Row],[Yield Cluster]],'Cluster Details'!$B$3:$C$16,2,0)</f>
        <v>#N/A</v>
      </c>
      <c r="AC7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7" s="58" t="e">
        <f>IF(Table1[[#This Row],[Ask Price]]&gt;Table1[[#This Row],[Calculated Bond Price]],"Rich","Cheap")</f>
        <v>#N/A</v>
      </c>
      <c r="AE7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7" s="78" t="e">
        <f>(Table1[[#This Row],[P (+ shock)]]+Table1[[#This Row],[P (-shock)]]-2*Table1[[#This Row],[Ask Price]])/(2*Table1[[#This Row],[Ask Price]]*($AF$2^2))</f>
        <v>#N/A</v>
      </c>
      <c r="AH787">
        <v>42.109322572407599</v>
      </c>
      <c r="AI787" s="6" t="e">
        <f t="shared" si="49"/>
        <v>#DIV/0!</v>
      </c>
      <c r="AK787" s="47" t="e">
        <f>RATE(Table1[[#This Row],[Total No. of Coupons]],Table1[[#This Row],[Coupon Amount]],-Table1[[#This Row],[Ask Price]],Table1[[#This Row],[Face value]])</f>
        <v>#N/A</v>
      </c>
      <c r="AL787" s="27" t="e">
        <f>Table1[[#This Row],[IRR]]*Table1[[#This Row],[Coupon Frequency2]]</f>
        <v>#N/A</v>
      </c>
      <c r="AM787" s="5" t="e">
        <f t="shared" si="50"/>
        <v>#N/A</v>
      </c>
      <c r="AN787" t="s">
        <v>64</v>
      </c>
      <c r="AO787" t="s">
        <v>62</v>
      </c>
      <c r="AP787" t="str">
        <f t="shared" si="51"/>
        <v/>
      </c>
    </row>
    <row r="788" spans="4:42" x14ac:dyDescent="0.35">
      <c r="D788" s="21"/>
      <c r="E788" s="21"/>
      <c r="L788" s="22"/>
      <c r="S788">
        <f t="shared" si="48"/>
        <v>0</v>
      </c>
      <c r="T788" s="5" t="e" cm="1">
        <f t="array" ref="T7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8" t="e">
        <f>Table1[[#This Row],[Term to Maturity (Years)]]*Table1[[#This Row],[Coupon Frequency2]]</f>
        <v>#N/A</v>
      </c>
      <c r="V788">
        <f>Table1[[#This Row],[Face value]]*Table1[[#This Row],[Current coupon %]]</f>
        <v>0</v>
      </c>
      <c r="W788" s="36" t="e">
        <f>RATE(Table1[[#This Row],[Total No. of Coupons]],Table1[[#This Row],[Coupon Amount]],-Table1[[#This Row],[Ask Price]],Table1[[#This Row],[Face value]])</f>
        <v>#N/A</v>
      </c>
      <c r="X788" s="27" t="e">
        <f>Table1[[#This Row],[IRR]]*Table1[[#This Row],[Coupon Frequency2]]</f>
        <v>#N/A</v>
      </c>
      <c r="Y788" s="19" t="e" cm="1">
        <f t="array" ref="Y7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8" s="33" t="e">
        <f>DURATION(Table1[[#This Row],[Issue date]],Table1[[#This Row],[Maturity date]],Table1[[#This Row],[Current coupon %]],Table1[[#This Row],[Yield (Annualised)]],Table1[[#This Row],[Coupon Frequency2]])</f>
        <v>#N/A</v>
      </c>
      <c r="AA788" s="33" t="e">
        <f>Table1[[#This Row],[Macaulay Duration in Years]]/(1+Table1[[#This Row],[IRR]])</f>
        <v>#N/A</v>
      </c>
      <c r="AB788" s="58" t="e">
        <f>VLOOKUP(Table1[[#This Row],[Yield Cluster]],'Cluster Details'!$B$3:$C$16,2,0)</f>
        <v>#N/A</v>
      </c>
      <c r="AC7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8" s="58" t="e">
        <f>IF(Table1[[#This Row],[Ask Price]]&gt;Table1[[#This Row],[Calculated Bond Price]],"Rich","Cheap")</f>
        <v>#N/A</v>
      </c>
      <c r="AE7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8" s="78" t="e">
        <f>(Table1[[#This Row],[P (+ shock)]]+Table1[[#This Row],[P (-shock)]]-2*Table1[[#This Row],[Ask Price]])/(2*Table1[[#This Row],[Ask Price]]*($AF$2^2))</f>
        <v>#N/A</v>
      </c>
      <c r="AH788">
        <v>34.628235514476501</v>
      </c>
      <c r="AI788" s="6" t="e">
        <f t="shared" si="49"/>
        <v>#DIV/0!</v>
      </c>
      <c r="AK788" s="47" t="e">
        <f>RATE(Table1[[#This Row],[Total No. of Coupons]],Table1[[#This Row],[Coupon Amount]],-Table1[[#This Row],[Ask Price]],Table1[[#This Row],[Face value]])</f>
        <v>#N/A</v>
      </c>
      <c r="AL788" s="27" t="e">
        <f>Table1[[#This Row],[IRR]]*Table1[[#This Row],[Coupon Frequency2]]</f>
        <v>#N/A</v>
      </c>
      <c r="AM788" s="5" t="e">
        <f t="shared" si="50"/>
        <v>#N/A</v>
      </c>
      <c r="AN788" t="s">
        <v>64</v>
      </c>
      <c r="AO788" t="s">
        <v>62</v>
      </c>
      <c r="AP788" t="str">
        <f t="shared" si="51"/>
        <v/>
      </c>
    </row>
    <row r="789" spans="4:42" x14ac:dyDescent="0.35">
      <c r="D789" s="21"/>
      <c r="E789" s="21"/>
      <c r="L789" s="22"/>
      <c r="S789">
        <f t="shared" si="48"/>
        <v>0</v>
      </c>
      <c r="T789" s="5" t="e" cm="1">
        <f t="array" ref="T7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89" t="e">
        <f>Table1[[#This Row],[Term to Maturity (Years)]]*Table1[[#This Row],[Coupon Frequency2]]</f>
        <v>#N/A</v>
      </c>
      <c r="V789">
        <f>Table1[[#This Row],[Face value]]*Table1[[#This Row],[Current coupon %]]</f>
        <v>0</v>
      </c>
      <c r="W789" s="36" t="e">
        <f>RATE(Table1[[#This Row],[Total No. of Coupons]],Table1[[#This Row],[Coupon Amount]],-Table1[[#This Row],[Ask Price]],Table1[[#This Row],[Face value]])</f>
        <v>#N/A</v>
      </c>
      <c r="X789" s="27" t="e">
        <f>Table1[[#This Row],[IRR]]*Table1[[#This Row],[Coupon Frequency2]]</f>
        <v>#N/A</v>
      </c>
      <c r="Y789" s="19" t="e" cm="1">
        <f t="array" ref="Y7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89" s="33" t="e">
        <f>DURATION(Table1[[#This Row],[Issue date]],Table1[[#This Row],[Maturity date]],Table1[[#This Row],[Current coupon %]],Table1[[#This Row],[Yield (Annualised)]],Table1[[#This Row],[Coupon Frequency2]])</f>
        <v>#N/A</v>
      </c>
      <c r="AA789" s="33" t="e">
        <f>Table1[[#This Row],[Macaulay Duration in Years]]/(1+Table1[[#This Row],[IRR]])</f>
        <v>#N/A</v>
      </c>
      <c r="AB789" s="58" t="e">
        <f>VLOOKUP(Table1[[#This Row],[Yield Cluster]],'Cluster Details'!$B$3:$C$16,2,0)</f>
        <v>#N/A</v>
      </c>
      <c r="AC7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89" s="58" t="e">
        <f>IF(Table1[[#This Row],[Ask Price]]&gt;Table1[[#This Row],[Calculated Bond Price]],"Rich","Cheap")</f>
        <v>#N/A</v>
      </c>
      <c r="AE7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89" s="78" t="e">
        <f>(Table1[[#This Row],[P (+ shock)]]+Table1[[#This Row],[P (-shock)]]-2*Table1[[#This Row],[Ask Price]])/(2*Table1[[#This Row],[Ask Price]]*($AF$2^2))</f>
        <v>#N/A</v>
      </c>
      <c r="AH789">
        <v>3.70018821592714</v>
      </c>
      <c r="AI789" s="6" t="e">
        <f t="shared" si="49"/>
        <v>#DIV/0!</v>
      </c>
      <c r="AK789" s="47" t="e">
        <f>RATE(Table1[[#This Row],[Total No. of Coupons]],Table1[[#This Row],[Coupon Amount]],-Table1[[#This Row],[Ask Price]],Table1[[#This Row],[Face value]])</f>
        <v>#N/A</v>
      </c>
      <c r="AL789" s="27" t="e">
        <f>Table1[[#This Row],[IRR]]*Table1[[#This Row],[Coupon Frequency2]]</f>
        <v>#N/A</v>
      </c>
      <c r="AM789" s="5" t="e">
        <f t="shared" si="50"/>
        <v>#N/A</v>
      </c>
      <c r="AN789" t="s">
        <v>64</v>
      </c>
      <c r="AO789" t="s">
        <v>62</v>
      </c>
      <c r="AP789" t="str">
        <f t="shared" si="51"/>
        <v/>
      </c>
    </row>
    <row r="790" spans="4:42" x14ac:dyDescent="0.35">
      <c r="D790" s="21"/>
      <c r="E790" s="21"/>
      <c r="L790" s="22"/>
      <c r="S790">
        <f t="shared" si="48"/>
        <v>0</v>
      </c>
      <c r="T790" s="5" t="e" cm="1">
        <f t="array" ref="T7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0" t="e">
        <f>Table1[[#This Row],[Term to Maturity (Years)]]*Table1[[#This Row],[Coupon Frequency2]]</f>
        <v>#N/A</v>
      </c>
      <c r="V790">
        <f>Table1[[#This Row],[Face value]]*Table1[[#This Row],[Current coupon %]]</f>
        <v>0</v>
      </c>
      <c r="W790" s="36" t="e">
        <f>RATE(Table1[[#This Row],[Total No. of Coupons]],Table1[[#This Row],[Coupon Amount]],-Table1[[#This Row],[Ask Price]],Table1[[#This Row],[Face value]])</f>
        <v>#N/A</v>
      </c>
      <c r="X790" s="27" t="e">
        <f>Table1[[#This Row],[IRR]]*Table1[[#This Row],[Coupon Frequency2]]</f>
        <v>#N/A</v>
      </c>
      <c r="Y790" s="19" t="e" cm="1">
        <f t="array" ref="Y7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0" s="33" t="e">
        <f>DURATION(Table1[[#This Row],[Issue date]],Table1[[#This Row],[Maturity date]],Table1[[#This Row],[Current coupon %]],Table1[[#This Row],[Yield (Annualised)]],Table1[[#This Row],[Coupon Frequency2]])</f>
        <v>#N/A</v>
      </c>
      <c r="AA790" s="33" t="e">
        <f>Table1[[#This Row],[Macaulay Duration in Years]]/(1+Table1[[#This Row],[IRR]])</f>
        <v>#N/A</v>
      </c>
      <c r="AB790" s="58" t="e">
        <f>VLOOKUP(Table1[[#This Row],[Yield Cluster]],'Cluster Details'!$B$3:$C$16,2,0)</f>
        <v>#N/A</v>
      </c>
      <c r="AC7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0" s="58" t="e">
        <f>IF(Table1[[#This Row],[Ask Price]]&gt;Table1[[#This Row],[Calculated Bond Price]],"Rich","Cheap")</f>
        <v>#N/A</v>
      </c>
      <c r="AE7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0" s="78" t="e">
        <f>(Table1[[#This Row],[P (+ shock)]]+Table1[[#This Row],[P (-shock)]]-2*Table1[[#This Row],[Ask Price]])/(2*Table1[[#This Row],[Ask Price]]*($AF$2^2))</f>
        <v>#N/A</v>
      </c>
      <c r="AH790">
        <v>14.8403762302286</v>
      </c>
      <c r="AI790" s="6" t="e">
        <f t="shared" si="49"/>
        <v>#DIV/0!</v>
      </c>
      <c r="AK790" s="47" t="e">
        <f>RATE(Table1[[#This Row],[Total No. of Coupons]],Table1[[#This Row],[Coupon Amount]],-Table1[[#This Row],[Ask Price]],Table1[[#This Row],[Face value]])</f>
        <v>#N/A</v>
      </c>
      <c r="AL790" s="27" t="e">
        <f>Table1[[#This Row],[IRR]]*Table1[[#This Row],[Coupon Frequency2]]</f>
        <v>#N/A</v>
      </c>
      <c r="AM790" s="5" t="e">
        <f t="shared" si="50"/>
        <v>#N/A</v>
      </c>
      <c r="AN790" t="s">
        <v>64</v>
      </c>
      <c r="AO790" t="s">
        <v>62</v>
      </c>
      <c r="AP790" t="str">
        <f t="shared" si="51"/>
        <v/>
      </c>
    </row>
    <row r="791" spans="4:42" x14ac:dyDescent="0.35">
      <c r="D791" s="21"/>
      <c r="E791" s="21"/>
      <c r="L791" s="22"/>
      <c r="S791">
        <f t="shared" si="48"/>
        <v>0</v>
      </c>
      <c r="T791" s="5" t="e" cm="1">
        <f t="array" ref="T7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1" t="e">
        <f>Table1[[#This Row],[Term to Maturity (Years)]]*Table1[[#This Row],[Coupon Frequency2]]</f>
        <v>#N/A</v>
      </c>
      <c r="V791">
        <f>Table1[[#This Row],[Face value]]*Table1[[#This Row],[Current coupon %]]</f>
        <v>0</v>
      </c>
      <c r="W791" s="36" t="e">
        <f>RATE(Table1[[#This Row],[Total No. of Coupons]],Table1[[#This Row],[Coupon Amount]],-Table1[[#This Row],[Ask Price]],Table1[[#This Row],[Face value]])</f>
        <v>#N/A</v>
      </c>
      <c r="X791" s="27" t="e">
        <f>Table1[[#This Row],[IRR]]*Table1[[#This Row],[Coupon Frequency2]]</f>
        <v>#N/A</v>
      </c>
      <c r="Y791" s="19" t="e" cm="1">
        <f t="array" ref="Y7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1" s="33" t="e">
        <f>DURATION(Table1[[#This Row],[Issue date]],Table1[[#This Row],[Maturity date]],Table1[[#This Row],[Current coupon %]],Table1[[#This Row],[Yield (Annualised)]],Table1[[#This Row],[Coupon Frequency2]])</f>
        <v>#N/A</v>
      </c>
      <c r="AA791" s="33" t="e">
        <f>Table1[[#This Row],[Macaulay Duration in Years]]/(1+Table1[[#This Row],[IRR]])</f>
        <v>#N/A</v>
      </c>
      <c r="AB791" s="58" t="e">
        <f>VLOOKUP(Table1[[#This Row],[Yield Cluster]],'Cluster Details'!$B$3:$C$16,2,0)</f>
        <v>#N/A</v>
      </c>
      <c r="AC7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1" s="58" t="e">
        <f>IF(Table1[[#This Row],[Ask Price]]&gt;Table1[[#This Row],[Calculated Bond Price]],"Rich","Cheap")</f>
        <v>#N/A</v>
      </c>
      <c r="AE7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1" s="78" t="e">
        <f>(Table1[[#This Row],[P (+ shock)]]+Table1[[#This Row],[P (-shock)]]-2*Table1[[#This Row],[Ask Price]])/(2*Table1[[#This Row],[Ask Price]]*($AF$2^2))</f>
        <v>#N/A</v>
      </c>
      <c r="AH791">
        <v>19.801904800584801</v>
      </c>
      <c r="AI791" s="6" t="e">
        <f t="shared" si="49"/>
        <v>#DIV/0!</v>
      </c>
      <c r="AK791" s="47" t="e">
        <f>RATE(Table1[[#This Row],[Total No. of Coupons]],Table1[[#This Row],[Coupon Amount]],-Table1[[#This Row],[Ask Price]],Table1[[#This Row],[Face value]])</f>
        <v>#N/A</v>
      </c>
      <c r="AL791" s="27" t="e">
        <f>Table1[[#This Row],[IRR]]*Table1[[#This Row],[Coupon Frequency2]]</f>
        <v>#N/A</v>
      </c>
      <c r="AM791" s="5" t="e">
        <f t="shared" si="50"/>
        <v>#N/A</v>
      </c>
      <c r="AN791" t="s">
        <v>64</v>
      </c>
      <c r="AO791" t="s">
        <v>62</v>
      </c>
      <c r="AP791" t="str">
        <f t="shared" si="51"/>
        <v/>
      </c>
    </row>
    <row r="792" spans="4:42" x14ac:dyDescent="0.35">
      <c r="D792" s="21"/>
      <c r="E792" s="21"/>
      <c r="L792" s="22"/>
      <c r="S792">
        <f t="shared" si="48"/>
        <v>0</v>
      </c>
      <c r="T792" s="5" t="e" cm="1">
        <f t="array" ref="T7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2" t="e">
        <f>Table1[[#This Row],[Term to Maturity (Years)]]*Table1[[#This Row],[Coupon Frequency2]]</f>
        <v>#N/A</v>
      </c>
      <c r="V792">
        <f>Table1[[#This Row],[Face value]]*Table1[[#This Row],[Current coupon %]]</f>
        <v>0</v>
      </c>
      <c r="W792" s="36" t="e">
        <f>RATE(Table1[[#This Row],[Total No. of Coupons]],Table1[[#This Row],[Coupon Amount]],-Table1[[#This Row],[Ask Price]],Table1[[#This Row],[Face value]])</f>
        <v>#N/A</v>
      </c>
      <c r="X792" s="27" t="e">
        <f>Table1[[#This Row],[IRR]]*Table1[[#This Row],[Coupon Frequency2]]</f>
        <v>#N/A</v>
      </c>
      <c r="Y792" s="19" t="e" cm="1">
        <f t="array" ref="Y7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2" s="33" t="e">
        <f>DURATION(Table1[[#This Row],[Issue date]],Table1[[#This Row],[Maturity date]],Table1[[#This Row],[Current coupon %]],Table1[[#This Row],[Yield (Annualised)]],Table1[[#This Row],[Coupon Frequency2]])</f>
        <v>#N/A</v>
      </c>
      <c r="AA792" s="33" t="e">
        <f>Table1[[#This Row],[Macaulay Duration in Years]]/(1+Table1[[#This Row],[IRR]])</f>
        <v>#N/A</v>
      </c>
      <c r="AB792" s="58" t="e">
        <f>VLOOKUP(Table1[[#This Row],[Yield Cluster]],'Cluster Details'!$B$3:$C$16,2,0)</f>
        <v>#N/A</v>
      </c>
      <c r="AC7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2" s="58" t="e">
        <f>IF(Table1[[#This Row],[Ask Price]]&gt;Table1[[#This Row],[Calculated Bond Price]],"Rich","Cheap")</f>
        <v>#N/A</v>
      </c>
      <c r="AE7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2" s="78" t="e">
        <f>(Table1[[#This Row],[P (+ shock)]]+Table1[[#This Row],[P (-shock)]]-2*Table1[[#This Row],[Ask Price]])/(2*Table1[[#This Row],[Ask Price]]*($AF$2^2))</f>
        <v>#N/A</v>
      </c>
      <c r="AH792">
        <v>10.7540946202973</v>
      </c>
      <c r="AI792" s="6" t="e">
        <f t="shared" si="49"/>
        <v>#DIV/0!</v>
      </c>
      <c r="AK792" s="47" t="e">
        <f>RATE(Table1[[#This Row],[Total No. of Coupons]],Table1[[#This Row],[Coupon Amount]],-Table1[[#This Row],[Ask Price]],Table1[[#This Row],[Face value]])</f>
        <v>#N/A</v>
      </c>
      <c r="AL792" s="27" t="e">
        <f>Table1[[#This Row],[IRR]]*Table1[[#This Row],[Coupon Frequency2]]</f>
        <v>#N/A</v>
      </c>
      <c r="AM792" s="5" t="e">
        <f t="shared" si="50"/>
        <v>#N/A</v>
      </c>
      <c r="AN792" t="s">
        <v>64</v>
      </c>
      <c r="AO792" t="s">
        <v>62</v>
      </c>
      <c r="AP792" t="str">
        <f t="shared" si="51"/>
        <v/>
      </c>
    </row>
    <row r="793" spans="4:42" x14ac:dyDescent="0.35">
      <c r="D793" s="21"/>
      <c r="E793" s="21"/>
      <c r="L793" s="22"/>
      <c r="S793">
        <f t="shared" si="48"/>
        <v>0</v>
      </c>
      <c r="T793" s="5" t="e" cm="1">
        <f t="array" ref="T7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3" t="e">
        <f>Table1[[#This Row],[Term to Maturity (Years)]]*Table1[[#This Row],[Coupon Frequency2]]</f>
        <v>#N/A</v>
      </c>
      <c r="V793">
        <f>Table1[[#This Row],[Face value]]*Table1[[#This Row],[Current coupon %]]</f>
        <v>0</v>
      </c>
      <c r="W793" s="36" t="e">
        <f>RATE(Table1[[#This Row],[Total No. of Coupons]],Table1[[#This Row],[Coupon Amount]],-Table1[[#This Row],[Ask Price]],Table1[[#This Row],[Face value]])</f>
        <v>#N/A</v>
      </c>
      <c r="X793" s="27" t="e">
        <f>Table1[[#This Row],[IRR]]*Table1[[#This Row],[Coupon Frequency2]]</f>
        <v>#N/A</v>
      </c>
      <c r="Y793" s="19" t="e" cm="1">
        <f t="array" ref="Y7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3" s="33" t="e">
        <f>DURATION(Table1[[#This Row],[Issue date]],Table1[[#This Row],[Maturity date]],Table1[[#This Row],[Current coupon %]],Table1[[#This Row],[Yield (Annualised)]],Table1[[#This Row],[Coupon Frequency2]])</f>
        <v>#N/A</v>
      </c>
      <c r="AA793" s="33" t="e">
        <f>Table1[[#This Row],[Macaulay Duration in Years]]/(1+Table1[[#This Row],[IRR]])</f>
        <v>#N/A</v>
      </c>
      <c r="AB793" s="58" t="e">
        <f>VLOOKUP(Table1[[#This Row],[Yield Cluster]],'Cluster Details'!$B$3:$C$16,2,0)</f>
        <v>#N/A</v>
      </c>
      <c r="AC7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3" s="58" t="e">
        <f>IF(Table1[[#This Row],[Ask Price]]&gt;Table1[[#This Row],[Calculated Bond Price]],"Rich","Cheap")</f>
        <v>#N/A</v>
      </c>
      <c r="AE7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3" s="78" t="e">
        <f>(Table1[[#This Row],[P (+ shock)]]+Table1[[#This Row],[P (-shock)]]-2*Table1[[#This Row],[Ask Price]])/(2*Table1[[#This Row],[Ask Price]]*($AF$2^2))</f>
        <v>#N/A</v>
      </c>
      <c r="AH793">
        <v>9.65</v>
      </c>
      <c r="AI793" s="6" t="e">
        <f t="shared" si="49"/>
        <v>#DIV/0!</v>
      </c>
      <c r="AK793" s="47" t="e">
        <f>RATE(Table1[[#This Row],[Total No. of Coupons]],Table1[[#This Row],[Coupon Amount]],-Table1[[#This Row],[Ask Price]],Table1[[#This Row],[Face value]])</f>
        <v>#N/A</v>
      </c>
      <c r="AL793" s="27" t="e">
        <f>Table1[[#This Row],[IRR]]*Table1[[#This Row],[Coupon Frequency2]]</f>
        <v>#N/A</v>
      </c>
      <c r="AM793" s="5" t="e">
        <f t="shared" si="50"/>
        <v>#N/A</v>
      </c>
      <c r="AN793" t="s">
        <v>64</v>
      </c>
      <c r="AO793" t="s">
        <v>62</v>
      </c>
      <c r="AP793" t="str">
        <f t="shared" si="51"/>
        <v/>
      </c>
    </row>
    <row r="794" spans="4:42" x14ac:dyDescent="0.35">
      <c r="D794" s="21"/>
      <c r="E794" s="21"/>
      <c r="L794" s="22"/>
      <c r="S794">
        <f t="shared" si="48"/>
        <v>0</v>
      </c>
      <c r="T794" s="5" t="e" cm="1">
        <f t="array" ref="T7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4" t="e">
        <f>Table1[[#This Row],[Term to Maturity (Years)]]*Table1[[#This Row],[Coupon Frequency2]]</f>
        <v>#N/A</v>
      </c>
      <c r="V794">
        <f>Table1[[#This Row],[Face value]]*Table1[[#This Row],[Current coupon %]]</f>
        <v>0</v>
      </c>
      <c r="W794" s="36" t="e">
        <f>RATE(Table1[[#This Row],[Total No. of Coupons]],Table1[[#This Row],[Coupon Amount]],-Table1[[#This Row],[Ask Price]],Table1[[#This Row],[Face value]])</f>
        <v>#N/A</v>
      </c>
      <c r="X794" s="27" t="e">
        <f>Table1[[#This Row],[IRR]]*Table1[[#This Row],[Coupon Frequency2]]</f>
        <v>#N/A</v>
      </c>
      <c r="Y794" s="19" t="e" cm="1">
        <f t="array" ref="Y7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4" s="33" t="e">
        <f>DURATION(Table1[[#This Row],[Issue date]],Table1[[#This Row],[Maturity date]],Table1[[#This Row],[Current coupon %]],Table1[[#This Row],[Yield (Annualised)]],Table1[[#This Row],[Coupon Frequency2]])</f>
        <v>#N/A</v>
      </c>
      <c r="AA794" s="33" t="e">
        <f>Table1[[#This Row],[Macaulay Duration in Years]]/(1+Table1[[#This Row],[IRR]])</f>
        <v>#N/A</v>
      </c>
      <c r="AB794" s="58" t="e">
        <f>VLOOKUP(Table1[[#This Row],[Yield Cluster]],'Cluster Details'!$B$3:$C$16,2,0)</f>
        <v>#N/A</v>
      </c>
      <c r="AC7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4" s="58" t="e">
        <f>IF(Table1[[#This Row],[Ask Price]]&gt;Table1[[#This Row],[Calculated Bond Price]],"Rich","Cheap")</f>
        <v>#N/A</v>
      </c>
      <c r="AE7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4" s="78" t="e">
        <f>(Table1[[#This Row],[P (+ shock)]]+Table1[[#This Row],[P (-shock)]]-2*Table1[[#This Row],[Ask Price]])/(2*Table1[[#This Row],[Ask Price]]*($AF$2^2))</f>
        <v>#N/A</v>
      </c>
      <c r="AH794">
        <v>10.985932480291201</v>
      </c>
      <c r="AI794" s="6" t="e">
        <f t="shared" si="49"/>
        <v>#DIV/0!</v>
      </c>
      <c r="AK794" s="47" t="e">
        <f>RATE(Table1[[#This Row],[Total No. of Coupons]],Table1[[#This Row],[Coupon Amount]],-Table1[[#This Row],[Ask Price]],Table1[[#This Row],[Face value]])</f>
        <v>#N/A</v>
      </c>
      <c r="AL794" s="27" t="e">
        <f>Table1[[#This Row],[IRR]]*Table1[[#This Row],[Coupon Frequency2]]</f>
        <v>#N/A</v>
      </c>
      <c r="AM794" s="5" t="e">
        <f t="shared" si="50"/>
        <v>#N/A</v>
      </c>
      <c r="AN794" t="s">
        <v>64</v>
      </c>
      <c r="AO794" t="s">
        <v>62</v>
      </c>
      <c r="AP794" t="str">
        <f t="shared" si="51"/>
        <v/>
      </c>
    </row>
    <row r="795" spans="4:42" x14ac:dyDescent="0.35">
      <c r="D795" s="21"/>
      <c r="E795" s="21"/>
      <c r="L795" s="22"/>
      <c r="S795">
        <f t="shared" si="48"/>
        <v>0</v>
      </c>
      <c r="T795" s="5" t="e" cm="1">
        <f t="array" ref="T7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5" t="e">
        <f>Table1[[#This Row],[Term to Maturity (Years)]]*Table1[[#This Row],[Coupon Frequency2]]</f>
        <v>#N/A</v>
      </c>
      <c r="V795">
        <f>Table1[[#This Row],[Face value]]*Table1[[#This Row],[Current coupon %]]</f>
        <v>0</v>
      </c>
      <c r="W795" s="36" t="e">
        <f>RATE(Table1[[#This Row],[Total No. of Coupons]],Table1[[#This Row],[Coupon Amount]],-Table1[[#This Row],[Ask Price]],Table1[[#This Row],[Face value]])</f>
        <v>#N/A</v>
      </c>
      <c r="X795" s="27" t="e">
        <f>Table1[[#This Row],[IRR]]*Table1[[#This Row],[Coupon Frequency2]]</f>
        <v>#N/A</v>
      </c>
      <c r="Y795" s="19" t="e" cm="1">
        <f t="array" ref="Y7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5" s="33" t="e">
        <f>DURATION(Table1[[#This Row],[Issue date]],Table1[[#This Row],[Maturity date]],Table1[[#This Row],[Current coupon %]],Table1[[#This Row],[Yield (Annualised)]],Table1[[#This Row],[Coupon Frequency2]])</f>
        <v>#N/A</v>
      </c>
      <c r="AA795" s="33" t="e">
        <f>Table1[[#This Row],[Macaulay Duration in Years]]/(1+Table1[[#This Row],[IRR]])</f>
        <v>#N/A</v>
      </c>
      <c r="AB795" s="58" t="e">
        <f>VLOOKUP(Table1[[#This Row],[Yield Cluster]],'Cluster Details'!$B$3:$C$16,2,0)</f>
        <v>#N/A</v>
      </c>
      <c r="AC7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5" s="58" t="e">
        <f>IF(Table1[[#This Row],[Ask Price]]&gt;Table1[[#This Row],[Calculated Bond Price]],"Rich","Cheap")</f>
        <v>#N/A</v>
      </c>
      <c r="AE7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5" s="78" t="e">
        <f>(Table1[[#This Row],[P (+ shock)]]+Table1[[#This Row],[P (-shock)]]-2*Table1[[#This Row],[Ask Price]])/(2*Table1[[#This Row],[Ask Price]]*($AF$2^2))</f>
        <v>#N/A</v>
      </c>
      <c r="AH795">
        <v>6.0921018242642804</v>
      </c>
      <c r="AI795" s="6" t="e">
        <f t="shared" si="49"/>
        <v>#DIV/0!</v>
      </c>
      <c r="AK795" s="47" t="e">
        <f>RATE(Table1[[#This Row],[Total No. of Coupons]],Table1[[#This Row],[Coupon Amount]],-Table1[[#This Row],[Ask Price]],Table1[[#This Row],[Face value]])</f>
        <v>#N/A</v>
      </c>
      <c r="AL795" s="27" t="e">
        <f>Table1[[#This Row],[IRR]]*Table1[[#This Row],[Coupon Frequency2]]</f>
        <v>#N/A</v>
      </c>
      <c r="AM795" s="5" t="e">
        <f t="shared" si="50"/>
        <v>#N/A</v>
      </c>
      <c r="AN795" t="s">
        <v>64</v>
      </c>
      <c r="AO795" t="s">
        <v>62</v>
      </c>
      <c r="AP795" t="str">
        <f t="shared" si="51"/>
        <v/>
      </c>
    </row>
    <row r="796" spans="4:42" x14ac:dyDescent="0.35">
      <c r="D796" s="21"/>
      <c r="E796" s="21"/>
      <c r="L796" s="22"/>
      <c r="S796">
        <f t="shared" si="48"/>
        <v>0</v>
      </c>
      <c r="T796" s="5" t="e" cm="1">
        <f t="array" ref="T7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6" t="e">
        <f>Table1[[#This Row],[Term to Maturity (Years)]]*Table1[[#This Row],[Coupon Frequency2]]</f>
        <v>#N/A</v>
      </c>
      <c r="V796">
        <f>Table1[[#This Row],[Face value]]*Table1[[#This Row],[Current coupon %]]</f>
        <v>0</v>
      </c>
      <c r="W796" s="36" t="e">
        <f>RATE(Table1[[#This Row],[Total No. of Coupons]],Table1[[#This Row],[Coupon Amount]],-Table1[[#This Row],[Ask Price]],Table1[[#This Row],[Face value]])</f>
        <v>#N/A</v>
      </c>
      <c r="X796" s="27" t="e">
        <f>Table1[[#This Row],[IRR]]*Table1[[#This Row],[Coupon Frequency2]]</f>
        <v>#N/A</v>
      </c>
      <c r="Y796" s="19" t="e" cm="1">
        <f t="array" ref="Y7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6" s="33" t="e">
        <f>DURATION(Table1[[#This Row],[Issue date]],Table1[[#This Row],[Maturity date]],Table1[[#This Row],[Current coupon %]],Table1[[#This Row],[Yield (Annualised)]],Table1[[#This Row],[Coupon Frequency2]])</f>
        <v>#N/A</v>
      </c>
      <c r="AA796" s="33" t="e">
        <f>Table1[[#This Row],[Macaulay Duration in Years]]/(1+Table1[[#This Row],[IRR]])</f>
        <v>#N/A</v>
      </c>
      <c r="AB796" s="58" t="e">
        <f>VLOOKUP(Table1[[#This Row],[Yield Cluster]],'Cluster Details'!$B$3:$C$16,2,0)</f>
        <v>#N/A</v>
      </c>
      <c r="AC7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6" s="58" t="e">
        <f>IF(Table1[[#This Row],[Ask Price]]&gt;Table1[[#This Row],[Calculated Bond Price]],"Rich","Cheap")</f>
        <v>#N/A</v>
      </c>
      <c r="AE7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6" s="78" t="e">
        <f>(Table1[[#This Row],[P (+ shock)]]+Table1[[#This Row],[P (-shock)]]-2*Table1[[#This Row],[Ask Price]])/(2*Table1[[#This Row],[Ask Price]]*($AF$2^2))</f>
        <v>#N/A</v>
      </c>
      <c r="AH796">
        <v>5.1683257825582203</v>
      </c>
      <c r="AI796" s="6" t="e">
        <f t="shared" si="49"/>
        <v>#DIV/0!</v>
      </c>
      <c r="AK796" s="47" t="e">
        <f>RATE(Table1[[#This Row],[Total No. of Coupons]],Table1[[#This Row],[Coupon Amount]],-Table1[[#This Row],[Ask Price]],Table1[[#This Row],[Face value]])</f>
        <v>#N/A</v>
      </c>
      <c r="AL796" s="27" t="e">
        <f>Table1[[#This Row],[IRR]]*Table1[[#This Row],[Coupon Frequency2]]</f>
        <v>#N/A</v>
      </c>
      <c r="AM796" s="5" t="e">
        <f t="shared" si="50"/>
        <v>#N/A</v>
      </c>
      <c r="AN796" t="s">
        <v>64</v>
      </c>
      <c r="AO796" t="s">
        <v>62</v>
      </c>
      <c r="AP796" t="str">
        <f t="shared" si="51"/>
        <v/>
      </c>
    </row>
    <row r="797" spans="4:42" x14ac:dyDescent="0.35">
      <c r="D797" s="21"/>
      <c r="E797" s="21"/>
      <c r="L797" s="22"/>
      <c r="S797">
        <f t="shared" si="48"/>
        <v>0</v>
      </c>
      <c r="T797" s="5" t="e" cm="1">
        <f t="array" ref="T7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7" t="e">
        <f>Table1[[#This Row],[Term to Maturity (Years)]]*Table1[[#This Row],[Coupon Frequency2]]</f>
        <v>#N/A</v>
      </c>
      <c r="V797">
        <f>Table1[[#This Row],[Face value]]*Table1[[#This Row],[Current coupon %]]</f>
        <v>0</v>
      </c>
      <c r="W797" s="36" t="e">
        <f>RATE(Table1[[#This Row],[Total No. of Coupons]],Table1[[#This Row],[Coupon Amount]],-Table1[[#This Row],[Ask Price]],Table1[[#This Row],[Face value]])</f>
        <v>#N/A</v>
      </c>
      <c r="X797" s="27" t="e">
        <f>Table1[[#This Row],[IRR]]*Table1[[#This Row],[Coupon Frequency2]]</f>
        <v>#N/A</v>
      </c>
      <c r="Y797" s="19" t="e" cm="1">
        <f t="array" ref="Y7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7" s="33" t="e">
        <f>DURATION(Table1[[#This Row],[Issue date]],Table1[[#This Row],[Maturity date]],Table1[[#This Row],[Current coupon %]],Table1[[#This Row],[Yield (Annualised)]],Table1[[#This Row],[Coupon Frequency2]])</f>
        <v>#N/A</v>
      </c>
      <c r="AA797" s="33" t="e">
        <f>Table1[[#This Row],[Macaulay Duration in Years]]/(1+Table1[[#This Row],[IRR]])</f>
        <v>#N/A</v>
      </c>
      <c r="AB797" s="58" t="e">
        <f>VLOOKUP(Table1[[#This Row],[Yield Cluster]],'Cluster Details'!$B$3:$C$16,2,0)</f>
        <v>#N/A</v>
      </c>
      <c r="AC7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7" s="58" t="e">
        <f>IF(Table1[[#This Row],[Ask Price]]&gt;Table1[[#This Row],[Calculated Bond Price]],"Rich","Cheap")</f>
        <v>#N/A</v>
      </c>
      <c r="AE7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7" s="78" t="e">
        <f>(Table1[[#This Row],[P (+ shock)]]+Table1[[#This Row],[P (-shock)]]-2*Table1[[#This Row],[Ask Price]])/(2*Table1[[#This Row],[Ask Price]]*($AF$2^2))</f>
        <v>#N/A</v>
      </c>
      <c r="AI797" s="6" t="e">
        <f t="shared" si="49"/>
        <v>#DIV/0!</v>
      </c>
      <c r="AK797" s="47" t="e">
        <f>RATE(Table1[[#This Row],[Total No. of Coupons]],Table1[[#This Row],[Coupon Amount]],-Table1[[#This Row],[Ask Price]],Table1[[#This Row],[Face value]])</f>
        <v>#N/A</v>
      </c>
      <c r="AL797" s="27" t="e">
        <f>Table1[[#This Row],[IRR]]*Table1[[#This Row],[Coupon Frequency2]]</f>
        <v>#N/A</v>
      </c>
      <c r="AM797" s="5" t="e">
        <f t="shared" si="50"/>
        <v>#N/A</v>
      </c>
      <c r="AN797" t="s">
        <v>69</v>
      </c>
      <c r="AO797" t="s">
        <v>62</v>
      </c>
      <c r="AP797" t="str">
        <f t="shared" si="51"/>
        <v/>
      </c>
    </row>
    <row r="798" spans="4:42" x14ac:dyDescent="0.35">
      <c r="D798" s="21"/>
      <c r="E798" s="21"/>
      <c r="L798" s="22"/>
      <c r="S798">
        <f t="shared" si="48"/>
        <v>0</v>
      </c>
      <c r="T798" s="5" t="e" cm="1">
        <f t="array" ref="T7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8" t="e">
        <f>Table1[[#This Row],[Term to Maturity (Years)]]*Table1[[#This Row],[Coupon Frequency2]]</f>
        <v>#N/A</v>
      </c>
      <c r="V798">
        <f>Table1[[#This Row],[Face value]]*Table1[[#This Row],[Current coupon %]]</f>
        <v>0</v>
      </c>
      <c r="W798" s="36" t="e">
        <f>RATE(Table1[[#This Row],[Total No. of Coupons]],Table1[[#This Row],[Coupon Amount]],-Table1[[#This Row],[Ask Price]],Table1[[#This Row],[Face value]])</f>
        <v>#N/A</v>
      </c>
      <c r="X798" s="27" t="e">
        <f>Table1[[#This Row],[IRR]]*Table1[[#This Row],[Coupon Frequency2]]</f>
        <v>#N/A</v>
      </c>
      <c r="Y798" s="19" t="e" cm="1">
        <f t="array" ref="Y7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8" s="33" t="e">
        <f>DURATION(Table1[[#This Row],[Issue date]],Table1[[#This Row],[Maturity date]],Table1[[#This Row],[Current coupon %]],Table1[[#This Row],[Yield (Annualised)]],Table1[[#This Row],[Coupon Frequency2]])</f>
        <v>#N/A</v>
      </c>
      <c r="AA798" s="33" t="e">
        <f>Table1[[#This Row],[Macaulay Duration in Years]]/(1+Table1[[#This Row],[IRR]])</f>
        <v>#N/A</v>
      </c>
      <c r="AB798" s="58" t="e">
        <f>VLOOKUP(Table1[[#This Row],[Yield Cluster]],'Cluster Details'!$B$3:$C$16,2,0)</f>
        <v>#N/A</v>
      </c>
      <c r="AC7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8" s="58" t="e">
        <f>IF(Table1[[#This Row],[Ask Price]]&gt;Table1[[#This Row],[Calculated Bond Price]],"Rich","Cheap")</f>
        <v>#N/A</v>
      </c>
      <c r="AE7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8" s="78" t="e">
        <f>(Table1[[#This Row],[P (+ shock)]]+Table1[[#This Row],[P (-shock)]]-2*Table1[[#This Row],[Ask Price]])/(2*Table1[[#This Row],[Ask Price]]*($AF$2^2))</f>
        <v>#N/A</v>
      </c>
      <c r="AH798">
        <v>11.15</v>
      </c>
      <c r="AI798" s="6" t="e">
        <f t="shared" si="49"/>
        <v>#DIV/0!</v>
      </c>
      <c r="AK798" s="47" t="e">
        <f>RATE(Table1[[#This Row],[Total No. of Coupons]],Table1[[#This Row],[Coupon Amount]],-Table1[[#This Row],[Ask Price]],Table1[[#This Row],[Face value]])</f>
        <v>#N/A</v>
      </c>
      <c r="AL798" s="27" t="e">
        <f>Table1[[#This Row],[IRR]]*Table1[[#This Row],[Coupon Frequency2]]</f>
        <v>#N/A</v>
      </c>
      <c r="AM798" s="5" t="e">
        <f t="shared" si="50"/>
        <v>#N/A</v>
      </c>
      <c r="AN798" t="s">
        <v>64</v>
      </c>
      <c r="AO798" t="s">
        <v>62</v>
      </c>
      <c r="AP798" t="str">
        <f t="shared" si="51"/>
        <v/>
      </c>
    </row>
    <row r="799" spans="4:42" x14ac:dyDescent="0.35">
      <c r="D799" s="21"/>
      <c r="E799" s="21"/>
      <c r="L799" s="22"/>
      <c r="S799">
        <f t="shared" si="48"/>
        <v>0</v>
      </c>
      <c r="T799" s="5" t="e" cm="1">
        <f t="array" ref="T7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799" t="e">
        <f>Table1[[#This Row],[Term to Maturity (Years)]]*Table1[[#This Row],[Coupon Frequency2]]</f>
        <v>#N/A</v>
      </c>
      <c r="V799">
        <f>Table1[[#This Row],[Face value]]*Table1[[#This Row],[Current coupon %]]</f>
        <v>0</v>
      </c>
      <c r="W799" s="36" t="e">
        <f>RATE(Table1[[#This Row],[Total No. of Coupons]],Table1[[#This Row],[Coupon Amount]],-Table1[[#This Row],[Ask Price]],Table1[[#This Row],[Face value]])</f>
        <v>#N/A</v>
      </c>
      <c r="X799" s="27" t="e">
        <f>Table1[[#This Row],[IRR]]*Table1[[#This Row],[Coupon Frequency2]]</f>
        <v>#N/A</v>
      </c>
      <c r="Y799" s="19" t="e" cm="1">
        <f t="array" ref="Y7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799" s="33" t="e">
        <f>DURATION(Table1[[#This Row],[Issue date]],Table1[[#This Row],[Maturity date]],Table1[[#This Row],[Current coupon %]],Table1[[#This Row],[Yield (Annualised)]],Table1[[#This Row],[Coupon Frequency2]])</f>
        <v>#N/A</v>
      </c>
      <c r="AA799" s="33" t="e">
        <f>Table1[[#This Row],[Macaulay Duration in Years]]/(1+Table1[[#This Row],[IRR]])</f>
        <v>#N/A</v>
      </c>
      <c r="AB799" s="58" t="e">
        <f>VLOOKUP(Table1[[#This Row],[Yield Cluster]],'Cluster Details'!$B$3:$C$16,2,0)</f>
        <v>#N/A</v>
      </c>
      <c r="AC7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799" s="58" t="e">
        <f>IF(Table1[[#This Row],[Ask Price]]&gt;Table1[[#This Row],[Calculated Bond Price]],"Rich","Cheap")</f>
        <v>#N/A</v>
      </c>
      <c r="AE7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7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799" s="78" t="e">
        <f>(Table1[[#This Row],[P (+ shock)]]+Table1[[#This Row],[P (-shock)]]-2*Table1[[#This Row],[Ask Price]])/(2*Table1[[#This Row],[Ask Price]]*($AF$2^2))</f>
        <v>#N/A</v>
      </c>
      <c r="AH799">
        <v>9.5038624741595008</v>
      </c>
      <c r="AI799" s="6" t="e">
        <f t="shared" si="49"/>
        <v>#DIV/0!</v>
      </c>
      <c r="AK799" s="47" t="e">
        <f>RATE(Table1[[#This Row],[Total No. of Coupons]],Table1[[#This Row],[Coupon Amount]],-Table1[[#This Row],[Ask Price]],Table1[[#This Row],[Face value]])</f>
        <v>#N/A</v>
      </c>
      <c r="AL799" s="27" t="e">
        <f>Table1[[#This Row],[IRR]]*Table1[[#This Row],[Coupon Frequency2]]</f>
        <v>#N/A</v>
      </c>
      <c r="AM799" s="5" t="e">
        <f t="shared" si="50"/>
        <v>#N/A</v>
      </c>
      <c r="AN799" t="s">
        <v>64</v>
      </c>
      <c r="AO799" t="s">
        <v>62</v>
      </c>
      <c r="AP799" t="str">
        <f t="shared" si="51"/>
        <v/>
      </c>
    </row>
    <row r="800" spans="4:42" x14ac:dyDescent="0.35">
      <c r="D800" s="21"/>
      <c r="E800" s="21"/>
      <c r="L800" s="22"/>
      <c r="S800">
        <f t="shared" si="48"/>
        <v>0</v>
      </c>
      <c r="T800" s="5" t="e" cm="1">
        <f t="array" ref="T8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0" t="e">
        <f>Table1[[#This Row],[Term to Maturity (Years)]]*Table1[[#This Row],[Coupon Frequency2]]</f>
        <v>#N/A</v>
      </c>
      <c r="V800">
        <f>Table1[[#This Row],[Face value]]*Table1[[#This Row],[Current coupon %]]</f>
        <v>0</v>
      </c>
      <c r="W800" s="36" t="e">
        <f>RATE(Table1[[#This Row],[Total No. of Coupons]],Table1[[#This Row],[Coupon Amount]],-Table1[[#This Row],[Ask Price]],Table1[[#This Row],[Face value]])</f>
        <v>#N/A</v>
      </c>
      <c r="X800" s="27" t="e">
        <f>Table1[[#This Row],[IRR]]*Table1[[#This Row],[Coupon Frequency2]]</f>
        <v>#N/A</v>
      </c>
      <c r="Y800" s="19" t="e" cm="1">
        <f t="array" ref="Y8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0" s="33" t="e">
        <f>DURATION(Table1[[#This Row],[Issue date]],Table1[[#This Row],[Maturity date]],Table1[[#This Row],[Current coupon %]],Table1[[#This Row],[Yield (Annualised)]],Table1[[#This Row],[Coupon Frequency2]])</f>
        <v>#N/A</v>
      </c>
      <c r="AA800" s="33" t="e">
        <f>Table1[[#This Row],[Macaulay Duration in Years]]/(1+Table1[[#This Row],[IRR]])</f>
        <v>#N/A</v>
      </c>
      <c r="AB800" s="58" t="e">
        <f>VLOOKUP(Table1[[#This Row],[Yield Cluster]],'Cluster Details'!$B$3:$C$16,2,0)</f>
        <v>#N/A</v>
      </c>
      <c r="AC8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0" s="58" t="e">
        <f>IF(Table1[[#This Row],[Ask Price]]&gt;Table1[[#This Row],[Calculated Bond Price]],"Rich","Cheap")</f>
        <v>#N/A</v>
      </c>
      <c r="AE8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0" s="78" t="e">
        <f>(Table1[[#This Row],[P (+ shock)]]+Table1[[#This Row],[P (-shock)]]-2*Table1[[#This Row],[Ask Price]])/(2*Table1[[#This Row],[Ask Price]]*($AF$2^2))</f>
        <v>#N/A</v>
      </c>
      <c r="AI800" s="6" t="e">
        <f t="shared" si="49"/>
        <v>#DIV/0!</v>
      </c>
      <c r="AK800" s="47" t="e">
        <f>RATE(Table1[[#This Row],[Total No. of Coupons]],Table1[[#This Row],[Coupon Amount]],-Table1[[#This Row],[Ask Price]],Table1[[#This Row],[Face value]])</f>
        <v>#N/A</v>
      </c>
      <c r="AL800" s="27" t="e">
        <f>Table1[[#This Row],[IRR]]*Table1[[#This Row],[Coupon Frequency2]]</f>
        <v>#N/A</v>
      </c>
      <c r="AM800" s="5" t="e">
        <f t="shared" si="50"/>
        <v>#N/A</v>
      </c>
      <c r="AN800" t="s">
        <v>64</v>
      </c>
      <c r="AO800" t="s">
        <v>62</v>
      </c>
      <c r="AP800" t="str">
        <f t="shared" si="51"/>
        <v/>
      </c>
    </row>
    <row r="801" spans="4:42" x14ac:dyDescent="0.35">
      <c r="D801" s="21"/>
      <c r="E801" s="21"/>
      <c r="L801" s="22"/>
      <c r="S801">
        <f t="shared" si="48"/>
        <v>0</v>
      </c>
      <c r="T801" s="5" t="e" cm="1">
        <f t="array" ref="T8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1" t="e">
        <f>Table1[[#This Row],[Term to Maturity (Years)]]*Table1[[#This Row],[Coupon Frequency2]]</f>
        <v>#N/A</v>
      </c>
      <c r="V801">
        <f>Table1[[#This Row],[Face value]]*Table1[[#This Row],[Current coupon %]]</f>
        <v>0</v>
      </c>
      <c r="W801" s="36" t="e">
        <f>RATE(Table1[[#This Row],[Total No. of Coupons]],Table1[[#This Row],[Coupon Amount]],-Table1[[#This Row],[Ask Price]],Table1[[#This Row],[Face value]])</f>
        <v>#N/A</v>
      </c>
      <c r="X801" s="27" t="e">
        <f>Table1[[#This Row],[IRR]]*Table1[[#This Row],[Coupon Frequency2]]</f>
        <v>#N/A</v>
      </c>
      <c r="Y801" s="19" t="e" cm="1">
        <f t="array" ref="Y8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1" s="33" t="e">
        <f>DURATION(Table1[[#This Row],[Issue date]],Table1[[#This Row],[Maturity date]],Table1[[#This Row],[Current coupon %]],Table1[[#This Row],[Yield (Annualised)]],Table1[[#This Row],[Coupon Frequency2]])</f>
        <v>#N/A</v>
      </c>
      <c r="AA801" s="33" t="e">
        <f>Table1[[#This Row],[Macaulay Duration in Years]]/(1+Table1[[#This Row],[IRR]])</f>
        <v>#N/A</v>
      </c>
      <c r="AB801" s="58" t="e">
        <f>VLOOKUP(Table1[[#This Row],[Yield Cluster]],'Cluster Details'!$B$3:$C$16,2,0)</f>
        <v>#N/A</v>
      </c>
      <c r="AC8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1" s="58" t="e">
        <f>IF(Table1[[#This Row],[Ask Price]]&gt;Table1[[#This Row],[Calculated Bond Price]],"Rich","Cheap")</f>
        <v>#N/A</v>
      </c>
      <c r="AE8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1" s="78" t="e">
        <f>(Table1[[#This Row],[P (+ shock)]]+Table1[[#This Row],[P (-shock)]]-2*Table1[[#This Row],[Ask Price]])/(2*Table1[[#This Row],[Ask Price]]*($AF$2^2))</f>
        <v>#N/A</v>
      </c>
      <c r="AH801">
        <v>9.56497953162601</v>
      </c>
      <c r="AI801" s="6" t="e">
        <f t="shared" si="49"/>
        <v>#DIV/0!</v>
      </c>
      <c r="AK801" s="47" t="e">
        <f>RATE(Table1[[#This Row],[Total No. of Coupons]],Table1[[#This Row],[Coupon Amount]],-Table1[[#This Row],[Ask Price]],Table1[[#This Row],[Face value]])</f>
        <v>#N/A</v>
      </c>
      <c r="AL801" s="27" t="e">
        <f>Table1[[#This Row],[IRR]]*Table1[[#This Row],[Coupon Frequency2]]</f>
        <v>#N/A</v>
      </c>
      <c r="AM801" s="5" t="e">
        <f t="shared" si="50"/>
        <v>#N/A</v>
      </c>
      <c r="AN801" t="s">
        <v>64</v>
      </c>
      <c r="AO801" t="s">
        <v>62</v>
      </c>
      <c r="AP801" t="str">
        <f t="shared" si="51"/>
        <v/>
      </c>
    </row>
    <row r="802" spans="4:42" x14ac:dyDescent="0.35">
      <c r="D802" s="21"/>
      <c r="E802" s="21"/>
      <c r="L802" s="22"/>
      <c r="S802">
        <f t="shared" si="48"/>
        <v>0</v>
      </c>
      <c r="T802" s="5" t="e" cm="1">
        <f t="array" ref="T8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2" t="e">
        <f>Table1[[#This Row],[Term to Maturity (Years)]]*Table1[[#This Row],[Coupon Frequency2]]</f>
        <v>#N/A</v>
      </c>
      <c r="V802">
        <f>Table1[[#This Row],[Face value]]*Table1[[#This Row],[Current coupon %]]</f>
        <v>0</v>
      </c>
      <c r="W802" s="36" t="e">
        <f>RATE(Table1[[#This Row],[Total No. of Coupons]],Table1[[#This Row],[Coupon Amount]],-Table1[[#This Row],[Ask Price]],Table1[[#This Row],[Face value]])</f>
        <v>#N/A</v>
      </c>
      <c r="X802" s="27" t="e">
        <f>Table1[[#This Row],[IRR]]*Table1[[#This Row],[Coupon Frequency2]]</f>
        <v>#N/A</v>
      </c>
      <c r="Y802" s="19" t="e" cm="1">
        <f t="array" ref="Y8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2" s="33" t="e">
        <f>DURATION(Table1[[#This Row],[Issue date]],Table1[[#This Row],[Maturity date]],Table1[[#This Row],[Current coupon %]],Table1[[#This Row],[Yield (Annualised)]],Table1[[#This Row],[Coupon Frequency2]])</f>
        <v>#N/A</v>
      </c>
      <c r="AA802" s="33" t="e">
        <f>Table1[[#This Row],[Macaulay Duration in Years]]/(1+Table1[[#This Row],[IRR]])</f>
        <v>#N/A</v>
      </c>
      <c r="AB802" s="58" t="e">
        <f>VLOOKUP(Table1[[#This Row],[Yield Cluster]],'Cluster Details'!$B$3:$C$16,2,0)</f>
        <v>#N/A</v>
      </c>
      <c r="AC8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2" s="58" t="e">
        <f>IF(Table1[[#This Row],[Ask Price]]&gt;Table1[[#This Row],[Calculated Bond Price]],"Rich","Cheap")</f>
        <v>#N/A</v>
      </c>
      <c r="AE8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2" s="78" t="e">
        <f>(Table1[[#This Row],[P (+ shock)]]+Table1[[#This Row],[P (-shock)]]-2*Table1[[#This Row],[Ask Price]])/(2*Table1[[#This Row],[Ask Price]]*($AF$2^2))</f>
        <v>#N/A</v>
      </c>
      <c r="AH802">
        <v>11.420537575026099</v>
      </c>
      <c r="AI802" s="6" t="e">
        <f t="shared" si="49"/>
        <v>#DIV/0!</v>
      </c>
      <c r="AK802" s="47" t="e">
        <f>RATE(Table1[[#This Row],[Total No. of Coupons]],Table1[[#This Row],[Coupon Amount]],-Table1[[#This Row],[Ask Price]],Table1[[#This Row],[Face value]])</f>
        <v>#N/A</v>
      </c>
      <c r="AL802" s="27" t="e">
        <f>Table1[[#This Row],[IRR]]*Table1[[#This Row],[Coupon Frequency2]]</f>
        <v>#N/A</v>
      </c>
      <c r="AM802" s="5" t="e">
        <f t="shared" si="50"/>
        <v>#N/A</v>
      </c>
      <c r="AN802" t="s">
        <v>64</v>
      </c>
      <c r="AO802" t="s">
        <v>62</v>
      </c>
      <c r="AP802" t="str">
        <f t="shared" si="51"/>
        <v/>
      </c>
    </row>
    <row r="803" spans="4:42" x14ac:dyDescent="0.35">
      <c r="D803" s="21"/>
      <c r="E803" s="21"/>
      <c r="L803" s="22"/>
      <c r="S803">
        <f t="shared" si="48"/>
        <v>0</v>
      </c>
      <c r="T803" s="5" t="e" cm="1">
        <f t="array" ref="T8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3" t="e">
        <f>Table1[[#This Row],[Term to Maturity (Years)]]*Table1[[#This Row],[Coupon Frequency2]]</f>
        <v>#N/A</v>
      </c>
      <c r="V803">
        <f>Table1[[#This Row],[Face value]]*Table1[[#This Row],[Current coupon %]]</f>
        <v>0</v>
      </c>
      <c r="W803" s="36" t="e">
        <f>RATE(Table1[[#This Row],[Total No. of Coupons]],Table1[[#This Row],[Coupon Amount]],-Table1[[#This Row],[Ask Price]],Table1[[#This Row],[Face value]])</f>
        <v>#N/A</v>
      </c>
      <c r="X803" s="27" t="e">
        <f>Table1[[#This Row],[IRR]]*Table1[[#This Row],[Coupon Frequency2]]</f>
        <v>#N/A</v>
      </c>
      <c r="Y803" s="19" t="e" cm="1">
        <f t="array" ref="Y8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3" s="33" t="e">
        <f>DURATION(Table1[[#This Row],[Issue date]],Table1[[#This Row],[Maturity date]],Table1[[#This Row],[Current coupon %]],Table1[[#This Row],[Yield (Annualised)]],Table1[[#This Row],[Coupon Frequency2]])</f>
        <v>#N/A</v>
      </c>
      <c r="AA803" s="33" t="e">
        <f>Table1[[#This Row],[Macaulay Duration in Years]]/(1+Table1[[#This Row],[IRR]])</f>
        <v>#N/A</v>
      </c>
      <c r="AB803" s="58" t="e">
        <f>VLOOKUP(Table1[[#This Row],[Yield Cluster]],'Cluster Details'!$B$3:$C$16,2,0)</f>
        <v>#N/A</v>
      </c>
      <c r="AC8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3" s="58" t="e">
        <f>IF(Table1[[#This Row],[Ask Price]]&gt;Table1[[#This Row],[Calculated Bond Price]],"Rich","Cheap")</f>
        <v>#N/A</v>
      </c>
      <c r="AE8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3" s="78" t="e">
        <f>(Table1[[#This Row],[P (+ shock)]]+Table1[[#This Row],[P (-shock)]]-2*Table1[[#This Row],[Ask Price]])/(2*Table1[[#This Row],[Ask Price]]*($AF$2^2))</f>
        <v>#N/A</v>
      </c>
      <c r="AH803">
        <v>4.2627018676561299</v>
      </c>
      <c r="AI803" s="6" t="e">
        <f t="shared" si="49"/>
        <v>#DIV/0!</v>
      </c>
      <c r="AK803" s="47" t="e">
        <f>RATE(Table1[[#This Row],[Total No. of Coupons]],Table1[[#This Row],[Coupon Amount]],-Table1[[#This Row],[Ask Price]],Table1[[#This Row],[Face value]])</f>
        <v>#N/A</v>
      </c>
      <c r="AL803" s="27" t="e">
        <f>Table1[[#This Row],[IRR]]*Table1[[#This Row],[Coupon Frequency2]]</f>
        <v>#N/A</v>
      </c>
      <c r="AM803" s="5" t="e">
        <f t="shared" si="50"/>
        <v>#N/A</v>
      </c>
      <c r="AN803" t="s">
        <v>64</v>
      </c>
      <c r="AO803" t="s">
        <v>62</v>
      </c>
      <c r="AP803" t="str">
        <f t="shared" si="51"/>
        <v/>
      </c>
    </row>
    <row r="804" spans="4:42" x14ac:dyDescent="0.35">
      <c r="D804" s="21"/>
      <c r="E804" s="21"/>
      <c r="L804" s="22"/>
      <c r="S804">
        <f t="shared" si="48"/>
        <v>0</v>
      </c>
      <c r="T804" s="5" t="e" cm="1">
        <f t="array" ref="T8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4" t="e">
        <f>Table1[[#This Row],[Term to Maturity (Years)]]*Table1[[#This Row],[Coupon Frequency2]]</f>
        <v>#N/A</v>
      </c>
      <c r="V804">
        <f>Table1[[#This Row],[Face value]]*Table1[[#This Row],[Current coupon %]]</f>
        <v>0</v>
      </c>
      <c r="W804" s="36" t="e">
        <f>RATE(Table1[[#This Row],[Total No. of Coupons]],Table1[[#This Row],[Coupon Amount]],-Table1[[#This Row],[Ask Price]],Table1[[#This Row],[Face value]])</f>
        <v>#N/A</v>
      </c>
      <c r="X804" s="27" t="e">
        <f>Table1[[#This Row],[IRR]]*Table1[[#This Row],[Coupon Frequency2]]</f>
        <v>#N/A</v>
      </c>
      <c r="Y804" s="19" t="e" cm="1">
        <f t="array" ref="Y8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4" s="33" t="e">
        <f>DURATION(Table1[[#This Row],[Issue date]],Table1[[#This Row],[Maturity date]],Table1[[#This Row],[Current coupon %]],Table1[[#This Row],[Yield (Annualised)]],Table1[[#This Row],[Coupon Frequency2]])</f>
        <v>#N/A</v>
      </c>
      <c r="AA804" s="33" t="e">
        <f>Table1[[#This Row],[Macaulay Duration in Years]]/(1+Table1[[#This Row],[IRR]])</f>
        <v>#N/A</v>
      </c>
      <c r="AB804" s="58" t="e">
        <f>VLOOKUP(Table1[[#This Row],[Yield Cluster]],'Cluster Details'!$B$3:$C$16,2,0)</f>
        <v>#N/A</v>
      </c>
      <c r="AC8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4" s="58" t="e">
        <f>IF(Table1[[#This Row],[Ask Price]]&gt;Table1[[#This Row],[Calculated Bond Price]],"Rich","Cheap")</f>
        <v>#N/A</v>
      </c>
      <c r="AE8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4" s="78" t="e">
        <f>(Table1[[#This Row],[P (+ shock)]]+Table1[[#This Row],[P (-shock)]]-2*Table1[[#This Row],[Ask Price]])/(2*Table1[[#This Row],[Ask Price]]*($AF$2^2))</f>
        <v>#N/A</v>
      </c>
      <c r="AH804">
        <v>10.5021826858581</v>
      </c>
      <c r="AI804" s="6" t="e">
        <f t="shared" si="49"/>
        <v>#DIV/0!</v>
      </c>
      <c r="AK804" s="47" t="e">
        <f>RATE(Table1[[#This Row],[Total No. of Coupons]],Table1[[#This Row],[Coupon Amount]],-Table1[[#This Row],[Ask Price]],Table1[[#This Row],[Face value]])</f>
        <v>#N/A</v>
      </c>
      <c r="AL804" s="27" t="e">
        <f>Table1[[#This Row],[IRR]]*Table1[[#This Row],[Coupon Frequency2]]</f>
        <v>#N/A</v>
      </c>
      <c r="AM804" s="5" t="e">
        <f t="shared" si="50"/>
        <v>#N/A</v>
      </c>
      <c r="AN804" t="s">
        <v>64</v>
      </c>
      <c r="AO804" t="s">
        <v>62</v>
      </c>
      <c r="AP804" t="str">
        <f t="shared" si="51"/>
        <v/>
      </c>
    </row>
    <row r="805" spans="4:42" x14ac:dyDescent="0.35">
      <c r="D805" s="21"/>
      <c r="E805" s="21"/>
      <c r="L805" s="22"/>
      <c r="S805">
        <f t="shared" si="48"/>
        <v>0</v>
      </c>
      <c r="T805" s="5" t="e" cm="1">
        <f t="array" ref="T8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5" t="e">
        <f>Table1[[#This Row],[Term to Maturity (Years)]]*Table1[[#This Row],[Coupon Frequency2]]</f>
        <v>#N/A</v>
      </c>
      <c r="V805">
        <f>Table1[[#This Row],[Face value]]*Table1[[#This Row],[Current coupon %]]</f>
        <v>0</v>
      </c>
      <c r="W805" s="36" t="e">
        <f>RATE(Table1[[#This Row],[Total No. of Coupons]],Table1[[#This Row],[Coupon Amount]],-Table1[[#This Row],[Ask Price]],Table1[[#This Row],[Face value]])</f>
        <v>#N/A</v>
      </c>
      <c r="X805" s="27" t="e">
        <f>Table1[[#This Row],[IRR]]*Table1[[#This Row],[Coupon Frequency2]]</f>
        <v>#N/A</v>
      </c>
      <c r="Y805" s="19" t="e" cm="1">
        <f t="array" ref="Y8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5" s="33" t="e">
        <f>DURATION(Table1[[#This Row],[Issue date]],Table1[[#This Row],[Maturity date]],Table1[[#This Row],[Current coupon %]],Table1[[#This Row],[Yield (Annualised)]],Table1[[#This Row],[Coupon Frequency2]])</f>
        <v>#N/A</v>
      </c>
      <c r="AA805" s="33" t="e">
        <f>Table1[[#This Row],[Macaulay Duration in Years]]/(1+Table1[[#This Row],[IRR]])</f>
        <v>#N/A</v>
      </c>
      <c r="AB805" s="58" t="e">
        <f>VLOOKUP(Table1[[#This Row],[Yield Cluster]],'Cluster Details'!$B$3:$C$16,2,0)</f>
        <v>#N/A</v>
      </c>
      <c r="AC8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5" s="58" t="e">
        <f>IF(Table1[[#This Row],[Ask Price]]&gt;Table1[[#This Row],[Calculated Bond Price]],"Rich","Cheap")</f>
        <v>#N/A</v>
      </c>
      <c r="AE8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5" s="78" t="e">
        <f>(Table1[[#This Row],[P (+ shock)]]+Table1[[#This Row],[P (-shock)]]-2*Table1[[#This Row],[Ask Price]])/(2*Table1[[#This Row],[Ask Price]]*($AF$2^2))</f>
        <v>#N/A</v>
      </c>
      <c r="AH805">
        <v>8.32558159565213</v>
      </c>
      <c r="AI805" s="6" t="e">
        <f t="shared" si="49"/>
        <v>#DIV/0!</v>
      </c>
      <c r="AK805" s="47" t="e">
        <f>RATE(Table1[[#This Row],[Total No. of Coupons]],Table1[[#This Row],[Coupon Amount]],-Table1[[#This Row],[Ask Price]],Table1[[#This Row],[Face value]])</f>
        <v>#N/A</v>
      </c>
      <c r="AL805" s="27" t="e">
        <f>Table1[[#This Row],[IRR]]*Table1[[#This Row],[Coupon Frequency2]]</f>
        <v>#N/A</v>
      </c>
      <c r="AM805" s="5" t="e">
        <f t="shared" si="50"/>
        <v>#N/A</v>
      </c>
      <c r="AN805" t="s">
        <v>64</v>
      </c>
      <c r="AO805" t="s">
        <v>62</v>
      </c>
      <c r="AP805" t="str">
        <f t="shared" si="51"/>
        <v/>
      </c>
    </row>
    <row r="806" spans="4:42" x14ac:dyDescent="0.35">
      <c r="D806" s="21"/>
      <c r="E806" s="21"/>
      <c r="L806" s="22"/>
      <c r="S806">
        <f t="shared" si="48"/>
        <v>0</v>
      </c>
      <c r="T806" s="5" t="e" cm="1">
        <f t="array" ref="T8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6" t="e">
        <f>Table1[[#This Row],[Term to Maturity (Years)]]*Table1[[#This Row],[Coupon Frequency2]]</f>
        <v>#N/A</v>
      </c>
      <c r="V806">
        <f>Table1[[#This Row],[Face value]]*Table1[[#This Row],[Current coupon %]]</f>
        <v>0</v>
      </c>
      <c r="W806" s="36" t="e">
        <f>RATE(Table1[[#This Row],[Total No. of Coupons]],Table1[[#This Row],[Coupon Amount]],-Table1[[#This Row],[Ask Price]],Table1[[#This Row],[Face value]])</f>
        <v>#N/A</v>
      </c>
      <c r="X806" s="27" t="e">
        <f>Table1[[#This Row],[IRR]]*Table1[[#This Row],[Coupon Frequency2]]</f>
        <v>#N/A</v>
      </c>
      <c r="Y806" s="19" t="e" cm="1">
        <f t="array" ref="Y8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6" s="33" t="e">
        <f>DURATION(Table1[[#This Row],[Issue date]],Table1[[#This Row],[Maturity date]],Table1[[#This Row],[Current coupon %]],Table1[[#This Row],[Yield (Annualised)]],Table1[[#This Row],[Coupon Frequency2]])</f>
        <v>#N/A</v>
      </c>
      <c r="AA806" s="33" t="e">
        <f>Table1[[#This Row],[Macaulay Duration in Years]]/(1+Table1[[#This Row],[IRR]])</f>
        <v>#N/A</v>
      </c>
      <c r="AB806" s="58" t="e">
        <f>VLOOKUP(Table1[[#This Row],[Yield Cluster]],'Cluster Details'!$B$3:$C$16,2,0)</f>
        <v>#N/A</v>
      </c>
      <c r="AC8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6" s="58" t="e">
        <f>IF(Table1[[#This Row],[Ask Price]]&gt;Table1[[#This Row],[Calculated Bond Price]],"Rich","Cheap")</f>
        <v>#N/A</v>
      </c>
      <c r="AE8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6" s="78" t="e">
        <f>(Table1[[#This Row],[P (+ shock)]]+Table1[[#This Row],[P (-shock)]]-2*Table1[[#This Row],[Ask Price]])/(2*Table1[[#This Row],[Ask Price]]*($AF$2^2))</f>
        <v>#N/A</v>
      </c>
      <c r="AH806">
        <v>10.148568280700101</v>
      </c>
      <c r="AI806" s="6" t="e">
        <f t="shared" si="49"/>
        <v>#DIV/0!</v>
      </c>
      <c r="AK806" s="47" t="e">
        <f>RATE(Table1[[#This Row],[Total No. of Coupons]],Table1[[#This Row],[Coupon Amount]],-Table1[[#This Row],[Ask Price]],Table1[[#This Row],[Face value]])</f>
        <v>#N/A</v>
      </c>
      <c r="AL806" s="27" t="e">
        <f>Table1[[#This Row],[IRR]]*Table1[[#This Row],[Coupon Frequency2]]</f>
        <v>#N/A</v>
      </c>
      <c r="AM806" s="5" t="e">
        <f t="shared" si="50"/>
        <v>#N/A</v>
      </c>
      <c r="AN806" t="s">
        <v>64</v>
      </c>
      <c r="AO806" t="s">
        <v>62</v>
      </c>
      <c r="AP806" t="str">
        <f t="shared" si="51"/>
        <v/>
      </c>
    </row>
    <row r="807" spans="4:42" x14ac:dyDescent="0.35">
      <c r="D807" s="21"/>
      <c r="E807" s="21"/>
      <c r="L807" s="22"/>
      <c r="S807">
        <f t="shared" si="48"/>
        <v>0</v>
      </c>
      <c r="T807" s="5" t="e" cm="1">
        <f t="array" ref="T8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7" t="e">
        <f>Table1[[#This Row],[Term to Maturity (Years)]]*Table1[[#This Row],[Coupon Frequency2]]</f>
        <v>#N/A</v>
      </c>
      <c r="V807">
        <f>Table1[[#This Row],[Face value]]*Table1[[#This Row],[Current coupon %]]</f>
        <v>0</v>
      </c>
      <c r="W807" s="36" t="e">
        <f>RATE(Table1[[#This Row],[Total No. of Coupons]],Table1[[#This Row],[Coupon Amount]],-Table1[[#This Row],[Ask Price]],Table1[[#This Row],[Face value]])</f>
        <v>#N/A</v>
      </c>
      <c r="X807" s="27" t="e">
        <f>Table1[[#This Row],[IRR]]*Table1[[#This Row],[Coupon Frequency2]]</f>
        <v>#N/A</v>
      </c>
      <c r="Y807" s="19" t="e" cm="1">
        <f t="array" ref="Y8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7" s="33" t="e">
        <f>DURATION(Table1[[#This Row],[Issue date]],Table1[[#This Row],[Maturity date]],Table1[[#This Row],[Current coupon %]],Table1[[#This Row],[Yield (Annualised)]],Table1[[#This Row],[Coupon Frequency2]])</f>
        <v>#N/A</v>
      </c>
      <c r="AA807" s="33" t="e">
        <f>Table1[[#This Row],[Macaulay Duration in Years]]/(1+Table1[[#This Row],[IRR]])</f>
        <v>#N/A</v>
      </c>
      <c r="AB807" s="58" t="e">
        <f>VLOOKUP(Table1[[#This Row],[Yield Cluster]],'Cluster Details'!$B$3:$C$16,2,0)</f>
        <v>#N/A</v>
      </c>
      <c r="AC8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7" s="58" t="e">
        <f>IF(Table1[[#This Row],[Ask Price]]&gt;Table1[[#This Row],[Calculated Bond Price]],"Rich","Cheap")</f>
        <v>#N/A</v>
      </c>
      <c r="AE8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7" s="78" t="e">
        <f>(Table1[[#This Row],[P (+ shock)]]+Table1[[#This Row],[P (-shock)]]-2*Table1[[#This Row],[Ask Price]])/(2*Table1[[#This Row],[Ask Price]]*($AF$2^2))</f>
        <v>#N/A</v>
      </c>
      <c r="AH807">
        <v>10.371489673885099</v>
      </c>
      <c r="AI807" s="6" t="e">
        <f t="shared" si="49"/>
        <v>#DIV/0!</v>
      </c>
      <c r="AK807" s="47" t="e">
        <f>RATE(Table1[[#This Row],[Total No. of Coupons]],Table1[[#This Row],[Coupon Amount]],-Table1[[#This Row],[Ask Price]],Table1[[#This Row],[Face value]])</f>
        <v>#N/A</v>
      </c>
      <c r="AL807" s="27" t="e">
        <f>Table1[[#This Row],[IRR]]*Table1[[#This Row],[Coupon Frequency2]]</f>
        <v>#N/A</v>
      </c>
      <c r="AM807" s="5" t="e">
        <f t="shared" si="50"/>
        <v>#N/A</v>
      </c>
      <c r="AN807" t="s">
        <v>64</v>
      </c>
      <c r="AO807" t="s">
        <v>62</v>
      </c>
      <c r="AP807" t="str">
        <f t="shared" si="51"/>
        <v/>
      </c>
    </row>
    <row r="808" spans="4:42" x14ac:dyDescent="0.35">
      <c r="D808" s="21"/>
      <c r="E808" s="21"/>
      <c r="L808" s="22"/>
      <c r="S808">
        <f t="shared" si="48"/>
        <v>0</v>
      </c>
      <c r="T808" s="5" t="e" cm="1">
        <f t="array" ref="T8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8" t="e">
        <f>Table1[[#This Row],[Term to Maturity (Years)]]*Table1[[#This Row],[Coupon Frequency2]]</f>
        <v>#N/A</v>
      </c>
      <c r="V808">
        <f>Table1[[#This Row],[Face value]]*Table1[[#This Row],[Current coupon %]]</f>
        <v>0</v>
      </c>
      <c r="W808" s="36" t="e">
        <f>RATE(Table1[[#This Row],[Total No. of Coupons]],Table1[[#This Row],[Coupon Amount]],-Table1[[#This Row],[Ask Price]],Table1[[#This Row],[Face value]])</f>
        <v>#N/A</v>
      </c>
      <c r="X808" s="27" t="e">
        <f>Table1[[#This Row],[IRR]]*Table1[[#This Row],[Coupon Frequency2]]</f>
        <v>#N/A</v>
      </c>
      <c r="Y808" s="19" t="e" cm="1">
        <f t="array" ref="Y8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8" s="33" t="e">
        <f>DURATION(Table1[[#This Row],[Issue date]],Table1[[#This Row],[Maturity date]],Table1[[#This Row],[Current coupon %]],Table1[[#This Row],[Yield (Annualised)]],Table1[[#This Row],[Coupon Frequency2]])</f>
        <v>#N/A</v>
      </c>
      <c r="AA808" s="33" t="e">
        <f>Table1[[#This Row],[Macaulay Duration in Years]]/(1+Table1[[#This Row],[IRR]])</f>
        <v>#N/A</v>
      </c>
      <c r="AB808" s="58" t="e">
        <f>VLOOKUP(Table1[[#This Row],[Yield Cluster]],'Cluster Details'!$B$3:$C$16,2,0)</f>
        <v>#N/A</v>
      </c>
      <c r="AC8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8" s="58" t="e">
        <f>IF(Table1[[#This Row],[Ask Price]]&gt;Table1[[#This Row],[Calculated Bond Price]],"Rich","Cheap")</f>
        <v>#N/A</v>
      </c>
      <c r="AE8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8" s="78" t="e">
        <f>(Table1[[#This Row],[P (+ shock)]]+Table1[[#This Row],[P (-shock)]]-2*Table1[[#This Row],[Ask Price]])/(2*Table1[[#This Row],[Ask Price]]*($AF$2^2))</f>
        <v>#N/A</v>
      </c>
      <c r="AI808" s="6" t="e">
        <f t="shared" si="49"/>
        <v>#DIV/0!</v>
      </c>
      <c r="AK808" s="47" t="e">
        <f>RATE(Table1[[#This Row],[Total No. of Coupons]],Table1[[#This Row],[Coupon Amount]],-Table1[[#This Row],[Ask Price]],Table1[[#This Row],[Face value]])</f>
        <v>#N/A</v>
      </c>
      <c r="AL808" s="27" t="e">
        <f>Table1[[#This Row],[IRR]]*Table1[[#This Row],[Coupon Frequency2]]</f>
        <v>#N/A</v>
      </c>
      <c r="AM808" s="5" t="e">
        <f t="shared" si="50"/>
        <v>#N/A</v>
      </c>
      <c r="AN808" t="s">
        <v>64</v>
      </c>
      <c r="AO808" t="s">
        <v>62</v>
      </c>
      <c r="AP808" t="str">
        <f t="shared" si="51"/>
        <v/>
      </c>
    </row>
    <row r="809" spans="4:42" x14ac:dyDescent="0.35">
      <c r="D809" s="21"/>
      <c r="E809" s="21"/>
      <c r="L809" s="22"/>
      <c r="S809">
        <f t="shared" si="48"/>
        <v>0</v>
      </c>
      <c r="T809" s="5" t="e" cm="1">
        <f t="array" ref="T8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09" t="e">
        <f>Table1[[#This Row],[Term to Maturity (Years)]]*Table1[[#This Row],[Coupon Frequency2]]</f>
        <v>#N/A</v>
      </c>
      <c r="V809">
        <f>Table1[[#This Row],[Face value]]*Table1[[#This Row],[Current coupon %]]</f>
        <v>0</v>
      </c>
      <c r="W809" s="36" t="e">
        <f>RATE(Table1[[#This Row],[Total No. of Coupons]],Table1[[#This Row],[Coupon Amount]],-Table1[[#This Row],[Ask Price]],Table1[[#This Row],[Face value]])</f>
        <v>#N/A</v>
      </c>
      <c r="X809" s="27" t="e">
        <f>Table1[[#This Row],[IRR]]*Table1[[#This Row],[Coupon Frequency2]]</f>
        <v>#N/A</v>
      </c>
      <c r="Y809" s="19" t="e" cm="1">
        <f t="array" ref="Y8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09" s="33" t="e">
        <f>DURATION(Table1[[#This Row],[Issue date]],Table1[[#This Row],[Maturity date]],Table1[[#This Row],[Current coupon %]],Table1[[#This Row],[Yield (Annualised)]],Table1[[#This Row],[Coupon Frequency2]])</f>
        <v>#N/A</v>
      </c>
      <c r="AA809" s="33" t="e">
        <f>Table1[[#This Row],[Macaulay Duration in Years]]/(1+Table1[[#This Row],[IRR]])</f>
        <v>#N/A</v>
      </c>
      <c r="AB809" s="58" t="e">
        <f>VLOOKUP(Table1[[#This Row],[Yield Cluster]],'Cluster Details'!$B$3:$C$16,2,0)</f>
        <v>#N/A</v>
      </c>
      <c r="AC8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09" s="58" t="e">
        <f>IF(Table1[[#This Row],[Ask Price]]&gt;Table1[[#This Row],[Calculated Bond Price]],"Rich","Cheap")</f>
        <v>#N/A</v>
      </c>
      <c r="AE8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09" s="78" t="e">
        <f>(Table1[[#This Row],[P (+ shock)]]+Table1[[#This Row],[P (-shock)]]-2*Table1[[#This Row],[Ask Price]])/(2*Table1[[#This Row],[Ask Price]]*($AF$2^2))</f>
        <v>#N/A</v>
      </c>
      <c r="AH809">
        <v>9.55730671513383</v>
      </c>
      <c r="AI809" s="6" t="e">
        <f t="shared" si="49"/>
        <v>#DIV/0!</v>
      </c>
      <c r="AK809" s="47" t="e">
        <f>RATE(Table1[[#This Row],[Total No. of Coupons]],Table1[[#This Row],[Coupon Amount]],-Table1[[#This Row],[Ask Price]],Table1[[#This Row],[Face value]])</f>
        <v>#N/A</v>
      </c>
      <c r="AL809" s="27" t="e">
        <f>Table1[[#This Row],[IRR]]*Table1[[#This Row],[Coupon Frequency2]]</f>
        <v>#N/A</v>
      </c>
      <c r="AM809" s="5" t="e">
        <f t="shared" si="50"/>
        <v>#N/A</v>
      </c>
      <c r="AN809" t="s">
        <v>64</v>
      </c>
      <c r="AO809" t="s">
        <v>62</v>
      </c>
      <c r="AP809" t="str">
        <f t="shared" si="51"/>
        <v/>
      </c>
    </row>
    <row r="810" spans="4:42" x14ac:dyDescent="0.35">
      <c r="D810" s="21"/>
      <c r="E810" s="21"/>
      <c r="L810" s="22"/>
      <c r="S810">
        <f t="shared" si="48"/>
        <v>0</v>
      </c>
      <c r="T810" s="5" t="e" cm="1">
        <f t="array" ref="T8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0" t="e">
        <f>Table1[[#This Row],[Term to Maturity (Years)]]*Table1[[#This Row],[Coupon Frequency2]]</f>
        <v>#N/A</v>
      </c>
      <c r="V810">
        <f>Table1[[#This Row],[Face value]]*Table1[[#This Row],[Current coupon %]]</f>
        <v>0</v>
      </c>
      <c r="W810" s="36" t="e">
        <f>RATE(Table1[[#This Row],[Total No. of Coupons]],Table1[[#This Row],[Coupon Amount]],-Table1[[#This Row],[Ask Price]],Table1[[#This Row],[Face value]])</f>
        <v>#N/A</v>
      </c>
      <c r="X810" s="27" t="e">
        <f>Table1[[#This Row],[IRR]]*Table1[[#This Row],[Coupon Frequency2]]</f>
        <v>#N/A</v>
      </c>
      <c r="Y810" s="19" t="e" cm="1">
        <f t="array" ref="Y8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0" s="33" t="e">
        <f>DURATION(Table1[[#This Row],[Issue date]],Table1[[#This Row],[Maturity date]],Table1[[#This Row],[Current coupon %]],Table1[[#This Row],[Yield (Annualised)]],Table1[[#This Row],[Coupon Frequency2]])</f>
        <v>#N/A</v>
      </c>
      <c r="AA810" s="33" t="e">
        <f>Table1[[#This Row],[Macaulay Duration in Years]]/(1+Table1[[#This Row],[IRR]])</f>
        <v>#N/A</v>
      </c>
      <c r="AB810" s="58" t="e">
        <f>VLOOKUP(Table1[[#This Row],[Yield Cluster]],'Cluster Details'!$B$3:$C$16,2,0)</f>
        <v>#N/A</v>
      </c>
      <c r="AC8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0" s="58" t="e">
        <f>IF(Table1[[#This Row],[Ask Price]]&gt;Table1[[#This Row],[Calculated Bond Price]],"Rich","Cheap")</f>
        <v>#N/A</v>
      </c>
      <c r="AE8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0" s="78" t="e">
        <f>(Table1[[#This Row],[P (+ shock)]]+Table1[[#This Row],[P (-shock)]]-2*Table1[[#This Row],[Ask Price]])/(2*Table1[[#This Row],[Ask Price]]*($AF$2^2))</f>
        <v>#N/A</v>
      </c>
      <c r="AH810">
        <v>12</v>
      </c>
      <c r="AI810" s="6" t="e">
        <f t="shared" si="49"/>
        <v>#DIV/0!</v>
      </c>
      <c r="AK810" s="47" t="e">
        <f>RATE(Table1[[#This Row],[Total No. of Coupons]],Table1[[#This Row],[Coupon Amount]],-Table1[[#This Row],[Ask Price]],Table1[[#This Row],[Face value]])</f>
        <v>#N/A</v>
      </c>
      <c r="AL810" s="27" t="e">
        <f>Table1[[#This Row],[IRR]]*Table1[[#This Row],[Coupon Frequency2]]</f>
        <v>#N/A</v>
      </c>
      <c r="AM810" s="5" t="e">
        <f t="shared" si="50"/>
        <v>#N/A</v>
      </c>
      <c r="AN810" t="s">
        <v>64</v>
      </c>
      <c r="AO810" t="s">
        <v>62</v>
      </c>
      <c r="AP810" t="str">
        <f t="shared" si="51"/>
        <v/>
      </c>
    </row>
    <row r="811" spans="4:42" x14ac:dyDescent="0.35">
      <c r="D811" s="21"/>
      <c r="E811" s="21"/>
      <c r="L811" s="22"/>
      <c r="S811">
        <f t="shared" si="48"/>
        <v>0</v>
      </c>
      <c r="T811" s="5" t="e" cm="1">
        <f t="array" ref="T8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1" t="e">
        <f>Table1[[#This Row],[Term to Maturity (Years)]]*Table1[[#This Row],[Coupon Frequency2]]</f>
        <v>#N/A</v>
      </c>
      <c r="V811">
        <f>Table1[[#This Row],[Face value]]*Table1[[#This Row],[Current coupon %]]</f>
        <v>0</v>
      </c>
      <c r="W811" s="36" t="e">
        <f>RATE(Table1[[#This Row],[Total No. of Coupons]],Table1[[#This Row],[Coupon Amount]],-Table1[[#This Row],[Ask Price]],Table1[[#This Row],[Face value]])</f>
        <v>#N/A</v>
      </c>
      <c r="X811" s="27" t="e">
        <f>Table1[[#This Row],[IRR]]*Table1[[#This Row],[Coupon Frequency2]]</f>
        <v>#N/A</v>
      </c>
      <c r="Y811" s="19" t="e" cm="1">
        <f t="array" ref="Y8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1" s="33" t="e">
        <f>DURATION(Table1[[#This Row],[Issue date]],Table1[[#This Row],[Maturity date]],Table1[[#This Row],[Current coupon %]],Table1[[#This Row],[Yield (Annualised)]],Table1[[#This Row],[Coupon Frequency2]])</f>
        <v>#N/A</v>
      </c>
      <c r="AA811" s="33" t="e">
        <f>Table1[[#This Row],[Macaulay Duration in Years]]/(1+Table1[[#This Row],[IRR]])</f>
        <v>#N/A</v>
      </c>
      <c r="AB811" s="58" t="e">
        <f>VLOOKUP(Table1[[#This Row],[Yield Cluster]],'Cluster Details'!$B$3:$C$16,2,0)</f>
        <v>#N/A</v>
      </c>
      <c r="AC8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1" s="58" t="e">
        <f>IF(Table1[[#This Row],[Ask Price]]&gt;Table1[[#This Row],[Calculated Bond Price]],"Rich","Cheap")</f>
        <v>#N/A</v>
      </c>
      <c r="AE8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1" s="78" t="e">
        <f>(Table1[[#This Row],[P (+ shock)]]+Table1[[#This Row],[P (-shock)]]-2*Table1[[#This Row],[Ask Price]])/(2*Table1[[#This Row],[Ask Price]]*($AF$2^2))</f>
        <v>#N/A</v>
      </c>
      <c r="AI811" s="6" t="e">
        <f t="shared" si="49"/>
        <v>#DIV/0!</v>
      </c>
      <c r="AK811" s="47" t="e">
        <f>RATE(Table1[[#This Row],[Total No. of Coupons]],Table1[[#This Row],[Coupon Amount]],-Table1[[#This Row],[Ask Price]],Table1[[#This Row],[Face value]])</f>
        <v>#N/A</v>
      </c>
      <c r="AL811" s="27" t="e">
        <f>Table1[[#This Row],[IRR]]*Table1[[#This Row],[Coupon Frequency2]]</f>
        <v>#N/A</v>
      </c>
      <c r="AM811" s="5" t="e">
        <f t="shared" si="50"/>
        <v>#N/A</v>
      </c>
      <c r="AN811" t="s">
        <v>64</v>
      </c>
      <c r="AO811" t="s">
        <v>62</v>
      </c>
      <c r="AP811" t="str">
        <f t="shared" si="51"/>
        <v/>
      </c>
    </row>
    <row r="812" spans="4:42" x14ac:dyDescent="0.35">
      <c r="D812" s="21"/>
      <c r="E812" s="21"/>
      <c r="L812" s="22"/>
      <c r="S812">
        <f t="shared" si="48"/>
        <v>0</v>
      </c>
      <c r="T812" s="5" t="e" cm="1">
        <f t="array" ref="T8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2" t="e">
        <f>Table1[[#This Row],[Term to Maturity (Years)]]*Table1[[#This Row],[Coupon Frequency2]]</f>
        <v>#N/A</v>
      </c>
      <c r="V812">
        <f>Table1[[#This Row],[Face value]]*Table1[[#This Row],[Current coupon %]]</f>
        <v>0</v>
      </c>
      <c r="W812" s="36" t="e">
        <f>RATE(Table1[[#This Row],[Total No. of Coupons]],Table1[[#This Row],[Coupon Amount]],-Table1[[#This Row],[Ask Price]],Table1[[#This Row],[Face value]])</f>
        <v>#N/A</v>
      </c>
      <c r="X812" s="27" t="e">
        <f>Table1[[#This Row],[IRR]]*Table1[[#This Row],[Coupon Frequency2]]</f>
        <v>#N/A</v>
      </c>
      <c r="Y812" s="19" t="e" cm="1">
        <f t="array" ref="Y8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2" s="33" t="e">
        <f>DURATION(Table1[[#This Row],[Issue date]],Table1[[#This Row],[Maturity date]],Table1[[#This Row],[Current coupon %]],Table1[[#This Row],[Yield (Annualised)]],Table1[[#This Row],[Coupon Frequency2]])</f>
        <v>#N/A</v>
      </c>
      <c r="AA812" s="33" t="e">
        <f>Table1[[#This Row],[Macaulay Duration in Years]]/(1+Table1[[#This Row],[IRR]])</f>
        <v>#N/A</v>
      </c>
      <c r="AB812" s="58" t="e">
        <f>VLOOKUP(Table1[[#This Row],[Yield Cluster]],'Cluster Details'!$B$3:$C$16,2,0)</f>
        <v>#N/A</v>
      </c>
      <c r="AC8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2" s="58" t="e">
        <f>IF(Table1[[#This Row],[Ask Price]]&gt;Table1[[#This Row],[Calculated Bond Price]],"Rich","Cheap")</f>
        <v>#N/A</v>
      </c>
      <c r="AE8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2" s="78" t="e">
        <f>(Table1[[#This Row],[P (+ shock)]]+Table1[[#This Row],[P (-shock)]]-2*Table1[[#This Row],[Ask Price]])/(2*Table1[[#This Row],[Ask Price]]*($AF$2^2))</f>
        <v>#N/A</v>
      </c>
      <c r="AH812">
        <v>10.7992202729044</v>
      </c>
      <c r="AI812" s="6" t="e">
        <f t="shared" si="49"/>
        <v>#DIV/0!</v>
      </c>
      <c r="AK812" s="47" t="e">
        <f>RATE(Table1[[#This Row],[Total No. of Coupons]],Table1[[#This Row],[Coupon Amount]],-Table1[[#This Row],[Ask Price]],Table1[[#This Row],[Face value]])</f>
        <v>#N/A</v>
      </c>
      <c r="AL812" s="27" t="e">
        <f>Table1[[#This Row],[IRR]]*Table1[[#This Row],[Coupon Frequency2]]</f>
        <v>#N/A</v>
      </c>
      <c r="AM812" s="5" t="e">
        <f t="shared" si="50"/>
        <v>#N/A</v>
      </c>
      <c r="AN812" t="s">
        <v>64</v>
      </c>
      <c r="AO812" t="s">
        <v>62</v>
      </c>
      <c r="AP812" t="str">
        <f t="shared" si="51"/>
        <v/>
      </c>
    </row>
    <row r="813" spans="4:42" x14ac:dyDescent="0.35">
      <c r="D813" s="21"/>
      <c r="E813" s="21"/>
      <c r="L813" s="22"/>
      <c r="S813">
        <f t="shared" si="48"/>
        <v>0</v>
      </c>
      <c r="T813" s="5" t="e" cm="1">
        <f t="array" ref="T8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3" t="e">
        <f>Table1[[#This Row],[Term to Maturity (Years)]]*Table1[[#This Row],[Coupon Frequency2]]</f>
        <v>#N/A</v>
      </c>
      <c r="V813">
        <f>Table1[[#This Row],[Face value]]*Table1[[#This Row],[Current coupon %]]</f>
        <v>0</v>
      </c>
      <c r="W813" s="36" t="e">
        <f>RATE(Table1[[#This Row],[Total No. of Coupons]],Table1[[#This Row],[Coupon Amount]],-Table1[[#This Row],[Ask Price]],Table1[[#This Row],[Face value]])</f>
        <v>#N/A</v>
      </c>
      <c r="X813" s="27" t="e">
        <f>Table1[[#This Row],[IRR]]*Table1[[#This Row],[Coupon Frequency2]]</f>
        <v>#N/A</v>
      </c>
      <c r="Y813" s="19" t="e" cm="1">
        <f t="array" ref="Y8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3" s="33" t="e">
        <f>DURATION(Table1[[#This Row],[Issue date]],Table1[[#This Row],[Maturity date]],Table1[[#This Row],[Current coupon %]],Table1[[#This Row],[Yield (Annualised)]],Table1[[#This Row],[Coupon Frequency2]])</f>
        <v>#N/A</v>
      </c>
      <c r="AA813" s="33" t="e">
        <f>Table1[[#This Row],[Macaulay Duration in Years]]/(1+Table1[[#This Row],[IRR]])</f>
        <v>#N/A</v>
      </c>
      <c r="AB813" s="58" t="e">
        <f>VLOOKUP(Table1[[#This Row],[Yield Cluster]],'Cluster Details'!$B$3:$C$16,2,0)</f>
        <v>#N/A</v>
      </c>
      <c r="AC8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3" s="58" t="e">
        <f>IF(Table1[[#This Row],[Ask Price]]&gt;Table1[[#This Row],[Calculated Bond Price]],"Rich","Cheap")</f>
        <v>#N/A</v>
      </c>
      <c r="AE8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3" s="78" t="e">
        <f>(Table1[[#This Row],[P (+ shock)]]+Table1[[#This Row],[P (-shock)]]-2*Table1[[#This Row],[Ask Price]])/(2*Table1[[#This Row],[Ask Price]]*($AF$2^2))</f>
        <v>#N/A</v>
      </c>
      <c r="AI813" s="6" t="e">
        <f t="shared" si="49"/>
        <v>#DIV/0!</v>
      </c>
      <c r="AK813" s="47" t="e">
        <f>RATE(Table1[[#This Row],[Total No. of Coupons]],Table1[[#This Row],[Coupon Amount]],-Table1[[#This Row],[Ask Price]],Table1[[#This Row],[Face value]])</f>
        <v>#N/A</v>
      </c>
      <c r="AL813" s="27" t="e">
        <f>Table1[[#This Row],[IRR]]*Table1[[#This Row],[Coupon Frequency2]]</f>
        <v>#N/A</v>
      </c>
      <c r="AM813" s="5" t="e">
        <f t="shared" si="50"/>
        <v>#N/A</v>
      </c>
      <c r="AN813" t="s">
        <v>503</v>
      </c>
      <c r="AO813" t="s">
        <v>62</v>
      </c>
      <c r="AP813" t="str">
        <f t="shared" si="51"/>
        <v/>
      </c>
    </row>
    <row r="814" spans="4:42" x14ac:dyDescent="0.35">
      <c r="D814" s="21"/>
      <c r="E814" s="21"/>
      <c r="L814" s="22"/>
      <c r="S814">
        <f t="shared" si="48"/>
        <v>0</v>
      </c>
      <c r="T814" s="5" t="e" cm="1">
        <f t="array" ref="T8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4" t="e">
        <f>Table1[[#This Row],[Term to Maturity (Years)]]*Table1[[#This Row],[Coupon Frequency2]]</f>
        <v>#N/A</v>
      </c>
      <c r="V814">
        <f>Table1[[#This Row],[Face value]]*Table1[[#This Row],[Current coupon %]]</f>
        <v>0</v>
      </c>
      <c r="W814" s="36" t="e">
        <f>RATE(Table1[[#This Row],[Total No. of Coupons]],Table1[[#This Row],[Coupon Amount]],-Table1[[#This Row],[Ask Price]],Table1[[#This Row],[Face value]])</f>
        <v>#N/A</v>
      </c>
      <c r="X814" s="27" t="e">
        <f>Table1[[#This Row],[IRR]]*Table1[[#This Row],[Coupon Frequency2]]</f>
        <v>#N/A</v>
      </c>
      <c r="Y814" s="19" t="e" cm="1">
        <f t="array" ref="Y8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4" s="33" t="e">
        <f>DURATION(Table1[[#This Row],[Issue date]],Table1[[#This Row],[Maturity date]],Table1[[#This Row],[Current coupon %]],Table1[[#This Row],[Yield (Annualised)]],Table1[[#This Row],[Coupon Frequency2]])</f>
        <v>#N/A</v>
      </c>
      <c r="AA814" s="33" t="e">
        <f>Table1[[#This Row],[Macaulay Duration in Years]]/(1+Table1[[#This Row],[IRR]])</f>
        <v>#N/A</v>
      </c>
      <c r="AB814" s="58" t="e">
        <f>VLOOKUP(Table1[[#This Row],[Yield Cluster]],'Cluster Details'!$B$3:$C$16,2,0)</f>
        <v>#N/A</v>
      </c>
      <c r="AC8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4" s="58" t="e">
        <f>IF(Table1[[#This Row],[Ask Price]]&gt;Table1[[#This Row],[Calculated Bond Price]],"Rich","Cheap")</f>
        <v>#N/A</v>
      </c>
      <c r="AE8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4" s="78" t="e">
        <f>(Table1[[#This Row],[P (+ shock)]]+Table1[[#This Row],[P (-shock)]]-2*Table1[[#This Row],[Ask Price]])/(2*Table1[[#This Row],[Ask Price]]*($AF$2^2))</f>
        <v>#N/A</v>
      </c>
      <c r="AH814">
        <v>9.4288784197041</v>
      </c>
      <c r="AI814" s="6" t="e">
        <f t="shared" si="49"/>
        <v>#DIV/0!</v>
      </c>
      <c r="AK814" s="47" t="e">
        <f>RATE(Table1[[#This Row],[Total No. of Coupons]],Table1[[#This Row],[Coupon Amount]],-Table1[[#This Row],[Ask Price]],Table1[[#This Row],[Face value]])</f>
        <v>#N/A</v>
      </c>
      <c r="AL814" s="27" t="e">
        <f>Table1[[#This Row],[IRR]]*Table1[[#This Row],[Coupon Frequency2]]</f>
        <v>#N/A</v>
      </c>
      <c r="AM814" s="5" t="e">
        <f t="shared" si="50"/>
        <v>#N/A</v>
      </c>
      <c r="AN814" t="s">
        <v>64</v>
      </c>
      <c r="AO814" t="s">
        <v>62</v>
      </c>
      <c r="AP814" t="str">
        <f t="shared" si="51"/>
        <v/>
      </c>
    </row>
    <row r="815" spans="4:42" x14ac:dyDescent="0.35">
      <c r="D815" s="21"/>
      <c r="E815" s="21"/>
      <c r="L815" s="22"/>
      <c r="S815">
        <f t="shared" si="48"/>
        <v>0</v>
      </c>
      <c r="T815" s="5" t="e" cm="1">
        <f t="array" ref="T8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5" t="e">
        <f>Table1[[#This Row],[Term to Maturity (Years)]]*Table1[[#This Row],[Coupon Frequency2]]</f>
        <v>#N/A</v>
      </c>
      <c r="V815">
        <f>Table1[[#This Row],[Face value]]*Table1[[#This Row],[Current coupon %]]</f>
        <v>0</v>
      </c>
      <c r="W815" s="36" t="e">
        <f>RATE(Table1[[#This Row],[Total No. of Coupons]],Table1[[#This Row],[Coupon Amount]],-Table1[[#This Row],[Ask Price]],Table1[[#This Row],[Face value]])</f>
        <v>#N/A</v>
      </c>
      <c r="X815" s="27" t="e">
        <f>Table1[[#This Row],[IRR]]*Table1[[#This Row],[Coupon Frequency2]]</f>
        <v>#N/A</v>
      </c>
      <c r="Y815" s="19" t="e" cm="1">
        <f t="array" ref="Y8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5" s="33" t="e">
        <f>DURATION(Table1[[#This Row],[Issue date]],Table1[[#This Row],[Maturity date]],Table1[[#This Row],[Current coupon %]],Table1[[#This Row],[Yield (Annualised)]],Table1[[#This Row],[Coupon Frequency2]])</f>
        <v>#N/A</v>
      </c>
      <c r="AA815" s="33" t="e">
        <f>Table1[[#This Row],[Macaulay Duration in Years]]/(1+Table1[[#This Row],[IRR]])</f>
        <v>#N/A</v>
      </c>
      <c r="AB815" s="58" t="e">
        <f>VLOOKUP(Table1[[#This Row],[Yield Cluster]],'Cluster Details'!$B$3:$C$16,2,0)</f>
        <v>#N/A</v>
      </c>
      <c r="AC8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5" s="58" t="e">
        <f>IF(Table1[[#This Row],[Ask Price]]&gt;Table1[[#This Row],[Calculated Bond Price]],"Rich","Cheap")</f>
        <v>#N/A</v>
      </c>
      <c r="AE8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5" s="78" t="e">
        <f>(Table1[[#This Row],[P (+ shock)]]+Table1[[#This Row],[P (-shock)]]-2*Table1[[#This Row],[Ask Price]])/(2*Table1[[#This Row],[Ask Price]]*($AF$2^2))</f>
        <v>#N/A</v>
      </c>
      <c r="AH815">
        <v>8.8000000000000007</v>
      </c>
      <c r="AI815" s="6" t="e">
        <f t="shared" si="49"/>
        <v>#DIV/0!</v>
      </c>
      <c r="AK815" s="47" t="e">
        <f>RATE(Table1[[#This Row],[Total No. of Coupons]],Table1[[#This Row],[Coupon Amount]],-Table1[[#This Row],[Ask Price]],Table1[[#This Row],[Face value]])</f>
        <v>#N/A</v>
      </c>
      <c r="AL815" s="27" t="e">
        <f>Table1[[#This Row],[IRR]]*Table1[[#This Row],[Coupon Frequency2]]</f>
        <v>#N/A</v>
      </c>
      <c r="AM815" s="5" t="e">
        <f t="shared" si="50"/>
        <v>#N/A</v>
      </c>
      <c r="AN815" t="s">
        <v>64</v>
      </c>
      <c r="AO815" t="s">
        <v>62</v>
      </c>
      <c r="AP815" t="str">
        <f t="shared" si="51"/>
        <v/>
      </c>
    </row>
    <row r="816" spans="4:42" x14ac:dyDescent="0.35">
      <c r="D816" s="21"/>
      <c r="E816" s="21"/>
      <c r="L816" s="22"/>
      <c r="S816">
        <f t="shared" si="48"/>
        <v>0</v>
      </c>
      <c r="T816" s="5" t="e" cm="1">
        <f t="array" ref="T8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6" t="e">
        <f>Table1[[#This Row],[Term to Maturity (Years)]]*Table1[[#This Row],[Coupon Frequency2]]</f>
        <v>#N/A</v>
      </c>
      <c r="V816">
        <f>Table1[[#This Row],[Face value]]*Table1[[#This Row],[Current coupon %]]</f>
        <v>0</v>
      </c>
      <c r="W816" s="36" t="e">
        <f>RATE(Table1[[#This Row],[Total No. of Coupons]],Table1[[#This Row],[Coupon Amount]],-Table1[[#This Row],[Ask Price]],Table1[[#This Row],[Face value]])</f>
        <v>#N/A</v>
      </c>
      <c r="X816" s="27" t="e">
        <f>Table1[[#This Row],[IRR]]*Table1[[#This Row],[Coupon Frequency2]]</f>
        <v>#N/A</v>
      </c>
      <c r="Y816" s="19" t="e" cm="1">
        <f t="array" ref="Y8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6" s="33" t="e">
        <f>DURATION(Table1[[#This Row],[Issue date]],Table1[[#This Row],[Maturity date]],Table1[[#This Row],[Current coupon %]],Table1[[#This Row],[Yield (Annualised)]],Table1[[#This Row],[Coupon Frequency2]])</f>
        <v>#N/A</v>
      </c>
      <c r="AA816" s="33" t="e">
        <f>Table1[[#This Row],[Macaulay Duration in Years]]/(1+Table1[[#This Row],[IRR]])</f>
        <v>#N/A</v>
      </c>
      <c r="AB816" s="58" t="e">
        <f>VLOOKUP(Table1[[#This Row],[Yield Cluster]],'Cluster Details'!$B$3:$C$16,2,0)</f>
        <v>#N/A</v>
      </c>
      <c r="AC8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6" s="58" t="e">
        <f>IF(Table1[[#This Row],[Ask Price]]&gt;Table1[[#This Row],[Calculated Bond Price]],"Rich","Cheap")</f>
        <v>#N/A</v>
      </c>
      <c r="AE8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6" s="78" t="e">
        <f>(Table1[[#This Row],[P (+ shock)]]+Table1[[#This Row],[P (-shock)]]-2*Table1[[#This Row],[Ask Price]])/(2*Table1[[#This Row],[Ask Price]]*($AF$2^2))</f>
        <v>#N/A</v>
      </c>
      <c r="AH816">
        <v>9.6996873283474798</v>
      </c>
      <c r="AI816" s="6" t="e">
        <f t="shared" si="49"/>
        <v>#DIV/0!</v>
      </c>
      <c r="AK816" s="47" t="e">
        <f>RATE(Table1[[#This Row],[Total No. of Coupons]],Table1[[#This Row],[Coupon Amount]],-Table1[[#This Row],[Ask Price]],Table1[[#This Row],[Face value]])</f>
        <v>#N/A</v>
      </c>
      <c r="AL816" s="27" t="e">
        <f>Table1[[#This Row],[IRR]]*Table1[[#This Row],[Coupon Frequency2]]</f>
        <v>#N/A</v>
      </c>
      <c r="AM816" s="5" t="e">
        <f t="shared" si="50"/>
        <v>#N/A</v>
      </c>
      <c r="AN816" t="s">
        <v>64</v>
      </c>
      <c r="AO816" t="s">
        <v>62</v>
      </c>
      <c r="AP816" t="str">
        <f t="shared" si="51"/>
        <v/>
      </c>
    </row>
    <row r="817" spans="4:42" x14ac:dyDescent="0.35">
      <c r="D817" s="21"/>
      <c r="E817" s="21"/>
      <c r="L817" s="22"/>
      <c r="S817">
        <f t="shared" si="48"/>
        <v>0</v>
      </c>
      <c r="T817" s="5" t="e" cm="1">
        <f t="array" ref="T8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7" t="e">
        <f>Table1[[#This Row],[Term to Maturity (Years)]]*Table1[[#This Row],[Coupon Frequency2]]</f>
        <v>#N/A</v>
      </c>
      <c r="V817">
        <f>Table1[[#This Row],[Face value]]*Table1[[#This Row],[Current coupon %]]</f>
        <v>0</v>
      </c>
      <c r="W817" s="36" t="e">
        <f>RATE(Table1[[#This Row],[Total No. of Coupons]],Table1[[#This Row],[Coupon Amount]],-Table1[[#This Row],[Ask Price]],Table1[[#This Row],[Face value]])</f>
        <v>#N/A</v>
      </c>
      <c r="X817" s="27" t="e">
        <f>Table1[[#This Row],[IRR]]*Table1[[#This Row],[Coupon Frequency2]]</f>
        <v>#N/A</v>
      </c>
      <c r="Y817" s="19" t="e" cm="1">
        <f t="array" ref="Y8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7" s="33" t="e">
        <f>DURATION(Table1[[#This Row],[Issue date]],Table1[[#This Row],[Maturity date]],Table1[[#This Row],[Current coupon %]],Table1[[#This Row],[Yield (Annualised)]],Table1[[#This Row],[Coupon Frequency2]])</f>
        <v>#N/A</v>
      </c>
      <c r="AA817" s="33" t="e">
        <f>Table1[[#This Row],[Macaulay Duration in Years]]/(1+Table1[[#This Row],[IRR]])</f>
        <v>#N/A</v>
      </c>
      <c r="AB817" s="58" t="e">
        <f>VLOOKUP(Table1[[#This Row],[Yield Cluster]],'Cluster Details'!$B$3:$C$16,2,0)</f>
        <v>#N/A</v>
      </c>
      <c r="AC8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7" s="58" t="e">
        <f>IF(Table1[[#This Row],[Ask Price]]&gt;Table1[[#This Row],[Calculated Bond Price]],"Rich","Cheap")</f>
        <v>#N/A</v>
      </c>
      <c r="AE8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7" s="78" t="e">
        <f>(Table1[[#This Row],[P (+ shock)]]+Table1[[#This Row],[P (-shock)]]-2*Table1[[#This Row],[Ask Price]])/(2*Table1[[#This Row],[Ask Price]]*($AF$2^2))</f>
        <v>#N/A</v>
      </c>
      <c r="AH817">
        <v>82.236608077003496</v>
      </c>
      <c r="AI817" s="6" t="e">
        <f t="shared" si="49"/>
        <v>#DIV/0!</v>
      </c>
      <c r="AK817" s="47" t="e">
        <f>RATE(Table1[[#This Row],[Total No. of Coupons]],Table1[[#This Row],[Coupon Amount]],-Table1[[#This Row],[Ask Price]],Table1[[#This Row],[Face value]])</f>
        <v>#N/A</v>
      </c>
      <c r="AL817" s="27" t="e">
        <f>Table1[[#This Row],[IRR]]*Table1[[#This Row],[Coupon Frequency2]]</f>
        <v>#N/A</v>
      </c>
      <c r="AM817" s="5" t="e">
        <f t="shared" si="50"/>
        <v>#N/A</v>
      </c>
      <c r="AN817" t="s">
        <v>64</v>
      </c>
      <c r="AO817" t="s">
        <v>62</v>
      </c>
      <c r="AP817" t="str">
        <f t="shared" si="51"/>
        <v/>
      </c>
    </row>
    <row r="818" spans="4:42" x14ac:dyDescent="0.35">
      <c r="D818" s="21"/>
      <c r="E818" s="21"/>
      <c r="L818" s="22"/>
      <c r="S818">
        <f t="shared" si="48"/>
        <v>0</v>
      </c>
      <c r="T818" s="5" t="e" cm="1">
        <f t="array" ref="T8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8" t="e">
        <f>Table1[[#This Row],[Term to Maturity (Years)]]*Table1[[#This Row],[Coupon Frequency2]]</f>
        <v>#N/A</v>
      </c>
      <c r="V818">
        <f>Table1[[#This Row],[Face value]]*Table1[[#This Row],[Current coupon %]]</f>
        <v>0</v>
      </c>
      <c r="W818" s="36" t="e">
        <f>RATE(Table1[[#This Row],[Total No. of Coupons]],Table1[[#This Row],[Coupon Amount]],-Table1[[#This Row],[Ask Price]],Table1[[#This Row],[Face value]])</f>
        <v>#N/A</v>
      </c>
      <c r="X818" s="27" t="e">
        <f>Table1[[#This Row],[IRR]]*Table1[[#This Row],[Coupon Frequency2]]</f>
        <v>#N/A</v>
      </c>
      <c r="Y818" s="19" t="e" cm="1">
        <f t="array" ref="Y8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8" s="33" t="e">
        <f>DURATION(Table1[[#This Row],[Issue date]],Table1[[#This Row],[Maturity date]],Table1[[#This Row],[Current coupon %]],Table1[[#This Row],[Yield (Annualised)]],Table1[[#This Row],[Coupon Frequency2]])</f>
        <v>#N/A</v>
      </c>
      <c r="AA818" s="33" t="e">
        <f>Table1[[#This Row],[Macaulay Duration in Years]]/(1+Table1[[#This Row],[IRR]])</f>
        <v>#N/A</v>
      </c>
      <c r="AB818" s="58" t="e">
        <f>VLOOKUP(Table1[[#This Row],[Yield Cluster]],'Cluster Details'!$B$3:$C$16,2,0)</f>
        <v>#N/A</v>
      </c>
      <c r="AC8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8" s="58" t="e">
        <f>IF(Table1[[#This Row],[Ask Price]]&gt;Table1[[#This Row],[Calculated Bond Price]],"Rich","Cheap")</f>
        <v>#N/A</v>
      </c>
      <c r="AE8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8" s="78" t="e">
        <f>(Table1[[#This Row],[P (+ shock)]]+Table1[[#This Row],[P (-shock)]]-2*Table1[[#This Row],[Ask Price]])/(2*Table1[[#This Row],[Ask Price]]*($AF$2^2))</f>
        <v>#N/A</v>
      </c>
      <c r="AH818">
        <v>38.613281144330699</v>
      </c>
      <c r="AI818" s="6" t="e">
        <f t="shared" si="49"/>
        <v>#DIV/0!</v>
      </c>
      <c r="AK818" s="47" t="e">
        <f>RATE(Table1[[#This Row],[Total No. of Coupons]],Table1[[#This Row],[Coupon Amount]],-Table1[[#This Row],[Ask Price]],Table1[[#This Row],[Face value]])</f>
        <v>#N/A</v>
      </c>
      <c r="AL818" s="27" t="e">
        <f>Table1[[#This Row],[IRR]]*Table1[[#This Row],[Coupon Frequency2]]</f>
        <v>#N/A</v>
      </c>
      <c r="AM818" s="5" t="e">
        <f t="shared" si="50"/>
        <v>#N/A</v>
      </c>
      <c r="AN818" t="s">
        <v>64</v>
      </c>
      <c r="AO818" t="s">
        <v>62</v>
      </c>
      <c r="AP818" t="str">
        <f t="shared" si="51"/>
        <v/>
      </c>
    </row>
    <row r="819" spans="4:42" x14ac:dyDescent="0.35">
      <c r="D819" s="21"/>
      <c r="E819" s="21"/>
      <c r="L819" s="22"/>
      <c r="S819">
        <f t="shared" si="48"/>
        <v>0</v>
      </c>
      <c r="T819" s="5" t="e" cm="1">
        <f t="array" ref="T8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19" t="e">
        <f>Table1[[#This Row],[Term to Maturity (Years)]]*Table1[[#This Row],[Coupon Frequency2]]</f>
        <v>#N/A</v>
      </c>
      <c r="V819">
        <f>Table1[[#This Row],[Face value]]*Table1[[#This Row],[Current coupon %]]</f>
        <v>0</v>
      </c>
      <c r="W819" s="36" t="e">
        <f>RATE(Table1[[#This Row],[Total No. of Coupons]],Table1[[#This Row],[Coupon Amount]],-Table1[[#This Row],[Ask Price]],Table1[[#This Row],[Face value]])</f>
        <v>#N/A</v>
      </c>
      <c r="X819" s="27" t="e">
        <f>Table1[[#This Row],[IRR]]*Table1[[#This Row],[Coupon Frequency2]]</f>
        <v>#N/A</v>
      </c>
      <c r="Y819" s="19" t="e" cm="1">
        <f t="array" ref="Y8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19" s="33" t="e">
        <f>DURATION(Table1[[#This Row],[Issue date]],Table1[[#This Row],[Maturity date]],Table1[[#This Row],[Current coupon %]],Table1[[#This Row],[Yield (Annualised)]],Table1[[#This Row],[Coupon Frequency2]])</f>
        <v>#N/A</v>
      </c>
      <c r="AA819" s="33" t="e">
        <f>Table1[[#This Row],[Macaulay Duration in Years]]/(1+Table1[[#This Row],[IRR]])</f>
        <v>#N/A</v>
      </c>
      <c r="AB819" s="58" t="e">
        <f>VLOOKUP(Table1[[#This Row],[Yield Cluster]],'Cluster Details'!$B$3:$C$16,2,0)</f>
        <v>#N/A</v>
      </c>
      <c r="AC8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19" s="58" t="e">
        <f>IF(Table1[[#This Row],[Ask Price]]&gt;Table1[[#This Row],[Calculated Bond Price]],"Rich","Cheap")</f>
        <v>#N/A</v>
      </c>
      <c r="AE8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19" s="78" t="e">
        <f>(Table1[[#This Row],[P (+ shock)]]+Table1[[#This Row],[P (-shock)]]-2*Table1[[#This Row],[Ask Price]])/(2*Table1[[#This Row],[Ask Price]]*($AF$2^2))</f>
        <v>#N/A</v>
      </c>
      <c r="AI819" s="6" t="e">
        <f t="shared" si="49"/>
        <v>#DIV/0!</v>
      </c>
      <c r="AK819" s="47" t="e">
        <f>RATE(Table1[[#This Row],[Total No. of Coupons]],Table1[[#This Row],[Coupon Amount]],-Table1[[#This Row],[Ask Price]],Table1[[#This Row],[Face value]])</f>
        <v>#N/A</v>
      </c>
      <c r="AL819" s="27" t="e">
        <f>Table1[[#This Row],[IRR]]*Table1[[#This Row],[Coupon Frequency2]]</f>
        <v>#N/A</v>
      </c>
      <c r="AM819" s="5" t="e">
        <f t="shared" si="50"/>
        <v>#N/A</v>
      </c>
      <c r="AN819" t="s">
        <v>64</v>
      </c>
      <c r="AO819" t="s">
        <v>62</v>
      </c>
      <c r="AP819" t="str">
        <f t="shared" si="51"/>
        <v/>
      </c>
    </row>
    <row r="820" spans="4:42" x14ac:dyDescent="0.35">
      <c r="D820" s="21"/>
      <c r="E820" s="21"/>
      <c r="L820" s="22"/>
      <c r="S820">
        <f t="shared" si="48"/>
        <v>0</v>
      </c>
      <c r="T820" s="5" t="e" cm="1">
        <f t="array" ref="T8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0" t="e">
        <f>Table1[[#This Row],[Term to Maturity (Years)]]*Table1[[#This Row],[Coupon Frequency2]]</f>
        <v>#N/A</v>
      </c>
      <c r="V820">
        <f>Table1[[#This Row],[Face value]]*Table1[[#This Row],[Current coupon %]]</f>
        <v>0</v>
      </c>
      <c r="W820" s="36" t="e">
        <f>RATE(Table1[[#This Row],[Total No. of Coupons]],Table1[[#This Row],[Coupon Amount]],-Table1[[#This Row],[Ask Price]],Table1[[#This Row],[Face value]])</f>
        <v>#N/A</v>
      </c>
      <c r="X820" s="27" t="e">
        <f>Table1[[#This Row],[IRR]]*Table1[[#This Row],[Coupon Frequency2]]</f>
        <v>#N/A</v>
      </c>
      <c r="Y820" s="19" t="e" cm="1">
        <f t="array" ref="Y8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0" s="33" t="e">
        <f>DURATION(Table1[[#This Row],[Issue date]],Table1[[#This Row],[Maturity date]],Table1[[#This Row],[Current coupon %]],Table1[[#This Row],[Yield (Annualised)]],Table1[[#This Row],[Coupon Frequency2]])</f>
        <v>#N/A</v>
      </c>
      <c r="AA820" s="33" t="e">
        <f>Table1[[#This Row],[Macaulay Duration in Years]]/(1+Table1[[#This Row],[IRR]])</f>
        <v>#N/A</v>
      </c>
      <c r="AB820" s="58" t="e">
        <f>VLOOKUP(Table1[[#This Row],[Yield Cluster]],'Cluster Details'!$B$3:$C$16,2,0)</f>
        <v>#N/A</v>
      </c>
      <c r="AC8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0" s="58" t="e">
        <f>IF(Table1[[#This Row],[Ask Price]]&gt;Table1[[#This Row],[Calculated Bond Price]],"Rich","Cheap")</f>
        <v>#N/A</v>
      </c>
      <c r="AE8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0" s="78" t="e">
        <f>(Table1[[#This Row],[P (+ shock)]]+Table1[[#This Row],[P (-shock)]]-2*Table1[[#This Row],[Ask Price]])/(2*Table1[[#This Row],[Ask Price]]*($AF$2^2))</f>
        <v>#N/A</v>
      </c>
      <c r="AI820" s="6" t="e">
        <f t="shared" si="49"/>
        <v>#DIV/0!</v>
      </c>
      <c r="AK820" s="47" t="e">
        <f>RATE(Table1[[#This Row],[Total No. of Coupons]],Table1[[#This Row],[Coupon Amount]],-Table1[[#This Row],[Ask Price]],Table1[[#This Row],[Face value]])</f>
        <v>#N/A</v>
      </c>
      <c r="AL820" s="27" t="e">
        <f>Table1[[#This Row],[IRR]]*Table1[[#This Row],[Coupon Frequency2]]</f>
        <v>#N/A</v>
      </c>
      <c r="AM820" s="5" t="e">
        <f t="shared" si="50"/>
        <v>#N/A</v>
      </c>
      <c r="AN820" t="s">
        <v>64</v>
      </c>
      <c r="AO820" t="s">
        <v>62</v>
      </c>
      <c r="AP820" t="str">
        <f t="shared" si="51"/>
        <v/>
      </c>
    </row>
    <row r="821" spans="4:42" x14ac:dyDescent="0.35">
      <c r="D821" s="21"/>
      <c r="E821" s="21"/>
      <c r="L821" s="22"/>
      <c r="S821">
        <f t="shared" si="48"/>
        <v>0</v>
      </c>
      <c r="T821" s="5" t="e" cm="1">
        <f t="array" ref="T8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1" t="e">
        <f>Table1[[#This Row],[Term to Maturity (Years)]]*Table1[[#This Row],[Coupon Frequency2]]</f>
        <v>#N/A</v>
      </c>
      <c r="V821">
        <f>Table1[[#This Row],[Face value]]*Table1[[#This Row],[Current coupon %]]</f>
        <v>0</v>
      </c>
      <c r="W821" s="36" t="e">
        <f>RATE(Table1[[#This Row],[Total No. of Coupons]],Table1[[#This Row],[Coupon Amount]],-Table1[[#This Row],[Ask Price]],Table1[[#This Row],[Face value]])</f>
        <v>#N/A</v>
      </c>
      <c r="X821" s="27" t="e">
        <f>Table1[[#This Row],[IRR]]*Table1[[#This Row],[Coupon Frequency2]]</f>
        <v>#N/A</v>
      </c>
      <c r="Y821" s="19" t="e" cm="1">
        <f t="array" ref="Y8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1" s="33" t="e">
        <f>DURATION(Table1[[#This Row],[Issue date]],Table1[[#This Row],[Maturity date]],Table1[[#This Row],[Current coupon %]],Table1[[#This Row],[Yield (Annualised)]],Table1[[#This Row],[Coupon Frequency2]])</f>
        <v>#N/A</v>
      </c>
      <c r="AA821" s="33" t="e">
        <f>Table1[[#This Row],[Macaulay Duration in Years]]/(1+Table1[[#This Row],[IRR]])</f>
        <v>#N/A</v>
      </c>
      <c r="AB821" s="58" t="e">
        <f>VLOOKUP(Table1[[#This Row],[Yield Cluster]],'Cluster Details'!$B$3:$C$16,2,0)</f>
        <v>#N/A</v>
      </c>
      <c r="AC8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1" s="58" t="e">
        <f>IF(Table1[[#This Row],[Ask Price]]&gt;Table1[[#This Row],[Calculated Bond Price]],"Rich","Cheap")</f>
        <v>#N/A</v>
      </c>
      <c r="AE8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1" s="78" t="e">
        <f>(Table1[[#This Row],[P (+ shock)]]+Table1[[#This Row],[P (-shock)]]-2*Table1[[#This Row],[Ask Price]])/(2*Table1[[#This Row],[Ask Price]]*($AF$2^2))</f>
        <v>#N/A</v>
      </c>
      <c r="AH821">
        <v>7.5609956421227897</v>
      </c>
      <c r="AI821" s="6" t="e">
        <f t="shared" si="49"/>
        <v>#DIV/0!</v>
      </c>
      <c r="AK821" s="47" t="e">
        <f>RATE(Table1[[#This Row],[Total No. of Coupons]],Table1[[#This Row],[Coupon Amount]],-Table1[[#This Row],[Ask Price]],Table1[[#This Row],[Face value]])</f>
        <v>#N/A</v>
      </c>
      <c r="AL821" s="27" t="e">
        <f>Table1[[#This Row],[IRR]]*Table1[[#This Row],[Coupon Frequency2]]</f>
        <v>#N/A</v>
      </c>
      <c r="AM821" s="5" t="e">
        <f t="shared" si="50"/>
        <v>#N/A</v>
      </c>
      <c r="AN821" t="s">
        <v>64</v>
      </c>
      <c r="AO821" t="s">
        <v>62</v>
      </c>
      <c r="AP821" t="str">
        <f t="shared" si="51"/>
        <v/>
      </c>
    </row>
    <row r="822" spans="4:42" x14ac:dyDescent="0.35">
      <c r="D822" s="21"/>
      <c r="E822" s="21"/>
      <c r="L822" s="22"/>
      <c r="S822">
        <f t="shared" si="48"/>
        <v>0</v>
      </c>
      <c r="T822" s="5" t="e" cm="1">
        <f t="array" ref="T8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2" t="e">
        <f>Table1[[#This Row],[Term to Maturity (Years)]]*Table1[[#This Row],[Coupon Frequency2]]</f>
        <v>#N/A</v>
      </c>
      <c r="V822">
        <f>Table1[[#This Row],[Face value]]*Table1[[#This Row],[Current coupon %]]</f>
        <v>0</v>
      </c>
      <c r="W822" s="36" t="e">
        <f>RATE(Table1[[#This Row],[Total No. of Coupons]],Table1[[#This Row],[Coupon Amount]],-Table1[[#This Row],[Ask Price]],Table1[[#This Row],[Face value]])</f>
        <v>#N/A</v>
      </c>
      <c r="X822" s="27" t="e">
        <f>Table1[[#This Row],[IRR]]*Table1[[#This Row],[Coupon Frequency2]]</f>
        <v>#N/A</v>
      </c>
      <c r="Y822" s="19" t="e" cm="1">
        <f t="array" ref="Y8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2" s="33" t="e">
        <f>DURATION(Table1[[#This Row],[Issue date]],Table1[[#This Row],[Maturity date]],Table1[[#This Row],[Current coupon %]],Table1[[#This Row],[Yield (Annualised)]],Table1[[#This Row],[Coupon Frequency2]])</f>
        <v>#N/A</v>
      </c>
      <c r="AA822" s="33" t="e">
        <f>Table1[[#This Row],[Macaulay Duration in Years]]/(1+Table1[[#This Row],[IRR]])</f>
        <v>#N/A</v>
      </c>
      <c r="AB822" s="58" t="e">
        <f>VLOOKUP(Table1[[#This Row],[Yield Cluster]],'Cluster Details'!$B$3:$C$16,2,0)</f>
        <v>#N/A</v>
      </c>
      <c r="AC82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2" s="58" t="e">
        <f>IF(Table1[[#This Row],[Ask Price]]&gt;Table1[[#This Row],[Calculated Bond Price]],"Rich","Cheap")</f>
        <v>#N/A</v>
      </c>
      <c r="AE82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2" s="78" t="e">
        <f>(Table1[[#This Row],[P (+ shock)]]+Table1[[#This Row],[P (-shock)]]-2*Table1[[#This Row],[Ask Price]])/(2*Table1[[#This Row],[Ask Price]]*($AF$2^2))</f>
        <v>#N/A</v>
      </c>
      <c r="AH822">
        <v>3.1540504840335699</v>
      </c>
      <c r="AI822" s="6" t="e">
        <f t="shared" si="49"/>
        <v>#DIV/0!</v>
      </c>
      <c r="AK822" s="47" t="e">
        <f>RATE(Table1[[#This Row],[Total No. of Coupons]],Table1[[#This Row],[Coupon Amount]],-Table1[[#This Row],[Ask Price]],Table1[[#This Row],[Face value]])</f>
        <v>#N/A</v>
      </c>
      <c r="AL822" s="27" t="e">
        <f>Table1[[#This Row],[IRR]]*Table1[[#This Row],[Coupon Frequency2]]</f>
        <v>#N/A</v>
      </c>
      <c r="AM822" s="5" t="e">
        <f t="shared" si="50"/>
        <v>#N/A</v>
      </c>
      <c r="AN822" t="s">
        <v>64</v>
      </c>
      <c r="AO822" t="s">
        <v>62</v>
      </c>
      <c r="AP822" t="str">
        <f t="shared" si="51"/>
        <v/>
      </c>
    </row>
    <row r="823" spans="4:42" x14ac:dyDescent="0.35">
      <c r="D823" s="21"/>
      <c r="E823" s="21"/>
      <c r="L823" s="22"/>
      <c r="S823">
        <f t="shared" si="48"/>
        <v>0</v>
      </c>
      <c r="T823" s="5" t="e" cm="1">
        <f t="array" ref="T8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3" t="e">
        <f>Table1[[#This Row],[Term to Maturity (Years)]]*Table1[[#This Row],[Coupon Frequency2]]</f>
        <v>#N/A</v>
      </c>
      <c r="V823">
        <f>Table1[[#This Row],[Face value]]*Table1[[#This Row],[Current coupon %]]</f>
        <v>0</v>
      </c>
      <c r="W823" s="36" t="e">
        <f>RATE(Table1[[#This Row],[Total No. of Coupons]],Table1[[#This Row],[Coupon Amount]],-Table1[[#This Row],[Ask Price]],Table1[[#This Row],[Face value]])</f>
        <v>#N/A</v>
      </c>
      <c r="X823" s="27" t="e">
        <f>Table1[[#This Row],[IRR]]*Table1[[#This Row],[Coupon Frequency2]]</f>
        <v>#N/A</v>
      </c>
      <c r="Y823" s="19" t="e" cm="1">
        <f t="array" ref="Y8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3" s="33" t="e">
        <f>DURATION(Table1[[#This Row],[Issue date]],Table1[[#This Row],[Maturity date]],Table1[[#This Row],[Current coupon %]],Table1[[#This Row],[Yield (Annualised)]],Table1[[#This Row],[Coupon Frequency2]])</f>
        <v>#N/A</v>
      </c>
      <c r="AA823" s="33" t="e">
        <f>Table1[[#This Row],[Macaulay Duration in Years]]/(1+Table1[[#This Row],[IRR]])</f>
        <v>#N/A</v>
      </c>
      <c r="AB823" s="58" t="e">
        <f>VLOOKUP(Table1[[#This Row],[Yield Cluster]],'Cluster Details'!$B$3:$C$16,2,0)</f>
        <v>#N/A</v>
      </c>
      <c r="AC82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3" s="58" t="e">
        <f>IF(Table1[[#This Row],[Ask Price]]&gt;Table1[[#This Row],[Calculated Bond Price]],"Rich","Cheap")</f>
        <v>#N/A</v>
      </c>
      <c r="AE82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3" s="78" t="e">
        <f>(Table1[[#This Row],[P (+ shock)]]+Table1[[#This Row],[P (-shock)]]-2*Table1[[#This Row],[Ask Price]])/(2*Table1[[#This Row],[Ask Price]]*($AF$2^2))</f>
        <v>#N/A</v>
      </c>
      <c r="AH823">
        <v>10.773741591140601</v>
      </c>
      <c r="AI823" s="6" t="e">
        <f t="shared" si="49"/>
        <v>#DIV/0!</v>
      </c>
      <c r="AK823" s="47" t="e">
        <f>RATE(Table1[[#This Row],[Total No. of Coupons]],Table1[[#This Row],[Coupon Amount]],-Table1[[#This Row],[Ask Price]],Table1[[#This Row],[Face value]])</f>
        <v>#N/A</v>
      </c>
      <c r="AL823" s="27" t="e">
        <f>Table1[[#This Row],[IRR]]*Table1[[#This Row],[Coupon Frequency2]]</f>
        <v>#N/A</v>
      </c>
      <c r="AM823" s="5" t="e">
        <f t="shared" si="50"/>
        <v>#N/A</v>
      </c>
      <c r="AN823" t="s">
        <v>64</v>
      </c>
      <c r="AO823" t="s">
        <v>62</v>
      </c>
      <c r="AP823" t="str">
        <f t="shared" si="51"/>
        <v/>
      </c>
    </row>
    <row r="824" spans="4:42" x14ac:dyDescent="0.35">
      <c r="D824" s="21"/>
      <c r="E824" s="21"/>
      <c r="L824" s="22"/>
      <c r="S824">
        <f t="shared" si="48"/>
        <v>0</v>
      </c>
      <c r="T824" s="5" t="e" cm="1">
        <f t="array" ref="T8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4" t="e">
        <f>Table1[[#This Row],[Term to Maturity (Years)]]*Table1[[#This Row],[Coupon Frequency2]]</f>
        <v>#N/A</v>
      </c>
      <c r="V824">
        <f>Table1[[#This Row],[Face value]]*Table1[[#This Row],[Current coupon %]]</f>
        <v>0</v>
      </c>
      <c r="W824" s="36" t="e">
        <f>RATE(Table1[[#This Row],[Total No. of Coupons]],Table1[[#This Row],[Coupon Amount]],-Table1[[#This Row],[Ask Price]],Table1[[#This Row],[Face value]])</f>
        <v>#N/A</v>
      </c>
      <c r="X824" s="27" t="e">
        <f>Table1[[#This Row],[IRR]]*Table1[[#This Row],[Coupon Frequency2]]</f>
        <v>#N/A</v>
      </c>
      <c r="Y824" s="19" t="e" cm="1">
        <f t="array" ref="Y8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4" s="33" t="e">
        <f>DURATION(Table1[[#This Row],[Issue date]],Table1[[#This Row],[Maturity date]],Table1[[#This Row],[Current coupon %]],Table1[[#This Row],[Yield (Annualised)]],Table1[[#This Row],[Coupon Frequency2]])</f>
        <v>#N/A</v>
      </c>
      <c r="AA824" s="33" t="e">
        <f>Table1[[#This Row],[Macaulay Duration in Years]]/(1+Table1[[#This Row],[IRR]])</f>
        <v>#N/A</v>
      </c>
      <c r="AB824" s="58" t="e">
        <f>VLOOKUP(Table1[[#This Row],[Yield Cluster]],'Cluster Details'!$B$3:$C$16,2,0)</f>
        <v>#N/A</v>
      </c>
      <c r="AC82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4" s="58" t="e">
        <f>IF(Table1[[#This Row],[Ask Price]]&gt;Table1[[#This Row],[Calculated Bond Price]],"Rich","Cheap")</f>
        <v>#N/A</v>
      </c>
      <c r="AE82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4" s="78" t="e">
        <f>(Table1[[#This Row],[P (+ shock)]]+Table1[[#This Row],[P (-shock)]]-2*Table1[[#This Row],[Ask Price]])/(2*Table1[[#This Row],[Ask Price]]*($AF$2^2))</f>
        <v>#N/A</v>
      </c>
      <c r="AH824">
        <v>11.388952207279001</v>
      </c>
      <c r="AI824" s="6" t="e">
        <f t="shared" si="49"/>
        <v>#DIV/0!</v>
      </c>
      <c r="AK824" s="47" t="e">
        <f>RATE(Table1[[#This Row],[Total No. of Coupons]],Table1[[#This Row],[Coupon Amount]],-Table1[[#This Row],[Ask Price]],Table1[[#This Row],[Face value]])</f>
        <v>#N/A</v>
      </c>
      <c r="AL824" s="27" t="e">
        <f>Table1[[#This Row],[IRR]]*Table1[[#This Row],[Coupon Frequency2]]</f>
        <v>#N/A</v>
      </c>
      <c r="AM824" s="5" t="e">
        <f t="shared" si="50"/>
        <v>#N/A</v>
      </c>
      <c r="AN824" t="s">
        <v>64</v>
      </c>
      <c r="AO824" t="s">
        <v>62</v>
      </c>
      <c r="AP824" t="str">
        <f t="shared" si="51"/>
        <v/>
      </c>
    </row>
    <row r="825" spans="4:42" x14ac:dyDescent="0.35">
      <c r="D825" s="21"/>
      <c r="E825" s="21"/>
      <c r="L825" s="22"/>
      <c r="S825">
        <f t="shared" si="48"/>
        <v>0</v>
      </c>
      <c r="T825" s="5" t="e" cm="1">
        <f t="array" ref="T8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5" t="e">
        <f>Table1[[#This Row],[Term to Maturity (Years)]]*Table1[[#This Row],[Coupon Frequency2]]</f>
        <v>#N/A</v>
      </c>
      <c r="V825">
        <f>Table1[[#This Row],[Face value]]*Table1[[#This Row],[Current coupon %]]</f>
        <v>0</v>
      </c>
      <c r="W825" s="36" t="e">
        <f>RATE(Table1[[#This Row],[Total No. of Coupons]],Table1[[#This Row],[Coupon Amount]],-Table1[[#This Row],[Ask Price]],Table1[[#This Row],[Face value]])</f>
        <v>#N/A</v>
      </c>
      <c r="X825" s="27" t="e">
        <f>Table1[[#This Row],[IRR]]*Table1[[#This Row],[Coupon Frequency2]]</f>
        <v>#N/A</v>
      </c>
      <c r="Y825" s="19" t="e" cm="1">
        <f t="array" ref="Y8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5" s="33" t="e">
        <f>DURATION(Table1[[#This Row],[Issue date]],Table1[[#This Row],[Maturity date]],Table1[[#This Row],[Current coupon %]],Table1[[#This Row],[Yield (Annualised)]],Table1[[#This Row],[Coupon Frequency2]])</f>
        <v>#N/A</v>
      </c>
      <c r="AA825" s="33" t="e">
        <f>Table1[[#This Row],[Macaulay Duration in Years]]/(1+Table1[[#This Row],[IRR]])</f>
        <v>#N/A</v>
      </c>
      <c r="AB825" s="58" t="e">
        <f>VLOOKUP(Table1[[#This Row],[Yield Cluster]],'Cluster Details'!$B$3:$C$16,2,0)</f>
        <v>#N/A</v>
      </c>
      <c r="AC82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5" s="58" t="e">
        <f>IF(Table1[[#This Row],[Ask Price]]&gt;Table1[[#This Row],[Calculated Bond Price]],"Rich","Cheap")</f>
        <v>#N/A</v>
      </c>
      <c r="AE82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5" s="78" t="e">
        <f>(Table1[[#This Row],[P (+ shock)]]+Table1[[#This Row],[P (-shock)]]-2*Table1[[#This Row],[Ask Price]])/(2*Table1[[#This Row],[Ask Price]]*($AF$2^2))</f>
        <v>#N/A</v>
      </c>
      <c r="AH825">
        <v>10.4765002439421</v>
      </c>
      <c r="AI825" s="6" t="e">
        <f t="shared" si="49"/>
        <v>#DIV/0!</v>
      </c>
      <c r="AK825" s="47" t="e">
        <f>RATE(Table1[[#This Row],[Total No. of Coupons]],Table1[[#This Row],[Coupon Amount]],-Table1[[#This Row],[Ask Price]],Table1[[#This Row],[Face value]])</f>
        <v>#N/A</v>
      </c>
      <c r="AL825" s="27" t="e">
        <f>Table1[[#This Row],[IRR]]*Table1[[#This Row],[Coupon Frequency2]]</f>
        <v>#N/A</v>
      </c>
      <c r="AM825" s="5" t="e">
        <f t="shared" si="50"/>
        <v>#N/A</v>
      </c>
      <c r="AN825" t="s">
        <v>64</v>
      </c>
      <c r="AO825" t="s">
        <v>62</v>
      </c>
      <c r="AP825" t="str">
        <f t="shared" si="51"/>
        <v/>
      </c>
    </row>
    <row r="826" spans="4:42" x14ac:dyDescent="0.35">
      <c r="D826" s="21"/>
      <c r="E826" s="21"/>
      <c r="L826" s="22"/>
      <c r="S826">
        <f t="shared" si="48"/>
        <v>0</v>
      </c>
      <c r="T826" s="5" t="e" cm="1">
        <f t="array" ref="T8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6" t="e">
        <f>Table1[[#This Row],[Term to Maturity (Years)]]*Table1[[#This Row],[Coupon Frequency2]]</f>
        <v>#N/A</v>
      </c>
      <c r="V826">
        <f>Table1[[#This Row],[Face value]]*Table1[[#This Row],[Current coupon %]]</f>
        <v>0</v>
      </c>
      <c r="W826" s="36" t="e">
        <f>RATE(Table1[[#This Row],[Total No. of Coupons]],Table1[[#This Row],[Coupon Amount]],-Table1[[#This Row],[Ask Price]],Table1[[#This Row],[Face value]])</f>
        <v>#N/A</v>
      </c>
      <c r="X826" s="27" t="e">
        <f>Table1[[#This Row],[IRR]]*Table1[[#This Row],[Coupon Frequency2]]</f>
        <v>#N/A</v>
      </c>
      <c r="Y826" s="19" t="e" cm="1">
        <f t="array" ref="Y8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6" s="33" t="e">
        <f>DURATION(Table1[[#This Row],[Issue date]],Table1[[#This Row],[Maturity date]],Table1[[#This Row],[Current coupon %]],Table1[[#This Row],[Yield (Annualised)]],Table1[[#This Row],[Coupon Frequency2]])</f>
        <v>#N/A</v>
      </c>
      <c r="AA826" s="33" t="e">
        <f>Table1[[#This Row],[Macaulay Duration in Years]]/(1+Table1[[#This Row],[IRR]])</f>
        <v>#N/A</v>
      </c>
      <c r="AB826" s="58" t="e">
        <f>VLOOKUP(Table1[[#This Row],[Yield Cluster]],'Cluster Details'!$B$3:$C$16,2,0)</f>
        <v>#N/A</v>
      </c>
      <c r="AC82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6" s="58" t="e">
        <f>IF(Table1[[#This Row],[Ask Price]]&gt;Table1[[#This Row],[Calculated Bond Price]],"Rich","Cheap")</f>
        <v>#N/A</v>
      </c>
      <c r="AE82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6" s="78" t="e">
        <f>(Table1[[#This Row],[P (+ shock)]]+Table1[[#This Row],[P (-shock)]]-2*Table1[[#This Row],[Ask Price]])/(2*Table1[[#This Row],[Ask Price]]*($AF$2^2))</f>
        <v>#N/A</v>
      </c>
      <c r="AH826">
        <v>10.445979261663499</v>
      </c>
      <c r="AI826" s="6" t="e">
        <f t="shared" si="49"/>
        <v>#DIV/0!</v>
      </c>
      <c r="AK826" s="47" t="e">
        <f>RATE(Table1[[#This Row],[Total No. of Coupons]],Table1[[#This Row],[Coupon Amount]],-Table1[[#This Row],[Ask Price]],Table1[[#This Row],[Face value]])</f>
        <v>#N/A</v>
      </c>
      <c r="AL826" s="27" t="e">
        <f>Table1[[#This Row],[IRR]]*Table1[[#This Row],[Coupon Frequency2]]</f>
        <v>#N/A</v>
      </c>
      <c r="AM826" s="5" t="e">
        <f t="shared" si="50"/>
        <v>#N/A</v>
      </c>
      <c r="AN826" t="s">
        <v>64</v>
      </c>
      <c r="AO826" t="s">
        <v>62</v>
      </c>
      <c r="AP826" t="str">
        <f t="shared" si="51"/>
        <v/>
      </c>
    </row>
    <row r="827" spans="4:42" x14ac:dyDescent="0.35">
      <c r="D827" s="21"/>
      <c r="E827" s="21"/>
      <c r="L827" s="22"/>
      <c r="S827">
        <f t="shared" si="48"/>
        <v>0</v>
      </c>
      <c r="T827" s="5" t="e" cm="1">
        <f t="array" ref="T8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7" t="e">
        <f>Table1[[#This Row],[Term to Maturity (Years)]]*Table1[[#This Row],[Coupon Frequency2]]</f>
        <v>#N/A</v>
      </c>
      <c r="V827">
        <f>Table1[[#This Row],[Face value]]*Table1[[#This Row],[Current coupon %]]</f>
        <v>0</v>
      </c>
      <c r="W827" s="36" t="e">
        <f>RATE(Table1[[#This Row],[Total No. of Coupons]],Table1[[#This Row],[Coupon Amount]],-Table1[[#This Row],[Ask Price]],Table1[[#This Row],[Face value]])</f>
        <v>#N/A</v>
      </c>
      <c r="X827" s="27" t="e">
        <f>Table1[[#This Row],[IRR]]*Table1[[#This Row],[Coupon Frequency2]]</f>
        <v>#N/A</v>
      </c>
      <c r="Y827" s="19" t="e" cm="1">
        <f t="array" ref="Y8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7" s="33" t="e">
        <f>DURATION(Table1[[#This Row],[Issue date]],Table1[[#This Row],[Maturity date]],Table1[[#This Row],[Current coupon %]],Table1[[#This Row],[Yield (Annualised)]],Table1[[#This Row],[Coupon Frequency2]])</f>
        <v>#N/A</v>
      </c>
      <c r="AA827" s="33" t="e">
        <f>Table1[[#This Row],[Macaulay Duration in Years]]/(1+Table1[[#This Row],[IRR]])</f>
        <v>#N/A</v>
      </c>
      <c r="AB827" s="58" t="e">
        <f>VLOOKUP(Table1[[#This Row],[Yield Cluster]],'Cluster Details'!$B$3:$C$16,2,0)</f>
        <v>#N/A</v>
      </c>
      <c r="AC82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7" s="58" t="e">
        <f>IF(Table1[[#This Row],[Ask Price]]&gt;Table1[[#This Row],[Calculated Bond Price]],"Rich","Cheap")</f>
        <v>#N/A</v>
      </c>
      <c r="AE82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7" s="78" t="e">
        <f>(Table1[[#This Row],[P (+ shock)]]+Table1[[#This Row],[P (-shock)]]-2*Table1[[#This Row],[Ask Price]])/(2*Table1[[#This Row],[Ask Price]]*($AF$2^2))</f>
        <v>#N/A</v>
      </c>
      <c r="AI827" s="6" t="e">
        <f t="shared" si="49"/>
        <v>#DIV/0!</v>
      </c>
      <c r="AK827" s="47" t="e">
        <f>RATE(Table1[[#This Row],[Total No. of Coupons]],Table1[[#This Row],[Coupon Amount]],-Table1[[#This Row],[Ask Price]],Table1[[#This Row],[Face value]])</f>
        <v>#N/A</v>
      </c>
      <c r="AL827" s="27" t="e">
        <f>Table1[[#This Row],[IRR]]*Table1[[#This Row],[Coupon Frequency2]]</f>
        <v>#N/A</v>
      </c>
      <c r="AM827" s="5" t="e">
        <f t="shared" si="50"/>
        <v>#N/A</v>
      </c>
      <c r="AN827" t="s">
        <v>69</v>
      </c>
      <c r="AO827" t="s">
        <v>62</v>
      </c>
      <c r="AP827" t="str">
        <f t="shared" si="51"/>
        <v/>
      </c>
    </row>
    <row r="828" spans="4:42" x14ac:dyDescent="0.35">
      <c r="D828" s="21"/>
      <c r="E828" s="21"/>
      <c r="L828" s="22"/>
      <c r="S828">
        <f t="shared" si="48"/>
        <v>0</v>
      </c>
      <c r="T828" s="5" t="e" cm="1">
        <f t="array" ref="T8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8" t="e">
        <f>Table1[[#This Row],[Term to Maturity (Years)]]*Table1[[#This Row],[Coupon Frequency2]]</f>
        <v>#N/A</v>
      </c>
      <c r="V828">
        <f>Table1[[#This Row],[Face value]]*Table1[[#This Row],[Current coupon %]]</f>
        <v>0</v>
      </c>
      <c r="W828" s="36" t="e">
        <f>RATE(Table1[[#This Row],[Total No. of Coupons]],Table1[[#This Row],[Coupon Amount]],-Table1[[#This Row],[Ask Price]],Table1[[#This Row],[Face value]])</f>
        <v>#N/A</v>
      </c>
      <c r="X828" s="27" t="e">
        <f>Table1[[#This Row],[IRR]]*Table1[[#This Row],[Coupon Frequency2]]</f>
        <v>#N/A</v>
      </c>
      <c r="Y828" s="19" t="e" cm="1">
        <f t="array" ref="Y8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8" s="33" t="e">
        <f>DURATION(Table1[[#This Row],[Issue date]],Table1[[#This Row],[Maturity date]],Table1[[#This Row],[Current coupon %]],Table1[[#This Row],[Yield (Annualised)]],Table1[[#This Row],[Coupon Frequency2]])</f>
        <v>#N/A</v>
      </c>
      <c r="AA828" s="33" t="e">
        <f>Table1[[#This Row],[Macaulay Duration in Years]]/(1+Table1[[#This Row],[IRR]])</f>
        <v>#N/A</v>
      </c>
      <c r="AB828" s="58" t="e">
        <f>VLOOKUP(Table1[[#This Row],[Yield Cluster]],'Cluster Details'!$B$3:$C$16,2,0)</f>
        <v>#N/A</v>
      </c>
      <c r="AC82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8" s="58" t="e">
        <f>IF(Table1[[#This Row],[Ask Price]]&gt;Table1[[#This Row],[Calculated Bond Price]],"Rich","Cheap")</f>
        <v>#N/A</v>
      </c>
      <c r="AE82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8" s="78" t="e">
        <f>(Table1[[#This Row],[P (+ shock)]]+Table1[[#This Row],[P (-shock)]]-2*Table1[[#This Row],[Ask Price]])/(2*Table1[[#This Row],[Ask Price]]*($AF$2^2))</f>
        <v>#N/A</v>
      </c>
      <c r="AH828">
        <v>11.7159399292009</v>
      </c>
      <c r="AI828" s="6" t="e">
        <f t="shared" si="49"/>
        <v>#DIV/0!</v>
      </c>
      <c r="AK828" s="47" t="e">
        <f>RATE(Table1[[#This Row],[Total No. of Coupons]],Table1[[#This Row],[Coupon Amount]],-Table1[[#This Row],[Ask Price]],Table1[[#This Row],[Face value]])</f>
        <v>#N/A</v>
      </c>
      <c r="AL828" s="27" t="e">
        <f>Table1[[#This Row],[IRR]]*Table1[[#This Row],[Coupon Frequency2]]</f>
        <v>#N/A</v>
      </c>
      <c r="AM828" s="5" t="e">
        <f t="shared" si="50"/>
        <v>#N/A</v>
      </c>
      <c r="AN828" t="s">
        <v>64</v>
      </c>
      <c r="AO828" t="s">
        <v>62</v>
      </c>
      <c r="AP828" t="str">
        <f t="shared" si="51"/>
        <v/>
      </c>
    </row>
    <row r="829" spans="4:42" x14ac:dyDescent="0.35">
      <c r="D829" s="21"/>
      <c r="E829" s="21"/>
      <c r="L829" s="22"/>
      <c r="S829">
        <f t="shared" si="48"/>
        <v>0</v>
      </c>
      <c r="T829" s="5" t="e" cm="1">
        <f t="array" ref="T8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29" t="e">
        <f>Table1[[#This Row],[Term to Maturity (Years)]]*Table1[[#This Row],[Coupon Frequency2]]</f>
        <v>#N/A</v>
      </c>
      <c r="V829">
        <f>Table1[[#This Row],[Face value]]*Table1[[#This Row],[Current coupon %]]</f>
        <v>0</v>
      </c>
      <c r="W829" s="36" t="e">
        <f>RATE(Table1[[#This Row],[Total No. of Coupons]],Table1[[#This Row],[Coupon Amount]],-Table1[[#This Row],[Ask Price]],Table1[[#This Row],[Face value]])</f>
        <v>#N/A</v>
      </c>
      <c r="X829" s="27" t="e">
        <f>Table1[[#This Row],[IRR]]*Table1[[#This Row],[Coupon Frequency2]]</f>
        <v>#N/A</v>
      </c>
      <c r="Y829" s="19" t="e" cm="1">
        <f t="array" ref="Y8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29" s="33" t="e">
        <f>DURATION(Table1[[#This Row],[Issue date]],Table1[[#This Row],[Maturity date]],Table1[[#This Row],[Current coupon %]],Table1[[#This Row],[Yield (Annualised)]],Table1[[#This Row],[Coupon Frequency2]])</f>
        <v>#N/A</v>
      </c>
      <c r="AA829" s="33" t="e">
        <f>Table1[[#This Row],[Macaulay Duration in Years]]/(1+Table1[[#This Row],[IRR]])</f>
        <v>#N/A</v>
      </c>
      <c r="AB829" s="58" t="e">
        <f>VLOOKUP(Table1[[#This Row],[Yield Cluster]],'Cluster Details'!$B$3:$C$16,2,0)</f>
        <v>#N/A</v>
      </c>
      <c r="AC82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29" s="58" t="e">
        <f>IF(Table1[[#This Row],[Ask Price]]&gt;Table1[[#This Row],[Calculated Bond Price]],"Rich","Cheap")</f>
        <v>#N/A</v>
      </c>
      <c r="AE82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2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29" s="78" t="e">
        <f>(Table1[[#This Row],[P (+ shock)]]+Table1[[#This Row],[P (-shock)]]-2*Table1[[#This Row],[Ask Price]])/(2*Table1[[#This Row],[Ask Price]]*($AF$2^2))</f>
        <v>#N/A</v>
      </c>
      <c r="AH829">
        <v>11.2139036867918</v>
      </c>
      <c r="AI829" s="6" t="e">
        <f t="shared" si="49"/>
        <v>#DIV/0!</v>
      </c>
      <c r="AK829" s="47" t="e">
        <f>RATE(Table1[[#This Row],[Total No. of Coupons]],Table1[[#This Row],[Coupon Amount]],-Table1[[#This Row],[Ask Price]],Table1[[#This Row],[Face value]])</f>
        <v>#N/A</v>
      </c>
      <c r="AL829" s="27" t="e">
        <f>Table1[[#This Row],[IRR]]*Table1[[#This Row],[Coupon Frequency2]]</f>
        <v>#N/A</v>
      </c>
      <c r="AM829" s="5" t="e">
        <f t="shared" si="50"/>
        <v>#N/A</v>
      </c>
      <c r="AN829" t="s">
        <v>64</v>
      </c>
      <c r="AO829" t="s">
        <v>62</v>
      </c>
      <c r="AP829" t="str">
        <f t="shared" si="51"/>
        <v/>
      </c>
    </row>
    <row r="830" spans="4:42" x14ac:dyDescent="0.35">
      <c r="D830" s="21"/>
      <c r="E830" s="21"/>
      <c r="L830" s="22"/>
      <c r="S830">
        <f t="shared" si="48"/>
        <v>0</v>
      </c>
      <c r="T830" s="5" t="e" cm="1">
        <f t="array" ref="T8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0" t="e">
        <f>Table1[[#This Row],[Term to Maturity (Years)]]*Table1[[#This Row],[Coupon Frequency2]]</f>
        <v>#N/A</v>
      </c>
      <c r="V830">
        <f>Table1[[#This Row],[Face value]]*Table1[[#This Row],[Current coupon %]]</f>
        <v>0</v>
      </c>
      <c r="W830" s="36" t="e">
        <f>RATE(Table1[[#This Row],[Total No. of Coupons]],Table1[[#This Row],[Coupon Amount]],-Table1[[#This Row],[Ask Price]],Table1[[#This Row],[Face value]])</f>
        <v>#N/A</v>
      </c>
      <c r="X830" s="27" t="e">
        <f>Table1[[#This Row],[IRR]]*Table1[[#This Row],[Coupon Frequency2]]</f>
        <v>#N/A</v>
      </c>
      <c r="Y830" s="19" t="e" cm="1">
        <f t="array" ref="Y8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0" s="33" t="e">
        <f>DURATION(Table1[[#This Row],[Issue date]],Table1[[#This Row],[Maturity date]],Table1[[#This Row],[Current coupon %]],Table1[[#This Row],[Yield (Annualised)]],Table1[[#This Row],[Coupon Frequency2]])</f>
        <v>#N/A</v>
      </c>
      <c r="AA830" s="33" t="e">
        <f>Table1[[#This Row],[Macaulay Duration in Years]]/(1+Table1[[#This Row],[IRR]])</f>
        <v>#N/A</v>
      </c>
      <c r="AB830" s="58" t="e">
        <f>VLOOKUP(Table1[[#This Row],[Yield Cluster]],'Cluster Details'!$B$3:$C$16,2,0)</f>
        <v>#N/A</v>
      </c>
      <c r="AC83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0" s="58" t="e">
        <f>IF(Table1[[#This Row],[Ask Price]]&gt;Table1[[#This Row],[Calculated Bond Price]],"Rich","Cheap")</f>
        <v>#N/A</v>
      </c>
      <c r="AE83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0" s="78" t="e">
        <f>(Table1[[#This Row],[P (+ shock)]]+Table1[[#This Row],[P (-shock)]]-2*Table1[[#This Row],[Ask Price]])/(2*Table1[[#This Row],[Ask Price]]*($AF$2^2))</f>
        <v>#N/A</v>
      </c>
      <c r="AH830">
        <v>9.1333313969107994</v>
      </c>
      <c r="AI830" s="6" t="e">
        <f t="shared" si="49"/>
        <v>#DIV/0!</v>
      </c>
      <c r="AK830" s="47" t="e">
        <f>RATE(Table1[[#This Row],[Total No. of Coupons]],Table1[[#This Row],[Coupon Amount]],-Table1[[#This Row],[Ask Price]],Table1[[#This Row],[Face value]])</f>
        <v>#N/A</v>
      </c>
      <c r="AL830" s="27" t="e">
        <f>Table1[[#This Row],[IRR]]*Table1[[#This Row],[Coupon Frequency2]]</f>
        <v>#N/A</v>
      </c>
      <c r="AM830" s="5" t="e">
        <f t="shared" si="50"/>
        <v>#N/A</v>
      </c>
      <c r="AN830" t="s">
        <v>64</v>
      </c>
      <c r="AO830" t="s">
        <v>62</v>
      </c>
      <c r="AP830" t="str">
        <f t="shared" si="51"/>
        <v/>
      </c>
    </row>
    <row r="831" spans="4:42" x14ac:dyDescent="0.35">
      <c r="D831" s="21"/>
      <c r="E831" s="21"/>
      <c r="L831" s="22"/>
      <c r="S831">
        <f t="shared" si="48"/>
        <v>0</v>
      </c>
      <c r="T831" s="5" t="e" cm="1">
        <f t="array" ref="T8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1" t="e">
        <f>Table1[[#This Row],[Term to Maturity (Years)]]*Table1[[#This Row],[Coupon Frequency2]]</f>
        <v>#N/A</v>
      </c>
      <c r="V831">
        <f>Table1[[#This Row],[Face value]]*Table1[[#This Row],[Current coupon %]]</f>
        <v>0</v>
      </c>
      <c r="W831" s="36" t="e">
        <f>RATE(Table1[[#This Row],[Total No. of Coupons]],Table1[[#This Row],[Coupon Amount]],-Table1[[#This Row],[Ask Price]],Table1[[#This Row],[Face value]])</f>
        <v>#N/A</v>
      </c>
      <c r="X831" s="27" t="e">
        <f>Table1[[#This Row],[IRR]]*Table1[[#This Row],[Coupon Frequency2]]</f>
        <v>#N/A</v>
      </c>
      <c r="Y831" s="19" t="e" cm="1">
        <f t="array" ref="Y8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1" s="33" t="e">
        <f>DURATION(Table1[[#This Row],[Issue date]],Table1[[#This Row],[Maturity date]],Table1[[#This Row],[Current coupon %]],Table1[[#This Row],[Yield (Annualised)]],Table1[[#This Row],[Coupon Frequency2]])</f>
        <v>#N/A</v>
      </c>
      <c r="AA831" s="33" t="e">
        <f>Table1[[#This Row],[Macaulay Duration in Years]]/(1+Table1[[#This Row],[IRR]])</f>
        <v>#N/A</v>
      </c>
      <c r="AB831" s="58" t="e">
        <f>VLOOKUP(Table1[[#This Row],[Yield Cluster]],'Cluster Details'!$B$3:$C$16,2,0)</f>
        <v>#N/A</v>
      </c>
      <c r="AC83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1" s="58" t="e">
        <f>IF(Table1[[#This Row],[Ask Price]]&gt;Table1[[#This Row],[Calculated Bond Price]],"Rich","Cheap")</f>
        <v>#N/A</v>
      </c>
      <c r="AE83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1" s="78" t="e">
        <f>(Table1[[#This Row],[P (+ shock)]]+Table1[[#This Row],[P (-shock)]]-2*Table1[[#This Row],[Ask Price]])/(2*Table1[[#This Row],[Ask Price]]*($AF$2^2))</f>
        <v>#N/A</v>
      </c>
      <c r="AI831" s="6" t="e">
        <f t="shared" si="49"/>
        <v>#DIV/0!</v>
      </c>
      <c r="AK831" s="47" t="e">
        <f>RATE(Table1[[#This Row],[Total No. of Coupons]],Table1[[#This Row],[Coupon Amount]],-Table1[[#This Row],[Ask Price]],Table1[[#This Row],[Face value]])</f>
        <v>#N/A</v>
      </c>
      <c r="AL831" s="27" t="e">
        <f>Table1[[#This Row],[IRR]]*Table1[[#This Row],[Coupon Frequency2]]</f>
        <v>#N/A</v>
      </c>
      <c r="AM831" s="5" t="e">
        <f t="shared" si="50"/>
        <v>#N/A</v>
      </c>
      <c r="AN831" t="s">
        <v>64</v>
      </c>
      <c r="AO831" t="s">
        <v>62</v>
      </c>
      <c r="AP831" t="str">
        <f t="shared" si="51"/>
        <v/>
      </c>
    </row>
    <row r="832" spans="4:42" x14ac:dyDescent="0.35">
      <c r="D832" s="21"/>
      <c r="E832" s="21"/>
      <c r="L832" s="22"/>
      <c r="S832">
        <f t="shared" si="48"/>
        <v>0</v>
      </c>
      <c r="T832" s="5" t="e" cm="1">
        <f t="array" ref="T8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2" t="e">
        <f>Table1[[#This Row],[Term to Maturity (Years)]]*Table1[[#This Row],[Coupon Frequency2]]</f>
        <v>#N/A</v>
      </c>
      <c r="V832">
        <f>Table1[[#This Row],[Face value]]*Table1[[#This Row],[Current coupon %]]</f>
        <v>0</v>
      </c>
      <c r="W832" s="36" t="e">
        <f>RATE(Table1[[#This Row],[Total No. of Coupons]],Table1[[#This Row],[Coupon Amount]],-Table1[[#This Row],[Ask Price]],Table1[[#This Row],[Face value]])</f>
        <v>#N/A</v>
      </c>
      <c r="X832" s="27" t="e">
        <f>Table1[[#This Row],[IRR]]*Table1[[#This Row],[Coupon Frequency2]]</f>
        <v>#N/A</v>
      </c>
      <c r="Y832" s="19" t="e" cm="1">
        <f t="array" ref="Y8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2" s="33" t="e">
        <f>DURATION(Table1[[#This Row],[Issue date]],Table1[[#This Row],[Maturity date]],Table1[[#This Row],[Current coupon %]],Table1[[#This Row],[Yield (Annualised)]],Table1[[#This Row],[Coupon Frequency2]])</f>
        <v>#N/A</v>
      </c>
      <c r="AA832" s="33" t="e">
        <f>Table1[[#This Row],[Macaulay Duration in Years]]/(1+Table1[[#This Row],[IRR]])</f>
        <v>#N/A</v>
      </c>
      <c r="AB832" s="58" t="e">
        <f>VLOOKUP(Table1[[#This Row],[Yield Cluster]],'Cluster Details'!$B$3:$C$16,2,0)</f>
        <v>#N/A</v>
      </c>
      <c r="AC83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2" s="58" t="e">
        <f>IF(Table1[[#This Row],[Ask Price]]&gt;Table1[[#This Row],[Calculated Bond Price]],"Rich","Cheap")</f>
        <v>#N/A</v>
      </c>
      <c r="AE83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2" s="78" t="e">
        <f>(Table1[[#This Row],[P (+ shock)]]+Table1[[#This Row],[P (-shock)]]-2*Table1[[#This Row],[Ask Price]])/(2*Table1[[#This Row],[Ask Price]]*($AF$2^2))</f>
        <v>#N/A</v>
      </c>
      <c r="AH832">
        <v>10.681006744875701</v>
      </c>
      <c r="AI832" s="6" t="e">
        <f t="shared" si="49"/>
        <v>#DIV/0!</v>
      </c>
      <c r="AK832" s="47" t="e">
        <f>RATE(Table1[[#This Row],[Total No. of Coupons]],Table1[[#This Row],[Coupon Amount]],-Table1[[#This Row],[Ask Price]],Table1[[#This Row],[Face value]])</f>
        <v>#N/A</v>
      </c>
      <c r="AL832" s="27" t="e">
        <f>Table1[[#This Row],[IRR]]*Table1[[#This Row],[Coupon Frequency2]]</f>
        <v>#N/A</v>
      </c>
      <c r="AM832" s="5" t="e">
        <f t="shared" si="50"/>
        <v>#N/A</v>
      </c>
      <c r="AN832" t="s">
        <v>64</v>
      </c>
      <c r="AO832" t="s">
        <v>62</v>
      </c>
      <c r="AP832" t="str">
        <f t="shared" si="51"/>
        <v/>
      </c>
    </row>
    <row r="833" spans="4:42" x14ac:dyDescent="0.35">
      <c r="D833" s="21"/>
      <c r="E833" s="21"/>
      <c r="L833" s="22"/>
      <c r="S833">
        <f t="shared" si="48"/>
        <v>0</v>
      </c>
      <c r="T833" s="5" t="e" cm="1">
        <f t="array" ref="T8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3" t="e">
        <f>Table1[[#This Row],[Term to Maturity (Years)]]*Table1[[#This Row],[Coupon Frequency2]]</f>
        <v>#N/A</v>
      </c>
      <c r="V833">
        <f>Table1[[#This Row],[Face value]]*Table1[[#This Row],[Current coupon %]]</f>
        <v>0</v>
      </c>
      <c r="W833" s="36" t="e">
        <f>RATE(Table1[[#This Row],[Total No. of Coupons]],Table1[[#This Row],[Coupon Amount]],-Table1[[#This Row],[Ask Price]],Table1[[#This Row],[Face value]])</f>
        <v>#N/A</v>
      </c>
      <c r="X833" s="27" t="e">
        <f>Table1[[#This Row],[IRR]]*Table1[[#This Row],[Coupon Frequency2]]</f>
        <v>#N/A</v>
      </c>
      <c r="Y833" s="19" t="e" cm="1">
        <f t="array" ref="Y8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3" s="33" t="e">
        <f>DURATION(Table1[[#This Row],[Issue date]],Table1[[#This Row],[Maturity date]],Table1[[#This Row],[Current coupon %]],Table1[[#This Row],[Yield (Annualised)]],Table1[[#This Row],[Coupon Frequency2]])</f>
        <v>#N/A</v>
      </c>
      <c r="AA833" s="33" t="e">
        <f>Table1[[#This Row],[Macaulay Duration in Years]]/(1+Table1[[#This Row],[IRR]])</f>
        <v>#N/A</v>
      </c>
      <c r="AB833" s="58" t="e">
        <f>VLOOKUP(Table1[[#This Row],[Yield Cluster]],'Cluster Details'!$B$3:$C$16,2,0)</f>
        <v>#N/A</v>
      </c>
      <c r="AC83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3" s="58" t="e">
        <f>IF(Table1[[#This Row],[Ask Price]]&gt;Table1[[#This Row],[Calculated Bond Price]],"Rich","Cheap")</f>
        <v>#N/A</v>
      </c>
      <c r="AE83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3" s="78" t="e">
        <f>(Table1[[#This Row],[P (+ shock)]]+Table1[[#This Row],[P (-shock)]]-2*Table1[[#This Row],[Ask Price]])/(2*Table1[[#This Row],[Ask Price]]*($AF$2^2))</f>
        <v>#N/A</v>
      </c>
      <c r="AI833" s="6" t="e">
        <f t="shared" si="49"/>
        <v>#DIV/0!</v>
      </c>
      <c r="AK833" s="47" t="e">
        <f>RATE(Table1[[#This Row],[Total No. of Coupons]],Table1[[#This Row],[Coupon Amount]],-Table1[[#This Row],[Ask Price]],Table1[[#This Row],[Face value]])</f>
        <v>#N/A</v>
      </c>
      <c r="AL833" s="27" t="e">
        <f>Table1[[#This Row],[IRR]]*Table1[[#This Row],[Coupon Frequency2]]</f>
        <v>#N/A</v>
      </c>
      <c r="AM833" s="5" t="e">
        <f t="shared" si="50"/>
        <v>#N/A</v>
      </c>
      <c r="AN833" t="s">
        <v>64</v>
      </c>
      <c r="AO833" t="s">
        <v>62</v>
      </c>
      <c r="AP833" t="str">
        <f t="shared" si="51"/>
        <v/>
      </c>
    </row>
    <row r="834" spans="4:42" x14ac:dyDescent="0.35">
      <c r="D834" s="21"/>
      <c r="E834" s="21"/>
      <c r="L834" s="22"/>
      <c r="S834">
        <f t="shared" si="48"/>
        <v>0</v>
      </c>
      <c r="T834" s="5" t="e" cm="1">
        <f t="array" ref="T8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4" t="e">
        <f>Table1[[#This Row],[Term to Maturity (Years)]]*Table1[[#This Row],[Coupon Frequency2]]</f>
        <v>#N/A</v>
      </c>
      <c r="V834">
        <f>Table1[[#This Row],[Face value]]*Table1[[#This Row],[Current coupon %]]</f>
        <v>0</v>
      </c>
      <c r="W834" s="36" t="e">
        <f>RATE(Table1[[#This Row],[Total No. of Coupons]],Table1[[#This Row],[Coupon Amount]],-Table1[[#This Row],[Ask Price]],Table1[[#This Row],[Face value]])</f>
        <v>#N/A</v>
      </c>
      <c r="X834" s="27" t="e">
        <f>Table1[[#This Row],[IRR]]*Table1[[#This Row],[Coupon Frequency2]]</f>
        <v>#N/A</v>
      </c>
      <c r="Y834" s="19" t="e" cm="1">
        <f t="array" ref="Y8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4" s="33" t="e">
        <f>DURATION(Table1[[#This Row],[Issue date]],Table1[[#This Row],[Maturity date]],Table1[[#This Row],[Current coupon %]],Table1[[#This Row],[Yield (Annualised)]],Table1[[#This Row],[Coupon Frequency2]])</f>
        <v>#N/A</v>
      </c>
      <c r="AA834" s="33" t="e">
        <f>Table1[[#This Row],[Macaulay Duration in Years]]/(1+Table1[[#This Row],[IRR]])</f>
        <v>#N/A</v>
      </c>
      <c r="AB834" s="58" t="e">
        <f>VLOOKUP(Table1[[#This Row],[Yield Cluster]],'Cluster Details'!$B$3:$C$16,2,0)</f>
        <v>#N/A</v>
      </c>
      <c r="AC83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4" s="58" t="e">
        <f>IF(Table1[[#This Row],[Ask Price]]&gt;Table1[[#This Row],[Calculated Bond Price]],"Rich","Cheap")</f>
        <v>#N/A</v>
      </c>
      <c r="AE83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4" s="78" t="e">
        <f>(Table1[[#This Row],[P (+ shock)]]+Table1[[#This Row],[P (-shock)]]-2*Table1[[#This Row],[Ask Price]])/(2*Table1[[#This Row],[Ask Price]]*($AF$2^2))</f>
        <v>#N/A</v>
      </c>
      <c r="AH834">
        <v>10.047330272049299</v>
      </c>
      <c r="AI834" s="6" t="e">
        <f t="shared" si="49"/>
        <v>#DIV/0!</v>
      </c>
      <c r="AK834" s="47" t="e">
        <f>RATE(Table1[[#This Row],[Total No. of Coupons]],Table1[[#This Row],[Coupon Amount]],-Table1[[#This Row],[Ask Price]],Table1[[#This Row],[Face value]])</f>
        <v>#N/A</v>
      </c>
      <c r="AL834" s="27" t="e">
        <f>Table1[[#This Row],[IRR]]*Table1[[#This Row],[Coupon Frequency2]]</f>
        <v>#N/A</v>
      </c>
      <c r="AM834" s="5" t="e">
        <f t="shared" si="50"/>
        <v>#N/A</v>
      </c>
      <c r="AN834" t="s">
        <v>64</v>
      </c>
      <c r="AO834" t="s">
        <v>62</v>
      </c>
      <c r="AP834" t="str">
        <f t="shared" si="51"/>
        <v/>
      </c>
    </row>
    <row r="835" spans="4:42" x14ac:dyDescent="0.35">
      <c r="D835" s="21"/>
      <c r="E835" s="21"/>
      <c r="L835" s="22"/>
      <c r="S835">
        <f t="shared" si="48"/>
        <v>0</v>
      </c>
      <c r="T835" s="5" t="e" cm="1">
        <f t="array" ref="T8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5" t="e">
        <f>Table1[[#This Row],[Term to Maturity (Years)]]*Table1[[#This Row],[Coupon Frequency2]]</f>
        <v>#N/A</v>
      </c>
      <c r="V835">
        <f>Table1[[#This Row],[Face value]]*Table1[[#This Row],[Current coupon %]]</f>
        <v>0</v>
      </c>
      <c r="W835" s="36" t="e">
        <f>RATE(Table1[[#This Row],[Total No. of Coupons]],Table1[[#This Row],[Coupon Amount]],-Table1[[#This Row],[Ask Price]],Table1[[#This Row],[Face value]])</f>
        <v>#N/A</v>
      </c>
      <c r="X835" s="27" t="e">
        <f>Table1[[#This Row],[IRR]]*Table1[[#This Row],[Coupon Frequency2]]</f>
        <v>#N/A</v>
      </c>
      <c r="Y835" s="19" t="e" cm="1">
        <f t="array" ref="Y8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5" s="33" t="e">
        <f>DURATION(Table1[[#This Row],[Issue date]],Table1[[#This Row],[Maturity date]],Table1[[#This Row],[Current coupon %]],Table1[[#This Row],[Yield (Annualised)]],Table1[[#This Row],[Coupon Frequency2]])</f>
        <v>#N/A</v>
      </c>
      <c r="AA835" s="33" t="e">
        <f>Table1[[#This Row],[Macaulay Duration in Years]]/(1+Table1[[#This Row],[IRR]])</f>
        <v>#N/A</v>
      </c>
      <c r="AB835" s="58" t="e">
        <f>VLOOKUP(Table1[[#This Row],[Yield Cluster]],'Cluster Details'!$B$3:$C$16,2,0)</f>
        <v>#N/A</v>
      </c>
      <c r="AC83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5" s="58" t="e">
        <f>IF(Table1[[#This Row],[Ask Price]]&gt;Table1[[#This Row],[Calculated Bond Price]],"Rich","Cheap")</f>
        <v>#N/A</v>
      </c>
      <c r="AE83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5" s="78" t="e">
        <f>(Table1[[#This Row],[P (+ shock)]]+Table1[[#This Row],[P (-shock)]]-2*Table1[[#This Row],[Ask Price]])/(2*Table1[[#This Row],[Ask Price]]*($AF$2^2))</f>
        <v>#N/A</v>
      </c>
      <c r="AI835" s="6" t="e">
        <f t="shared" si="49"/>
        <v>#DIV/0!</v>
      </c>
      <c r="AK835" s="47" t="e">
        <f>RATE(Table1[[#This Row],[Total No. of Coupons]],Table1[[#This Row],[Coupon Amount]],-Table1[[#This Row],[Ask Price]],Table1[[#This Row],[Face value]])</f>
        <v>#N/A</v>
      </c>
      <c r="AL835" s="27" t="e">
        <f>Table1[[#This Row],[IRR]]*Table1[[#This Row],[Coupon Frequency2]]</f>
        <v>#N/A</v>
      </c>
      <c r="AM835" s="5" t="e">
        <f t="shared" si="50"/>
        <v>#N/A</v>
      </c>
      <c r="AN835" t="s">
        <v>64</v>
      </c>
      <c r="AO835" t="s">
        <v>62</v>
      </c>
      <c r="AP835" t="str">
        <f t="shared" si="51"/>
        <v/>
      </c>
    </row>
    <row r="836" spans="4:42" x14ac:dyDescent="0.35">
      <c r="D836" s="21"/>
      <c r="E836" s="21"/>
      <c r="L836" s="22"/>
      <c r="S836">
        <f t="shared" ref="S836:S899" si="52">ROUND(YEARFRAC(D836,E836),0)</f>
        <v>0</v>
      </c>
      <c r="T836" s="5" t="e" cm="1">
        <f t="array" ref="T8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6" t="e">
        <f>Table1[[#This Row],[Term to Maturity (Years)]]*Table1[[#This Row],[Coupon Frequency2]]</f>
        <v>#N/A</v>
      </c>
      <c r="V836">
        <f>Table1[[#This Row],[Face value]]*Table1[[#This Row],[Current coupon %]]</f>
        <v>0</v>
      </c>
      <c r="W836" s="36" t="e">
        <f>RATE(Table1[[#This Row],[Total No. of Coupons]],Table1[[#This Row],[Coupon Amount]],-Table1[[#This Row],[Ask Price]],Table1[[#This Row],[Face value]])</f>
        <v>#N/A</v>
      </c>
      <c r="X836" s="27" t="e">
        <f>Table1[[#This Row],[IRR]]*Table1[[#This Row],[Coupon Frequency2]]</f>
        <v>#N/A</v>
      </c>
      <c r="Y836" s="19" t="e" cm="1">
        <f t="array" ref="Y8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6" s="33" t="e">
        <f>DURATION(Table1[[#This Row],[Issue date]],Table1[[#This Row],[Maturity date]],Table1[[#This Row],[Current coupon %]],Table1[[#This Row],[Yield (Annualised)]],Table1[[#This Row],[Coupon Frequency2]])</f>
        <v>#N/A</v>
      </c>
      <c r="AA836" s="33" t="e">
        <f>Table1[[#This Row],[Macaulay Duration in Years]]/(1+Table1[[#This Row],[IRR]])</f>
        <v>#N/A</v>
      </c>
      <c r="AB836" s="58" t="e">
        <f>VLOOKUP(Table1[[#This Row],[Yield Cluster]],'Cluster Details'!$B$3:$C$16,2,0)</f>
        <v>#N/A</v>
      </c>
      <c r="AC83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6" s="58" t="e">
        <f>IF(Table1[[#This Row],[Ask Price]]&gt;Table1[[#This Row],[Calculated Bond Price]],"Rich","Cheap")</f>
        <v>#N/A</v>
      </c>
      <c r="AE83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6" s="78" t="e">
        <f>(Table1[[#This Row],[P (+ shock)]]+Table1[[#This Row],[P (-shock)]]-2*Table1[[#This Row],[Ask Price]])/(2*Table1[[#This Row],[Ask Price]]*($AF$2^2))</f>
        <v>#N/A</v>
      </c>
      <c r="AH836">
        <v>10.202773417059101</v>
      </c>
      <c r="AI836" s="6" t="e">
        <f t="shared" ref="AI836:AI899" si="53">(L836*F836)/H836</f>
        <v>#DIV/0!</v>
      </c>
      <c r="AK836" s="47" t="e">
        <f>RATE(Table1[[#This Row],[Total No. of Coupons]],Table1[[#This Row],[Coupon Amount]],-Table1[[#This Row],[Ask Price]],Table1[[#This Row],[Face value]])</f>
        <v>#N/A</v>
      </c>
      <c r="AL836" s="27" t="e">
        <f>Table1[[#This Row],[IRR]]*Table1[[#This Row],[Coupon Frequency2]]</f>
        <v>#N/A</v>
      </c>
      <c r="AM836" s="5" t="e">
        <f t="shared" ref="AM836:AM899" si="54">-AA836*H836</f>
        <v>#N/A</v>
      </c>
      <c r="AN836" t="s">
        <v>64</v>
      </c>
      <c r="AO836" t="s">
        <v>62</v>
      </c>
      <c r="AP836" t="str">
        <f t="shared" ref="AP836:AP899" si="55">_xlfn.SWITCH(PROPER(TRIM(M836)),
   "Annual",1,
   "Semi-Annual",2,
   "Quarterly",4,
   "Monthly",12,
   "")</f>
        <v/>
      </c>
    </row>
    <row r="837" spans="4:42" x14ac:dyDescent="0.35">
      <c r="D837" s="21"/>
      <c r="E837" s="21"/>
      <c r="L837" s="22"/>
      <c r="S837">
        <f t="shared" si="52"/>
        <v>0</v>
      </c>
      <c r="T837" s="5" t="e" cm="1">
        <f t="array" ref="T8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7" t="e">
        <f>Table1[[#This Row],[Term to Maturity (Years)]]*Table1[[#This Row],[Coupon Frequency2]]</f>
        <v>#N/A</v>
      </c>
      <c r="V837">
        <f>Table1[[#This Row],[Face value]]*Table1[[#This Row],[Current coupon %]]</f>
        <v>0</v>
      </c>
      <c r="W837" s="36" t="e">
        <f>RATE(Table1[[#This Row],[Total No. of Coupons]],Table1[[#This Row],[Coupon Amount]],-Table1[[#This Row],[Ask Price]],Table1[[#This Row],[Face value]])</f>
        <v>#N/A</v>
      </c>
      <c r="X837" s="27" t="e">
        <f>Table1[[#This Row],[IRR]]*Table1[[#This Row],[Coupon Frequency2]]</f>
        <v>#N/A</v>
      </c>
      <c r="Y837" s="19" t="e" cm="1">
        <f t="array" ref="Y8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7" s="33" t="e">
        <f>DURATION(Table1[[#This Row],[Issue date]],Table1[[#This Row],[Maturity date]],Table1[[#This Row],[Current coupon %]],Table1[[#This Row],[Yield (Annualised)]],Table1[[#This Row],[Coupon Frequency2]])</f>
        <v>#N/A</v>
      </c>
      <c r="AA837" s="33" t="e">
        <f>Table1[[#This Row],[Macaulay Duration in Years]]/(1+Table1[[#This Row],[IRR]])</f>
        <v>#N/A</v>
      </c>
      <c r="AB837" s="58" t="e">
        <f>VLOOKUP(Table1[[#This Row],[Yield Cluster]],'Cluster Details'!$B$3:$C$16,2,0)</f>
        <v>#N/A</v>
      </c>
      <c r="AC83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7" s="58" t="e">
        <f>IF(Table1[[#This Row],[Ask Price]]&gt;Table1[[#This Row],[Calculated Bond Price]],"Rich","Cheap")</f>
        <v>#N/A</v>
      </c>
      <c r="AE83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7" s="78" t="e">
        <f>(Table1[[#This Row],[P (+ shock)]]+Table1[[#This Row],[P (-shock)]]-2*Table1[[#This Row],[Ask Price]])/(2*Table1[[#This Row],[Ask Price]]*($AF$2^2))</f>
        <v>#N/A</v>
      </c>
      <c r="AI837" s="6" t="e">
        <f t="shared" si="53"/>
        <v>#DIV/0!</v>
      </c>
      <c r="AK837" s="47" t="e">
        <f>RATE(Table1[[#This Row],[Total No. of Coupons]],Table1[[#This Row],[Coupon Amount]],-Table1[[#This Row],[Ask Price]],Table1[[#This Row],[Face value]])</f>
        <v>#N/A</v>
      </c>
      <c r="AL837" s="27" t="e">
        <f>Table1[[#This Row],[IRR]]*Table1[[#This Row],[Coupon Frequency2]]</f>
        <v>#N/A</v>
      </c>
      <c r="AM837" s="5" t="e">
        <f t="shared" si="54"/>
        <v>#N/A</v>
      </c>
      <c r="AN837" t="s">
        <v>64</v>
      </c>
      <c r="AO837" t="s">
        <v>62</v>
      </c>
      <c r="AP837" t="str">
        <f t="shared" si="55"/>
        <v/>
      </c>
    </row>
    <row r="838" spans="4:42" x14ac:dyDescent="0.35">
      <c r="D838" s="21"/>
      <c r="E838" s="21"/>
      <c r="L838" s="22"/>
      <c r="S838">
        <f t="shared" si="52"/>
        <v>0</v>
      </c>
      <c r="T838" s="5" t="e" cm="1">
        <f t="array" ref="T8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8" t="e">
        <f>Table1[[#This Row],[Term to Maturity (Years)]]*Table1[[#This Row],[Coupon Frequency2]]</f>
        <v>#N/A</v>
      </c>
      <c r="V838">
        <f>Table1[[#This Row],[Face value]]*Table1[[#This Row],[Current coupon %]]</f>
        <v>0</v>
      </c>
      <c r="W838" s="36" t="e">
        <f>RATE(Table1[[#This Row],[Total No. of Coupons]],Table1[[#This Row],[Coupon Amount]],-Table1[[#This Row],[Ask Price]],Table1[[#This Row],[Face value]])</f>
        <v>#N/A</v>
      </c>
      <c r="X838" s="27" t="e">
        <f>Table1[[#This Row],[IRR]]*Table1[[#This Row],[Coupon Frequency2]]</f>
        <v>#N/A</v>
      </c>
      <c r="Y838" s="19" t="e" cm="1">
        <f t="array" ref="Y8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8" s="33" t="e">
        <f>DURATION(Table1[[#This Row],[Issue date]],Table1[[#This Row],[Maturity date]],Table1[[#This Row],[Current coupon %]],Table1[[#This Row],[Yield (Annualised)]],Table1[[#This Row],[Coupon Frequency2]])</f>
        <v>#N/A</v>
      </c>
      <c r="AA838" s="33" t="e">
        <f>Table1[[#This Row],[Macaulay Duration in Years]]/(1+Table1[[#This Row],[IRR]])</f>
        <v>#N/A</v>
      </c>
      <c r="AB838" s="58" t="e">
        <f>VLOOKUP(Table1[[#This Row],[Yield Cluster]],'Cluster Details'!$B$3:$C$16,2,0)</f>
        <v>#N/A</v>
      </c>
      <c r="AC83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8" s="58" t="e">
        <f>IF(Table1[[#This Row],[Ask Price]]&gt;Table1[[#This Row],[Calculated Bond Price]],"Rich","Cheap")</f>
        <v>#N/A</v>
      </c>
      <c r="AE83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8" s="78" t="e">
        <f>(Table1[[#This Row],[P (+ shock)]]+Table1[[#This Row],[P (-shock)]]-2*Table1[[#This Row],[Ask Price]])/(2*Table1[[#This Row],[Ask Price]]*($AF$2^2))</f>
        <v>#N/A</v>
      </c>
      <c r="AH838">
        <v>11.414433102326401</v>
      </c>
      <c r="AI838" s="6" t="e">
        <f t="shared" si="53"/>
        <v>#DIV/0!</v>
      </c>
      <c r="AK838" s="47" t="e">
        <f>RATE(Table1[[#This Row],[Total No. of Coupons]],Table1[[#This Row],[Coupon Amount]],-Table1[[#This Row],[Ask Price]],Table1[[#This Row],[Face value]])</f>
        <v>#N/A</v>
      </c>
      <c r="AL838" s="27" t="e">
        <f>Table1[[#This Row],[IRR]]*Table1[[#This Row],[Coupon Frequency2]]</f>
        <v>#N/A</v>
      </c>
      <c r="AM838" s="5" t="e">
        <f t="shared" si="54"/>
        <v>#N/A</v>
      </c>
      <c r="AN838" t="s">
        <v>64</v>
      </c>
      <c r="AO838" t="s">
        <v>62</v>
      </c>
      <c r="AP838" t="str">
        <f t="shared" si="55"/>
        <v/>
      </c>
    </row>
    <row r="839" spans="4:42" x14ac:dyDescent="0.35">
      <c r="D839" s="21"/>
      <c r="E839" s="21"/>
      <c r="L839" s="22"/>
      <c r="S839">
        <f t="shared" si="52"/>
        <v>0</v>
      </c>
      <c r="T839" s="5" t="e" cm="1">
        <f t="array" ref="T8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39" t="e">
        <f>Table1[[#This Row],[Term to Maturity (Years)]]*Table1[[#This Row],[Coupon Frequency2]]</f>
        <v>#N/A</v>
      </c>
      <c r="V839">
        <f>Table1[[#This Row],[Face value]]*Table1[[#This Row],[Current coupon %]]</f>
        <v>0</v>
      </c>
      <c r="W839" s="36" t="e">
        <f>RATE(Table1[[#This Row],[Total No. of Coupons]],Table1[[#This Row],[Coupon Amount]],-Table1[[#This Row],[Ask Price]],Table1[[#This Row],[Face value]])</f>
        <v>#N/A</v>
      </c>
      <c r="X839" s="27" t="e">
        <f>Table1[[#This Row],[IRR]]*Table1[[#This Row],[Coupon Frequency2]]</f>
        <v>#N/A</v>
      </c>
      <c r="Y839" s="19" t="e" cm="1">
        <f t="array" ref="Y8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39" s="33" t="e">
        <f>DURATION(Table1[[#This Row],[Issue date]],Table1[[#This Row],[Maturity date]],Table1[[#This Row],[Current coupon %]],Table1[[#This Row],[Yield (Annualised)]],Table1[[#This Row],[Coupon Frequency2]])</f>
        <v>#N/A</v>
      </c>
      <c r="AA839" s="33" t="e">
        <f>Table1[[#This Row],[Macaulay Duration in Years]]/(1+Table1[[#This Row],[IRR]])</f>
        <v>#N/A</v>
      </c>
      <c r="AB839" s="58" t="e">
        <f>VLOOKUP(Table1[[#This Row],[Yield Cluster]],'Cluster Details'!$B$3:$C$16,2,0)</f>
        <v>#N/A</v>
      </c>
      <c r="AC83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39" s="58" t="e">
        <f>IF(Table1[[#This Row],[Ask Price]]&gt;Table1[[#This Row],[Calculated Bond Price]],"Rich","Cheap")</f>
        <v>#N/A</v>
      </c>
      <c r="AE83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3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39" s="78" t="e">
        <f>(Table1[[#This Row],[P (+ shock)]]+Table1[[#This Row],[P (-shock)]]-2*Table1[[#This Row],[Ask Price]])/(2*Table1[[#This Row],[Ask Price]]*($AF$2^2))</f>
        <v>#N/A</v>
      </c>
      <c r="AH839">
        <v>30.792608260046698</v>
      </c>
      <c r="AI839" s="6" t="e">
        <f t="shared" si="53"/>
        <v>#DIV/0!</v>
      </c>
      <c r="AK839" s="47" t="e">
        <f>RATE(Table1[[#This Row],[Total No. of Coupons]],Table1[[#This Row],[Coupon Amount]],-Table1[[#This Row],[Ask Price]],Table1[[#This Row],[Face value]])</f>
        <v>#N/A</v>
      </c>
      <c r="AL839" s="27" t="e">
        <f>Table1[[#This Row],[IRR]]*Table1[[#This Row],[Coupon Frequency2]]</f>
        <v>#N/A</v>
      </c>
      <c r="AM839" s="5" t="e">
        <f t="shared" si="54"/>
        <v>#N/A</v>
      </c>
      <c r="AN839" t="s">
        <v>64</v>
      </c>
      <c r="AO839" t="s">
        <v>62</v>
      </c>
      <c r="AP839" t="str">
        <f t="shared" si="55"/>
        <v/>
      </c>
    </row>
    <row r="840" spans="4:42" x14ac:dyDescent="0.35">
      <c r="D840" s="21"/>
      <c r="E840" s="21"/>
      <c r="L840" s="22"/>
      <c r="S840">
        <f t="shared" si="52"/>
        <v>0</v>
      </c>
      <c r="T840" s="5" t="e" cm="1">
        <f t="array" ref="T8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0" t="e">
        <f>Table1[[#This Row],[Term to Maturity (Years)]]*Table1[[#This Row],[Coupon Frequency2]]</f>
        <v>#N/A</v>
      </c>
      <c r="V840">
        <f>Table1[[#This Row],[Face value]]*Table1[[#This Row],[Current coupon %]]</f>
        <v>0</v>
      </c>
      <c r="W840" s="36" t="e">
        <f>RATE(Table1[[#This Row],[Total No. of Coupons]],Table1[[#This Row],[Coupon Amount]],-Table1[[#This Row],[Ask Price]],Table1[[#This Row],[Face value]])</f>
        <v>#N/A</v>
      </c>
      <c r="X840" s="27" t="e">
        <f>Table1[[#This Row],[IRR]]*Table1[[#This Row],[Coupon Frequency2]]</f>
        <v>#N/A</v>
      </c>
      <c r="Y840" s="19" t="e" cm="1">
        <f t="array" ref="Y8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0" s="33" t="e">
        <f>DURATION(Table1[[#This Row],[Issue date]],Table1[[#This Row],[Maturity date]],Table1[[#This Row],[Current coupon %]],Table1[[#This Row],[Yield (Annualised)]],Table1[[#This Row],[Coupon Frequency2]])</f>
        <v>#N/A</v>
      </c>
      <c r="AA840" s="33" t="e">
        <f>Table1[[#This Row],[Macaulay Duration in Years]]/(1+Table1[[#This Row],[IRR]])</f>
        <v>#N/A</v>
      </c>
      <c r="AB840" s="58" t="e">
        <f>VLOOKUP(Table1[[#This Row],[Yield Cluster]],'Cluster Details'!$B$3:$C$16,2,0)</f>
        <v>#N/A</v>
      </c>
      <c r="AC84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0" s="58" t="e">
        <f>IF(Table1[[#This Row],[Ask Price]]&gt;Table1[[#This Row],[Calculated Bond Price]],"Rich","Cheap")</f>
        <v>#N/A</v>
      </c>
      <c r="AE84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0" s="78" t="e">
        <f>(Table1[[#This Row],[P (+ shock)]]+Table1[[#This Row],[P (-shock)]]-2*Table1[[#This Row],[Ask Price]])/(2*Table1[[#This Row],[Ask Price]]*($AF$2^2))</f>
        <v>#N/A</v>
      </c>
      <c r="AH840">
        <v>4.1496675843582498</v>
      </c>
      <c r="AI840" s="6" t="e">
        <f t="shared" si="53"/>
        <v>#DIV/0!</v>
      </c>
      <c r="AK840" s="47" t="e">
        <f>RATE(Table1[[#This Row],[Total No. of Coupons]],Table1[[#This Row],[Coupon Amount]],-Table1[[#This Row],[Ask Price]],Table1[[#This Row],[Face value]])</f>
        <v>#N/A</v>
      </c>
      <c r="AL840" s="27" t="e">
        <f>Table1[[#This Row],[IRR]]*Table1[[#This Row],[Coupon Frequency2]]</f>
        <v>#N/A</v>
      </c>
      <c r="AM840" s="5" t="e">
        <f t="shared" si="54"/>
        <v>#N/A</v>
      </c>
      <c r="AN840" t="s">
        <v>64</v>
      </c>
      <c r="AO840" t="s">
        <v>62</v>
      </c>
      <c r="AP840" t="str">
        <f t="shared" si="55"/>
        <v/>
      </c>
    </row>
    <row r="841" spans="4:42" x14ac:dyDescent="0.35">
      <c r="D841" s="21"/>
      <c r="E841" s="21"/>
      <c r="L841" s="22"/>
      <c r="S841">
        <f t="shared" si="52"/>
        <v>0</v>
      </c>
      <c r="T841" s="5" t="e" cm="1">
        <f t="array" ref="T8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1" t="e">
        <f>Table1[[#This Row],[Term to Maturity (Years)]]*Table1[[#This Row],[Coupon Frequency2]]</f>
        <v>#N/A</v>
      </c>
      <c r="V841">
        <f>Table1[[#This Row],[Face value]]*Table1[[#This Row],[Current coupon %]]</f>
        <v>0</v>
      </c>
      <c r="W841" s="36" t="e">
        <f>RATE(Table1[[#This Row],[Total No. of Coupons]],Table1[[#This Row],[Coupon Amount]],-Table1[[#This Row],[Ask Price]],Table1[[#This Row],[Face value]])</f>
        <v>#N/A</v>
      </c>
      <c r="X841" s="27" t="e">
        <f>Table1[[#This Row],[IRR]]*Table1[[#This Row],[Coupon Frequency2]]</f>
        <v>#N/A</v>
      </c>
      <c r="Y841" s="19" t="e" cm="1">
        <f t="array" ref="Y8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1" s="33" t="e">
        <f>DURATION(Table1[[#This Row],[Issue date]],Table1[[#This Row],[Maturity date]],Table1[[#This Row],[Current coupon %]],Table1[[#This Row],[Yield (Annualised)]],Table1[[#This Row],[Coupon Frequency2]])</f>
        <v>#N/A</v>
      </c>
      <c r="AA841" s="33" t="e">
        <f>Table1[[#This Row],[Macaulay Duration in Years]]/(1+Table1[[#This Row],[IRR]])</f>
        <v>#N/A</v>
      </c>
      <c r="AB841" s="58" t="e">
        <f>VLOOKUP(Table1[[#This Row],[Yield Cluster]],'Cluster Details'!$B$3:$C$16,2,0)</f>
        <v>#N/A</v>
      </c>
      <c r="AC84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1" s="58" t="e">
        <f>IF(Table1[[#This Row],[Ask Price]]&gt;Table1[[#This Row],[Calculated Bond Price]],"Rich","Cheap")</f>
        <v>#N/A</v>
      </c>
      <c r="AE84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1" s="78" t="e">
        <f>(Table1[[#This Row],[P (+ shock)]]+Table1[[#This Row],[P (-shock)]]-2*Table1[[#This Row],[Ask Price]])/(2*Table1[[#This Row],[Ask Price]]*($AF$2^2))</f>
        <v>#N/A</v>
      </c>
      <c r="AH841">
        <v>40.9355386470871</v>
      </c>
      <c r="AI841" s="6" t="e">
        <f t="shared" si="53"/>
        <v>#DIV/0!</v>
      </c>
      <c r="AK841" s="47" t="e">
        <f>RATE(Table1[[#This Row],[Total No. of Coupons]],Table1[[#This Row],[Coupon Amount]],-Table1[[#This Row],[Ask Price]],Table1[[#This Row],[Face value]])</f>
        <v>#N/A</v>
      </c>
      <c r="AL841" s="27" t="e">
        <f>Table1[[#This Row],[IRR]]*Table1[[#This Row],[Coupon Frequency2]]</f>
        <v>#N/A</v>
      </c>
      <c r="AM841" s="5" t="e">
        <f t="shared" si="54"/>
        <v>#N/A</v>
      </c>
      <c r="AN841" t="s">
        <v>64</v>
      </c>
      <c r="AO841" t="s">
        <v>62</v>
      </c>
      <c r="AP841" t="str">
        <f t="shared" si="55"/>
        <v/>
      </c>
    </row>
    <row r="842" spans="4:42" x14ac:dyDescent="0.35">
      <c r="D842" s="21"/>
      <c r="E842" s="21"/>
      <c r="L842" s="22"/>
      <c r="S842">
        <f t="shared" si="52"/>
        <v>0</v>
      </c>
      <c r="T842" s="5" t="e" cm="1">
        <f t="array" ref="T8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2" t="e">
        <f>Table1[[#This Row],[Term to Maturity (Years)]]*Table1[[#This Row],[Coupon Frequency2]]</f>
        <v>#N/A</v>
      </c>
      <c r="V842">
        <f>Table1[[#This Row],[Face value]]*Table1[[#This Row],[Current coupon %]]</f>
        <v>0</v>
      </c>
      <c r="W842" s="36" t="e">
        <f>RATE(Table1[[#This Row],[Total No. of Coupons]],Table1[[#This Row],[Coupon Amount]],-Table1[[#This Row],[Ask Price]],Table1[[#This Row],[Face value]])</f>
        <v>#N/A</v>
      </c>
      <c r="X842" s="27" t="e">
        <f>Table1[[#This Row],[IRR]]*Table1[[#This Row],[Coupon Frequency2]]</f>
        <v>#N/A</v>
      </c>
      <c r="Y842" s="19" t="e" cm="1">
        <f t="array" ref="Y8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2" s="33" t="e">
        <f>DURATION(Table1[[#This Row],[Issue date]],Table1[[#This Row],[Maturity date]],Table1[[#This Row],[Current coupon %]],Table1[[#This Row],[Yield (Annualised)]],Table1[[#This Row],[Coupon Frequency2]])</f>
        <v>#N/A</v>
      </c>
      <c r="AA842" s="33" t="e">
        <f>Table1[[#This Row],[Macaulay Duration in Years]]/(1+Table1[[#This Row],[IRR]])</f>
        <v>#N/A</v>
      </c>
      <c r="AB842" s="58" t="e">
        <f>VLOOKUP(Table1[[#This Row],[Yield Cluster]],'Cluster Details'!$B$3:$C$16,2,0)</f>
        <v>#N/A</v>
      </c>
      <c r="AC84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2" s="58" t="e">
        <f>IF(Table1[[#This Row],[Ask Price]]&gt;Table1[[#This Row],[Calculated Bond Price]],"Rich","Cheap")</f>
        <v>#N/A</v>
      </c>
      <c r="AE84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2" s="78" t="e">
        <f>(Table1[[#This Row],[P (+ shock)]]+Table1[[#This Row],[P (-shock)]]-2*Table1[[#This Row],[Ask Price]])/(2*Table1[[#This Row],[Ask Price]]*($AF$2^2))</f>
        <v>#N/A</v>
      </c>
      <c r="AH842">
        <v>41.374797224416298</v>
      </c>
      <c r="AI842" s="6" t="e">
        <f t="shared" si="53"/>
        <v>#DIV/0!</v>
      </c>
      <c r="AK842" s="47" t="e">
        <f>RATE(Table1[[#This Row],[Total No. of Coupons]],Table1[[#This Row],[Coupon Amount]],-Table1[[#This Row],[Ask Price]],Table1[[#This Row],[Face value]])</f>
        <v>#N/A</v>
      </c>
      <c r="AL842" s="27" t="e">
        <f>Table1[[#This Row],[IRR]]*Table1[[#This Row],[Coupon Frequency2]]</f>
        <v>#N/A</v>
      </c>
      <c r="AM842" s="5" t="e">
        <f t="shared" si="54"/>
        <v>#N/A</v>
      </c>
      <c r="AN842" t="s">
        <v>64</v>
      </c>
      <c r="AO842" t="s">
        <v>62</v>
      </c>
      <c r="AP842" t="str">
        <f t="shared" si="55"/>
        <v/>
      </c>
    </row>
    <row r="843" spans="4:42" x14ac:dyDescent="0.35">
      <c r="D843" s="21"/>
      <c r="E843" s="21"/>
      <c r="L843" s="22"/>
      <c r="S843">
        <f t="shared" si="52"/>
        <v>0</v>
      </c>
      <c r="T843" s="5" t="e" cm="1">
        <f t="array" ref="T8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3" t="e">
        <f>Table1[[#This Row],[Term to Maturity (Years)]]*Table1[[#This Row],[Coupon Frequency2]]</f>
        <v>#N/A</v>
      </c>
      <c r="V843">
        <f>Table1[[#This Row],[Face value]]*Table1[[#This Row],[Current coupon %]]</f>
        <v>0</v>
      </c>
      <c r="W843" s="36" t="e">
        <f>RATE(Table1[[#This Row],[Total No. of Coupons]],Table1[[#This Row],[Coupon Amount]],-Table1[[#This Row],[Ask Price]],Table1[[#This Row],[Face value]])</f>
        <v>#N/A</v>
      </c>
      <c r="X843" s="27" t="e">
        <f>Table1[[#This Row],[IRR]]*Table1[[#This Row],[Coupon Frequency2]]</f>
        <v>#N/A</v>
      </c>
      <c r="Y843" s="19" t="e" cm="1">
        <f t="array" ref="Y8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3" s="33" t="e">
        <f>DURATION(Table1[[#This Row],[Issue date]],Table1[[#This Row],[Maturity date]],Table1[[#This Row],[Current coupon %]],Table1[[#This Row],[Yield (Annualised)]],Table1[[#This Row],[Coupon Frequency2]])</f>
        <v>#N/A</v>
      </c>
      <c r="AA843" s="33" t="e">
        <f>Table1[[#This Row],[Macaulay Duration in Years]]/(1+Table1[[#This Row],[IRR]])</f>
        <v>#N/A</v>
      </c>
      <c r="AB843" s="58" t="e">
        <f>VLOOKUP(Table1[[#This Row],[Yield Cluster]],'Cluster Details'!$B$3:$C$16,2,0)</f>
        <v>#N/A</v>
      </c>
      <c r="AC84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3" s="58" t="e">
        <f>IF(Table1[[#This Row],[Ask Price]]&gt;Table1[[#This Row],[Calculated Bond Price]],"Rich","Cheap")</f>
        <v>#N/A</v>
      </c>
      <c r="AE84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3" s="78" t="e">
        <f>(Table1[[#This Row],[P (+ shock)]]+Table1[[#This Row],[P (-shock)]]-2*Table1[[#This Row],[Ask Price]])/(2*Table1[[#This Row],[Ask Price]]*($AF$2^2))</f>
        <v>#N/A</v>
      </c>
      <c r="AH843">
        <v>4.0574124688733599</v>
      </c>
      <c r="AI843" s="6" t="e">
        <f t="shared" si="53"/>
        <v>#DIV/0!</v>
      </c>
      <c r="AK843" s="47" t="e">
        <f>RATE(Table1[[#This Row],[Total No. of Coupons]],Table1[[#This Row],[Coupon Amount]],-Table1[[#This Row],[Ask Price]],Table1[[#This Row],[Face value]])</f>
        <v>#N/A</v>
      </c>
      <c r="AL843" s="27" t="e">
        <f>Table1[[#This Row],[IRR]]*Table1[[#This Row],[Coupon Frequency2]]</f>
        <v>#N/A</v>
      </c>
      <c r="AM843" s="5" t="e">
        <f t="shared" si="54"/>
        <v>#N/A</v>
      </c>
      <c r="AN843" t="s">
        <v>64</v>
      </c>
      <c r="AO843" t="s">
        <v>62</v>
      </c>
      <c r="AP843" t="str">
        <f t="shared" si="55"/>
        <v/>
      </c>
    </row>
    <row r="844" spans="4:42" x14ac:dyDescent="0.35">
      <c r="D844" s="21"/>
      <c r="E844" s="21"/>
      <c r="L844" s="22"/>
      <c r="S844">
        <f t="shared" si="52"/>
        <v>0</v>
      </c>
      <c r="T844" s="5" t="e" cm="1">
        <f t="array" ref="T8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4" t="e">
        <f>Table1[[#This Row],[Term to Maturity (Years)]]*Table1[[#This Row],[Coupon Frequency2]]</f>
        <v>#N/A</v>
      </c>
      <c r="V844">
        <f>Table1[[#This Row],[Face value]]*Table1[[#This Row],[Current coupon %]]</f>
        <v>0</v>
      </c>
      <c r="W844" s="36" t="e">
        <f>RATE(Table1[[#This Row],[Total No. of Coupons]],Table1[[#This Row],[Coupon Amount]],-Table1[[#This Row],[Ask Price]],Table1[[#This Row],[Face value]])</f>
        <v>#N/A</v>
      </c>
      <c r="X844" s="27" t="e">
        <f>Table1[[#This Row],[IRR]]*Table1[[#This Row],[Coupon Frequency2]]</f>
        <v>#N/A</v>
      </c>
      <c r="Y844" s="19" t="e" cm="1">
        <f t="array" ref="Y8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4" s="33" t="e">
        <f>DURATION(Table1[[#This Row],[Issue date]],Table1[[#This Row],[Maturity date]],Table1[[#This Row],[Current coupon %]],Table1[[#This Row],[Yield (Annualised)]],Table1[[#This Row],[Coupon Frequency2]])</f>
        <v>#N/A</v>
      </c>
      <c r="AA844" s="33" t="e">
        <f>Table1[[#This Row],[Macaulay Duration in Years]]/(1+Table1[[#This Row],[IRR]])</f>
        <v>#N/A</v>
      </c>
      <c r="AB844" s="58" t="e">
        <f>VLOOKUP(Table1[[#This Row],[Yield Cluster]],'Cluster Details'!$B$3:$C$16,2,0)</f>
        <v>#N/A</v>
      </c>
      <c r="AC84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4" s="58" t="e">
        <f>IF(Table1[[#This Row],[Ask Price]]&gt;Table1[[#This Row],[Calculated Bond Price]],"Rich","Cheap")</f>
        <v>#N/A</v>
      </c>
      <c r="AE84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4" s="78" t="e">
        <f>(Table1[[#This Row],[P (+ shock)]]+Table1[[#This Row],[P (-shock)]]-2*Table1[[#This Row],[Ask Price]])/(2*Table1[[#This Row],[Ask Price]]*($AF$2^2))</f>
        <v>#N/A</v>
      </c>
      <c r="AH844">
        <v>6.0097493501238501</v>
      </c>
      <c r="AI844" s="6" t="e">
        <f t="shared" si="53"/>
        <v>#DIV/0!</v>
      </c>
      <c r="AK844" s="47" t="e">
        <f>RATE(Table1[[#This Row],[Total No. of Coupons]],Table1[[#This Row],[Coupon Amount]],-Table1[[#This Row],[Ask Price]],Table1[[#This Row],[Face value]])</f>
        <v>#N/A</v>
      </c>
      <c r="AL844" s="27" t="e">
        <f>Table1[[#This Row],[IRR]]*Table1[[#This Row],[Coupon Frequency2]]</f>
        <v>#N/A</v>
      </c>
      <c r="AM844" s="5" t="e">
        <f t="shared" si="54"/>
        <v>#N/A</v>
      </c>
      <c r="AN844" t="s">
        <v>64</v>
      </c>
      <c r="AO844" t="s">
        <v>62</v>
      </c>
      <c r="AP844" t="str">
        <f t="shared" si="55"/>
        <v/>
      </c>
    </row>
    <row r="845" spans="4:42" x14ac:dyDescent="0.35">
      <c r="D845" s="21"/>
      <c r="E845" s="21"/>
      <c r="L845" s="22"/>
      <c r="S845">
        <f t="shared" si="52"/>
        <v>0</v>
      </c>
      <c r="T845" s="5" t="e" cm="1">
        <f t="array" ref="T8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5" t="e">
        <f>Table1[[#This Row],[Term to Maturity (Years)]]*Table1[[#This Row],[Coupon Frequency2]]</f>
        <v>#N/A</v>
      </c>
      <c r="V845">
        <f>Table1[[#This Row],[Face value]]*Table1[[#This Row],[Current coupon %]]</f>
        <v>0</v>
      </c>
      <c r="W845" s="36" t="e">
        <f>RATE(Table1[[#This Row],[Total No. of Coupons]],Table1[[#This Row],[Coupon Amount]],-Table1[[#This Row],[Ask Price]],Table1[[#This Row],[Face value]])</f>
        <v>#N/A</v>
      </c>
      <c r="X845" s="27" t="e">
        <f>Table1[[#This Row],[IRR]]*Table1[[#This Row],[Coupon Frequency2]]</f>
        <v>#N/A</v>
      </c>
      <c r="Y845" s="19" t="e" cm="1">
        <f t="array" ref="Y8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5" s="33" t="e">
        <f>DURATION(Table1[[#This Row],[Issue date]],Table1[[#This Row],[Maturity date]],Table1[[#This Row],[Current coupon %]],Table1[[#This Row],[Yield (Annualised)]],Table1[[#This Row],[Coupon Frequency2]])</f>
        <v>#N/A</v>
      </c>
      <c r="AA845" s="33" t="e">
        <f>Table1[[#This Row],[Macaulay Duration in Years]]/(1+Table1[[#This Row],[IRR]])</f>
        <v>#N/A</v>
      </c>
      <c r="AB845" s="58" t="e">
        <f>VLOOKUP(Table1[[#This Row],[Yield Cluster]],'Cluster Details'!$B$3:$C$16,2,0)</f>
        <v>#N/A</v>
      </c>
      <c r="AC84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5" s="58" t="e">
        <f>IF(Table1[[#This Row],[Ask Price]]&gt;Table1[[#This Row],[Calculated Bond Price]],"Rich","Cheap")</f>
        <v>#N/A</v>
      </c>
      <c r="AE84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5" s="78" t="e">
        <f>(Table1[[#This Row],[P (+ shock)]]+Table1[[#This Row],[P (-shock)]]-2*Table1[[#This Row],[Ask Price]])/(2*Table1[[#This Row],[Ask Price]]*($AF$2^2))</f>
        <v>#N/A</v>
      </c>
      <c r="AH845">
        <v>4.6461495676226097</v>
      </c>
      <c r="AI845" s="6" t="e">
        <f t="shared" si="53"/>
        <v>#DIV/0!</v>
      </c>
      <c r="AK845" s="47" t="e">
        <f>RATE(Table1[[#This Row],[Total No. of Coupons]],Table1[[#This Row],[Coupon Amount]],-Table1[[#This Row],[Ask Price]],Table1[[#This Row],[Face value]])</f>
        <v>#N/A</v>
      </c>
      <c r="AL845" s="27" t="e">
        <f>Table1[[#This Row],[IRR]]*Table1[[#This Row],[Coupon Frequency2]]</f>
        <v>#N/A</v>
      </c>
      <c r="AM845" s="5" t="e">
        <f t="shared" si="54"/>
        <v>#N/A</v>
      </c>
      <c r="AN845" t="s">
        <v>64</v>
      </c>
      <c r="AO845" t="s">
        <v>62</v>
      </c>
      <c r="AP845" t="str">
        <f t="shared" si="55"/>
        <v/>
      </c>
    </row>
    <row r="846" spans="4:42" x14ac:dyDescent="0.35">
      <c r="D846" s="21"/>
      <c r="E846" s="21"/>
      <c r="L846" s="22"/>
      <c r="S846">
        <f t="shared" si="52"/>
        <v>0</v>
      </c>
      <c r="T846" s="5" t="e" cm="1">
        <f t="array" ref="T8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6" t="e">
        <f>Table1[[#This Row],[Term to Maturity (Years)]]*Table1[[#This Row],[Coupon Frequency2]]</f>
        <v>#N/A</v>
      </c>
      <c r="V846">
        <f>Table1[[#This Row],[Face value]]*Table1[[#This Row],[Current coupon %]]</f>
        <v>0</v>
      </c>
      <c r="W846" s="36" t="e">
        <f>RATE(Table1[[#This Row],[Total No. of Coupons]],Table1[[#This Row],[Coupon Amount]],-Table1[[#This Row],[Ask Price]],Table1[[#This Row],[Face value]])</f>
        <v>#N/A</v>
      </c>
      <c r="X846" s="27" t="e">
        <f>Table1[[#This Row],[IRR]]*Table1[[#This Row],[Coupon Frequency2]]</f>
        <v>#N/A</v>
      </c>
      <c r="Y846" s="19" t="e" cm="1">
        <f t="array" ref="Y8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6" s="33" t="e">
        <f>DURATION(Table1[[#This Row],[Issue date]],Table1[[#This Row],[Maturity date]],Table1[[#This Row],[Current coupon %]],Table1[[#This Row],[Yield (Annualised)]],Table1[[#This Row],[Coupon Frequency2]])</f>
        <v>#N/A</v>
      </c>
      <c r="AA846" s="33" t="e">
        <f>Table1[[#This Row],[Macaulay Duration in Years]]/(1+Table1[[#This Row],[IRR]])</f>
        <v>#N/A</v>
      </c>
      <c r="AB846" s="58" t="e">
        <f>VLOOKUP(Table1[[#This Row],[Yield Cluster]],'Cluster Details'!$B$3:$C$16,2,0)</f>
        <v>#N/A</v>
      </c>
      <c r="AC84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6" s="58" t="e">
        <f>IF(Table1[[#This Row],[Ask Price]]&gt;Table1[[#This Row],[Calculated Bond Price]],"Rich","Cheap")</f>
        <v>#N/A</v>
      </c>
      <c r="AE84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6" s="78" t="e">
        <f>(Table1[[#This Row],[P (+ shock)]]+Table1[[#This Row],[P (-shock)]]-2*Table1[[#This Row],[Ask Price]])/(2*Table1[[#This Row],[Ask Price]]*($AF$2^2))</f>
        <v>#N/A</v>
      </c>
      <c r="AH846">
        <v>8.3878937851683393</v>
      </c>
      <c r="AI846" s="6" t="e">
        <f t="shared" si="53"/>
        <v>#DIV/0!</v>
      </c>
      <c r="AK846" s="47" t="e">
        <f>RATE(Table1[[#This Row],[Total No. of Coupons]],Table1[[#This Row],[Coupon Amount]],-Table1[[#This Row],[Ask Price]],Table1[[#This Row],[Face value]])</f>
        <v>#N/A</v>
      </c>
      <c r="AL846" s="27" t="e">
        <f>Table1[[#This Row],[IRR]]*Table1[[#This Row],[Coupon Frequency2]]</f>
        <v>#N/A</v>
      </c>
      <c r="AM846" s="5" t="e">
        <f t="shared" si="54"/>
        <v>#N/A</v>
      </c>
      <c r="AN846" t="s">
        <v>64</v>
      </c>
      <c r="AO846" t="s">
        <v>62</v>
      </c>
      <c r="AP846" t="str">
        <f t="shared" si="55"/>
        <v/>
      </c>
    </row>
    <row r="847" spans="4:42" x14ac:dyDescent="0.35">
      <c r="D847" s="21"/>
      <c r="E847" s="21"/>
      <c r="L847" s="22"/>
      <c r="S847">
        <f t="shared" si="52"/>
        <v>0</v>
      </c>
      <c r="T847" s="5" t="e" cm="1">
        <f t="array" ref="T8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7" t="e">
        <f>Table1[[#This Row],[Term to Maturity (Years)]]*Table1[[#This Row],[Coupon Frequency2]]</f>
        <v>#N/A</v>
      </c>
      <c r="V847">
        <f>Table1[[#This Row],[Face value]]*Table1[[#This Row],[Current coupon %]]</f>
        <v>0</v>
      </c>
      <c r="W847" s="36" t="e">
        <f>RATE(Table1[[#This Row],[Total No. of Coupons]],Table1[[#This Row],[Coupon Amount]],-Table1[[#This Row],[Ask Price]],Table1[[#This Row],[Face value]])</f>
        <v>#N/A</v>
      </c>
      <c r="X847" s="27" t="e">
        <f>Table1[[#This Row],[IRR]]*Table1[[#This Row],[Coupon Frequency2]]</f>
        <v>#N/A</v>
      </c>
      <c r="Y847" s="19" t="e" cm="1">
        <f t="array" ref="Y8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7" s="33" t="e">
        <f>DURATION(Table1[[#This Row],[Issue date]],Table1[[#This Row],[Maturity date]],Table1[[#This Row],[Current coupon %]],Table1[[#This Row],[Yield (Annualised)]],Table1[[#This Row],[Coupon Frequency2]])</f>
        <v>#N/A</v>
      </c>
      <c r="AA847" s="33" t="e">
        <f>Table1[[#This Row],[Macaulay Duration in Years]]/(1+Table1[[#This Row],[IRR]])</f>
        <v>#N/A</v>
      </c>
      <c r="AB847" s="58" t="e">
        <f>VLOOKUP(Table1[[#This Row],[Yield Cluster]],'Cluster Details'!$B$3:$C$16,2,0)</f>
        <v>#N/A</v>
      </c>
      <c r="AC84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7" s="58" t="e">
        <f>IF(Table1[[#This Row],[Ask Price]]&gt;Table1[[#This Row],[Calculated Bond Price]],"Rich","Cheap")</f>
        <v>#N/A</v>
      </c>
      <c r="AE84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7" s="78" t="e">
        <f>(Table1[[#This Row],[P (+ shock)]]+Table1[[#This Row],[P (-shock)]]-2*Table1[[#This Row],[Ask Price]])/(2*Table1[[#This Row],[Ask Price]]*($AF$2^2))</f>
        <v>#N/A</v>
      </c>
      <c r="AH847">
        <v>5.3466469405706798</v>
      </c>
      <c r="AI847" s="6" t="e">
        <f t="shared" si="53"/>
        <v>#DIV/0!</v>
      </c>
      <c r="AK847" s="47" t="e">
        <f>RATE(Table1[[#This Row],[Total No. of Coupons]],Table1[[#This Row],[Coupon Amount]],-Table1[[#This Row],[Ask Price]],Table1[[#This Row],[Face value]])</f>
        <v>#N/A</v>
      </c>
      <c r="AL847" s="27" t="e">
        <f>Table1[[#This Row],[IRR]]*Table1[[#This Row],[Coupon Frequency2]]</f>
        <v>#N/A</v>
      </c>
      <c r="AM847" s="5" t="e">
        <f t="shared" si="54"/>
        <v>#N/A</v>
      </c>
      <c r="AN847" t="s">
        <v>64</v>
      </c>
      <c r="AO847" t="s">
        <v>62</v>
      </c>
      <c r="AP847" t="str">
        <f t="shared" si="55"/>
        <v/>
      </c>
    </row>
    <row r="848" spans="4:42" x14ac:dyDescent="0.35">
      <c r="D848" s="21"/>
      <c r="E848" s="21"/>
      <c r="L848" s="22"/>
      <c r="S848">
        <f t="shared" si="52"/>
        <v>0</v>
      </c>
      <c r="T848" s="5" t="e" cm="1">
        <f t="array" ref="T8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8" t="e">
        <f>Table1[[#This Row],[Term to Maturity (Years)]]*Table1[[#This Row],[Coupon Frequency2]]</f>
        <v>#N/A</v>
      </c>
      <c r="V848">
        <f>Table1[[#This Row],[Face value]]*Table1[[#This Row],[Current coupon %]]</f>
        <v>0</v>
      </c>
      <c r="W848" s="36" t="e">
        <f>RATE(Table1[[#This Row],[Total No. of Coupons]],Table1[[#This Row],[Coupon Amount]],-Table1[[#This Row],[Ask Price]],Table1[[#This Row],[Face value]])</f>
        <v>#N/A</v>
      </c>
      <c r="X848" s="27" t="e">
        <f>Table1[[#This Row],[IRR]]*Table1[[#This Row],[Coupon Frequency2]]</f>
        <v>#N/A</v>
      </c>
      <c r="Y848" s="19" t="e" cm="1">
        <f t="array" ref="Y8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8" s="33" t="e">
        <f>DURATION(Table1[[#This Row],[Issue date]],Table1[[#This Row],[Maturity date]],Table1[[#This Row],[Current coupon %]],Table1[[#This Row],[Yield (Annualised)]],Table1[[#This Row],[Coupon Frequency2]])</f>
        <v>#N/A</v>
      </c>
      <c r="AA848" s="33" t="e">
        <f>Table1[[#This Row],[Macaulay Duration in Years]]/(1+Table1[[#This Row],[IRR]])</f>
        <v>#N/A</v>
      </c>
      <c r="AB848" s="58" t="e">
        <f>VLOOKUP(Table1[[#This Row],[Yield Cluster]],'Cluster Details'!$B$3:$C$16,2,0)</f>
        <v>#N/A</v>
      </c>
      <c r="AC84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8" s="58" t="e">
        <f>IF(Table1[[#This Row],[Ask Price]]&gt;Table1[[#This Row],[Calculated Bond Price]],"Rich","Cheap")</f>
        <v>#N/A</v>
      </c>
      <c r="AE84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8" s="78" t="e">
        <f>(Table1[[#This Row],[P (+ shock)]]+Table1[[#This Row],[P (-shock)]]-2*Table1[[#This Row],[Ask Price]])/(2*Table1[[#This Row],[Ask Price]]*($AF$2^2))</f>
        <v>#N/A</v>
      </c>
      <c r="AI848" s="6" t="e">
        <f t="shared" si="53"/>
        <v>#DIV/0!</v>
      </c>
      <c r="AK848" s="47" t="e">
        <f>RATE(Table1[[#This Row],[Total No. of Coupons]],Table1[[#This Row],[Coupon Amount]],-Table1[[#This Row],[Ask Price]],Table1[[#This Row],[Face value]])</f>
        <v>#N/A</v>
      </c>
      <c r="AL848" s="27" t="e">
        <f>Table1[[#This Row],[IRR]]*Table1[[#This Row],[Coupon Frequency2]]</f>
        <v>#N/A</v>
      </c>
      <c r="AM848" s="5" t="e">
        <f t="shared" si="54"/>
        <v>#N/A</v>
      </c>
      <c r="AN848" t="s">
        <v>64</v>
      </c>
      <c r="AO848" t="s">
        <v>62</v>
      </c>
      <c r="AP848" t="str">
        <f t="shared" si="55"/>
        <v/>
      </c>
    </row>
    <row r="849" spans="4:42" x14ac:dyDescent="0.35">
      <c r="D849" s="21"/>
      <c r="E849" s="21"/>
      <c r="L849" s="22"/>
      <c r="S849">
        <f t="shared" si="52"/>
        <v>0</v>
      </c>
      <c r="T849" s="5" t="e" cm="1">
        <f t="array" ref="T8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49" t="e">
        <f>Table1[[#This Row],[Term to Maturity (Years)]]*Table1[[#This Row],[Coupon Frequency2]]</f>
        <v>#N/A</v>
      </c>
      <c r="V849">
        <f>Table1[[#This Row],[Face value]]*Table1[[#This Row],[Current coupon %]]</f>
        <v>0</v>
      </c>
      <c r="W849" s="36" t="e">
        <f>RATE(Table1[[#This Row],[Total No. of Coupons]],Table1[[#This Row],[Coupon Amount]],-Table1[[#This Row],[Ask Price]],Table1[[#This Row],[Face value]])</f>
        <v>#N/A</v>
      </c>
      <c r="X849" s="27" t="e">
        <f>Table1[[#This Row],[IRR]]*Table1[[#This Row],[Coupon Frequency2]]</f>
        <v>#N/A</v>
      </c>
      <c r="Y849" s="19" t="e" cm="1">
        <f t="array" ref="Y8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49" s="33" t="e">
        <f>DURATION(Table1[[#This Row],[Issue date]],Table1[[#This Row],[Maturity date]],Table1[[#This Row],[Current coupon %]],Table1[[#This Row],[Yield (Annualised)]],Table1[[#This Row],[Coupon Frequency2]])</f>
        <v>#N/A</v>
      </c>
      <c r="AA849" s="33" t="e">
        <f>Table1[[#This Row],[Macaulay Duration in Years]]/(1+Table1[[#This Row],[IRR]])</f>
        <v>#N/A</v>
      </c>
      <c r="AB849" s="58" t="e">
        <f>VLOOKUP(Table1[[#This Row],[Yield Cluster]],'Cluster Details'!$B$3:$C$16,2,0)</f>
        <v>#N/A</v>
      </c>
      <c r="AC84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49" s="58" t="e">
        <f>IF(Table1[[#This Row],[Ask Price]]&gt;Table1[[#This Row],[Calculated Bond Price]],"Rich","Cheap")</f>
        <v>#N/A</v>
      </c>
      <c r="AE84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4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49" s="78" t="e">
        <f>(Table1[[#This Row],[P (+ shock)]]+Table1[[#This Row],[P (-shock)]]-2*Table1[[#This Row],[Ask Price]])/(2*Table1[[#This Row],[Ask Price]]*($AF$2^2))</f>
        <v>#N/A</v>
      </c>
      <c r="AI849" s="6" t="e">
        <f t="shared" si="53"/>
        <v>#DIV/0!</v>
      </c>
      <c r="AK849" s="47" t="e">
        <f>RATE(Table1[[#This Row],[Total No. of Coupons]],Table1[[#This Row],[Coupon Amount]],-Table1[[#This Row],[Ask Price]],Table1[[#This Row],[Face value]])</f>
        <v>#N/A</v>
      </c>
      <c r="AL849" s="27" t="e">
        <f>Table1[[#This Row],[IRR]]*Table1[[#This Row],[Coupon Frequency2]]</f>
        <v>#N/A</v>
      </c>
      <c r="AM849" s="5" t="e">
        <f t="shared" si="54"/>
        <v>#N/A</v>
      </c>
      <c r="AN849" t="s">
        <v>64</v>
      </c>
      <c r="AO849" t="s">
        <v>62</v>
      </c>
      <c r="AP849" t="str">
        <f t="shared" si="55"/>
        <v/>
      </c>
    </row>
    <row r="850" spans="4:42" x14ac:dyDescent="0.35">
      <c r="D850" s="21"/>
      <c r="E850" s="21"/>
      <c r="L850" s="22"/>
      <c r="S850">
        <f t="shared" si="52"/>
        <v>0</v>
      </c>
      <c r="T850" s="5" t="e" cm="1">
        <f t="array" ref="T8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0" t="e">
        <f>Table1[[#This Row],[Term to Maturity (Years)]]*Table1[[#This Row],[Coupon Frequency2]]</f>
        <v>#N/A</v>
      </c>
      <c r="V850">
        <f>Table1[[#This Row],[Face value]]*Table1[[#This Row],[Current coupon %]]</f>
        <v>0</v>
      </c>
      <c r="W850" s="36" t="e">
        <f>RATE(Table1[[#This Row],[Total No. of Coupons]],Table1[[#This Row],[Coupon Amount]],-Table1[[#This Row],[Ask Price]],Table1[[#This Row],[Face value]])</f>
        <v>#N/A</v>
      </c>
      <c r="X850" s="27" t="e">
        <f>Table1[[#This Row],[IRR]]*Table1[[#This Row],[Coupon Frequency2]]</f>
        <v>#N/A</v>
      </c>
      <c r="Y850" s="19" t="e" cm="1">
        <f t="array" ref="Y8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0" s="33" t="e">
        <f>DURATION(Table1[[#This Row],[Issue date]],Table1[[#This Row],[Maturity date]],Table1[[#This Row],[Current coupon %]],Table1[[#This Row],[Yield (Annualised)]],Table1[[#This Row],[Coupon Frequency2]])</f>
        <v>#N/A</v>
      </c>
      <c r="AA850" s="33" t="e">
        <f>Table1[[#This Row],[Macaulay Duration in Years]]/(1+Table1[[#This Row],[IRR]])</f>
        <v>#N/A</v>
      </c>
      <c r="AB850" s="58" t="e">
        <f>VLOOKUP(Table1[[#This Row],[Yield Cluster]],'Cluster Details'!$B$3:$C$16,2,0)</f>
        <v>#N/A</v>
      </c>
      <c r="AC85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0" s="58" t="e">
        <f>IF(Table1[[#This Row],[Ask Price]]&gt;Table1[[#This Row],[Calculated Bond Price]],"Rich","Cheap")</f>
        <v>#N/A</v>
      </c>
      <c r="AE85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0" s="78" t="e">
        <f>(Table1[[#This Row],[P (+ shock)]]+Table1[[#This Row],[P (-shock)]]-2*Table1[[#This Row],[Ask Price]])/(2*Table1[[#This Row],[Ask Price]]*($AF$2^2))</f>
        <v>#N/A</v>
      </c>
      <c r="AH850">
        <v>10.5307838859658</v>
      </c>
      <c r="AI850" s="6" t="e">
        <f t="shared" si="53"/>
        <v>#DIV/0!</v>
      </c>
      <c r="AK850" s="47" t="e">
        <f>RATE(Table1[[#This Row],[Total No. of Coupons]],Table1[[#This Row],[Coupon Amount]],-Table1[[#This Row],[Ask Price]],Table1[[#This Row],[Face value]])</f>
        <v>#N/A</v>
      </c>
      <c r="AL850" s="27" t="e">
        <f>Table1[[#This Row],[IRR]]*Table1[[#This Row],[Coupon Frequency2]]</f>
        <v>#N/A</v>
      </c>
      <c r="AM850" s="5" t="e">
        <f t="shared" si="54"/>
        <v>#N/A</v>
      </c>
      <c r="AN850" t="s">
        <v>79</v>
      </c>
      <c r="AO850" t="s">
        <v>62</v>
      </c>
      <c r="AP850" t="str">
        <f t="shared" si="55"/>
        <v/>
      </c>
    </row>
    <row r="851" spans="4:42" x14ac:dyDescent="0.35">
      <c r="D851" s="21"/>
      <c r="E851" s="21"/>
      <c r="L851" s="22"/>
      <c r="S851">
        <f t="shared" si="52"/>
        <v>0</v>
      </c>
      <c r="T851" s="5" t="e" cm="1">
        <f t="array" ref="T8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1" t="e">
        <f>Table1[[#This Row],[Term to Maturity (Years)]]*Table1[[#This Row],[Coupon Frequency2]]</f>
        <v>#N/A</v>
      </c>
      <c r="V851">
        <f>Table1[[#This Row],[Face value]]*Table1[[#This Row],[Current coupon %]]</f>
        <v>0</v>
      </c>
      <c r="W851" s="36" t="e">
        <f>RATE(Table1[[#This Row],[Total No. of Coupons]],Table1[[#This Row],[Coupon Amount]],-Table1[[#This Row],[Ask Price]],Table1[[#This Row],[Face value]])</f>
        <v>#N/A</v>
      </c>
      <c r="X851" s="27" t="e">
        <f>Table1[[#This Row],[IRR]]*Table1[[#This Row],[Coupon Frequency2]]</f>
        <v>#N/A</v>
      </c>
      <c r="Y851" s="19" t="e" cm="1">
        <f t="array" ref="Y8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1" s="33" t="e">
        <f>DURATION(Table1[[#This Row],[Issue date]],Table1[[#This Row],[Maturity date]],Table1[[#This Row],[Current coupon %]],Table1[[#This Row],[Yield (Annualised)]],Table1[[#This Row],[Coupon Frequency2]])</f>
        <v>#N/A</v>
      </c>
      <c r="AA851" s="33" t="e">
        <f>Table1[[#This Row],[Macaulay Duration in Years]]/(1+Table1[[#This Row],[IRR]])</f>
        <v>#N/A</v>
      </c>
      <c r="AB851" s="58" t="e">
        <f>VLOOKUP(Table1[[#This Row],[Yield Cluster]],'Cluster Details'!$B$3:$C$16,2,0)</f>
        <v>#N/A</v>
      </c>
      <c r="AC85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1" s="58" t="e">
        <f>IF(Table1[[#This Row],[Ask Price]]&gt;Table1[[#This Row],[Calculated Bond Price]],"Rich","Cheap")</f>
        <v>#N/A</v>
      </c>
      <c r="AE85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1" s="78" t="e">
        <f>(Table1[[#This Row],[P (+ shock)]]+Table1[[#This Row],[P (-shock)]]-2*Table1[[#This Row],[Ask Price]])/(2*Table1[[#This Row],[Ask Price]]*($AF$2^2))</f>
        <v>#N/A</v>
      </c>
      <c r="AH851">
        <v>11.675445156978499</v>
      </c>
      <c r="AI851" s="6" t="e">
        <f t="shared" si="53"/>
        <v>#DIV/0!</v>
      </c>
      <c r="AK851" s="47" t="e">
        <f>RATE(Table1[[#This Row],[Total No. of Coupons]],Table1[[#This Row],[Coupon Amount]],-Table1[[#This Row],[Ask Price]],Table1[[#This Row],[Face value]])</f>
        <v>#N/A</v>
      </c>
      <c r="AL851" s="27" t="e">
        <f>Table1[[#This Row],[IRR]]*Table1[[#This Row],[Coupon Frequency2]]</f>
        <v>#N/A</v>
      </c>
      <c r="AM851" s="5" t="e">
        <f t="shared" si="54"/>
        <v>#N/A</v>
      </c>
      <c r="AN851" t="s">
        <v>64</v>
      </c>
      <c r="AO851" t="s">
        <v>62</v>
      </c>
      <c r="AP851" t="str">
        <f t="shared" si="55"/>
        <v/>
      </c>
    </row>
    <row r="852" spans="4:42" x14ac:dyDescent="0.35">
      <c r="D852" s="21"/>
      <c r="E852" s="21"/>
      <c r="L852" s="22"/>
      <c r="S852">
        <f t="shared" si="52"/>
        <v>0</v>
      </c>
      <c r="T852" s="5" t="e" cm="1">
        <f t="array" ref="T8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2" t="e">
        <f>Table1[[#This Row],[Term to Maturity (Years)]]*Table1[[#This Row],[Coupon Frequency2]]</f>
        <v>#N/A</v>
      </c>
      <c r="V852">
        <f>Table1[[#This Row],[Face value]]*Table1[[#This Row],[Current coupon %]]</f>
        <v>0</v>
      </c>
      <c r="W852" s="36" t="e">
        <f>RATE(Table1[[#This Row],[Total No. of Coupons]],Table1[[#This Row],[Coupon Amount]],-Table1[[#This Row],[Ask Price]],Table1[[#This Row],[Face value]])</f>
        <v>#N/A</v>
      </c>
      <c r="X852" s="27" t="e">
        <f>Table1[[#This Row],[IRR]]*Table1[[#This Row],[Coupon Frequency2]]</f>
        <v>#N/A</v>
      </c>
      <c r="Y852" s="19" t="e" cm="1">
        <f t="array" ref="Y8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2" s="33" t="e">
        <f>DURATION(Table1[[#This Row],[Issue date]],Table1[[#This Row],[Maturity date]],Table1[[#This Row],[Current coupon %]],Table1[[#This Row],[Yield (Annualised)]],Table1[[#This Row],[Coupon Frequency2]])</f>
        <v>#N/A</v>
      </c>
      <c r="AA852" s="33" t="e">
        <f>Table1[[#This Row],[Macaulay Duration in Years]]/(1+Table1[[#This Row],[IRR]])</f>
        <v>#N/A</v>
      </c>
      <c r="AB852" s="58" t="e">
        <f>VLOOKUP(Table1[[#This Row],[Yield Cluster]],'Cluster Details'!$B$3:$C$16,2,0)</f>
        <v>#N/A</v>
      </c>
      <c r="AC85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2" s="58" t="e">
        <f>IF(Table1[[#This Row],[Ask Price]]&gt;Table1[[#This Row],[Calculated Bond Price]],"Rich","Cheap")</f>
        <v>#N/A</v>
      </c>
      <c r="AE85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2" s="78" t="e">
        <f>(Table1[[#This Row],[P (+ shock)]]+Table1[[#This Row],[P (-shock)]]-2*Table1[[#This Row],[Ask Price]])/(2*Table1[[#This Row],[Ask Price]]*($AF$2^2))</f>
        <v>#N/A</v>
      </c>
      <c r="AI852" s="6" t="e">
        <f t="shared" si="53"/>
        <v>#DIV/0!</v>
      </c>
      <c r="AK852" s="47" t="e">
        <f>RATE(Table1[[#This Row],[Total No. of Coupons]],Table1[[#This Row],[Coupon Amount]],-Table1[[#This Row],[Ask Price]],Table1[[#This Row],[Face value]])</f>
        <v>#N/A</v>
      </c>
      <c r="AL852" s="27" t="e">
        <f>Table1[[#This Row],[IRR]]*Table1[[#This Row],[Coupon Frequency2]]</f>
        <v>#N/A</v>
      </c>
      <c r="AM852" s="5" t="e">
        <f t="shared" si="54"/>
        <v>#N/A</v>
      </c>
      <c r="AN852" t="s">
        <v>69</v>
      </c>
      <c r="AO852" t="s">
        <v>62</v>
      </c>
      <c r="AP852" t="str">
        <f t="shared" si="55"/>
        <v/>
      </c>
    </row>
    <row r="853" spans="4:42" x14ac:dyDescent="0.35">
      <c r="D853" s="21"/>
      <c r="E853" s="21"/>
      <c r="L853" s="22"/>
      <c r="S853">
        <f t="shared" si="52"/>
        <v>0</v>
      </c>
      <c r="T853" s="5" t="e" cm="1">
        <f t="array" ref="T8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3" t="e">
        <f>Table1[[#This Row],[Term to Maturity (Years)]]*Table1[[#This Row],[Coupon Frequency2]]</f>
        <v>#N/A</v>
      </c>
      <c r="V853">
        <f>Table1[[#This Row],[Face value]]*Table1[[#This Row],[Current coupon %]]</f>
        <v>0</v>
      </c>
      <c r="W853" s="36" t="e">
        <f>RATE(Table1[[#This Row],[Total No. of Coupons]],Table1[[#This Row],[Coupon Amount]],-Table1[[#This Row],[Ask Price]],Table1[[#This Row],[Face value]])</f>
        <v>#N/A</v>
      </c>
      <c r="X853" s="27" t="e">
        <f>Table1[[#This Row],[IRR]]*Table1[[#This Row],[Coupon Frequency2]]</f>
        <v>#N/A</v>
      </c>
      <c r="Y853" s="19" t="e" cm="1">
        <f t="array" ref="Y8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3" s="33" t="e">
        <f>DURATION(Table1[[#This Row],[Issue date]],Table1[[#This Row],[Maturity date]],Table1[[#This Row],[Current coupon %]],Table1[[#This Row],[Yield (Annualised)]],Table1[[#This Row],[Coupon Frequency2]])</f>
        <v>#N/A</v>
      </c>
      <c r="AA853" s="33" t="e">
        <f>Table1[[#This Row],[Macaulay Duration in Years]]/(1+Table1[[#This Row],[IRR]])</f>
        <v>#N/A</v>
      </c>
      <c r="AB853" s="58" t="e">
        <f>VLOOKUP(Table1[[#This Row],[Yield Cluster]],'Cluster Details'!$B$3:$C$16,2,0)</f>
        <v>#N/A</v>
      </c>
      <c r="AC85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3" s="58" t="e">
        <f>IF(Table1[[#This Row],[Ask Price]]&gt;Table1[[#This Row],[Calculated Bond Price]],"Rich","Cheap")</f>
        <v>#N/A</v>
      </c>
      <c r="AE85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3" s="78" t="e">
        <f>(Table1[[#This Row],[P (+ shock)]]+Table1[[#This Row],[P (-shock)]]-2*Table1[[#This Row],[Ask Price]])/(2*Table1[[#This Row],[Ask Price]]*($AF$2^2))</f>
        <v>#N/A</v>
      </c>
      <c r="AH853">
        <v>14.9735449735449</v>
      </c>
      <c r="AI853" s="6" t="e">
        <f t="shared" si="53"/>
        <v>#DIV/0!</v>
      </c>
      <c r="AK853" s="47" t="e">
        <f>RATE(Table1[[#This Row],[Total No. of Coupons]],Table1[[#This Row],[Coupon Amount]],-Table1[[#This Row],[Ask Price]],Table1[[#This Row],[Face value]])</f>
        <v>#N/A</v>
      </c>
      <c r="AL853" s="27" t="e">
        <f>Table1[[#This Row],[IRR]]*Table1[[#This Row],[Coupon Frequency2]]</f>
        <v>#N/A</v>
      </c>
      <c r="AM853" s="5" t="e">
        <f t="shared" si="54"/>
        <v>#N/A</v>
      </c>
      <c r="AN853" t="s">
        <v>64</v>
      </c>
      <c r="AO853" t="s">
        <v>62</v>
      </c>
      <c r="AP853" t="str">
        <f t="shared" si="55"/>
        <v/>
      </c>
    </row>
    <row r="854" spans="4:42" x14ac:dyDescent="0.35">
      <c r="D854" s="21"/>
      <c r="E854" s="21"/>
      <c r="L854" s="22"/>
      <c r="S854">
        <f t="shared" si="52"/>
        <v>0</v>
      </c>
      <c r="T854" s="5" t="e" cm="1">
        <f t="array" ref="T8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4" t="e">
        <f>Table1[[#This Row],[Term to Maturity (Years)]]*Table1[[#This Row],[Coupon Frequency2]]</f>
        <v>#N/A</v>
      </c>
      <c r="V854">
        <f>Table1[[#This Row],[Face value]]*Table1[[#This Row],[Current coupon %]]</f>
        <v>0</v>
      </c>
      <c r="W854" s="36" t="e">
        <f>RATE(Table1[[#This Row],[Total No. of Coupons]],Table1[[#This Row],[Coupon Amount]],-Table1[[#This Row],[Ask Price]],Table1[[#This Row],[Face value]])</f>
        <v>#N/A</v>
      </c>
      <c r="X854" s="27" t="e">
        <f>Table1[[#This Row],[IRR]]*Table1[[#This Row],[Coupon Frequency2]]</f>
        <v>#N/A</v>
      </c>
      <c r="Y854" s="19" t="e" cm="1">
        <f t="array" ref="Y8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4" s="33" t="e">
        <f>DURATION(Table1[[#This Row],[Issue date]],Table1[[#This Row],[Maturity date]],Table1[[#This Row],[Current coupon %]],Table1[[#This Row],[Yield (Annualised)]],Table1[[#This Row],[Coupon Frequency2]])</f>
        <v>#N/A</v>
      </c>
      <c r="AA854" s="33" t="e">
        <f>Table1[[#This Row],[Macaulay Duration in Years]]/(1+Table1[[#This Row],[IRR]])</f>
        <v>#N/A</v>
      </c>
      <c r="AB854" s="58" t="e">
        <f>VLOOKUP(Table1[[#This Row],[Yield Cluster]],'Cluster Details'!$B$3:$C$16,2,0)</f>
        <v>#N/A</v>
      </c>
      <c r="AC85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4" s="58" t="e">
        <f>IF(Table1[[#This Row],[Ask Price]]&gt;Table1[[#This Row],[Calculated Bond Price]],"Rich","Cheap")</f>
        <v>#N/A</v>
      </c>
      <c r="AE85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4" s="78" t="e">
        <f>(Table1[[#This Row],[P (+ shock)]]+Table1[[#This Row],[P (-shock)]]-2*Table1[[#This Row],[Ask Price]])/(2*Table1[[#This Row],[Ask Price]]*($AF$2^2))</f>
        <v>#N/A</v>
      </c>
      <c r="AI854" s="6" t="e">
        <f t="shared" si="53"/>
        <v>#DIV/0!</v>
      </c>
      <c r="AK854" s="47" t="e">
        <f>RATE(Table1[[#This Row],[Total No. of Coupons]],Table1[[#This Row],[Coupon Amount]],-Table1[[#This Row],[Ask Price]],Table1[[#This Row],[Face value]])</f>
        <v>#N/A</v>
      </c>
      <c r="AL854" s="27" t="e">
        <f>Table1[[#This Row],[IRR]]*Table1[[#This Row],[Coupon Frequency2]]</f>
        <v>#N/A</v>
      </c>
      <c r="AM854" s="5" t="e">
        <f t="shared" si="54"/>
        <v>#N/A</v>
      </c>
      <c r="AN854" t="s">
        <v>64</v>
      </c>
      <c r="AO854" t="s">
        <v>62</v>
      </c>
      <c r="AP854" t="str">
        <f t="shared" si="55"/>
        <v/>
      </c>
    </row>
    <row r="855" spans="4:42" x14ac:dyDescent="0.35">
      <c r="D855" s="21"/>
      <c r="E855" s="21"/>
      <c r="L855" s="22"/>
      <c r="S855">
        <f t="shared" si="52"/>
        <v>0</v>
      </c>
      <c r="T855" s="5" t="e" cm="1">
        <f t="array" ref="T8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5" t="e">
        <f>Table1[[#This Row],[Term to Maturity (Years)]]*Table1[[#This Row],[Coupon Frequency2]]</f>
        <v>#N/A</v>
      </c>
      <c r="V855">
        <f>Table1[[#This Row],[Face value]]*Table1[[#This Row],[Current coupon %]]</f>
        <v>0</v>
      </c>
      <c r="W855" s="36" t="e">
        <f>RATE(Table1[[#This Row],[Total No. of Coupons]],Table1[[#This Row],[Coupon Amount]],-Table1[[#This Row],[Ask Price]],Table1[[#This Row],[Face value]])</f>
        <v>#N/A</v>
      </c>
      <c r="X855" s="27" t="e">
        <f>Table1[[#This Row],[IRR]]*Table1[[#This Row],[Coupon Frequency2]]</f>
        <v>#N/A</v>
      </c>
      <c r="Y855" s="19" t="e" cm="1">
        <f t="array" ref="Y8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5" s="33" t="e">
        <f>DURATION(Table1[[#This Row],[Issue date]],Table1[[#This Row],[Maturity date]],Table1[[#This Row],[Current coupon %]],Table1[[#This Row],[Yield (Annualised)]],Table1[[#This Row],[Coupon Frequency2]])</f>
        <v>#N/A</v>
      </c>
      <c r="AA855" s="33" t="e">
        <f>Table1[[#This Row],[Macaulay Duration in Years]]/(1+Table1[[#This Row],[IRR]])</f>
        <v>#N/A</v>
      </c>
      <c r="AB855" s="58" t="e">
        <f>VLOOKUP(Table1[[#This Row],[Yield Cluster]],'Cluster Details'!$B$3:$C$16,2,0)</f>
        <v>#N/A</v>
      </c>
      <c r="AC85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5" s="58" t="e">
        <f>IF(Table1[[#This Row],[Ask Price]]&gt;Table1[[#This Row],[Calculated Bond Price]],"Rich","Cheap")</f>
        <v>#N/A</v>
      </c>
      <c r="AE85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5" s="78" t="e">
        <f>(Table1[[#This Row],[P (+ shock)]]+Table1[[#This Row],[P (-shock)]]-2*Table1[[#This Row],[Ask Price]])/(2*Table1[[#This Row],[Ask Price]]*($AF$2^2))</f>
        <v>#N/A</v>
      </c>
      <c r="AH855">
        <v>8.0118419287906395</v>
      </c>
      <c r="AI855" s="6" t="e">
        <f t="shared" si="53"/>
        <v>#DIV/0!</v>
      </c>
      <c r="AK855" s="47" t="e">
        <f>RATE(Table1[[#This Row],[Total No. of Coupons]],Table1[[#This Row],[Coupon Amount]],-Table1[[#This Row],[Ask Price]],Table1[[#This Row],[Face value]])</f>
        <v>#N/A</v>
      </c>
      <c r="AL855" s="27" t="e">
        <f>Table1[[#This Row],[IRR]]*Table1[[#This Row],[Coupon Frequency2]]</f>
        <v>#N/A</v>
      </c>
      <c r="AM855" s="5" t="e">
        <f t="shared" si="54"/>
        <v>#N/A</v>
      </c>
      <c r="AN855" t="s">
        <v>64</v>
      </c>
      <c r="AO855" t="s">
        <v>62</v>
      </c>
      <c r="AP855" t="str">
        <f t="shared" si="55"/>
        <v/>
      </c>
    </row>
    <row r="856" spans="4:42" x14ac:dyDescent="0.35">
      <c r="D856" s="21"/>
      <c r="E856" s="21"/>
      <c r="L856" s="22"/>
      <c r="S856">
        <f t="shared" si="52"/>
        <v>0</v>
      </c>
      <c r="T856" s="5" t="e" cm="1">
        <f t="array" ref="T8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6" t="e">
        <f>Table1[[#This Row],[Term to Maturity (Years)]]*Table1[[#This Row],[Coupon Frequency2]]</f>
        <v>#N/A</v>
      </c>
      <c r="V856">
        <f>Table1[[#This Row],[Face value]]*Table1[[#This Row],[Current coupon %]]</f>
        <v>0</v>
      </c>
      <c r="W856" s="36" t="e">
        <f>RATE(Table1[[#This Row],[Total No. of Coupons]],Table1[[#This Row],[Coupon Amount]],-Table1[[#This Row],[Ask Price]],Table1[[#This Row],[Face value]])</f>
        <v>#N/A</v>
      </c>
      <c r="X856" s="27" t="e">
        <f>Table1[[#This Row],[IRR]]*Table1[[#This Row],[Coupon Frequency2]]</f>
        <v>#N/A</v>
      </c>
      <c r="Y856" s="19" t="e" cm="1">
        <f t="array" ref="Y8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6" s="33" t="e">
        <f>DURATION(Table1[[#This Row],[Issue date]],Table1[[#This Row],[Maturity date]],Table1[[#This Row],[Current coupon %]],Table1[[#This Row],[Yield (Annualised)]],Table1[[#This Row],[Coupon Frequency2]])</f>
        <v>#N/A</v>
      </c>
      <c r="AA856" s="33" t="e">
        <f>Table1[[#This Row],[Macaulay Duration in Years]]/(1+Table1[[#This Row],[IRR]])</f>
        <v>#N/A</v>
      </c>
      <c r="AB856" s="58" t="e">
        <f>VLOOKUP(Table1[[#This Row],[Yield Cluster]],'Cluster Details'!$B$3:$C$16,2,0)</f>
        <v>#N/A</v>
      </c>
      <c r="AC85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6" s="58" t="e">
        <f>IF(Table1[[#This Row],[Ask Price]]&gt;Table1[[#This Row],[Calculated Bond Price]],"Rich","Cheap")</f>
        <v>#N/A</v>
      </c>
      <c r="AE85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6" s="78" t="e">
        <f>(Table1[[#This Row],[P (+ shock)]]+Table1[[#This Row],[P (-shock)]]-2*Table1[[#This Row],[Ask Price]])/(2*Table1[[#This Row],[Ask Price]]*($AF$2^2))</f>
        <v>#N/A</v>
      </c>
      <c r="AH856">
        <v>10.219567486956301</v>
      </c>
      <c r="AI856" s="6" t="e">
        <f t="shared" si="53"/>
        <v>#DIV/0!</v>
      </c>
      <c r="AK856" s="47" t="e">
        <f>RATE(Table1[[#This Row],[Total No. of Coupons]],Table1[[#This Row],[Coupon Amount]],-Table1[[#This Row],[Ask Price]],Table1[[#This Row],[Face value]])</f>
        <v>#N/A</v>
      </c>
      <c r="AL856" s="27" t="e">
        <f>Table1[[#This Row],[IRR]]*Table1[[#This Row],[Coupon Frequency2]]</f>
        <v>#N/A</v>
      </c>
      <c r="AM856" s="5" t="e">
        <f t="shared" si="54"/>
        <v>#N/A</v>
      </c>
      <c r="AN856" t="s">
        <v>64</v>
      </c>
      <c r="AO856" t="s">
        <v>62</v>
      </c>
      <c r="AP856" t="str">
        <f t="shared" si="55"/>
        <v/>
      </c>
    </row>
    <row r="857" spans="4:42" x14ac:dyDescent="0.35">
      <c r="D857" s="21"/>
      <c r="E857" s="21"/>
      <c r="L857" s="22"/>
      <c r="S857">
        <f t="shared" si="52"/>
        <v>0</v>
      </c>
      <c r="T857" s="5" t="e" cm="1">
        <f t="array" ref="T8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7" t="e">
        <f>Table1[[#This Row],[Term to Maturity (Years)]]*Table1[[#This Row],[Coupon Frequency2]]</f>
        <v>#N/A</v>
      </c>
      <c r="V857">
        <f>Table1[[#This Row],[Face value]]*Table1[[#This Row],[Current coupon %]]</f>
        <v>0</v>
      </c>
      <c r="W857" s="36" t="e">
        <f>RATE(Table1[[#This Row],[Total No. of Coupons]],Table1[[#This Row],[Coupon Amount]],-Table1[[#This Row],[Ask Price]],Table1[[#This Row],[Face value]])</f>
        <v>#N/A</v>
      </c>
      <c r="X857" s="27" t="e">
        <f>Table1[[#This Row],[IRR]]*Table1[[#This Row],[Coupon Frequency2]]</f>
        <v>#N/A</v>
      </c>
      <c r="Y857" s="19" t="e" cm="1">
        <f t="array" ref="Y8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7" s="33" t="e">
        <f>DURATION(Table1[[#This Row],[Issue date]],Table1[[#This Row],[Maturity date]],Table1[[#This Row],[Current coupon %]],Table1[[#This Row],[Yield (Annualised)]],Table1[[#This Row],[Coupon Frequency2]])</f>
        <v>#N/A</v>
      </c>
      <c r="AA857" s="33" t="e">
        <f>Table1[[#This Row],[Macaulay Duration in Years]]/(1+Table1[[#This Row],[IRR]])</f>
        <v>#N/A</v>
      </c>
      <c r="AB857" s="58" t="e">
        <f>VLOOKUP(Table1[[#This Row],[Yield Cluster]],'Cluster Details'!$B$3:$C$16,2,0)</f>
        <v>#N/A</v>
      </c>
      <c r="AC85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7" s="58" t="e">
        <f>IF(Table1[[#This Row],[Ask Price]]&gt;Table1[[#This Row],[Calculated Bond Price]],"Rich","Cheap")</f>
        <v>#N/A</v>
      </c>
      <c r="AE85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7" s="78" t="e">
        <f>(Table1[[#This Row],[P (+ shock)]]+Table1[[#This Row],[P (-shock)]]-2*Table1[[#This Row],[Ask Price]])/(2*Table1[[#This Row],[Ask Price]]*($AF$2^2))</f>
        <v>#N/A</v>
      </c>
      <c r="AI857" s="6" t="e">
        <f t="shared" si="53"/>
        <v>#DIV/0!</v>
      </c>
      <c r="AK857" s="47" t="e">
        <f>RATE(Table1[[#This Row],[Total No. of Coupons]],Table1[[#This Row],[Coupon Amount]],-Table1[[#This Row],[Ask Price]],Table1[[#This Row],[Face value]])</f>
        <v>#N/A</v>
      </c>
      <c r="AL857" s="27" t="e">
        <f>Table1[[#This Row],[IRR]]*Table1[[#This Row],[Coupon Frequency2]]</f>
        <v>#N/A</v>
      </c>
      <c r="AM857" s="5" t="e">
        <f t="shared" si="54"/>
        <v>#N/A</v>
      </c>
      <c r="AN857" t="s">
        <v>64</v>
      </c>
      <c r="AO857" t="s">
        <v>62</v>
      </c>
      <c r="AP857" t="str">
        <f t="shared" si="55"/>
        <v/>
      </c>
    </row>
    <row r="858" spans="4:42" x14ac:dyDescent="0.35">
      <c r="D858" s="21"/>
      <c r="E858" s="21"/>
      <c r="L858" s="22"/>
      <c r="S858">
        <f t="shared" si="52"/>
        <v>0</v>
      </c>
      <c r="T858" s="5" t="e" cm="1">
        <f t="array" ref="T8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8" t="e">
        <f>Table1[[#This Row],[Term to Maturity (Years)]]*Table1[[#This Row],[Coupon Frequency2]]</f>
        <v>#N/A</v>
      </c>
      <c r="V858">
        <f>Table1[[#This Row],[Face value]]*Table1[[#This Row],[Current coupon %]]</f>
        <v>0</v>
      </c>
      <c r="W858" s="36" t="e">
        <f>RATE(Table1[[#This Row],[Total No. of Coupons]],Table1[[#This Row],[Coupon Amount]],-Table1[[#This Row],[Ask Price]],Table1[[#This Row],[Face value]])</f>
        <v>#N/A</v>
      </c>
      <c r="X858" s="27" t="e">
        <f>Table1[[#This Row],[IRR]]*Table1[[#This Row],[Coupon Frequency2]]</f>
        <v>#N/A</v>
      </c>
      <c r="Y858" s="19" t="e" cm="1">
        <f t="array" ref="Y8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8" s="33" t="e">
        <f>DURATION(Table1[[#This Row],[Issue date]],Table1[[#This Row],[Maturity date]],Table1[[#This Row],[Current coupon %]],Table1[[#This Row],[Yield (Annualised)]],Table1[[#This Row],[Coupon Frequency2]])</f>
        <v>#N/A</v>
      </c>
      <c r="AA858" s="33" t="e">
        <f>Table1[[#This Row],[Macaulay Duration in Years]]/(1+Table1[[#This Row],[IRR]])</f>
        <v>#N/A</v>
      </c>
      <c r="AB858" s="58" t="e">
        <f>VLOOKUP(Table1[[#This Row],[Yield Cluster]],'Cluster Details'!$B$3:$C$16,2,0)</f>
        <v>#N/A</v>
      </c>
      <c r="AC85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8" s="58" t="e">
        <f>IF(Table1[[#This Row],[Ask Price]]&gt;Table1[[#This Row],[Calculated Bond Price]],"Rich","Cheap")</f>
        <v>#N/A</v>
      </c>
      <c r="AE85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8" s="78" t="e">
        <f>(Table1[[#This Row],[P (+ shock)]]+Table1[[#This Row],[P (-shock)]]-2*Table1[[#This Row],[Ask Price]])/(2*Table1[[#This Row],[Ask Price]]*($AF$2^2))</f>
        <v>#N/A</v>
      </c>
      <c r="AI858" s="6" t="e">
        <f t="shared" si="53"/>
        <v>#DIV/0!</v>
      </c>
      <c r="AK858" s="47" t="e">
        <f>RATE(Table1[[#This Row],[Total No. of Coupons]],Table1[[#This Row],[Coupon Amount]],-Table1[[#This Row],[Ask Price]],Table1[[#This Row],[Face value]])</f>
        <v>#N/A</v>
      </c>
      <c r="AL858" s="27" t="e">
        <f>Table1[[#This Row],[IRR]]*Table1[[#This Row],[Coupon Frequency2]]</f>
        <v>#N/A</v>
      </c>
      <c r="AM858" s="5" t="e">
        <f t="shared" si="54"/>
        <v>#N/A</v>
      </c>
      <c r="AN858" t="s">
        <v>64</v>
      </c>
      <c r="AO858" t="s">
        <v>62</v>
      </c>
      <c r="AP858" t="str">
        <f t="shared" si="55"/>
        <v/>
      </c>
    </row>
    <row r="859" spans="4:42" x14ac:dyDescent="0.35">
      <c r="D859" s="21"/>
      <c r="E859" s="21"/>
      <c r="L859" s="22"/>
      <c r="S859">
        <f t="shared" si="52"/>
        <v>0</v>
      </c>
      <c r="T859" s="5" t="e" cm="1">
        <f t="array" ref="T8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59" t="e">
        <f>Table1[[#This Row],[Term to Maturity (Years)]]*Table1[[#This Row],[Coupon Frequency2]]</f>
        <v>#N/A</v>
      </c>
      <c r="V859">
        <f>Table1[[#This Row],[Face value]]*Table1[[#This Row],[Current coupon %]]</f>
        <v>0</v>
      </c>
      <c r="W859" s="36" t="e">
        <f>RATE(Table1[[#This Row],[Total No. of Coupons]],Table1[[#This Row],[Coupon Amount]],-Table1[[#This Row],[Ask Price]],Table1[[#This Row],[Face value]])</f>
        <v>#N/A</v>
      </c>
      <c r="X859" s="27" t="e">
        <f>Table1[[#This Row],[IRR]]*Table1[[#This Row],[Coupon Frequency2]]</f>
        <v>#N/A</v>
      </c>
      <c r="Y859" s="19" t="e" cm="1">
        <f t="array" ref="Y8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59" s="33" t="e">
        <f>DURATION(Table1[[#This Row],[Issue date]],Table1[[#This Row],[Maturity date]],Table1[[#This Row],[Current coupon %]],Table1[[#This Row],[Yield (Annualised)]],Table1[[#This Row],[Coupon Frequency2]])</f>
        <v>#N/A</v>
      </c>
      <c r="AA859" s="33" t="e">
        <f>Table1[[#This Row],[Macaulay Duration in Years]]/(1+Table1[[#This Row],[IRR]])</f>
        <v>#N/A</v>
      </c>
      <c r="AB859" s="58" t="e">
        <f>VLOOKUP(Table1[[#This Row],[Yield Cluster]],'Cluster Details'!$B$3:$C$16,2,0)</f>
        <v>#N/A</v>
      </c>
      <c r="AC85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59" s="58" t="e">
        <f>IF(Table1[[#This Row],[Ask Price]]&gt;Table1[[#This Row],[Calculated Bond Price]],"Rich","Cheap")</f>
        <v>#N/A</v>
      </c>
      <c r="AE85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5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59" s="78" t="e">
        <f>(Table1[[#This Row],[P (+ shock)]]+Table1[[#This Row],[P (-shock)]]-2*Table1[[#This Row],[Ask Price]])/(2*Table1[[#This Row],[Ask Price]]*($AF$2^2))</f>
        <v>#N/A</v>
      </c>
      <c r="AH859">
        <v>6.7352460272649797</v>
      </c>
      <c r="AI859" s="6" t="e">
        <f t="shared" si="53"/>
        <v>#DIV/0!</v>
      </c>
      <c r="AK859" s="47" t="e">
        <f>RATE(Table1[[#This Row],[Total No. of Coupons]],Table1[[#This Row],[Coupon Amount]],-Table1[[#This Row],[Ask Price]],Table1[[#This Row],[Face value]])</f>
        <v>#N/A</v>
      </c>
      <c r="AL859" s="27" t="e">
        <f>Table1[[#This Row],[IRR]]*Table1[[#This Row],[Coupon Frequency2]]</f>
        <v>#N/A</v>
      </c>
      <c r="AM859" s="5" t="e">
        <f t="shared" si="54"/>
        <v>#N/A</v>
      </c>
      <c r="AN859" t="s">
        <v>64</v>
      </c>
      <c r="AO859" t="s">
        <v>62</v>
      </c>
      <c r="AP859" t="str">
        <f t="shared" si="55"/>
        <v/>
      </c>
    </row>
    <row r="860" spans="4:42" x14ac:dyDescent="0.35">
      <c r="D860" s="21"/>
      <c r="E860" s="21"/>
      <c r="L860" s="22"/>
      <c r="S860">
        <f t="shared" si="52"/>
        <v>0</v>
      </c>
      <c r="T860" s="5" t="e" cm="1">
        <f t="array" ref="T8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0" t="e">
        <f>Table1[[#This Row],[Term to Maturity (Years)]]*Table1[[#This Row],[Coupon Frequency2]]</f>
        <v>#N/A</v>
      </c>
      <c r="V860">
        <f>Table1[[#This Row],[Face value]]*Table1[[#This Row],[Current coupon %]]</f>
        <v>0</v>
      </c>
      <c r="W860" s="36" t="e">
        <f>RATE(Table1[[#This Row],[Total No. of Coupons]],Table1[[#This Row],[Coupon Amount]],-Table1[[#This Row],[Ask Price]],Table1[[#This Row],[Face value]])</f>
        <v>#N/A</v>
      </c>
      <c r="X860" s="27" t="e">
        <f>Table1[[#This Row],[IRR]]*Table1[[#This Row],[Coupon Frequency2]]</f>
        <v>#N/A</v>
      </c>
      <c r="Y860" s="19" t="e" cm="1">
        <f t="array" ref="Y8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0" s="33" t="e">
        <f>DURATION(Table1[[#This Row],[Issue date]],Table1[[#This Row],[Maturity date]],Table1[[#This Row],[Current coupon %]],Table1[[#This Row],[Yield (Annualised)]],Table1[[#This Row],[Coupon Frequency2]])</f>
        <v>#N/A</v>
      </c>
      <c r="AA860" s="33" t="e">
        <f>Table1[[#This Row],[Macaulay Duration in Years]]/(1+Table1[[#This Row],[IRR]])</f>
        <v>#N/A</v>
      </c>
      <c r="AB860" s="58" t="e">
        <f>VLOOKUP(Table1[[#This Row],[Yield Cluster]],'Cluster Details'!$B$3:$C$16,2,0)</f>
        <v>#N/A</v>
      </c>
      <c r="AC86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0" s="58" t="e">
        <f>IF(Table1[[#This Row],[Ask Price]]&gt;Table1[[#This Row],[Calculated Bond Price]],"Rich","Cheap")</f>
        <v>#N/A</v>
      </c>
      <c r="AE86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0" s="78" t="e">
        <f>(Table1[[#This Row],[P (+ shock)]]+Table1[[#This Row],[P (-shock)]]-2*Table1[[#This Row],[Ask Price]])/(2*Table1[[#This Row],[Ask Price]]*($AF$2^2))</f>
        <v>#N/A</v>
      </c>
      <c r="AH860">
        <v>10.9128332588982</v>
      </c>
      <c r="AI860" s="6" t="e">
        <f t="shared" si="53"/>
        <v>#DIV/0!</v>
      </c>
      <c r="AK860" s="47" t="e">
        <f>RATE(Table1[[#This Row],[Total No. of Coupons]],Table1[[#This Row],[Coupon Amount]],-Table1[[#This Row],[Ask Price]],Table1[[#This Row],[Face value]])</f>
        <v>#N/A</v>
      </c>
      <c r="AL860" s="27" t="e">
        <f>Table1[[#This Row],[IRR]]*Table1[[#This Row],[Coupon Frequency2]]</f>
        <v>#N/A</v>
      </c>
      <c r="AM860" s="5" t="e">
        <f t="shared" si="54"/>
        <v>#N/A</v>
      </c>
      <c r="AN860" t="s">
        <v>64</v>
      </c>
      <c r="AO860" t="s">
        <v>62</v>
      </c>
      <c r="AP860" t="str">
        <f t="shared" si="55"/>
        <v/>
      </c>
    </row>
    <row r="861" spans="4:42" x14ac:dyDescent="0.35">
      <c r="D861" s="21"/>
      <c r="E861" s="21"/>
      <c r="L861" s="22"/>
      <c r="S861">
        <f t="shared" si="52"/>
        <v>0</v>
      </c>
      <c r="T861" s="5" t="e" cm="1">
        <f t="array" ref="T8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1" t="e">
        <f>Table1[[#This Row],[Term to Maturity (Years)]]*Table1[[#This Row],[Coupon Frequency2]]</f>
        <v>#N/A</v>
      </c>
      <c r="V861">
        <f>Table1[[#This Row],[Face value]]*Table1[[#This Row],[Current coupon %]]</f>
        <v>0</v>
      </c>
      <c r="W861" s="36" t="e">
        <f>RATE(Table1[[#This Row],[Total No. of Coupons]],Table1[[#This Row],[Coupon Amount]],-Table1[[#This Row],[Ask Price]],Table1[[#This Row],[Face value]])</f>
        <v>#N/A</v>
      </c>
      <c r="X861" s="27" t="e">
        <f>Table1[[#This Row],[IRR]]*Table1[[#This Row],[Coupon Frequency2]]</f>
        <v>#N/A</v>
      </c>
      <c r="Y861" s="19" t="e" cm="1">
        <f t="array" ref="Y8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1" s="33" t="e">
        <f>DURATION(Table1[[#This Row],[Issue date]],Table1[[#This Row],[Maturity date]],Table1[[#This Row],[Current coupon %]],Table1[[#This Row],[Yield (Annualised)]],Table1[[#This Row],[Coupon Frequency2]])</f>
        <v>#N/A</v>
      </c>
      <c r="AA861" s="33" t="e">
        <f>Table1[[#This Row],[Macaulay Duration in Years]]/(1+Table1[[#This Row],[IRR]])</f>
        <v>#N/A</v>
      </c>
      <c r="AB861" s="58" t="e">
        <f>VLOOKUP(Table1[[#This Row],[Yield Cluster]],'Cluster Details'!$B$3:$C$16,2,0)</f>
        <v>#N/A</v>
      </c>
      <c r="AC86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1" s="58" t="e">
        <f>IF(Table1[[#This Row],[Ask Price]]&gt;Table1[[#This Row],[Calculated Bond Price]],"Rich","Cheap")</f>
        <v>#N/A</v>
      </c>
      <c r="AE86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1" s="78" t="e">
        <f>(Table1[[#This Row],[P (+ shock)]]+Table1[[#This Row],[P (-shock)]]-2*Table1[[#This Row],[Ask Price]])/(2*Table1[[#This Row],[Ask Price]]*($AF$2^2))</f>
        <v>#N/A</v>
      </c>
      <c r="AH861">
        <v>10.75</v>
      </c>
      <c r="AI861" s="6" t="e">
        <f t="shared" si="53"/>
        <v>#DIV/0!</v>
      </c>
      <c r="AK861" s="47" t="e">
        <f>RATE(Table1[[#This Row],[Total No. of Coupons]],Table1[[#This Row],[Coupon Amount]],-Table1[[#This Row],[Ask Price]],Table1[[#This Row],[Face value]])</f>
        <v>#N/A</v>
      </c>
      <c r="AL861" s="27" t="e">
        <f>Table1[[#This Row],[IRR]]*Table1[[#This Row],[Coupon Frequency2]]</f>
        <v>#N/A</v>
      </c>
      <c r="AM861" s="5" t="e">
        <f t="shared" si="54"/>
        <v>#N/A</v>
      </c>
      <c r="AN861" t="s">
        <v>64</v>
      </c>
      <c r="AO861" t="s">
        <v>62</v>
      </c>
      <c r="AP861" t="str">
        <f t="shared" si="55"/>
        <v/>
      </c>
    </row>
    <row r="862" spans="4:42" x14ac:dyDescent="0.35">
      <c r="D862" s="21"/>
      <c r="E862" s="21"/>
      <c r="L862" s="22"/>
      <c r="S862">
        <f t="shared" si="52"/>
        <v>0</v>
      </c>
      <c r="T862" s="5" t="e" cm="1">
        <f t="array" ref="T8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2" t="e">
        <f>Table1[[#This Row],[Term to Maturity (Years)]]*Table1[[#This Row],[Coupon Frequency2]]</f>
        <v>#N/A</v>
      </c>
      <c r="V862">
        <f>Table1[[#This Row],[Face value]]*Table1[[#This Row],[Current coupon %]]</f>
        <v>0</v>
      </c>
      <c r="W862" s="36" t="e">
        <f>RATE(Table1[[#This Row],[Total No. of Coupons]],Table1[[#This Row],[Coupon Amount]],-Table1[[#This Row],[Ask Price]],Table1[[#This Row],[Face value]])</f>
        <v>#N/A</v>
      </c>
      <c r="X862" s="27" t="e">
        <f>Table1[[#This Row],[IRR]]*Table1[[#This Row],[Coupon Frequency2]]</f>
        <v>#N/A</v>
      </c>
      <c r="Y862" s="19" t="e" cm="1">
        <f t="array" ref="Y8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2" s="33" t="e">
        <f>DURATION(Table1[[#This Row],[Issue date]],Table1[[#This Row],[Maturity date]],Table1[[#This Row],[Current coupon %]],Table1[[#This Row],[Yield (Annualised)]],Table1[[#This Row],[Coupon Frequency2]])</f>
        <v>#N/A</v>
      </c>
      <c r="AA862" s="33" t="e">
        <f>Table1[[#This Row],[Macaulay Duration in Years]]/(1+Table1[[#This Row],[IRR]])</f>
        <v>#N/A</v>
      </c>
      <c r="AB862" s="58" t="e">
        <f>VLOOKUP(Table1[[#This Row],[Yield Cluster]],'Cluster Details'!$B$3:$C$16,2,0)</f>
        <v>#N/A</v>
      </c>
      <c r="AC86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2" s="58" t="e">
        <f>IF(Table1[[#This Row],[Ask Price]]&gt;Table1[[#This Row],[Calculated Bond Price]],"Rich","Cheap")</f>
        <v>#N/A</v>
      </c>
      <c r="AE86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2" s="78" t="e">
        <f>(Table1[[#This Row],[P (+ shock)]]+Table1[[#This Row],[P (-shock)]]-2*Table1[[#This Row],[Ask Price]])/(2*Table1[[#This Row],[Ask Price]]*($AF$2^2))</f>
        <v>#N/A</v>
      </c>
      <c r="AH862">
        <v>11.794581031196399</v>
      </c>
      <c r="AI862" s="6" t="e">
        <f t="shared" si="53"/>
        <v>#DIV/0!</v>
      </c>
      <c r="AK862" s="47" t="e">
        <f>RATE(Table1[[#This Row],[Total No. of Coupons]],Table1[[#This Row],[Coupon Amount]],-Table1[[#This Row],[Ask Price]],Table1[[#This Row],[Face value]])</f>
        <v>#N/A</v>
      </c>
      <c r="AL862" s="27" t="e">
        <f>Table1[[#This Row],[IRR]]*Table1[[#This Row],[Coupon Frequency2]]</f>
        <v>#N/A</v>
      </c>
      <c r="AM862" s="5" t="e">
        <f t="shared" si="54"/>
        <v>#N/A</v>
      </c>
      <c r="AN862" t="s">
        <v>64</v>
      </c>
      <c r="AO862" t="s">
        <v>62</v>
      </c>
      <c r="AP862" t="str">
        <f t="shared" si="55"/>
        <v/>
      </c>
    </row>
    <row r="863" spans="4:42" x14ac:dyDescent="0.35">
      <c r="D863" s="21"/>
      <c r="E863" s="21"/>
      <c r="L863" s="22"/>
      <c r="S863">
        <f t="shared" si="52"/>
        <v>0</v>
      </c>
      <c r="T863" s="5" t="e" cm="1">
        <f t="array" ref="T8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3" t="e">
        <f>Table1[[#This Row],[Term to Maturity (Years)]]*Table1[[#This Row],[Coupon Frequency2]]</f>
        <v>#N/A</v>
      </c>
      <c r="V863">
        <f>Table1[[#This Row],[Face value]]*Table1[[#This Row],[Current coupon %]]</f>
        <v>0</v>
      </c>
      <c r="W863" s="36" t="e">
        <f>RATE(Table1[[#This Row],[Total No. of Coupons]],Table1[[#This Row],[Coupon Amount]],-Table1[[#This Row],[Ask Price]],Table1[[#This Row],[Face value]])</f>
        <v>#N/A</v>
      </c>
      <c r="X863" s="27" t="e">
        <f>Table1[[#This Row],[IRR]]*Table1[[#This Row],[Coupon Frequency2]]</f>
        <v>#N/A</v>
      </c>
      <c r="Y863" s="19" t="e" cm="1">
        <f t="array" ref="Y8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3" s="33" t="e">
        <f>DURATION(Table1[[#This Row],[Issue date]],Table1[[#This Row],[Maturity date]],Table1[[#This Row],[Current coupon %]],Table1[[#This Row],[Yield (Annualised)]],Table1[[#This Row],[Coupon Frequency2]])</f>
        <v>#N/A</v>
      </c>
      <c r="AA863" s="33" t="e">
        <f>Table1[[#This Row],[Macaulay Duration in Years]]/(1+Table1[[#This Row],[IRR]])</f>
        <v>#N/A</v>
      </c>
      <c r="AB863" s="58" t="e">
        <f>VLOOKUP(Table1[[#This Row],[Yield Cluster]],'Cluster Details'!$B$3:$C$16,2,0)</f>
        <v>#N/A</v>
      </c>
      <c r="AC86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3" s="58" t="e">
        <f>IF(Table1[[#This Row],[Ask Price]]&gt;Table1[[#This Row],[Calculated Bond Price]],"Rich","Cheap")</f>
        <v>#N/A</v>
      </c>
      <c r="AE86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3" s="78" t="e">
        <f>(Table1[[#This Row],[P (+ shock)]]+Table1[[#This Row],[P (-shock)]]-2*Table1[[#This Row],[Ask Price]])/(2*Table1[[#This Row],[Ask Price]]*($AF$2^2))</f>
        <v>#N/A</v>
      </c>
      <c r="AH863">
        <v>9.75</v>
      </c>
      <c r="AI863" s="6" t="e">
        <f t="shared" si="53"/>
        <v>#DIV/0!</v>
      </c>
      <c r="AK863" s="47" t="e">
        <f>RATE(Table1[[#This Row],[Total No. of Coupons]],Table1[[#This Row],[Coupon Amount]],-Table1[[#This Row],[Ask Price]],Table1[[#This Row],[Face value]])</f>
        <v>#N/A</v>
      </c>
      <c r="AL863" s="27" t="e">
        <f>Table1[[#This Row],[IRR]]*Table1[[#This Row],[Coupon Frequency2]]</f>
        <v>#N/A</v>
      </c>
      <c r="AM863" s="5" t="e">
        <f t="shared" si="54"/>
        <v>#N/A</v>
      </c>
      <c r="AN863" t="s">
        <v>64</v>
      </c>
      <c r="AO863" t="s">
        <v>62</v>
      </c>
      <c r="AP863" t="str">
        <f t="shared" si="55"/>
        <v/>
      </c>
    </row>
    <row r="864" spans="4:42" x14ac:dyDescent="0.35">
      <c r="D864" s="21"/>
      <c r="E864" s="21"/>
      <c r="L864" s="22"/>
      <c r="S864">
        <f t="shared" si="52"/>
        <v>0</v>
      </c>
      <c r="T864" s="5" t="e" cm="1">
        <f t="array" ref="T8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4" t="e">
        <f>Table1[[#This Row],[Term to Maturity (Years)]]*Table1[[#This Row],[Coupon Frequency2]]</f>
        <v>#N/A</v>
      </c>
      <c r="V864">
        <f>Table1[[#This Row],[Face value]]*Table1[[#This Row],[Current coupon %]]</f>
        <v>0</v>
      </c>
      <c r="W864" s="36" t="e">
        <f>RATE(Table1[[#This Row],[Total No. of Coupons]],Table1[[#This Row],[Coupon Amount]],-Table1[[#This Row],[Ask Price]],Table1[[#This Row],[Face value]])</f>
        <v>#N/A</v>
      </c>
      <c r="X864" s="27" t="e">
        <f>Table1[[#This Row],[IRR]]*Table1[[#This Row],[Coupon Frequency2]]</f>
        <v>#N/A</v>
      </c>
      <c r="Y864" s="19" t="e" cm="1">
        <f t="array" ref="Y8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4" s="33" t="e">
        <f>DURATION(Table1[[#This Row],[Issue date]],Table1[[#This Row],[Maturity date]],Table1[[#This Row],[Current coupon %]],Table1[[#This Row],[Yield (Annualised)]],Table1[[#This Row],[Coupon Frequency2]])</f>
        <v>#N/A</v>
      </c>
      <c r="AA864" s="33" t="e">
        <f>Table1[[#This Row],[Macaulay Duration in Years]]/(1+Table1[[#This Row],[IRR]])</f>
        <v>#N/A</v>
      </c>
      <c r="AB864" s="58" t="e">
        <f>VLOOKUP(Table1[[#This Row],[Yield Cluster]],'Cluster Details'!$B$3:$C$16,2,0)</f>
        <v>#N/A</v>
      </c>
      <c r="AC86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4" s="58" t="e">
        <f>IF(Table1[[#This Row],[Ask Price]]&gt;Table1[[#This Row],[Calculated Bond Price]],"Rich","Cheap")</f>
        <v>#N/A</v>
      </c>
      <c r="AE86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4" s="78" t="e">
        <f>(Table1[[#This Row],[P (+ shock)]]+Table1[[#This Row],[P (-shock)]]-2*Table1[[#This Row],[Ask Price]])/(2*Table1[[#This Row],[Ask Price]]*($AF$2^2))</f>
        <v>#N/A</v>
      </c>
      <c r="AH864">
        <v>9.9764825680065901</v>
      </c>
      <c r="AI864" s="6" t="e">
        <f t="shared" si="53"/>
        <v>#DIV/0!</v>
      </c>
      <c r="AK864" s="47" t="e">
        <f>RATE(Table1[[#This Row],[Total No. of Coupons]],Table1[[#This Row],[Coupon Amount]],-Table1[[#This Row],[Ask Price]],Table1[[#This Row],[Face value]])</f>
        <v>#N/A</v>
      </c>
      <c r="AL864" s="27" t="e">
        <f>Table1[[#This Row],[IRR]]*Table1[[#This Row],[Coupon Frequency2]]</f>
        <v>#N/A</v>
      </c>
      <c r="AM864" s="5" t="e">
        <f t="shared" si="54"/>
        <v>#N/A</v>
      </c>
      <c r="AN864" t="s">
        <v>64</v>
      </c>
      <c r="AO864" t="s">
        <v>62</v>
      </c>
      <c r="AP864" t="str">
        <f t="shared" si="55"/>
        <v/>
      </c>
    </row>
    <row r="865" spans="4:42" x14ac:dyDescent="0.35">
      <c r="D865" s="21"/>
      <c r="E865" s="21"/>
      <c r="L865" s="22"/>
      <c r="S865">
        <f t="shared" si="52"/>
        <v>0</v>
      </c>
      <c r="T865" s="5" t="e" cm="1">
        <f t="array" ref="T8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5" t="e">
        <f>Table1[[#This Row],[Term to Maturity (Years)]]*Table1[[#This Row],[Coupon Frequency2]]</f>
        <v>#N/A</v>
      </c>
      <c r="V865">
        <f>Table1[[#This Row],[Face value]]*Table1[[#This Row],[Current coupon %]]</f>
        <v>0</v>
      </c>
      <c r="W865" s="36" t="e">
        <f>RATE(Table1[[#This Row],[Total No. of Coupons]],Table1[[#This Row],[Coupon Amount]],-Table1[[#This Row],[Ask Price]],Table1[[#This Row],[Face value]])</f>
        <v>#N/A</v>
      </c>
      <c r="X865" s="27" t="e">
        <f>Table1[[#This Row],[IRR]]*Table1[[#This Row],[Coupon Frequency2]]</f>
        <v>#N/A</v>
      </c>
      <c r="Y865" s="19" t="e" cm="1">
        <f t="array" ref="Y8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5" s="33" t="e">
        <f>DURATION(Table1[[#This Row],[Issue date]],Table1[[#This Row],[Maturity date]],Table1[[#This Row],[Current coupon %]],Table1[[#This Row],[Yield (Annualised)]],Table1[[#This Row],[Coupon Frequency2]])</f>
        <v>#N/A</v>
      </c>
      <c r="AA865" s="33" t="e">
        <f>Table1[[#This Row],[Macaulay Duration in Years]]/(1+Table1[[#This Row],[IRR]])</f>
        <v>#N/A</v>
      </c>
      <c r="AB865" s="58" t="e">
        <f>VLOOKUP(Table1[[#This Row],[Yield Cluster]],'Cluster Details'!$B$3:$C$16,2,0)</f>
        <v>#N/A</v>
      </c>
      <c r="AC86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5" s="58" t="e">
        <f>IF(Table1[[#This Row],[Ask Price]]&gt;Table1[[#This Row],[Calculated Bond Price]],"Rich","Cheap")</f>
        <v>#N/A</v>
      </c>
      <c r="AE86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5" s="78" t="e">
        <f>(Table1[[#This Row],[P (+ shock)]]+Table1[[#This Row],[P (-shock)]]-2*Table1[[#This Row],[Ask Price]])/(2*Table1[[#This Row],[Ask Price]]*($AF$2^2))</f>
        <v>#N/A</v>
      </c>
      <c r="AH865">
        <v>18.700833216962199</v>
      </c>
      <c r="AI865" s="6" t="e">
        <f t="shared" si="53"/>
        <v>#DIV/0!</v>
      </c>
      <c r="AK865" s="47" t="e">
        <f>RATE(Table1[[#This Row],[Total No. of Coupons]],Table1[[#This Row],[Coupon Amount]],-Table1[[#This Row],[Ask Price]],Table1[[#This Row],[Face value]])</f>
        <v>#N/A</v>
      </c>
      <c r="AL865" s="27" t="e">
        <f>Table1[[#This Row],[IRR]]*Table1[[#This Row],[Coupon Frequency2]]</f>
        <v>#N/A</v>
      </c>
      <c r="AM865" s="5" t="e">
        <f t="shared" si="54"/>
        <v>#N/A</v>
      </c>
      <c r="AN865" t="s">
        <v>64</v>
      </c>
      <c r="AO865" t="s">
        <v>62</v>
      </c>
      <c r="AP865" t="str">
        <f t="shared" si="55"/>
        <v/>
      </c>
    </row>
    <row r="866" spans="4:42" x14ac:dyDescent="0.35">
      <c r="D866" s="21"/>
      <c r="E866" s="21"/>
      <c r="L866" s="22"/>
      <c r="S866">
        <f t="shared" si="52"/>
        <v>0</v>
      </c>
      <c r="T866" s="5" t="e" cm="1">
        <f t="array" ref="T8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6" t="e">
        <f>Table1[[#This Row],[Term to Maturity (Years)]]*Table1[[#This Row],[Coupon Frequency2]]</f>
        <v>#N/A</v>
      </c>
      <c r="V866">
        <f>Table1[[#This Row],[Face value]]*Table1[[#This Row],[Current coupon %]]</f>
        <v>0</v>
      </c>
      <c r="W866" s="36" t="e">
        <f>RATE(Table1[[#This Row],[Total No. of Coupons]],Table1[[#This Row],[Coupon Amount]],-Table1[[#This Row],[Ask Price]],Table1[[#This Row],[Face value]])</f>
        <v>#N/A</v>
      </c>
      <c r="X866" s="27" t="e">
        <f>Table1[[#This Row],[IRR]]*Table1[[#This Row],[Coupon Frequency2]]</f>
        <v>#N/A</v>
      </c>
      <c r="Y866" s="19" t="e" cm="1">
        <f t="array" ref="Y8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6" s="33" t="e">
        <f>DURATION(Table1[[#This Row],[Issue date]],Table1[[#This Row],[Maturity date]],Table1[[#This Row],[Current coupon %]],Table1[[#This Row],[Yield (Annualised)]],Table1[[#This Row],[Coupon Frequency2]])</f>
        <v>#N/A</v>
      </c>
      <c r="AA866" s="33" t="e">
        <f>Table1[[#This Row],[Macaulay Duration in Years]]/(1+Table1[[#This Row],[IRR]])</f>
        <v>#N/A</v>
      </c>
      <c r="AB866" s="58" t="e">
        <f>VLOOKUP(Table1[[#This Row],[Yield Cluster]],'Cluster Details'!$B$3:$C$16,2,0)</f>
        <v>#N/A</v>
      </c>
      <c r="AC86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6" s="58" t="e">
        <f>IF(Table1[[#This Row],[Ask Price]]&gt;Table1[[#This Row],[Calculated Bond Price]],"Rich","Cheap")</f>
        <v>#N/A</v>
      </c>
      <c r="AE86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6" s="78" t="e">
        <f>(Table1[[#This Row],[P (+ shock)]]+Table1[[#This Row],[P (-shock)]]-2*Table1[[#This Row],[Ask Price]])/(2*Table1[[#This Row],[Ask Price]]*($AF$2^2))</f>
        <v>#N/A</v>
      </c>
      <c r="AH866">
        <v>42.146653137902902</v>
      </c>
      <c r="AI866" s="6" t="e">
        <f t="shared" si="53"/>
        <v>#DIV/0!</v>
      </c>
      <c r="AK866" s="47" t="e">
        <f>RATE(Table1[[#This Row],[Total No. of Coupons]],Table1[[#This Row],[Coupon Amount]],-Table1[[#This Row],[Ask Price]],Table1[[#This Row],[Face value]])</f>
        <v>#N/A</v>
      </c>
      <c r="AL866" s="27" t="e">
        <f>Table1[[#This Row],[IRR]]*Table1[[#This Row],[Coupon Frequency2]]</f>
        <v>#N/A</v>
      </c>
      <c r="AM866" s="5" t="e">
        <f t="shared" si="54"/>
        <v>#N/A</v>
      </c>
      <c r="AN866" t="s">
        <v>64</v>
      </c>
      <c r="AO866" t="s">
        <v>62</v>
      </c>
      <c r="AP866" t="str">
        <f t="shared" si="55"/>
        <v/>
      </c>
    </row>
    <row r="867" spans="4:42" x14ac:dyDescent="0.35">
      <c r="D867" s="21"/>
      <c r="E867" s="21"/>
      <c r="L867" s="22"/>
      <c r="S867">
        <f t="shared" si="52"/>
        <v>0</v>
      </c>
      <c r="T867" s="5" t="e" cm="1">
        <f t="array" ref="T8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7" t="e">
        <f>Table1[[#This Row],[Term to Maturity (Years)]]*Table1[[#This Row],[Coupon Frequency2]]</f>
        <v>#N/A</v>
      </c>
      <c r="V867">
        <f>Table1[[#This Row],[Face value]]*Table1[[#This Row],[Current coupon %]]</f>
        <v>0</v>
      </c>
      <c r="W867" s="36" t="e">
        <f>RATE(Table1[[#This Row],[Total No. of Coupons]],Table1[[#This Row],[Coupon Amount]],-Table1[[#This Row],[Ask Price]],Table1[[#This Row],[Face value]])</f>
        <v>#N/A</v>
      </c>
      <c r="X867" s="27" t="e">
        <f>Table1[[#This Row],[IRR]]*Table1[[#This Row],[Coupon Frequency2]]</f>
        <v>#N/A</v>
      </c>
      <c r="Y867" s="19" t="e" cm="1">
        <f t="array" ref="Y8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7" s="33" t="e">
        <f>DURATION(Table1[[#This Row],[Issue date]],Table1[[#This Row],[Maturity date]],Table1[[#This Row],[Current coupon %]],Table1[[#This Row],[Yield (Annualised)]],Table1[[#This Row],[Coupon Frequency2]])</f>
        <v>#N/A</v>
      </c>
      <c r="AA867" s="33" t="e">
        <f>Table1[[#This Row],[Macaulay Duration in Years]]/(1+Table1[[#This Row],[IRR]])</f>
        <v>#N/A</v>
      </c>
      <c r="AB867" s="58" t="e">
        <f>VLOOKUP(Table1[[#This Row],[Yield Cluster]],'Cluster Details'!$B$3:$C$16,2,0)</f>
        <v>#N/A</v>
      </c>
      <c r="AC86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7" s="58" t="e">
        <f>IF(Table1[[#This Row],[Ask Price]]&gt;Table1[[#This Row],[Calculated Bond Price]],"Rich","Cheap")</f>
        <v>#N/A</v>
      </c>
      <c r="AE86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7" s="78" t="e">
        <f>(Table1[[#This Row],[P (+ shock)]]+Table1[[#This Row],[P (-shock)]]-2*Table1[[#This Row],[Ask Price]])/(2*Table1[[#This Row],[Ask Price]]*($AF$2^2))</f>
        <v>#N/A</v>
      </c>
      <c r="AH867">
        <v>26.196399472528</v>
      </c>
      <c r="AI867" s="6" t="e">
        <f t="shared" si="53"/>
        <v>#DIV/0!</v>
      </c>
      <c r="AK867" s="47" t="e">
        <f>RATE(Table1[[#This Row],[Total No. of Coupons]],Table1[[#This Row],[Coupon Amount]],-Table1[[#This Row],[Ask Price]],Table1[[#This Row],[Face value]])</f>
        <v>#N/A</v>
      </c>
      <c r="AL867" s="27" t="e">
        <f>Table1[[#This Row],[IRR]]*Table1[[#This Row],[Coupon Frequency2]]</f>
        <v>#N/A</v>
      </c>
      <c r="AM867" s="5" t="e">
        <f t="shared" si="54"/>
        <v>#N/A</v>
      </c>
      <c r="AN867" t="s">
        <v>64</v>
      </c>
      <c r="AO867" t="s">
        <v>62</v>
      </c>
      <c r="AP867" t="str">
        <f t="shared" si="55"/>
        <v/>
      </c>
    </row>
    <row r="868" spans="4:42" x14ac:dyDescent="0.35">
      <c r="D868" s="21"/>
      <c r="E868" s="21"/>
      <c r="L868" s="22"/>
      <c r="S868">
        <f t="shared" si="52"/>
        <v>0</v>
      </c>
      <c r="T868" s="5" t="e" cm="1">
        <f t="array" ref="T8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8" t="e">
        <f>Table1[[#This Row],[Term to Maturity (Years)]]*Table1[[#This Row],[Coupon Frequency2]]</f>
        <v>#N/A</v>
      </c>
      <c r="V868">
        <f>Table1[[#This Row],[Face value]]*Table1[[#This Row],[Current coupon %]]</f>
        <v>0</v>
      </c>
      <c r="W868" s="36" t="e">
        <f>RATE(Table1[[#This Row],[Total No. of Coupons]],Table1[[#This Row],[Coupon Amount]],-Table1[[#This Row],[Ask Price]],Table1[[#This Row],[Face value]])</f>
        <v>#N/A</v>
      </c>
      <c r="X868" s="27" t="e">
        <f>Table1[[#This Row],[IRR]]*Table1[[#This Row],[Coupon Frequency2]]</f>
        <v>#N/A</v>
      </c>
      <c r="Y868" s="19" t="e" cm="1">
        <f t="array" ref="Y8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8" s="33" t="e">
        <f>DURATION(Table1[[#This Row],[Issue date]],Table1[[#This Row],[Maturity date]],Table1[[#This Row],[Current coupon %]],Table1[[#This Row],[Yield (Annualised)]],Table1[[#This Row],[Coupon Frequency2]])</f>
        <v>#N/A</v>
      </c>
      <c r="AA868" s="33" t="e">
        <f>Table1[[#This Row],[Macaulay Duration in Years]]/(1+Table1[[#This Row],[IRR]])</f>
        <v>#N/A</v>
      </c>
      <c r="AB868" s="58" t="e">
        <f>VLOOKUP(Table1[[#This Row],[Yield Cluster]],'Cluster Details'!$B$3:$C$16,2,0)</f>
        <v>#N/A</v>
      </c>
      <c r="AC86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8" s="58" t="e">
        <f>IF(Table1[[#This Row],[Ask Price]]&gt;Table1[[#This Row],[Calculated Bond Price]],"Rich","Cheap")</f>
        <v>#N/A</v>
      </c>
      <c r="AE86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8" s="78" t="e">
        <f>(Table1[[#This Row],[P (+ shock)]]+Table1[[#This Row],[P (-shock)]]-2*Table1[[#This Row],[Ask Price]])/(2*Table1[[#This Row],[Ask Price]]*($AF$2^2))</f>
        <v>#N/A</v>
      </c>
      <c r="AH868">
        <v>6.6223189954527903</v>
      </c>
      <c r="AI868" s="6" t="e">
        <f t="shared" si="53"/>
        <v>#DIV/0!</v>
      </c>
      <c r="AK868" s="47" t="e">
        <f>RATE(Table1[[#This Row],[Total No. of Coupons]],Table1[[#This Row],[Coupon Amount]],-Table1[[#This Row],[Ask Price]],Table1[[#This Row],[Face value]])</f>
        <v>#N/A</v>
      </c>
      <c r="AL868" s="27" t="e">
        <f>Table1[[#This Row],[IRR]]*Table1[[#This Row],[Coupon Frequency2]]</f>
        <v>#N/A</v>
      </c>
      <c r="AM868" s="5" t="e">
        <f t="shared" si="54"/>
        <v>#N/A</v>
      </c>
      <c r="AN868" t="s">
        <v>64</v>
      </c>
      <c r="AO868" t="s">
        <v>62</v>
      </c>
      <c r="AP868" t="str">
        <f t="shared" si="55"/>
        <v/>
      </c>
    </row>
    <row r="869" spans="4:42" x14ac:dyDescent="0.35">
      <c r="D869" s="21"/>
      <c r="E869" s="21"/>
      <c r="L869" s="22"/>
      <c r="S869">
        <f t="shared" si="52"/>
        <v>0</v>
      </c>
      <c r="T869" s="5" t="e" cm="1">
        <f t="array" ref="T8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69" t="e">
        <f>Table1[[#This Row],[Term to Maturity (Years)]]*Table1[[#This Row],[Coupon Frequency2]]</f>
        <v>#N/A</v>
      </c>
      <c r="V869">
        <f>Table1[[#This Row],[Face value]]*Table1[[#This Row],[Current coupon %]]</f>
        <v>0</v>
      </c>
      <c r="W869" s="36" t="e">
        <f>RATE(Table1[[#This Row],[Total No. of Coupons]],Table1[[#This Row],[Coupon Amount]],-Table1[[#This Row],[Ask Price]],Table1[[#This Row],[Face value]])</f>
        <v>#N/A</v>
      </c>
      <c r="X869" s="27" t="e">
        <f>Table1[[#This Row],[IRR]]*Table1[[#This Row],[Coupon Frequency2]]</f>
        <v>#N/A</v>
      </c>
      <c r="Y869" s="19" t="e" cm="1">
        <f t="array" ref="Y8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69" s="33" t="e">
        <f>DURATION(Table1[[#This Row],[Issue date]],Table1[[#This Row],[Maturity date]],Table1[[#This Row],[Current coupon %]],Table1[[#This Row],[Yield (Annualised)]],Table1[[#This Row],[Coupon Frequency2]])</f>
        <v>#N/A</v>
      </c>
      <c r="AA869" s="33" t="e">
        <f>Table1[[#This Row],[Macaulay Duration in Years]]/(1+Table1[[#This Row],[IRR]])</f>
        <v>#N/A</v>
      </c>
      <c r="AB869" s="58" t="e">
        <f>VLOOKUP(Table1[[#This Row],[Yield Cluster]],'Cluster Details'!$B$3:$C$16,2,0)</f>
        <v>#N/A</v>
      </c>
      <c r="AC86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69" s="58" t="e">
        <f>IF(Table1[[#This Row],[Ask Price]]&gt;Table1[[#This Row],[Calculated Bond Price]],"Rich","Cheap")</f>
        <v>#N/A</v>
      </c>
      <c r="AE86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6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69" s="78" t="e">
        <f>(Table1[[#This Row],[P (+ shock)]]+Table1[[#This Row],[P (-shock)]]-2*Table1[[#This Row],[Ask Price]])/(2*Table1[[#This Row],[Ask Price]]*($AF$2^2))</f>
        <v>#N/A</v>
      </c>
      <c r="AH869">
        <v>7.80410262554342</v>
      </c>
      <c r="AI869" s="6" t="e">
        <f t="shared" si="53"/>
        <v>#DIV/0!</v>
      </c>
      <c r="AK869" s="47" t="e">
        <f>RATE(Table1[[#This Row],[Total No. of Coupons]],Table1[[#This Row],[Coupon Amount]],-Table1[[#This Row],[Ask Price]],Table1[[#This Row],[Face value]])</f>
        <v>#N/A</v>
      </c>
      <c r="AL869" s="27" t="e">
        <f>Table1[[#This Row],[IRR]]*Table1[[#This Row],[Coupon Frequency2]]</f>
        <v>#N/A</v>
      </c>
      <c r="AM869" s="5" t="e">
        <f t="shared" si="54"/>
        <v>#N/A</v>
      </c>
      <c r="AN869" t="s">
        <v>64</v>
      </c>
      <c r="AO869" t="s">
        <v>62</v>
      </c>
      <c r="AP869" t="str">
        <f t="shared" si="55"/>
        <v/>
      </c>
    </row>
    <row r="870" spans="4:42" x14ac:dyDescent="0.35">
      <c r="D870" s="21"/>
      <c r="E870" s="21"/>
      <c r="L870" s="22"/>
      <c r="S870">
        <f t="shared" si="52"/>
        <v>0</v>
      </c>
      <c r="T870" s="5" t="e" cm="1">
        <f t="array" ref="T8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0" t="e">
        <f>Table1[[#This Row],[Term to Maturity (Years)]]*Table1[[#This Row],[Coupon Frequency2]]</f>
        <v>#N/A</v>
      </c>
      <c r="V870">
        <f>Table1[[#This Row],[Face value]]*Table1[[#This Row],[Current coupon %]]</f>
        <v>0</v>
      </c>
      <c r="W870" s="36" t="e">
        <f>RATE(Table1[[#This Row],[Total No. of Coupons]],Table1[[#This Row],[Coupon Amount]],-Table1[[#This Row],[Ask Price]],Table1[[#This Row],[Face value]])</f>
        <v>#N/A</v>
      </c>
      <c r="X870" s="27" t="e">
        <f>Table1[[#This Row],[IRR]]*Table1[[#This Row],[Coupon Frequency2]]</f>
        <v>#N/A</v>
      </c>
      <c r="Y870" s="19" t="e" cm="1">
        <f t="array" ref="Y8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0" s="33" t="e">
        <f>DURATION(Table1[[#This Row],[Issue date]],Table1[[#This Row],[Maturity date]],Table1[[#This Row],[Current coupon %]],Table1[[#This Row],[Yield (Annualised)]],Table1[[#This Row],[Coupon Frequency2]])</f>
        <v>#N/A</v>
      </c>
      <c r="AA870" s="33" t="e">
        <f>Table1[[#This Row],[Macaulay Duration in Years]]/(1+Table1[[#This Row],[IRR]])</f>
        <v>#N/A</v>
      </c>
      <c r="AB870" s="58" t="e">
        <f>VLOOKUP(Table1[[#This Row],[Yield Cluster]],'Cluster Details'!$B$3:$C$16,2,0)</f>
        <v>#N/A</v>
      </c>
      <c r="AC87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0" s="58" t="e">
        <f>IF(Table1[[#This Row],[Ask Price]]&gt;Table1[[#This Row],[Calculated Bond Price]],"Rich","Cheap")</f>
        <v>#N/A</v>
      </c>
      <c r="AE87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0" s="78" t="e">
        <f>(Table1[[#This Row],[P (+ shock)]]+Table1[[#This Row],[P (-shock)]]-2*Table1[[#This Row],[Ask Price]])/(2*Table1[[#This Row],[Ask Price]]*($AF$2^2))</f>
        <v>#N/A</v>
      </c>
      <c r="AH870">
        <v>10.6048696706405</v>
      </c>
      <c r="AI870" s="6" t="e">
        <f t="shared" si="53"/>
        <v>#DIV/0!</v>
      </c>
      <c r="AK870" s="47" t="e">
        <f>RATE(Table1[[#This Row],[Total No. of Coupons]],Table1[[#This Row],[Coupon Amount]],-Table1[[#This Row],[Ask Price]],Table1[[#This Row],[Face value]])</f>
        <v>#N/A</v>
      </c>
      <c r="AL870" s="27" t="e">
        <f>Table1[[#This Row],[IRR]]*Table1[[#This Row],[Coupon Frequency2]]</f>
        <v>#N/A</v>
      </c>
      <c r="AM870" s="5" t="e">
        <f t="shared" si="54"/>
        <v>#N/A</v>
      </c>
      <c r="AN870" t="s">
        <v>64</v>
      </c>
      <c r="AO870" t="s">
        <v>62</v>
      </c>
      <c r="AP870" t="str">
        <f t="shared" si="55"/>
        <v/>
      </c>
    </row>
    <row r="871" spans="4:42" x14ac:dyDescent="0.35">
      <c r="D871" s="21"/>
      <c r="E871" s="21"/>
      <c r="L871" s="22"/>
      <c r="S871">
        <f t="shared" si="52"/>
        <v>0</v>
      </c>
      <c r="T871" s="5" t="e" cm="1">
        <f t="array" ref="T8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1" t="e">
        <f>Table1[[#This Row],[Term to Maturity (Years)]]*Table1[[#This Row],[Coupon Frequency2]]</f>
        <v>#N/A</v>
      </c>
      <c r="V871">
        <f>Table1[[#This Row],[Face value]]*Table1[[#This Row],[Current coupon %]]</f>
        <v>0</v>
      </c>
      <c r="W871" s="36" t="e">
        <f>RATE(Table1[[#This Row],[Total No. of Coupons]],Table1[[#This Row],[Coupon Amount]],-Table1[[#This Row],[Ask Price]],Table1[[#This Row],[Face value]])</f>
        <v>#N/A</v>
      </c>
      <c r="X871" s="27" t="e">
        <f>Table1[[#This Row],[IRR]]*Table1[[#This Row],[Coupon Frequency2]]</f>
        <v>#N/A</v>
      </c>
      <c r="Y871" s="19" t="e" cm="1">
        <f t="array" ref="Y8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1" s="33" t="e">
        <f>DURATION(Table1[[#This Row],[Issue date]],Table1[[#This Row],[Maturity date]],Table1[[#This Row],[Current coupon %]],Table1[[#This Row],[Yield (Annualised)]],Table1[[#This Row],[Coupon Frequency2]])</f>
        <v>#N/A</v>
      </c>
      <c r="AA871" s="33" t="e">
        <f>Table1[[#This Row],[Macaulay Duration in Years]]/(1+Table1[[#This Row],[IRR]])</f>
        <v>#N/A</v>
      </c>
      <c r="AB871" s="58" t="e">
        <f>VLOOKUP(Table1[[#This Row],[Yield Cluster]],'Cluster Details'!$B$3:$C$16,2,0)</f>
        <v>#N/A</v>
      </c>
      <c r="AC87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1" s="58" t="e">
        <f>IF(Table1[[#This Row],[Ask Price]]&gt;Table1[[#This Row],[Calculated Bond Price]],"Rich","Cheap")</f>
        <v>#N/A</v>
      </c>
      <c r="AE87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1" s="78" t="e">
        <f>(Table1[[#This Row],[P (+ shock)]]+Table1[[#This Row],[P (-shock)]]-2*Table1[[#This Row],[Ask Price]])/(2*Table1[[#This Row],[Ask Price]]*($AF$2^2))</f>
        <v>#N/A</v>
      </c>
      <c r="AH871">
        <v>11.0407358209556</v>
      </c>
      <c r="AI871" s="6" t="e">
        <f t="shared" si="53"/>
        <v>#DIV/0!</v>
      </c>
      <c r="AK871" s="47" t="e">
        <f>RATE(Table1[[#This Row],[Total No. of Coupons]],Table1[[#This Row],[Coupon Amount]],-Table1[[#This Row],[Ask Price]],Table1[[#This Row],[Face value]])</f>
        <v>#N/A</v>
      </c>
      <c r="AL871" s="27" t="e">
        <f>Table1[[#This Row],[IRR]]*Table1[[#This Row],[Coupon Frequency2]]</f>
        <v>#N/A</v>
      </c>
      <c r="AM871" s="5" t="e">
        <f t="shared" si="54"/>
        <v>#N/A</v>
      </c>
      <c r="AN871" t="s">
        <v>64</v>
      </c>
      <c r="AO871" t="s">
        <v>62</v>
      </c>
      <c r="AP871" t="str">
        <f t="shared" si="55"/>
        <v/>
      </c>
    </row>
    <row r="872" spans="4:42" x14ac:dyDescent="0.35">
      <c r="D872" s="21"/>
      <c r="E872" s="21"/>
      <c r="L872" s="22"/>
      <c r="S872">
        <f t="shared" si="52"/>
        <v>0</v>
      </c>
      <c r="T872" s="5" t="e" cm="1">
        <f t="array" ref="T8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2" t="e">
        <f>Table1[[#This Row],[Term to Maturity (Years)]]*Table1[[#This Row],[Coupon Frequency2]]</f>
        <v>#N/A</v>
      </c>
      <c r="V872">
        <f>Table1[[#This Row],[Face value]]*Table1[[#This Row],[Current coupon %]]</f>
        <v>0</v>
      </c>
      <c r="W872" s="36" t="e">
        <f>RATE(Table1[[#This Row],[Total No. of Coupons]],Table1[[#This Row],[Coupon Amount]],-Table1[[#This Row],[Ask Price]],Table1[[#This Row],[Face value]])</f>
        <v>#N/A</v>
      </c>
      <c r="X872" s="27" t="e">
        <f>Table1[[#This Row],[IRR]]*Table1[[#This Row],[Coupon Frequency2]]</f>
        <v>#N/A</v>
      </c>
      <c r="Y872" s="19" t="e" cm="1">
        <f t="array" ref="Y8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2" s="33" t="e">
        <f>DURATION(Table1[[#This Row],[Issue date]],Table1[[#This Row],[Maturity date]],Table1[[#This Row],[Current coupon %]],Table1[[#This Row],[Yield (Annualised)]],Table1[[#This Row],[Coupon Frequency2]])</f>
        <v>#N/A</v>
      </c>
      <c r="AA872" s="33" t="e">
        <f>Table1[[#This Row],[Macaulay Duration in Years]]/(1+Table1[[#This Row],[IRR]])</f>
        <v>#N/A</v>
      </c>
      <c r="AB872" s="58" t="e">
        <f>VLOOKUP(Table1[[#This Row],[Yield Cluster]],'Cluster Details'!$B$3:$C$16,2,0)</f>
        <v>#N/A</v>
      </c>
      <c r="AC87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2" s="58" t="e">
        <f>IF(Table1[[#This Row],[Ask Price]]&gt;Table1[[#This Row],[Calculated Bond Price]],"Rich","Cheap")</f>
        <v>#N/A</v>
      </c>
      <c r="AE87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2" s="78" t="e">
        <f>(Table1[[#This Row],[P (+ shock)]]+Table1[[#This Row],[P (-shock)]]-2*Table1[[#This Row],[Ask Price]])/(2*Table1[[#This Row],[Ask Price]]*($AF$2^2))</f>
        <v>#N/A</v>
      </c>
      <c r="AH872">
        <v>6.0914655844888097</v>
      </c>
      <c r="AI872" s="6" t="e">
        <f t="shared" si="53"/>
        <v>#DIV/0!</v>
      </c>
      <c r="AK872" s="47" t="e">
        <f>RATE(Table1[[#This Row],[Total No. of Coupons]],Table1[[#This Row],[Coupon Amount]],-Table1[[#This Row],[Ask Price]],Table1[[#This Row],[Face value]])</f>
        <v>#N/A</v>
      </c>
      <c r="AL872" s="27" t="e">
        <f>Table1[[#This Row],[IRR]]*Table1[[#This Row],[Coupon Frequency2]]</f>
        <v>#N/A</v>
      </c>
      <c r="AM872" s="5" t="e">
        <f t="shared" si="54"/>
        <v>#N/A</v>
      </c>
      <c r="AN872" t="s">
        <v>64</v>
      </c>
      <c r="AO872" t="s">
        <v>62</v>
      </c>
      <c r="AP872" t="str">
        <f t="shared" si="55"/>
        <v/>
      </c>
    </row>
    <row r="873" spans="4:42" x14ac:dyDescent="0.35">
      <c r="D873" s="21"/>
      <c r="E873" s="21"/>
      <c r="L873" s="22"/>
      <c r="S873">
        <f t="shared" si="52"/>
        <v>0</v>
      </c>
      <c r="T873" s="5" t="e" cm="1">
        <f t="array" ref="T8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3" t="e">
        <f>Table1[[#This Row],[Term to Maturity (Years)]]*Table1[[#This Row],[Coupon Frequency2]]</f>
        <v>#N/A</v>
      </c>
      <c r="V873">
        <f>Table1[[#This Row],[Face value]]*Table1[[#This Row],[Current coupon %]]</f>
        <v>0</v>
      </c>
      <c r="W873" s="36" t="e">
        <f>RATE(Table1[[#This Row],[Total No. of Coupons]],Table1[[#This Row],[Coupon Amount]],-Table1[[#This Row],[Ask Price]],Table1[[#This Row],[Face value]])</f>
        <v>#N/A</v>
      </c>
      <c r="X873" s="27" t="e">
        <f>Table1[[#This Row],[IRR]]*Table1[[#This Row],[Coupon Frequency2]]</f>
        <v>#N/A</v>
      </c>
      <c r="Y873" s="19" t="e" cm="1">
        <f t="array" ref="Y8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3" s="33" t="e">
        <f>DURATION(Table1[[#This Row],[Issue date]],Table1[[#This Row],[Maturity date]],Table1[[#This Row],[Current coupon %]],Table1[[#This Row],[Yield (Annualised)]],Table1[[#This Row],[Coupon Frequency2]])</f>
        <v>#N/A</v>
      </c>
      <c r="AA873" s="33" t="e">
        <f>Table1[[#This Row],[Macaulay Duration in Years]]/(1+Table1[[#This Row],[IRR]])</f>
        <v>#N/A</v>
      </c>
      <c r="AB873" s="58" t="e">
        <f>VLOOKUP(Table1[[#This Row],[Yield Cluster]],'Cluster Details'!$B$3:$C$16,2,0)</f>
        <v>#N/A</v>
      </c>
      <c r="AC8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3" s="58" t="e">
        <f>IF(Table1[[#This Row],[Ask Price]]&gt;Table1[[#This Row],[Calculated Bond Price]],"Rich","Cheap")</f>
        <v>#N/A</v>
      </c>
      <c r="AE8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3" s="78" t="e">
        <f>(Table1[[#This Row],[P (+ shock)]]+Table1[[#This Row],[P (-shock)]]-2*Table1[[#This Row],[Ask Price]])/(2*Table1[[#This Row],[Ask Price]]*($AF$2^2))</f>
        <v>#N/A</v>
      </c>
      <c r="AH873">
        <v>12.4362114065621</v>
      </c>
      <c r="AI873" s="6" t="e">
        <f t="shared" si="53"/>
        <v>#DIV/0!</v>
      </c>
      <c r="AK873" s="47" t="e">
        <f>RATE(Table1[[#This Row],[Total No. of Coupons]],Table1[[#This Row],[Coupon Amount]],-Table1[[#This Row],[Ask Price]],Table1[[#This Row],[Face value]])</f>
        <v>#N/A</v>
      </c>
      <c r="AL873" s="27" t="e">
        <f>Table1[[#This Row],[IRR]]*Table1[[#This Row],[Coupon Frequency2]]</f>
        <v>#N/A</v>
      </c>
      <c r="AM873" s="5" t="e">
        <f t="shared" si="54"/>
        <v>#N/A</v>
      </c>
      <c r="AN873" t="s">
        <v>64</v>
      </c>
      <c r="AO873" t="s">
        <v>62</v>
      </c>
      <c r="AP873" t="str">
        <f t="shared" si="55"/>
        <v/>
      </c>
    </row>
    <row r="874" spans="4:42" x14ac:dyDescent="0.35">
      <c r="D874" s="21"/>
      <c r="E874" s="21"/>
      <c r="L874" s="22"/>
      <c r="S874">
        <f t="shared" si="52"/>
        <v>0</v>
      </c>
      <c r="T874" s="5" t="e" cm="1">
        <f t="array" ref="T8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4" t="e">
        <f>Table1[[#This Row],[Term to Maturity (Years)]]*Table1[[#This Row],[Coupon Frequency2]]</f>
        <v>#N/A</v>
      </c>
      <c r="V874">
        <f>Table1[[#This Row],[Face value]]*Table1[[#This Row],[Current coupon %]]</f>
        <v>0</v>
      </c>
      <c r="W874" s="36" t="e">
        <f>RATE(Table1[[#This Row],[Total No. of Coupons]],Table1[[#This Row],[Coupon Amount]],-Table1[[#This Row],[Ask Price]],Table1[[#This Row],[Face value]])</f>
        <v>#N/A</v>
      </c>
      <c r="X874" s="27" t="e">
        <f>Table1[[#This Row],[IRR]]*Table1[[#This Row],[Coupon Frequency2]]</f>
        <v>#N/A</v>
      </c>
      <c r="Y874" s="19" t="e" cm="1">
        <f t="array" ref="Y8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4" s="33" t="e">
        <f>DURATION(Table1[[#This Row],[Issue date]],Table1[[#This Row],[Maturity date]],Table1[[#This Row],[Current coupon %]],Table1[[#This Row],[Yield (Annualised)]],Table1[[#This Row],[Coupon Frequency2]])</f>
        <v>#N/A</v>
      </c>
      <c r="AA874" s="33" t="e">
        <f>Table1[[#This Row],[Macaulay Duration in Years]]/(1+Table1[[#This Row],[IRR]])</f>
        <v>#N/A</v>
      </c>
      <c r="AB874" s="58" t="e">
        <f>VLOOKUP(Table1[[#This Row],[Yield Cluster]],'Cluster Details'!$B$3:$C$16,2,0)</f>
        <v>#N/A</v>
      </c>
      <c r="AC8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4" s="58" t="e">
        <f>IF(Table1[[#This Row],[Ask Price]]&gt;Table1[[#This Row],[Calculated Bond Price]],"Rich","Cheap")</f>
        <v>#N/A</v>
      </c>
      <c r="AE8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4" s="78" t="e">
        <f>(Table1[[#This Row],[P (+ shock)]]+Table1[[#This Row],[P (-shock)]]-2*Table1[[#This Row],[Ask Price]])/(2*Table1[[#This Row],[Ask Price]]*($AF$2^2))</f>
        <v>#N/A</v>
      </c>
      <c r="AH874">
        <v>10.4167596867381</v>
      </c>
      <c r="AI874" s="6" t="e">
        <f t="shared" si="53"/>
        <v>#DIV/0!</v>
      </c>
      <c r="AK874" s="47" t="e">
        <f>RATE(Table1[[#This Row],[Total No. of Coupons]],Table1[[#This Row],[Coupon Amount]],-Table1[[#This Row],[Ask Price]],Table1[[#This Row],[Face value]])</f>
        <v>#N/A</v>
      </c>
      <c r="AL874" s="27" t="e">
        <f>Table1[[#This Row],[IRR]]*Table1[[#This Row],[Coupon Frequency2]]</f>
        <v>#N/A</v>
      </c>
      <c r="AM874" s="5" t="e">
        <f t="shared" si="54"/>
        <v>#N/A</v>
      </c>
      <c r="AN874" t="s">
        <v>64</v>
      </c>
      <c r="AO874" t="s">
        <v>62</v>
      </c>
      <c r="AP874" t="str">
        <f t="shared" si="55"/>
        <v/>
      </c>
    </row>
    <row r="875" spans="4:42" x14ac:dyDescent="0.35">
      <c r="D875" s="21"/>
      <c r="E875" s="21"/>
      <c r="L875" s="22"/>
      <c r="S875">
        <f t="shared" si="52"/>
        <v>0</v>
      </c>
      <c r="T875" s="5" t="e" cm="1">
        <f t="array" ref="T8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5" t="e">
        <f>Table1[[#This Row],[Term to Maturity (Years)]]*Table1[[#This Row],[Coupon Frequency2]]</f>
        <v>#N/A</v>
      </c>
      <c r="V875">
        <f>Table1[[#This Row],[Face value]]*Table1[[#This Row],[Current coupon %]]</f>
        <v>0</v>
      </c>
      <c r="W875" s="36" t="e">
        <f>RATE(Table1[[#This Row],[Total No. of Coupons]],Table1[[#This Row],[Coupon Amount]],-Table1[[#This Row],[Ask Price]],Table1[[#This Row],[Face value]])</f>
        <v>#N/A</v>
      </c>
      <c r="X875" s="27" t="e">
        <f>Table1[[#This Row],[IRR]]*Table1[[#This Row],[Coupon Frequency2]]</f>
        <v>#N/A</v>
      </c>
      <c r="Y875" s="19" t="e" cm="1">
        <f t="array" ref="Y8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5" s="33" t="e">
        <f>DURATION(Table1[[#This Row],[Issue date]],Table1[[#This Row],[Maturity date]],Table1[[#This Row],[Current coupon %]],Table1[[#This Row],[Yield (Annualised)]],Table1[[#This Row],[Coupon Frequency2]])</f>
        <v>#N/A</v>
      </c>
      <c r="AA875" s="33" t="e">
        <f>Table1[[#This Row],[Macaulay Duration in Years]]/(1+Table1[[#This Row],[IRR]])</f>
        <v>#N/A</v>
      </c>
      <c r="AB875" s="58" t="e">
        <f>VLOOKUP(Table1[[#This Row],[Yield Cluster]],'Cluster Details'!$B$3:$C$16,2,0)</f>
        <v>#N/A</v>
      </c>
      <c r="AC8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5" s="58" t="e">
        <f>IF(Table1[[#This Row],[Ask Price]]&gt;Table1[[#This Row],[Calculated Bond Price]],"Rich","Cheap")</f>
        <v>#N/A</v>
      </c>
      <c r="AE8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5" s="78" t="e">
        <f>(Table1[[#This Row],[P (+ shock)]]+Table1[[#This Row],[P (-shock)]]-2*Table1[[#This Row],[Ask Price]])/(2*Table1[[#This Row],[Ask Price]]*($AF$2^2))</f>
        <v>#N/A</v>
      </c>
      <c r="AH875">
        <v>8.1801560452401603</v>
      </c>
      <c r="AI875" s="6" t="e">
        <f t="shared" si="53"/>
        <v>#DIV/0!</v>
      </c>
      <c r="AK875" s="47" t="e">
        <f>RATE(Table1[[#This Row],[Total No. of Coupons]],Table1[[#This Row],[Coupon Amount]],-Table1[[#This Row],[Ask Price]],Table1[[#This Row],[Face value]])</f>
        <v>#N/A</v>
      </c>
      <c r="AL875" s="27" t="e">
        <f>Table1[[#This Row],[IRR]]*Table1[[#This Row],[Coupon Frequency2]]</f>
        <v>#N/A</v>
      </c>
      <c r="AM875" s="5" t="e">
        <f t="shared" si="54"/>
        <v>#N/A</v>
      </c>
      <c r="AN875" t="s">
        <v>64</v>
      </c>
      <c r="AO875" t="s">
        <v>62</v>
      </c>
      <c r="AP875" t="str">
        <f t="shared" si="55"/>
        <v/>
      </c>
    </row>
    <row r="876" spans="4:42" x14ac:dyDescent="0.35">
      <c r="D876" s="21"/>
      <c r="E876" s="21"/>
      <c r="L876" s="22"/>
      <c r="S876">
        <f t="shared" si="52"/>
        <v>0</v>
      </c>
      <c r="T876" s="5" t="e" cm="1">
        <f t="array" ref="T8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6" t="e">
        <f>Table1[[#This Row],[Term to Maturity (Years)]]*Table1[[#This Row],[Coupon Frequency2]]</f>
        <v>#N/A</v>
      </c>
      <c r="V876">
        <f>Table1[[#This Row],[Face value]]*Table1[[#This Row],[Current coupon %]]</f>
        <v>0</v>
      </c>
      <c r="W876" s="36" t="e">
        <f>RATE(Table1[[#This Row],[Total No. of Coupons]],Table1[[#This Row],[Coupon Amount]],-Table1[[#This Row],[Ask Price]],Table1[[#This Row],[Face value]])</f>
        <v>#N/A</v>
      </c>
      <c r="X876" s="27" t="e">
        <f>Table1[[#This Row],[IRR]]*Table1[[#This Row],[Coupon Frequency2]]</f>
        <v>#N/A</v>
      </c>
      <c r="Y876" s="19" t="e" cm="1">
        <f t="array" ref="Y8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6" s="33" t="e">
        <f>DURATION(Table1[[#This Row],[Issue date]],Table1[[#This Row],[Maturity date]],Table1[[#This Row],[Current coupon %]],Table1[[#This Row],[Yield (Annualised)]],Table1[[#This Row],[Coupon Frequency2]])</f>
        <v>#N/A</v>
      </c>
      <c r="AA876" s="33" t="e">
        <f>Table1[[#This Row],[Macaulay Duration in Years]]/(1+Table1[[#This Row],[IRR]])</f>
        <v>#N/A</v>
      </c>
      <c r="AB876" s="58" t="e">
        <f>VLOOKUP(Table1[[#This Row],[Yield Cluster]],'Cluster Details'!$B$3:$C$16,2,0)</f>
        <v>#N/A</v>
      </c>
      <c r="AC8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6" s="58" t="e">
        <f>IF(Table1[[#This Row],[Ask Price]]&gt;Table1[[#This Row],[Calculated Bond Price]],"Rich","Cheap")</f>
        <v>#N/A</v>
      </c>
      <c r="AE8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6" s="78" t="e">
        <f>(Table1[[#This Row],[P (+ shock)]]+Table1[[#This Row],[P (-shock)]]-2*Table1[[#This Row],[Ask Price]])/(2*Table1[[#This Row],[Ask Price]]*($AF$2^2))</f>
        <v>#N/A</v>
      </c>
      <c r="AH876">
        <v>10.4145077720207</v>
      </c>
      <c r="AI876" s="6" t="e">
        <f t="shared" si="53"/>
        <v>#DIV/0!</v>
      </c>
      <c r="AK876" s="47" t="e">
        <f>RATE(Table1[[#This Row],[Total No. of Coupons]],Table1[[#This Row],[Coupon Amount]],-Table1[[#This Row],[Ask Price]],Table1[[#This Row],[Face value]])</f>
        <v>#N/A</v>
      </c>
      <c r="AL876" s="27" t="e">
        <f>Table1[[#This Row],[IRR]]*Table1[[#This Row],[Coupon Frequency2]]</f>
        <v>#N/A</v>
      </c>
      <c r="AM876" s="5" t="e">
        <f t="shared" si="54"/>
        <v>#N/A</v>
      </c>
      <c r="AN876" t="s">
        <v>64</v>
      </c>
      <c r="AO876" t="s">
        <v>62</v>
      </c>
      <c r="AP876" t="str">
        <f t="shared" si="55"/>
        <v/>
      </c>
    </row>
    <row r="877" spans="4:42" x14ac:dyDescent="0.35">
      <c r="D877" s="21"/>
      <c r="E877" s="21"/>
      <c r="L877" s="22"/>
      <c r="S877">
        <f t="shared" si="52"/>
        <v>0</v>
      </c>
      <c r="T877" s="5" t="e" cm="1">
        <f t="array" ref="T8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7" t="e">
        <f>Table1[[#This Row],[Term to Maturity (Years)]]*Table1[[#This Row],[Coupon Frequency2]]</f>
        <v>#N/A</v>
      </c>
      <c r="V877">
        <f>Table1[[#This Row],[Face value]]*Table1[[#This Row],[Current coupon %]]</f>
        <v>0</v>
      </c>
      <c r="W877" s="36" t="e">
        <f>RATE(Table1[[#This Row],[Total No. of Coupons]],Table1[[#This Row],[Coupon Amount]],-Table1[[#This Row],[Ask Price]],Table1[[#This Row],[Face value]])</f>
        <v>#N/A</v>
      </c>
      <c r="X877" s="27" t="e">
        <f>Table1[[#This Row],[IRR]]*Table1[[#This Row],[Coupon Frequency2]]</f>
        <v>#N/A</v>
      </c>
      <c r="Y877" s="19" t="e" cm="1">
        <f t="array" ref="Y8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7" s="33" t="e">
        <f>DURATION(Table1[[#This Row],[Issue date]],Table1[[#This Row],[Maturity date]],Table1[[#This Row],[Current coupon %]],Table1[[#This Row],[Yield (Annualised)]],Table1[[#This Row],[Coupon Frequency2]])</f>
        <v>#N/A</v>
      </c>
      <c r="AA877" s="33" t="e">
        <f>Table1[[#This Row],[Macaulay Duration in Years]]/(1+Table1[[#This Row],[IRR]])</f>
        <v>#N/A</v>
      </c>
      <c r="AB877" s="58" t="e">
        <f>VLOOKUP(Table1[[#This Row],[Yield Cluster]],'Cluster Details'!$B$3:$C$16,2,0)</f>
        <v>#N/A</v>
      </c>
      <c r="AC8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7" s="58" t="e">
        <f>IF(Table1[[#This Row],[Ask Price]]&gt;Table1[[#This Row],[Calculated Bond Price]],"Rich","Cheap")</f>
        <v>#N/A</v>
      </c>
      <c r="AE8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7" s="78" t="e">
        <f>(Table1[[#This Row],[P (+ shock)]]+Table1[[#This Row],[P (-shock)]]-2*Table1[[#This Row],[Ask Price]])/(2*Table1[[#This Row],[Ask Price]]*($AF$2^2))</f>
        <v>#N/A</v>
      </c>
      <c r="AH877">
        <v>10.062049162410799</v>
      </c>
      <c r="AI877" s="6" t="e">
        <f t="shared" si="53"/>
        <v>#DIV/0!</v>
      </c>
      <c r="AK877" s="47" t="e">
        <f>RATE(Table1[[#This Row],[Total No. of Coupons]],Table1[[#This Row],[Coupon Amount]],-Table1[[#This Row],[Ask Price]],Table1[[#This Row],[Face value]])</f>
        <v>#N/A</v>
      </c>
      <c r="AL877" s="27" t="e">
        <f>Table1[[#This Row],[IRR]]*Table1[[#This Row],[Coupon Frequency2]]</f>
        <v>#N/A</v>
      </c>
      <c r="AM877" s="5" t="e">
        <f t="shared" si="54"/>
        <v>#N/A</v>
      </c>
      <c r="AN877" t="s">
        <v>64</v>
      </c>
      <c r="AO877" t="s">
        <v>62</v>
      </c>
      <c r="AP877" t="str">
        <f t="shared" si="55"/>
        <v/>
      </c>
    </row>
    <row r="878" spans="4:42" x14ac:dyDescent="0.35">
      <c r="D878" s="21"/>
      <c r="E878" s="21"/>
      <c r="L878" s="22"/>
      <c r="S878">
        <f t="shared" si="52"/>
        <v>0</v>
      </c>
      <c r="T878" s="5" t="e" cm="1">
        <f t="array" ref="T8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8" t="e">
        <f>Table1[[#This Row],[Term to Maturity (Years)]]*Table1[[#This Row],[Coupon Frequency2]]</f>
        <v>#N/A</v>
      </c>
      <c r="V878">
        <f>Table1[[#This Row],[Face value]]*Table1[[#This Row],[Current coupon %]]</f>
        <v>0</v>
      </c>
      <c r="W878" s="36" t="e">
        <f>RATE(Table1[[#This Row],[Total No. of Coupons]],Table1[[#This Row],[Coupon Amount]],-Table1[[#This Row],[Ask Price]],Table1[[#This Row],[Face value]])</f>
        <v>#N/A</v>
      </c>
      <c r="X878" s="27" t="e">
        <f>Table1[[#This Row],[IRR]]*Table1[[#This Row],[Coupon Frequency2]]</f>
        <v>#N/A</v>
      </c>
      <c r="Y878" s="19" t="e" cm="1">
        <f t="array" ref="Y8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8" s="33" t="e">
        <f>DURATION(Table1[[#This Row],[Issue date]],Table1[[#This Row],[Maturity date]],Table1[[#This Row],[Current coupon %]],Table1[[#This Row],[Yield (Annualised)]],Table1[[#This Row],[Coupon Frequency2]])</f>
        <v>#N/A</v>
      </c>
      <c r="AA878" s="33" t="e">
        <f>Table1[[#This Row],[Macaulay Duration in Years]]/(1+Table1[[#This Row],[IRR]])</f>
        <v>#N/A</v>
      </c>
      <c r="AB878" s="58" t="e">
        <f>VLOOKUP(Table1[[#This Row],[Yield Cluster]],'Cluster Details'!$B$3:$C$16,2,0)</f>
        <v>#N/A</v>
      </c>
      <c r="AC8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8" s="58" t="e">
        <f>IF(Table1[[#This Row],[Ask Price]]&gt;Table1[[#This Row],[Calculated Bond Price]],"Rich","Cheap")</f>
        <v>#N/A</v>
      </c>
      <c r="AE8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8" s="78" t="e">
        <f>(Table1[[#This Row],[P (+ shock)]]+Table1[[#This Row],[P (-shock)]]-2*Table1[[#This Row],[Ask Price]])/(2*Table1[[#This Row],[Ask Price]]*($AF$2^2))</f>
        <v>#N/A</v>
      </c>
      <c r="AH878">
        <v>7.6199831602582098</v>
      </c>
      <c r="AI878" s="6" t="e">
        <f t="shared" si="53"/>
        <v>#DIV/0!</v>
      </c>
      <c r="AK878" s="47" t="e">
        <f>RATE(Table1[[#This Row],[Total No. of Coupons]],Table1[[#This Row],[Coupon Amount]],-Table1[[#This Row],[Ask Price]],Table1[[#This Row],[Face value]])</f>
        <v>#N/A</v>
      </c>
      <c r="AL878" s="27" t="e">
        <f>Table1[[#This Row],[IRR]]*Table1[[#This Row],[Coupon Frequency2]]</f>
        <v>#N/A</v>
      </c>
      <c r="AM878" s="5" t="e">
        <f t="shared" si="54"/>
        <v>#N/A</v>
      </c>
      <c r="AN878" t="s">
        <v>64</v>
      </c>
      <c r="AO878" t="s">
        <v>62</v>
      </c>
      <c r="AP878" t="str">
        <f t="shared" si="55"/>
        <v/>
      </c>
    </row>
    <row r="879" spans="4:42" x14ac:dyDescent="0.35">
      <c r="D879" s="21"/>
      <c r="E879" s="21"/>
      <c r="L879" s="22"/>
      <c r="S879">
        <f t="shared" si="52"/>
        <v>0</v>
      </c>
      <c r="T879" s="5" t="e" cm="1">
        <f t="array" ref="T8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79" t="e">
        <f>Table1[[#This Row],[Term to Maturity (Years)]]*Table1[[#This Row],[Coupon Frequency2]]</f>
        <v>#N/A</v>
      </c>
      <c r="V879">
        <f>Table1[[#This Row],[Face value]]*Table1[[#This Row],[Current coupon %]]</f>
        <v>0</v>
      </c>
      <c r="W879" s="36" t="e">
        <f>RATE(Table1[[#This Row],[Total No. of Coupons]],Table1[[#This Row],[Coupon Amount]],-Table1[[#This Row],[Ask Price]],Table1[[#This Row],[Face value]])</f>
        <v>#N/A</v>
      </c>
      <c r="X879" s="27" t="e">
        <f>Table1[[#This Row],[IRR]]*Table1[[#This Row],[Coupon Frequency2]]</f>
        <v>#N/A</v>
      </c>
      <c r="Y879" s="19" t="e" cm="1">
        <f t="array" ref="Y8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79" s="33" t="e">
        <f>DURATION(Table1[[#This Row],[Issue date]],Table1[[#This Row],[Maturity date]],Table1[[#This Row],[Current coupon %]],Table1[[#This Row],[Yield (Annualised)]],Table1[[#This Row],[Coupon Frequency2]])</f>
        <v>#N/A</v>
      </c>
      <c r="AA879" s="33" t="e">
        <f>Table1[[#This Row],[Macaulay Duration in Years]]/(1+Table1[[#This Row],[IRR]])</f>
        <v>#N/A</v>
      </c>
      <c r="AB879" s="58" t="e">
        <f>VLOOKUP(Table1[[#This Row],[Yield Cluster]],'Cluster Details'!$B$3:$C$16,2,0)</f>
        <v>#N/A</v>
      </c>
      <c r="AC8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79" s="58" t="e">
        <f>IF(Table1[[#This Row],[Ask Price]]&gt;Table1[[#This Row],[Calculated Bond Price]],"Rich","Cheap")</f>
        <v>#N/A</v>
      </c>
      <c r="AE8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79" s="78" t="e">
        <f>(Table1[[#This Row],[P (+ shock)]]+Table1[[#This Row],[P (-shock)]]-2*Table1[[#This Row],[Ask Price]])/(2*Table1[[#This Row],[Ask Price]]*($AF$2^2))</f>
        <v>#N/A</v>
      </c>
      <c r="AI879" s="6" t="e">
        <f t="shared" si="53"/>
        <v>#DIV/0!</v>
      </c>
      <c r="AK879" s="47" t="e">
        <f>RATE(Table1[[#This Row],[Total No. of Coupons]],Table1[[#This Row],[Coupon Amount]],-Table1[[#This Row],[Ask Price]],Table1[[#This Row],[Face value]])</f>
        <v>#N/A</v>
      </c>
      <c r="AL879" s="27" t="e">
        <f>Table1[[#This Row],[IRR]]*Table1[[#This Row],[Coupon Frequency2]]</f>
        <v>#N/A</v>
      </c>
      <c r="AM879" s="5" t="e">
        <f t="shared" si="54"/>
        <v>#N/A</v>
      </c>
      <c r="AN879" t="s">
        <v>64</v>
      </c>
      <c r="AO879" t="s">
        <v>62</v>
      </c>
      <c r="AP879" t="str">
        <f t="shared" si="55"/>
        <v/>
      </c>
    </row>
    <row r="880" spans="4:42" x14ac:dyDescent="0.35">
      <c r="D880" s="21"/>
      <c r="E880" s="21"/>
      <c r="L880" s="22"/>
      <c r="S880">
        <f t="shared" si="52"/>
        <v>0</v>
      </c>
      <c r="T880" s="5" t="e" cm="1">
        <f t="array" ref="T8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0" t="e">
        <f>Table1[[#This Row],[Term to Maturity (Years)]]*Table1[[#This Row],[Coupon Frequency2]]</f>
        <v>#N/A</v>
      </c>
      <c r="V880">
        <f>Table1[[#This Row],[Face value]]*Table1[[#This Row],[Current coupon %]]</f>
        <v>0</v>
      </c>
      <c r="W880" s="36" t="e">
        <f>RATE(Table1[[#This Row],[Total No. of Coupons]],Table1[[#This Row],[Coupon Amount]],-Table1[[#This Row],[Ask Price]],Table1[[#This Row],[Face value]])</f>
        <v>#N/A</v>
      </c>
      <c r="X880" s="27" t="e">
        <f>Table1[[#This Row],[IRR]]*Table1[[#This Row],[Coupon Frequency2]]</f>
        <v>#N/A</v>
      </c>
      <c r="Y880" s="19" t="e" cm="1">
        <f t="array" ref="Y8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0" s="33" t="e">
        <f>DURATION(Table1[[#This Row],[Issue date]],Table1[[#This Row],[Maturity date]],Table1[[#This Row],[Current coupon %]],Table1[[#This Row],[Yield (Annualised)]],Table1[[#This Row],[Coupon Frequency2]])</f>
        <v>#N/A</v>
      </c>
      <c r="AA880" s="33" t="e">
        <f>Table1[[#This Row],[Macaulay Duration in Years]]/(1+Table1[[#This Row],[IRR]])</f>
        <v>#N/A</v>
      </c>
      <c r="AB880" s="58" t="e">
        <f>VLOOKUP(Table1[[#This Row],[Yield Cluster]],'Cluster Details'!$B$3:$C$16,2,0)</f>
        <v>#N/A</v>
      </c>
      <c r="AC8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0" s="58" t="e">
        <f>IF(Table1[[#This Row],[Ask Price]]&gt;Table1[[#This Row],[Calculated Bond Price]],"Rich","Cheap")</f>
        <v>#N/A</v>
      </c>
      <c r="AE8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0" s="78" t="e">
        <f>(Table1[[#This Row],[P (+ shock)]]+Table1[[#This Row],[P (-shock)]]-2*Table1[[#This Row],[Ask Price]])/(2*Table1[[#This Row],[Ask Price]]*($AF$2^2))</f>
        <v>#N/A</v>
      </c>
      <c r="AI880" s="6" t="e">
        <f t="shared" si="53"/>
        <v>#DIV/0!</v>
      </c>
      <c r="AK880" s="47" t="e">
        <f>RATE(Table1[[#This Row],[Total No. of Coupons]],Table1[[#This Row],[Coupon Amount]],-Table1[[#This Row],[Ask Price]],Table1[[#This Row],[Face value]])</f>
        <v>#N/A</v>
      </c>
      <c r="AL880" s="27" t="e">
        <f>Table1[[#This Row],[IRR]]*Table1[[#This Row],[Coupon Frequency2]]</f>
        <v>#N/A</v>
      </c>
      <c r="AM880" s="5" t="e">
        <f t="shared" si="54"/>
        <v>#N/A</v>
      </c>
      <c r="AN880" t="s">
        <v>64</v>
      </c>
      <c r="AO880" t="s">
        <v>62</v>
      </c>
      <c r="AP880" t="str">
        <f t="shared" si="55"/>
        <v/>
      </c>
    </row>
    <row r="881" spans="4:42" x14ac:dyDescent="0.35">
      <c r="D881" s="21"/>
      <c r="E881" s="21"/>
      <c r="L881" s="22"/>
      <c r="S881">
        <f t="shared" si="52"/>
        <v>0</v>
      </c>
      <c r="T881" s="5" t="e" cm="1">
        <f t="array" ref="T8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1" t="e">
        <f>Table1[[#This Row],[Term to Maturity (Years)]]*Table1[[#This Row],[Coupon Frequency2]]</f>
        <v>#N/A</v>
      </c>
      <c r="V881">
        <f>Table1[[#This Row],[Face value]]*Table1[[#This Row],[Current coupon %]]</f>
        <v>0</v>
      </c>
      <c r="W881" s="36" t="e">
        <f>RATE(Table1[[#This Row],[Total No. of Coupons]],Table1[[#This Row],[Coupon Amount]],-Table1[[#This Row],[Ask Price]],Table1[[#This Row],[Face value]])</f>
        <v>#N/A</v>
      </c>
      <c r="X881" s="27" t="e">
        <f>Table1[[#This Row],[IRR]]*Table1[[#This Row],[Coupon Frequency2]]</f>
        <v>#N/A</v>
      </c>
      <c r="Y881" s="19" t="e" cm="1">
        <f t="array" ref="Y8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1" s="33" t="e">
        <f>DURATION(Table1[[#This Row],[Issue date]],Table1[[#This Row],[Maturity date]],Table1[[#This Row],[Current coupon %]],Table1[[#This Row],[Yield (Annualised)]],Table1[[#This Row],[Coupon Frequency2]])</f>
        <v>#N/A</v>
      </c>
      <c r="AA881" s="33" t="e">
        <f>Table1[[#This Row],[Macaulay Duration in Years]]/(1+Table1[[#This Row],[IRR]])</f>
        <v>#N/A</v>
      </c>
      <c r="AB881" s="58" t="e">
        <f>VLOOKUP(Table1[[#This Row],[Yield Cluster]],'Cluster Details'!$B$3:$C$16,2,0)</f>
        <v>#N/A</v>
      </c>
      <c r="AC8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1" s="58" t="e">
        <f>IF(Table1[[#This Row],[Ask Price]]&gt;Table1[[#This Row],[Calculated Bond Price]],"Rich","Cheap")</f>
        <v>#N/A</v>
      </c>
      <c r="AE8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1" s="78" t="e">
        <f>(Table1[[#This Row],[P (+ shock)]]+Table1[[#This Row],[P (-shock)]]-2*Table1[[#This Row],[Ask Price]])/(2*Table1[[#This Row],[Ask Price]]*($AF$2^2))</f>
        <v>#N/A</v>
      </c>
      <c r="AH881">
        <v>7.9430391930391897</v>
      </c>
      <c r="AI881" s="6" t="e">
        <f t="shared" si="53"/>
        <v>#DIV/0!</v>
      </c>
      <c r="AK881" s="47" t="e">
        <f>RATE(Table1[[#This Row],[Total No. of Coupons]],Table1[[#This Row],[Coupon Amount]],-Table1[[#This Row],[Ask Price]],Table1[[#This Row],[Face value]])</f>
        <v>#N/A</v>
      </c>
      <c r="AL881" s="27" t="e">
        <f>Table1[[#This Row],[IRR]]*Table1[[#This Row],[Coupon Frequency2]]</f>
        <v>#N/A</v>
      </c>
      <c r="AM881" s="5" t="e">
        <f t="shared" si="54"/>
        <v>#N/A</v>
      </c>
      <c r="AN881" t="s">
        <v>64</v>
      </c>
      <c r="AO881" t="s">
        <v>62</v>
      </c>
      <c r="AP881" t="str">
        <f t="shared" si="55"/>
        <v/>
      </c>
    </row>
    <row r="882" spans="4:42" x14ac:dyDescent="0.35">
      <c r="D882" s="21"/>
      <c r="E882" s="21"/>
      <c r="L882" s="22"/>
      <c r="S882">
        <f t="shared" si="52"/>
        <v>0</v>
      </c>
      <c r="T882" s="5" t="e" cm="1">
        <f t="array" ref="T8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2" t="e">
        <f>Table1[[#This Row],[Term to Maturity (Years)]]*Table1[[#This Row],[Coupon Frequency2]]</f>
        <v>#N/A</v>
      </c>
      <c r="V882">
        <f>Table1[[#This Row],[Face value]]*Table1[[#This Row],[Current coupon %]]</f>
        <v>0</v>
      </c>
      <c r="W882" s="36" t="e">
        <f>RATE(Table1[[#This Row],[Total No. of Coupons]],Table1[[#This Row],[Coupon Amount]],-Table1[[#This Row],[Ask Price]],Table1[[#This Row],[Face value]])</f>
        <v>#N/A</v>
      </c>
      <c r="X882" s="27" t="e">
        <f>Table1[[#This Row],[IRR]]*Table1[[#This Row],[Coupon Frequency2]]</f>
        <v>#N/A</v>
      </c>
      <c r="Y882" s="19" t="e" cm="1">
        <f t="array" ref="Y8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2" s="33" t="e">
        <f>DURATION(Table1[[#This Row],[Issue date]],Table1[[#This Row],[Maturity date]],Table1[[#This Row],[Current coupon %]],Table1[[#This Row],[Yield (Annualised)]],Table1[[#This Row],[Coupon Frequency2]])</f>
        <v>#N/A</v>
      </c>
      <c r="AA882" s="33" t="e">
        <f>Table1[[#This Row],[Macaulay Duration in Years]]/(1+Table1[[#This Row],[IRR]])</f>
        <v>#N/A</v>
      </c>
      <c r="AB882" s="58" t="e">
        <f>VLOOKUP(Table1[[#This Row],[Yield Cluster]],'Cluster Details'!$B$3:$C$16,2,0)</f>
        <v>#N/A</v>
      </c>
      <c r="AC8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2" s="58" t="e">
        <f>IF(Table1[[#This Row],[Ask Price]]&gt;Table1[[#This Row],[Calculated Bond Price]],"Rich","Cheap")</f>
        <v>#N/A</v>
      </c>
      <c r="AE8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2" s="78" t="e">
        <f>(Table1[[#This Row],[P (+ shock)]]+Table1[[#This Row],[P (-shock)]]-2*Table1[[#This Row],[Ask Price]])/(2*Table1[[#This Row],[Ask Price]]*($AF$2^2))</f>
        <v>#N/A</v>
      </c>
      <c r="AH882">
        <v>12.2201033922798</v>
      </c>
      <c r="AI882" s="6" t="e">
        <f t="shared" si="53"/>
        <v>#DIV/0!</v>
      </c>
      <c r="AK882" s="47" t="e">
        <f>RATE(Table1[[#This Row],[Total No. of Coupons]],Table1[[#This Row],[Coupon Amount]],-Table1[[#This Row],[Ask Price]],Table1[[#This Row],[Face value]])</f>
        <v>#N/A</v>
      </c>
      <c r="AL882" s="27" t="e">
        <f>Table1[[#This Row],[IRR]]*Table1[[#This Row],[Coupon Frequency2]]</f>
        <v>#N/A</v>
      </c>
      <c r="AM882" s="5" t="e">
        <f t="shared" si="54"/>
        <v>#N/A</v>
      </c>
      <c r="AN882" t="s">
        <v>64</v>
      </c>
      <c r="AO882" t="s">
        <v>62</v>
      </c>
      <c r="AP882" t="str">
        <f t="shared" si="55"/>
        <v/>
      </c>
    </row>
    <row r="883" spans="4:42" x14ac:dyDescent="0.35">
      <c r="D883" s="21"/>
      <c r="E883" s="21"/>
      <c r="L883" s="22"/>
      <c r="S883">
        <f t="shared" si="52"/>
        <v>0</v>
      </c>
      <c r="T883" s="5" t="e" cm="1">
        <f t="array" ref="T8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3" t="e">
        <f>Table1[[#This Row],[Term to Maturity (Years)]]*Table1[[#This Row],[Coupon Frequency2]]</f>
        <v>#N/A</v>
      </c>
      <c r="V883">
        <f>Table1[[#This Row],[Face value]]*Table1[[#This Row],[Current coupon %]]</f>
        <v>0</v>
      </c>
      <c r="W883" s="36" t="e">
        <f>RATE(Table1[[#This Row],[Total No. of Coupons]],Table1[[#This Row],[Coupon Amount]],-Table1[[#This Row],[Ask Price]],Table1[[#This Row],[Face value]])</f>
        <v>#N/A</v>
      </c>
      <c r="X883" s="27" t="e">
        <f>Table1[[#This Row],[IRR]]*Table1[[#This Row],[Coupon Frequency2]]</f>
        <v>#N/A</v>
      </c>
      <c r="Y883" s="19" t="e" cm="1">
        <f t="array" ref="Y8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3" s="33" t="e">
        <f>DURATION(Table1[[#This Row],[Issue date]],Table1[[#This Row],[Maturity date]],Table1[[#This Row],[Current coupon %]],Table1[[#This Row],[Yield (Annualised)]],Table1[[#This Row],[Coupon Frequency2]])</f>
        <v>#N/A</v>
      </c>
      <c r="AA883" s="33" t="e">
        <f>Table1[[#This Row],[Macaulay Duration in Years]]/(1+Table1[[#This Row],[IRR]])</f>
        <v>#N/A</v>
      </c>
      <c r="AB883" s="58" t="e">
        <f>VLOOKUP(Table1[[#This Row],[Yield Cluster]],'Cluster Details'!$B$3:$C$16,2,0)</f>
        <v>#N/A</v>
      </c>
      <c r="AC8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3" s="58" t="e">
        <f>IF(Table1[[#This Row],[Ask Price]]&gt;Table1[[#This Row],[Calculated Bond Price]],"Rich","Cheap")</f>
        <v>#N/A</v>
      </c>
      <c r="AE8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3" s="78" t="e">
        <f>(Table1[[#This Row],[P (+ shock)]]+Table1[[#This Row],[P (-shock)]]-2*Table1[[#This Row],[Ask Price]])/(2*Table1[[#This Row],[Ask Price]]*($AF$2^2))</f>
        <v>#N/A</v>
      </c>
      <c r="AI883" s="6" t="e">
        <f t="shared" si="53"/>
        <v>#DIV/0!</v>
      </c>
      <c r="AK883" s="47" t="e">
        <f>RATE(Table1[[#This Row],[Total No. of Coupons]],Table1[[#This Row],[Coupon Amount]],-Table1[[#This Row],[Ask Price]],Table1[[#This Row],[Face value]])</f>
        <v>#N/A</v>
      </c>
      <c r="AL883" s="27" t="e">
        <f>Table1[[#This Row],[IRR]]*Table1[[#This Row],[Coupon Frequency2]]</f>
        <v>#N/A</v>
      </c>
      <c r="AM883" s="5" t="e">
        <f t="shared" si="54"/>
        <v>#N/A</v>
      </c>
      <c r="AN883" t="s">
        <v>64</v>
      </c>
      <c r="AO883" t="s">
        <v>62</v>
      </c>
      <c r="AP883" t="str">
        <f t="shared" si="55"/>
        <v/>
      </c>
    </row>
    <row r="884" spans="4:42" x14ac:dyDescent="0.35">
      <c r="D884" s="21"/>
      <c r="E884" s="21"/>
      <c r="L884" s="22"/>
      <c r="S884">
        <f t="shared" si="52"/>
        <v>0</v>
      </c>
      <c r="T884" s="5" t="e" cm="1">
        <f t="array" ref="T8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4" t="e">
        <f>Table1[[#This Row],[Term to Maturity (Years)]]*Table1[[#This Row],[Coupon Frequency2]]</f>
        <v>#N/A</v>
      </c>
      <c r="V884">
        <f>Table1[[#This Row],[Face value]]*Table1[[#This Row],[Current coupon %]]</f>
        <v>0</v>
      </c>
      <c r="W884" s="36" t="e">
        <f>RATE(Table1[[#This Row],[Total No. of Coupons]],Table1[[#This Row],[Coupon Amount]],-Table1[[#This Row],[Ask Price]],Table1[[#This Row],[Face value]])</f>
        <v>#N/A</v>
      </c>
      <c r="X884" s="27" t="e">
        <f>Table1[[#This Row],[IRR]]*Table1[[#This Row],[Coupon Frequency2]]</f>
        <v>#N/A</v>
      </c>
      <c r="Y884" s="19" t="e" cm="1">
        <f t="array" ref="Y8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4" s="33" t="e">
        <f>DURATION(Table1[[#This Row],[Issue date]],Table1[[#This Row],[Maturity date]],Table1[[#This Row],[Current coupon %]],Table1[[#This Row],[Yield (Annualised)]],Table1[[#This Row],[Coupon Frequency2]])</f>
        <v>#N/A</v>
      </c>
      <c r="AA884" s="33" t="e">
        <f>Table1[[#This Row],[Macaulay Duration in Years]]/(1+Table1[[#This Row],[IRR]])</f>
        <v>#N/A</v>
      </c>
      <c r="AB884" s="58" t="e">
        <f>VLOOKUP(Table1[[#This Row],[Yield Cluster]],'Cluster Details'!$B$3:$C$16,2,0)</f>
        <v>#N/A</v>
      </c>
      <c r="AC8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4" s="58" t="e">
        <f>IF(Table1[[#This Row],[Ask Price]]&gt;Table1[[#This Row],[Calculated Bond Price]],"Rich","Cheap")</f>
        <v>#N/A</v>
      </c>
      <c r="AE8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4" s="78" t="e">
        <f>(Table1[[#This Row],[P (+ shock)]]+Table1[[#This Row],[P (-shock)]]-2*Table1[[#This Row],[Ask Price]])/(2*Table1[[#This Row],[Ask Price]]*($AF$2^2))</f>
        <v>#N/A</v>
      </c>
      <c r="AH884">
        <v>11.769146726311799</v>
      </c>
      <c r="AI884" s="6" t="e">
        <f t="shared" si="53"/>
        <v>#DIV/0!</v>
      </c>
      <c r="AK884" s="47" t="e">
        <f>RATE(Table1[[#This Row],[Total No. of Coupons]],Table1[[#This Row],[Coupon Amount]],-Table1[[#This Row],[Ask Price]],Table1[[#This Row],[Face value]])</f>
        <v>#N/A</v>
      </c>
      <c r="AL884" s="27" t="e">
        <f>Table1[[#This Row],[IRR]]*Table1[[#This Row],[Coupon Frequency2]]</f>
        <v>#N/A</v>
      </c>
      <c r="AM884" s="5" t="e">
        <f t="shared" si="54"/>
        <v>#N/A</v>
      </c>
      <c r="AN884" t="s">
        <v>64</v>
      </c>
      <c r="AO884" t="s">
        <v>62</v>
      </c>
      <c r="AP884" t="str">
        <f t="shared" si="55"/>
        <v/>
      </c>
    </row>
    <row r="885" spans="4:42" x14ac:dyDescent="0.35">
      <c r="D885" s="21"/>
      <c r="E885" s="21"/>
      <c r="L885" s="22"/>
      <c r="S885">
        <f t="shared" si="52"/>
        <v>0</v>
      </c>
      <c r="T885" s="5" t="e" cm="1">
        <f t="array" ref="T8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5" t="e">
        <f>Table1[[#This Row],[Term to Maturity (Years)]]*Table1[[#This Row],[Coupon Frequency2]]</f>
        <v>#N/A</v>
      </c>
      <c r="V885">
        <f>Table1[[#This Row],[Face value]]*Table1[[#This Row],[Current coupon %]]</f>
        <v>0</v>
      </c>
      <c r="W885" s="36" t="e">
        <f>RATE(Table1[[#This Row],[Total No. of Coupons]],Table1[[#This Row],[Coupon Amount]],-Table1[[#This Row],[Ask Price]],Table1[[#This Row],[Face value]])</f>
        <v>#N/A</v>
      </c>
      <c r="X885" s="27" t="e">
        <f>Table1[[#This Row],[IRR]]*Table1[[#This Row],[Coupon Frequency2]]</f>
        <v>#N/A</v>
      </c>
      <c r="Y885" s="19" t="e" cm="1">
        <f t="array" ref="Y8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5" s="33" t="e">
        <f>DURATION(Table1[[#This Row],[Issue date]],Table1[[#This Row],[Maturity date]],Table1[[#This Row],[Current coupon %]],Table1[[#This Row],[Yield (Annualised)]],Table1[[#This Row],[Coupon Frequency2]])</f>
        <v>#N/A</v>
      </c>
      <c r="AA885" s="33" t="e">
        <f>Table1[[#This Row],[Macaulay Duration in Years]]/(1+Table1[[#This Row],[IRR]])</f>
        <v>#N/A</v>
      </c>
      <c r="AB885" s="58" t="e">
        <f>VLOOKUP(Table1[[#This Row],[Yield Cluster]],'Cluster Details'!$B$3:$C$16,2,0)</f>
        <v>#N/A</v>
      </c>
      <c r="AC8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5" s="58" t="e">
        <f>IF(Table1[[#This Row],[Ask Price]]&gt;Table1[[#This Row],[Calculated Bond Price]],"Rich","Cheap")</f>
        <v>#N/A</v>
      </c>
      <c r="AE8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5" s="78" t="e">
        <f>(Table1[[#This Row],[P (+ shock)]]+Table1[[#This Row],[P (-shock)]]-2*Table1[[#This Row],[Ask Price]])/(2*Table1[[#This Row],[Ask Price]]*($AF$2^2))</f>
        <v>#N/A</v>
      </c>
      <c r="AH885">
        <v>9.8540641799381792</v>
      </c>
      <c r="AI885" s="6" t="e">
        <f t="shared" si="53"/>
        <v>#DIV/0!</v>
      </c>
      <c r="AK885" s="47" t="e">
        <f>RATE(Table1[[#This Row],[Total No. of Coupons]],Table1[[#This Row],[Coupon Amount]],-Table1[[#This Row],[Ask Price]],Table1[[#This Row],[Face value]])</f>
        <v>#N/A</v>
      </c>
      <c r="AL885" s="27" t="e">
        <f>Table1[[#This Row],[IRR]]*Table1[[#This Row],[Coupon Frequency2]]</f>
        <v>#N/A</v>
      </c>
      <c r="AM885" s="5" t="e">
        <f t="shared" si="54"/>
        <v>#N/A</v>
      </c>
      <c r="AN885" t="s">
        <v>64</v>
      </c>
      <c r="AO885" t="s">
        <v>62</v>
      </c>
      <c r="AP885" t="str">
        <f t="shared" si="55"/>
        <v/>
      </c>
    </row>
    <row r="886" spans="4:42" x14ac:dyDescent="0.35">
      <c r="D886" s="21"/>
      <c r="E886" s="21"/>
      <c r="L886" s="22"/>
      <c r="S886">
        <f t="shared" si="52"/>
        <v>0</v>
      </c>
      <c r="T886" s="5" t="e" cm="1">
        <f t="array" ref="T8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6" t="e">
        <f>Table1[[#This Row],[Term to Maturity (Years)]]*Table1[[#This Row],[Coupon Frequency2]]</f>
        <v>#N/A</v>
      </c>
      <c r="V886">
        <f>Table1[[#This Row],[Face value]]*Table1[[#This Row],[Current coupon %]]</f>
        <v>0</v>
      </c>
      <c r="W886" s="36" t="e">
        <f>RATE(Table1[[#This Row],[Total No. of Coupons]],Table1[[#This Row],[Coupon Amount]],-Table1[[#This Row],[Ask Price]],Table1[[#This Row],[Face value]])</f>
        <v>#N/A</v>
      </c>
      <c r="X886" s="27" t="e">
        <f>Table1[[#This Row],[IRR]]*Table1[[#This Row],[Coupon Frequency2]]</f>
        <v>#N/A</v>
      </c>
      <c r="Y886" s="19" t="e" cm="1">
        <f t="array" ref="Y8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6" s="33" t="e">
        <f>DURATION(Table1[[#This Row],[Issue date]],Table1[[#This Row],[Maturity date]],Table1[[#This Row],[Current coupon %]],Table1[[#This Row],[Yield (Annualised)]],Table1[[#This Row],[Coupon Frequency2]])</f>
        <v>#N/A</v>
      </c>
      <c r="AA886" s="33" t="e">
        <f>Table1[[#This Row],[Macaulay Duration in Years]]/(1+Table1[[#This Row],[IRR]])</f>
        <v>#N/A</v>
      </c>
      <c r="AB886" s="58" t="e">
        <f>VLOOKUP(Table1[[#This Row],[Yield Cluster]],'Cluster Details'!$B$3:$C$16,2,0)</f>
        <v>#N/A</v>
      </c>
      <c r="AC8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6" s="58" t="e">
        <f>IF(Table1[[#This Row],[Ask Price]]&gt;Table1[[#This Row],[Calculated Bond Price]],"Rich","Cheap")</f>
        <v>#N/A</v>
      </c>
      <c r="AE8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6" s="78" t="e">
        <f>(Table1[[#This Row],[P (+ shock)]]+Table1[[#This Row],[P (-shock)]]-2*Table1[[#This Row],[Ask Price]])/(2*Table1[[#This Row],[Ask Price]]*($AF$2^2))</f>
        <v>#N/A</v>
      </c>
      <c r="AH886">
        <v>9.7006890611541792</v>
      </c>
      <c r="AI886" s="6" t="e">
        <f t="shared" si="53"/>
        <v>#DIV/0!</v>
      </c>
      <c r="AK886" s="47" t="e">
        <f>RATE(Table1[[#This Row],[Total No. of Coupons]],Table1[[#This Row],[Coupon Amount]],-Table1[[#This Row],[Ask Price]],Table1[[#This Row],[Face value]])</f>
        <v>#N/A</v>
      </c>
      <c r="AL886" s="27" t="e">
        <f>Table1[[#This Row],[IRR]]*Table1[[#This Row],[Coupon Frequency2]]</f>
        <v>#N/A</v>
      </c>
      <c r="AM886" s="5" t="e">
        <f t="shared" si="54"/>
        <v>#N/A</v>
      </c>
      <c r="AN886" t="s">
        <v>64</v>
      </c>
      <c r="AO886" t="s">
        <v>62</v>
      </c>
      <c r="AP886" t="str">
        <f t="shared" si="55"/>
        <v/>
      </c>
    </row>
    <row r="887" spans="4:42" x14ac:dyDescent="0.35">
      <c r="D887" s="21"/>
      <c r="E887" s="21"/>
      <c r="L887" s="22"/>
      <c r="S887">
        <f t="shared" si="52"/>
        <v>0</v>
      </c>
      <c r="T887" s="5" t="e" cm="1">
        <f t="array" ref="T8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7" t="e">
        <f>Table1[[#This Row],[Term to Maturity (Years)]]*Table1[[#This Row],[Coupon Frequency2]]</f>
        <v>#N/A</v>
      </c>
      <c r="V887">
        <f>Table1[[#This Row],[Face value]]*Table1[[#This Row],[Current coupon %]]</f>
        <v>0</v>
      </c>
      <c r="W887" s="36" t="e">
        <f>RATE(Table1[[#This Row],[Total No. of Coupons]],Table1[[#This Row],[Coupon Amount]],-Table1[[#This Row],[Ask Price]],Table1[[#This Row],[Face value]])</f>
        <v>#N/A</v>
      </c>
      <c r="X887" s="27" t="e">
        <f>Table1[[#This Row],[IRR]]*Table1[[#This Row],[Coupon Frequency2]]</f>
        <v>#N/A</v>
      </c>
      <c r="Y887" s="19" t="e" cm="1">
        <f t="array" ref="Y8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7" s="33" t="e">
        <f>DURATION(Table1[[#This Row],[Issue date]],Table1[[#This Row],[Maturity date]],Table1[[#This Row],[Current coupon %]],Table1[[#This Row],[Yield (Annualised)]],Table1[[#This Row],[Coupon Frequency2]])</f>
        <v>#N/A</v>
      </c>
      <c r="AA887" s="33" t="e">
        <f>Table1[[#This Row],[Macaulay Duration in Years]]/(1+Table1[[#This Row],[IRR]])</f>
        <v>#N/A</v>
      </c>
      <c r="AB887" s="58" t="e">
        <f>VLOOKUP(Table1[[#This Row],[Yield Cluster]],'Cluster Details'!$B$3:$C$16,2,0)</f>
        <v>#N/A</v>
      </c>
      <c r="AC8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7" s="58" t="e">
        <f>IF(Table1[[#This Row],[Ask Price]]&gt;Table1[[#This Row],[Calculated Bond Price]],"Rich","Cheap")</f>
        <v>#N/A</v>
      </c>
      <c r="AE8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7" s="78" t="e">
        <f>(Table1[[#This Row],[P (+ shock)]]+Table1[[#This Row],[P (-shock)]]-2*Table1[[#This Row],[Ask Price]])/(2*Table1[[#This Row],[Ask Price]]*($AF$2^2))</f>
        <v>#N/A</v>
      </c>
      <c r="AI887" s="6" t="e">
        <f t="shared" si="53"/>
        <v>#DIV/0!</v>
      </c>
      <c r="AK887" s="47" t="e">
        <f>RATE(Table1[[#This Row],[Total No. of Coupons]],Table1[[#This Row],[Coupon Amount]],-Table1[[#This Row],[Ask Price]],Table1[[#This Row],[Face value]])</f>
        <v>#N/A</v>
      </c>
      <c r="AL887" s="27" t="e">
        <f>Table1[[#This Row],[IRR]]*Table1[[#This Row],[Coupon Frequency2]]</f>
        <v>#N/A</v>
      </c>
      <c r="AM887" s="5" t="e">
        <f t="shared" si="54"/>
        <v>#N/A</v>
      </c>
      <c r="AN887" t="s">
        <v>69</v>
      </c>
      <c r="AO887" t="s">
        <v>62</v>
      </c>
      <c r="AP887" t="str">
        <f t="shared" si="55"/>
        <v/>
      </c>
    </row>
    <row r="888" spans="4:42" x14ac:dyDescent="0.35">
      <c r="D888" s="21"/>
      <c r="E888" s="21"/>
      <c r="L888" s="22"/>
      <c r="S888">
        <f t="shared" si="52"/>
        <v>0</v>
      </c>
      <c r="T888" s="5" t="e" cm="1">
        <f t="array" ref="T8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8" t="e">
        <f>Table1[[#This Row],[Term to Maturity (Years)]]*Table1[[#This Row],[Coupon Frequency2]]</f>
        <v>#N/A</v>
      </c>
      <c r="V888">
        <f>Table1[[#This Row],[Face value]]*Table1[[#This Row],[Current coupon %]]</f>
        <v>0</v>
      </c>
      <c r="W888" s="36" t="e">
        <f>RATE(Table1[[#This Row],[Total No. of Coupons]],Table1[[#This Row],[Coupon Amount]],-Table1[[#This Row],[Ask Price]],Table1[[#This Row],[Face value]])</f>
        <v>#N/A</v>
      </c>
      <c r="X888" s="27" t="e">
        <f>Table1[[#This Row],[IRR]]*Table1[[#This Row],[Coupon Frequency2]]</f>
        <v>#N/A</v>
      </c>
      <c r="Y888" s="19" t="e" cm="1">
        <f t="array" ref="Y8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8" s="33" t="e">
        <f>DURATION(Table1[[#This Row],[Issue date]],Table1[[#This Row],[Maturity date]],Table1[[#This Row],[Current coupon %]],Table1[[#This Row],[Yield (Annualised)]],Table1[[#This Row],[Coupon Frequency2]])</f>
        <v>#N/A</v>
      </c>
      <c r="AA888" s="33" t="e">
        <f>Table1[[#This Row],[Macaulay Duration in Years]]/(1+Table1[[#This Row],[IRR]])</f>
        <v>#N/A</v>
      </c>
      <c r="AB888" s="58" t="e">
        <f>VLOOKUP(Table1[[#This Row],[Yield Cluster]],'Cluster Details'!$B$3:$C$16,2,0)</f>
        <v>#N/A</v>
      </c>
      <c r="AC8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8" s="58" t="e">
        <f>IF(Table1[[#This Row],[Ask Price]]&gt;Table1[[#This Row],[Calculated Bond Price]],"Rich","Cheap")</f>
        <v>#N/A</v>
      </c>
      <c r="AE8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8" s="78" t="e">
        <f>(Table1[[#This Row],[P (+ shock)]]+Table1[[#This Row],[P (-shock)]]-2*Table1[[#This Row],[Ask Price]])/(2*Table1[[#This Row],[Ask Price]]*($AF$2^2))</f>
        <v>#N/A</v>
      </c>
      <c r="AH888">
        <v>15.0032863137671</v>
      </c>
      <c r="AI888" s="6" t="e">
        <f t="shared" si="53"/>
        <v>#DIV/0!</v>
      </c>
      <c r="AK888" s="47" t="e">
        <f>RATE(Table1[[#This Row],[Total No. of Coupons]],Table1[[#This Row],[Coupon Amount]],-Table1[[#This Row],[Ask Price]],Table1[[#This Row],[Face value]])</f>
        <v>#N/A</v>
      </c>
      <c r="AL888" s="27" t="e">
        <f>Table1[[#This Row],[IRR]]*Table1[[#This Row],[Coupon Frequency2]]</f>
        <v>#N/A</v>
      </c>
      <c r="AM888" s="5" t="e">
        <f t="shared" si="54"/>
        <v>#N/A</v>
      </c>
      <c r="AN888" t="s">
        <v>64</v>
      </c>
      <c r="AO888" t="s">
        <v>62</v>
      </c>
      <c r="AP888" t="str">
        <f t="shared" si="55"/>
        <v/>
      </c>
    </row>
    <row r="889" spans="4:42" x14ac:dyDescent="0.35">
      <c r="D889" s="21"/>
      <c r="E889" s="21"/>
      <c r="L889" s="22"/>
      <c r="S889">
        <f t="shared" si="52"/>
        <v>0</v>
      </c>
      <c r="T889" s="5" t="e" cm="1">
        <f t="array" ref="T8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89" t="e">
        <f>Table1[[#This Row],[Term to Maturity (Years)]]*Table1[[#This Row],[Coupon Frequency2]]</f>
        <v>#N/A</v>
      </c>
      <c r="V889">
        <f>Table1[[#This Row],[Face value]]*Table1[[#This Row],[Current coupon %]]</f>
        <v>0</v>
      </c>
      <c r="W889" s="36" t="e">
        <f>RATE(Table1[[#This Row],[Total No. of Coupons]],Table1[[#This Row],[Coupon Amount]],-Table1[[#This Row],[Ask Price]],Table1[[#This Row],[Face value]])</f>
        <v>#N/A</v>
      </c>
      <c r="X889" s="27" t="e">
        <f>Table1[[#This Row],[IRR]]*Table1[[#This Row],[Coupon Frequency2]]</f>
        <v>#N/A</v>
      </c>
      <c r="Y889" s="19" t="e" cm="1">
        <f t="array" ref="Y8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89" s="33" t="e">
        <f>DURATION(Table1[[#This Row],[Issue date]],Table1[[#This Row],[Maturity date]],Table1[[#This Row],[Current coupon %]],Table1[[#This Row],[Yield (Annualised)]],Table1[[#This Row],[Coupon Frequency2]])</f>
        <v>#N/A</v>
      </c>
      <c r="AA889" s="33" t="e">
        <f>Table1[[#This Row],[Macaulay Duration in Years]]/(1+Table1[[#This Row],[IRR]])</f>
        <v>#N/A</v>
      </c>
      <c r="AB889" s="58" t="e">
        <f>VLOOKUP(Table1[[#This Row],[Yield Cluster]],'Cluster Details'!$B$3:$C$16,2,0)</f>
        <v>#N/A</v>
      </c>
      <c r="AC8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89" s="58" t="e">
        <f>IF(Table1[[#This Row],[Ask Price]]&gt;Table1[[#This Row],[Calculated Bond Price]],"Rich","Cheap")</f>
        <v>#N/A</v>
      </c>
      <c r="AE8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89" s="78" t="e">
        <f>(Table1[[#This Row],[P (+ shock)]]+Table1[[#This Row],[P (-shock)]]-2*Table1[[#This Row],[Ask Price]])/(2*Table1[[#This Row],[Ask Price]]*($AF$2^2))</f>
        <v>#N/A</v>
      </c>
      <c r="AI889" s="6" t="e">
        <f t="shared" si="53"/>
        <v>#DIV/0!</v>
      </c>
      <c r="AK889" s="47" t="e">
        <f>RATE(Table1[[#This Row],[Total No. of Coupons]],Table1[[#This Row],[Coupon Amount]],-Table1[[#This Row],[Ask Price]],Table1[[#This Row],[Face value]])</f>
        <v>#N/A</v>
      </c>
      <c r="AL889" s="27" t="e">
        <f>Table1[[#This Row],[IRR]]*Table1[[#This Row],[Coupon Frequency2]]</f>
        <v>#N/A</v>
      </c>
      <c r="AM889" s="5" t="e">
        <f t="shared" si="54"/>
        <v>#N/A</v>
      </c>
      <c r="AN889" t="s">
        <v>64</v>
      </c>
      <c r="AO889" t="s">
        <v>62</v>
      </c>
      <c r="AP889" t="str">
        <f t="shared" si="55"/>
        <v/>
      </c>
    </row>
    <row r="890" spans="4:42" x14ac:dyDescent="0.35">
      <c r="D890" s="21"/>
      <c r="E890" s="21"/>
      <c r="L890" s="22"/>
      <c r="S890">
        <f t="shared" si="52"/>
        <v>0</v>
      </c>
      <c r="T890" s="5" t="e" cm="1">
        <f t="array" ref="T8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0" t="e">
        <f>Table1[[#This Row],[Term to Maturity (Years)]]*Table1[[#This Row],[Coupon Frequency2]]</f>
        <v>#N/A</v>
      </c>
      <c r="V890">
        <f>Table1[[#This Row],[Face value]]*Table1[[#This Row],[Current coupon %]]</f>
        <v>0</v>
      </c>
      <c r="W890" s="36" t="e">
        <f>RATE(Table1[[#This Row],[Total No. of Coupons]],Table1[[#This Row],[Coupon Amount]],-Table1[[#This Row],[Ask Price]],Table1[[#This Row],[Face value]])</f>
        <v>#N/A</v>
      </c>
      <c r="X890" s="27" t="e">
        <f>Table1[[#This Row],[IRR]]*Table1[[#This Row],[Coupon Frequency2]]</f>
        <v>#N/A</v>
      </c>
      <c r="Y890" s="19" t="e" cm="1">
        <f t="array" ref="Y8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0" s="33" t="e">
        <f>DURATION(Table1[[#This Row],[Issue date]],Table1[[#This Row],[Maturity date]],Table1[[#This Row],[Current coupon %]],Table1[[#This Row],[Yield (Annualised)]],Table1[[#This Row],[Coupon Frequency2]])</f>
        <v>#N/A</v>
      </c>
      <c r="AA890" s="33" t="e">
        <f>Table1[[#This Row],[Macaulay Duration in Years]]/(1+Table1[[#This Row],[IRR]])</f>
        <v>#N/A</v>
      </c>
      <c r="AB890" s="58" t="e">
        <f>VLOOKUP(Table1[[#This Row],[Yield Cluster]],'Cluster Details'!$B$3:$C$16,2,0)</f>
        <v>#N/A</v>
      </c>
      <c r="AC8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0" s="58" t="e">
        <f>IF(Table1[[#This Row],[Ask Price]]&gt;Table1[[#This Row],[Calculated Bond Price]],"Rich","Cheap")</f>
        <v>#N/A</v>
      </c>
      <c r="AE8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0" s="78" t="e">
        <f>(Table1[[#This Row],[P (+ shock)]]+Table1[[#This Row],[P (-shock)]]-2*Table1[[#This Row],[Ask Price]])/(2*Table1[[#This Row],[Ask Price]]*($AF$2^2))</f>
        <v>#N/A</v>
      </c>
      <c r="AH890">
        <v>6.0834235515970203</v>
      </c>
      <c r="AI890" s="6" t="e">
        <f t="shared" si="53"/>
        <v>#DIV/0!</v>
      </c>
      <c r="AK890" s="47" t="e">
        <f>RATE(Table1[[#This Row],[Total No. of Coupons]],Table1[[#This Row],[Coupon Amount]],-Table1[[#This Row],[Ask Price]],Table1[[#This Row],[Face value]])</f>
        <v>#N/A</v>
      </c>
      <c r="AL890" s="27" t="e">
        <f>Table1[[#This Row],[IRR]]*Table1[[#This Row],[Coupon Frequency2]]</f>
        <v>#N/A</v>
      </c>
      <c r="AM890" s="5" t="e">
        <f t="shared" si="54"/>
        <v>#N/A</v>
      </c>
      <c r="AN890" t="s">
        <v>64</v>
      </c>
      <c r="AO890" t="s">
        <v>62</v>
      </c>
      <c r="AP890" t="str">
        <f t="shared" si="55"/>
        <v/>
      </c>
    </row>
    <row r="891" spans="4:42" x14ac:dyDescent="0.35">
      <c r="D891" s="21"/>
      <c r="E891" s="21"/>
      <c r="L891" s="22"/>
      <c r="S891">
        <f t="shared" si="52"/>
        <v>0</v>
      </c>
      <c r="T891" s="5" t="e" cm="1">
        <f t="array" ref="T8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1" t="e">
        <f>Table1[[#This Row],[Term to Maturity (Years)]]*Table1[[#This Row],[Coupon Frequency2]]</f>
        <v>#N/A</v>
      </c>
      <c r="V891">
        <f>Table1[[#This Row],[Face value]]*Table1[[#This Row],[Current coupon %]]</f>
        <v>0</v>
      </c>
      <c r="W891" s="36" t="e">
        <f>RATE(Table1[[#This Row],[Total No. of Coupons]],Table1[[#This Row],[Coupon Amount]],-Table1[[#This Row],[Ask Price]],Table1[[#This Row],[Face value]])</f>
        <v>#N/A</v>
      </c>
      <c r="X891" s="27" t="e">
        <f>Table1[[#This Row],[IRR]]*Table1[[#This Row],[Coupon Frequency2]]</f>
        <v>#N/A</v>
      </c>
      <c r="Y891" s="19" t="e" cm="1">
        <f t="array" ref="Y8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1" s="33" t="e">
        <f>DURATION(Table1[[#This Row],[Issue date]],Table1[[#This Row],[Maturity date]],Table1[[#This Row],[Current coupon %]],Table1[[#This Row],[Yield (Annualised)]],Table1[[#This Row],[Coupon Frequency2]])</f>
        <v>#N/A</v>
      </c>
      <c r="AA891" s="33" t="e">
        <f>Table1[[#This Row],[Macaulay Duration in Years]]/(1+Table1[[#This Row],[IRR]])</f>
        <v>#N/A</v>
      </c>
      <c r="AB891" s="58" t="e">
        <f>VLOOKUP(Table1[[#This Row],[Yield Cluster]],'Cluster Details'!$B$3:$C$16,2,0)</f>
        <v>#N/A</v>
      </c>
      <c r="AC8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1" s="58" t="e">
        <f>IF(Table1[[#This Row],[Ask Price]]&gt;Table1[[#This Row],[Calculated Bond Price]],"Rich","Cheap")</f>
        <v>#N/A</v>
      </c>
      <c r="AE8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1" s="78" t="e">
        <f>(Table1[[#This Row],[P (+ shock)]]+Table1[[#This Row],[P (-shock)]]-2*Table1[[#This Row],[Ask Price]])/(2*Table1[[#This Row],[Ask Price]]*($AF$2^2))</f>
        <v>#N/A</v>
      </c>
      <c r="AH891">
        <v>8.48438258062043</v>
      </c>
      <c r="AI891" s="6" t="e">
        <f t="shared" si="53"/>
        <v>#DIV/0!</v>
      </c>
      <c r="AK891" s="47" t="e">
        <f>RATE(Table1[[#This Row],[Total No. of Coupons]],Table1[[#This Row],[Coupon Amount]],-Table1[[#This Row],[Ask Price]],Table1[[#This Row],[Face value]])</f>
        <v>#N/A</v>
      </c>
      <c r="AL891" s="27" t="e">
        <f>Table1[[#This Row],[IRR]]*Table1[[#This Row],[Coupon Frequency2]]</f>
        <v>#N/A</v>
      </c>
      <c r="AM891" s="5" t="e">
        <f t="shared" si="54"/>
        <v>#N/A</v>
      </c>
      <c r="AN891" t="s">
        <v>64</v>
      </c>
      <c r="AO891" t="s">
        <v>62</v>
      </c>
      <c r="AP891" t="str">
        <f t="shared" si="55"/>
        <v/>
      </c>
    </row>
    <row r="892" spans="4:42" x14ac:dyDescent="0.35">
      <c r="D892" s="21"/>
      <c r="E892" s="21"/>
      <c r="L892" s="22"/>
      <c r="S892">
        <f t="shared" si="52"/>
        <v>0</v>
      </c>
      <c r="T892" s="5" t="e" cm="1">
        <f t="array" ref="T8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2" t="e">
        <f>Table1[[#This Row],[Term to Maturity (Years)]]*Table1[[#This Row],[Coupon Frequency2]]</f>
        <v>#N/A</v>
      </c>
      <c r="V892">
        <f>Table1[[#This Row],[Face value]]*Table1[[#This Row],[Current coupon %]]</f>
        <v>0</v>
      </c>
      <c r="W892" s="36" t="e">
        <f>RATE(Table1[[#This Row],[Total No. of Coupons]],Table1[[#This Row],[Coupon Amount]],-Table1[[#This Row],[Ask Price]],Table1[[#This Row],[Face value]])</f>
        <v>#N/A</v>
      </c>
      <c r="X892" s="27" t="e">
        <f>Table1[[#This Row],[IRR]]*Table1[[#This Row],[Coupon Frequency2]]</f>
        <v>#N/A</v>
      </c>
      <c r="Y892" s="19" t="e" cm="1">
        <f t="array" ref="Y8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2" s="33" t="e">
        <f>DURATION(Table1[[#This Row],[Issue date]],Table1[[#This Row],[Maturity date]],Table1[[#This Row],[Current coupon %]],Table1[[#This Row],[Yield (Annualised)]],Table1[[#This Row],[Coupon Frequency2]])</f>
        <v>#N/A</v>
      </c>
      <c r="AA892" s="33" t="e">
        <f>Table1[[#This Row],[Macaulay Duration in Years]]/(1+Table1[[#This Row],[IRR]])</f>
        <v>#N/A</v>
      </c>
      <c r="AB892" s="58" t="e">
        <f>VLOOKUP(Table1[[#This Row],[Yield Cluster]],'Cluster Details'!$B$3:$C$16,2,0)</f>
        <v>#N/A</v>
      </c>
      <c r="AC8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2" s="58" t="e">
        <f>IF(Table1[[#This Row],[Ask Price]]&gt;Table1[[#This Row],[Calculated Bond Price]],"Rich","Cheap")</f>
        <v>#N/A</v>
      </c>
      <c r="AE8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2" s="78" t="e">
        <f>(Table1[[#This Row],[P (+ shock)]]+Table1[[#This Row],[P (-shock)]]-2*Table1[[#This Row],[Ask Price]])/(2*Table1[[#This Row],[Ask Price]]*($AF$2^2))</f>
        <v>#N/A</v>
      </c>
      <c r="AH892">
        <v>7.8920360959650004</v>
      </c>
      <c r="AI892" s="6" t="e">
        <f t="shared" si="53"/>
        <v>#DIV/0!</v>
      </c>
      <c r="AK892" s="47" t="e">
        <f>RATE(Table1[[#This Row],[Total No. of Coupons]],Table1[[#This Row],[Coupon Amount]],-Table1[[#This Row],[Ask Price]],Table1[[#This Row],[Face value]])</f>
        <v>#N/A</v>
      </c>
      <c r="AL892" s="27" t="e">
        <f>Table1[[#This Row],[IRR]]*Table1[[#This Row],[Coupon Frequency2]]</f>
        <v>#N/A</v>
      </c>
      <c r="AM892" s="5" t="e">
        <f t="shared" si="54"/>
        <v>#N/A</v>
      </c>
      <c r="AN892" t="s">
        <v>64</v>
      </c>
      <c r="AO892" t="s">
        <v>62</v>
      </c>
      <c r="AP892" t="str">
        <f t="shared" si="55"/>
        <v/>
      </c>
    </row>
    <row r="893" spans="4:42" x14ac:dyDescent="0.35">
      <c r="D893" s="21"/>
      <c r="E893" s="21"/>
      <c r="L893" s="22"/>
      <c r="S893">
        <f t="shared" si="52"/>
        <v>0</v>
      </c>
      <c r="T893" s="5" t="e" cm="1">
        <f t="array" ref="T8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3" t="e">
        <f>Table1[[#This Row],[Term to Maturity (Years)]]*Table1[[#This Row],[Coupon Frequency2]]</f>
        <v>#N/A</v>
      </c>
      <c r="V893">
        <f>Table1[[#This Row],[Face value]]*Table1[[#This Row],[Current coupon %]]</f>
        <v>0</v>
      </c>
      <c r="W893" s="36" t="e">
        <f>RATE(Table1[[#This Row],[Total No. of Coupons]],Table1[[#This Row],[Coupon Amount]],-Table1[[#This Row],[Ask Price]],Table1[[#This Row],[Face value]])</f>
        <v>#N/A</v>
      </c>
      <c r="X893" s="27" t="e">
        <f>Table1[[#This Row],[IRR]]*Table1[[#This Row],[Coupon Frequency2]]</f>
        <v>#N/A</v>
      </c>
      <c r="Y893" s="19" t="e" cm="1">
        <f t="array" ref="Y8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3" s="33" t="e">
        <f>DURATION(Table1[[#This Row],[Issue date]],Table1[[#This Row],[Maturity date]],Table1[[#This Row],[Current coupon %]],Table1[[#This Row],[Yield (Annualised)]],Table1[[#This Row],[Coupon Frequency2]])</f>
        <v>#N/A</v>
      </c>
      <c r="AA893" s="33" t="e">
        <f>Table1[[#This Row],[Macaulay Duration in Years]]/(1+Table1[[#This Row],[IRR]])</f>
        <v>#N/A</v>
      </c>
      <c r="AB893" s="58" t="e">
        <f>VLOOKUP(Table1[[#This Row],[Yield Cluster]],'Cluster Details'!$B$3:$C$16,2,0)</f>
        <v>#N/A</v>
      </c>
      <c r="AC8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3" s="58" t="e">
        <f>IF(Table1[[#This Row],[Ask Price]]&gt;Table1[[#This Row],[Calculated Bond Price]],"Rich","Cheap")</f>
        <v>#N/A</v>
      </c>
      <c r="AE8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3" s="78" t="e">
        <f>(Table1[[#This Row],[P (+ shock)]]+Table1[[#This Row],[P (-shock)]]-2*Table1[[#This Row],[Ask Price]])/(2*Table1[[#This Row],[Ask Price]]*($AF$2^2))</f>
        <v>#N/A</v>
      </c>
      <c r="AH893">
        <v>8.61608455732941</v>
      </c>
      <c r="AI893" s="6" t="e">
        <f t="shared" si="53"/>
        <v>#DIV/0!</v>
      </c>
      <c r="AK893" s="47" t="e">
        <f>RATE(Table1[[#This Row],[Total No. of Coupons]],Table1[[#This Row],[Coupon Amount]],-Table1[[#This Row],[Ask Price]],Table1[[#This Row],[Face value]])</f>
        <v>#N/A</v>
      </c>
      <c r="AL893" s="27" t="e">
        <f>Table1[[#This Row],[IRR]]*Table1[[#This Row],[Coupon Frequency2]]</f>
        <v>#N/A</v>
      </c>
      <c r="AM893" s="5" t="e">
        <f t="shared" si="54"/>
        <v>#N/A</v>
      </c>
      <c r="AN893" t="s">
        <v>64</v>
      </c>
      <c r="AO893" t="s">
        <v>62</v>
      </c>
      <c r="AP893" t="str">
        <f t="shared" si="55"/>
        <v/>
      </c>
    </row>
    <row r="894" spans="4:42" x14ac:dyDescent="0.35">
      <c r="D894" s="21"/>
      <c r="E894" s="21"/>
      <c r="L894" s="22"/>
      <c r="S894">
        <f t="shared" si="52"/>
        <v>0</v>
      </c>
      <c r="T894" s="5" t="e" cm="1">
        <f t="array" ref="T8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4" t="e">
        <f>Table1[[#This Row],[Term to Maturity (Years)]]*Table1[[#This Row],[Coupon Frequency2]]</f>
        <v>#N/A</v>
      </c>
      <c r="V894">
        <f>Table1[[#This Row],[Face value]]*Table1[[#This Row],[Current coupon %]]</f>
        <v>0</v>
      </c>
      <c r="W894" s="36" t="e">
        <f>RATE(Table1[[#This Row],[Total No. of Coupons]],Table1[[#This Row],[Coupon Amount]],-Table1[[#This Row],[Ask Price]],Table1[[#This Row],[Face value]])</f>
        <v>#N/A</v>
      </c>
      <c r="X894" s="27" t="e">
        <f>Table1[[#This Row],[IRR]]*Table1[[#This Row],[Coupon Frequency2]]</f>
        <v>#N/A</v>
      </c>
      <c r="Y894" s="19" t="e" cm="1">
        <f t="array" ref="Y8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4" s="33" t="e">
        <f>DURATION(Table1[[#This Row],[Issue date]],Table1[[#This Row],[Maturity date]],Table1[[#This Row],[Current coupon %]],Table1[[#This Row],[Yield (Annualised)]],Table1[[#This Row],[Coupon Frequency2]])</f>
        <v>#N/A</v>
      </c>
      <c r="AA894" s="33" t="e">
        <f>Table1[[#This Row],[Macaulay Duration in Years]]/(1+Table1[[#This Row],[IRR]])</f>
        <v>#N/A</v>
      </c>
      <c r="AB894" s="58" t="e">
        <f>VLOOKUP(Table1[[#This Row],[Yield Cluster]],'Cluster Details'!$B$3:$C$16,2,0)</f>
        <v>#N/A</v>
      </c>
      <c r="AC8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4" s="58" t="e">
        <f>IF(Table1[[#This Row],[Ask Price]]&gt;Table1[[#This Row],[Calculated Bond Price]],"Rich","Cheap")</f>
        <v>#N/A</v>
      </c>
      <c r="AE8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4" s="78" t="e">
        <f>(Table1[[#This Row],[P (+ shock)]]+Table1[[#This Row],[P (-shock)]]-2*Table1[[#This Row],[Ask Price]])/(2*Table1[[#This Row],[Ask Price]]*($AF$2^2))</f>
        <v>#N/A</v>
      </c>
      <c r="AH894">
        <v>7.6588801970157903</v>
      </c>
      <c r="AI894" s="6" t="e">
        <f t="shared" si="53"/>
        <v>#DIV/0!</v>
      </c>
      <c r="AK894" s="47" t="e">
        <f>RATE(Table1[[#This Row],[Total No. of Coupons]],Table1[[#This Row],[Coupon Amount]],-Table1[[#This Row],[Ask Price]],Table1[[#This Row],[Face value]])</f>
        <v>#N/A</v>
      </c>
      <c r="AL894" s="27" t="e">
        <f>Table1[[#This Row],[IRR]]*Table1[[#This Row],[Coupon Frequency2]]</f>
        <v>#N/A</v>
      </c>
      <c r="AM894" s="5" t="e">
        <f t="shared" si="54"/>
        <v>#N/A</v>
      </c>
      <c r="AN894" t="s">
        <v>64</v>
      </c>
      <c r="AO894" t="s">
        <v>62</v>
      </c>
      <c r="AP894" t="str">
        <f t="shared" si="55"/>
        <v/>
      </c>
    </row>
    <row r="895" spans="4:42" x14ac:dyDescent="0.35">
      <c r="D895" s="21"/>
      <c r="E895" s="21"/>
      <c r="L895" s="22"/>
      <c r="S895">
        <f t="shared" si="52"/>
        <v>0</v>
      </c>
      <c r="T895" s="5" t="e" cm="1">
        <f t="array" ref="T8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5" t="e">
        <f>Table1[[#This Row],[Term to Maturity (Years)]]*Table1[[#This Row],[Coupon Frequency2]]</f>
        <v>#N/A</v>
      </c>
      <c r="V895">
        <f>Table1[[#This Row],[Face value]]*Table1[[#This Row],[Current coupon %]]</f>
        <v>0</v>
      </c>
      <c r="W895" s="36" t="e">
        <f>RATE(Table1[[#This Row],[Total No. of Coupons]],Table1[[#This Row],[Coupon Amount]],-Table1[[#This Row],[Ask Price]],Table1[[#This Row],[Face value]])</f>
        <v>#N/A</v>
      </c>
      <c r="X895" s="27" t="e">
        <f>Table1[[#This Row],[IRR]]*Table1[[#This Row],[Coupon Frequency2]]</f>
        <v>#N/A</v>
      </c>
      <c r="Y895" s="19" t="e" cm="1">
        <f t="array" ref="Y8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5" s="33" t="e">
        <f>DURATION(Table1[[#This Row],[Issue date]],Table1[[#This Row],[Maturity date]],Table1[[#This Row],[Current coupon %]],Table1[[#This Row],[Yield (Annualised)]],Table1[[#This Row],[Coupon Frequency2]])</f>
        <v>#N/A</v>
      </c>
      <c r="AA895" s="33" t="e">
        <f>Table1[[#This Row],[Macaulay Duration in Years]]/(1+Table1[[#This Row],[IRR]])</f>
        <v>#N/A</v>
      </c>
      <c r="AB895" s="58" t="e">
        <f>VLOOKUP(Table1[[#This Row],[Yield Cluster]],'Cluster Details'!$B$3:$C$16,2,0)</f>
        <v>#N/A</v>
      </c>
      <c r="AC8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5" s="58" t="e">
        <f>IF(Table1[[#This Row],[Ask Price]]&gt;Table1[[#This Row],[Calculated Bond Price]],"Rich","Cheap")</f>
        <v>#N/A</v>
      </c>
      <c r="AE8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5" s="78" t="e">
        <f>(Table1[[#This Row],[P (+ shock)]]+Table1[[#This Row],[P (-shock)]]-2*Table1[[#This Row],[Ask Price]])/(2*Table1[[#This Row],[Ask Price]]*($AF$2^2))</f>
        <v>#N/A</v>
      </c>
      <c r="AH895">
        <v>8.6544166949876402</v>
      </c>
      <c r="AI895" s="6" t="e">
        <f t="shared" si="53"/>
        <v>#DIV/0!</v>
      </c>
      <c r="AK895" s="47" t="e">
        <f>RATE(Table1[[#This Row],[Total No. of Coupons]],Table1[[#This Row],[Coupon Amount]],-Table1[[#This Row],[Ask Price]],Table1[[#This Row],[Face value]])</f>
        <v>#N/A</v>
      </c>
      <c r="AL895" s="27" t="e">
        <f>Table1[[#This Row],[IRR]]*Table1[[#This Row],[Coupon Frequency2]]</f>
        <v>#N/A</v>
      </c>
      <c r="AM895" s="5" t="e">
        <f t="shared" si="54"/>
        <v>#N/A</v>
      </c>
      <c r="AN895" t="s">
        <v>64</v>
      </c>
      <c r="AO895" t="s">
        <v>62</v>
      </c>
      <c r="AP895" t="str">
        <f t="shared" si="55"/>
        <v/>
      </c>
    </row>
    <row r="896" spans="4:42" x14ac:dyDescent="0.35">
      <c r="D896" s="21"/>
      <c r="E896" s="21"/>
      <c r="L896" s="22"/>
      <c r="S896">
        <f t="shared" si="52"/>
        <v>0</v>
      </c>
      <c r="T896" s="5" t="e" cm="1">
        <f t="array" ref="T8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6" t="e">
        <f>Table1[[#This Row],[Term to Maturity (Years)]]*Table1[[#This Row],[Coupon Frequency2]]</f>
        <v>#N/A</v>
      </c>
      <c r="V896">
        <f>Table1[[#This Row],[Face value]]*Table1[[#This Row],[Current coupon %]]</f>
        <v>0</v>
      </c>
      <c r="W896" s="36" t="e">
        <f>RATE(Table1[[#This Row],[Total No. of Coupons]],Table1[[#This Row],[Coupon Amount]],-Table1[[#This Row],[Ask Price]],Table1[[#This Row],[Face value]])</f>
        <v>#N/A</v>
      </c>
      <c r="X896" s="27" t="e">
        <f>Table1[[#This Row],[IRR]]*Table1[[#This Row],[Coupon Frequency2]]</f>
        <v>#N/A</v>
      </c>
      <c r="Y896" s="19" t="e" cm="1">
        <f t="array" ref="Y8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6" s="33" t="e">
        <f>DURATION(Table1[[#This Row],[Issue date]],Table1[[#This Row],[Maturity date]],Table1[[#This Row],[Current coupon %]],Table1[[#This Row],[Yield (Annualised)]],Table1[[#This Row],[Coupon Frequency2]])</f>
        <v>#N/A</v>
      </c>
      <c r="AA896" s="33" t="e">
        <f>Table1[[#This Row],[Macaulay Duration in Years]]/(1+Table1[[#This Row],[IRR]])</f>
        <v>#N/A</v>
      </c>
      <c r="AB896" s="58" t="e">
        <f>VLOOKUP(Table1[[#This Row],[Yield Cluster]],'Cluster Details'!$B$3:$C$16,2,0)</f>
        <v>#N/A</v>
      </c>
      <c r="AC8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6" s="58" t="e">
        <f>IF(Table1[[#This Row],[Ask Price]]&gt;Table1[[#This Row],[Calculated Bond Price]],"Rich","Cheap")</f>
        <v>#N/A</v>
      </c>
      <c r="AE8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6" s="78" t="e">
        <f>(Table1[[#This Row],[P (+ shock)]]+Table1[[#This Row],[P (-shock)]]-2*Table1[[#This Row],[Ask Price]])/(2*Table1[[#This Row],[Ask Price]]*($AF$2^2))</f>
        <v>#N/A</v>
      </c>
      <c r="AH896">
        <v>10.2147824957539</v>
      </c>
      <c r="AI896" s="6" t="e">
        <f t="shared" si="53"/>
        <v>#DIV/0!</v>
      </c>
      <c r="AK896" s="47" t="e">
        <f>RATE(Table1[[#This Row],[Total No. of Coupons]],Table1[[#This Row],[Coupon Amount]],-Table1[[#This Row],[Ask Price]],Table1[[#This Row],[Face value]])</f>
        <v>#N/A</v>
      </c>
      <c r="AL896" s="27" t="e">
        <f>Table1[[#This Row],[IRR]]*Table1[[#This Row],[Coupon Frequency2]]</f>
        <v>#N/A</v>
      </c>
      <c r="AM896" s="5" t="e">
        <f t="shared" si="54"/>
        <v>#N/A</v>
      </c>
      <c r="AN896" t="s">
        <v>69</v>
      </c>
      <c r="AO896" t="s">
        <v>62</v>
      </c>
      <c r="AP896" t="str">
        <f t="shared" si="55"/>
        <v/>
      </c>
    </row>
    <row r="897" spans="4:42" x14ac:dyDescent="0.35">
      <c r="D897" s="21"/>
      <c r="E897" s="21"/>
      <c r="L897" s="22"/>
      <c r="S897">
        <f t="shared" si="52"/>
        <v>0</v>
      </c>
      <c r="T897" s="5" t="e" cm="1">
        <f t="array" ref="T8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7" t="e">
        <f>Table1[[#This Row],[Term to Maturity (Years)]]*Table1[[#This Row],[Coupon Frequency2]]</f>
        <v>#N/A</v>
      </c>
      <c r="V897">
        <f>Table1[[#This Row],[Face value]]*Table1[[#This Row],[Current coupon %]]</f>
        <v>0</v>
      </c>
      <c r="W897" s="36" t="e">
        <f>RATE(Table1[[#This Row],[Total No. of Coupons]],Table1[[#This Row],[Coupon Amount]],-Table1[[#This Row],[Ask Price]],Table1[[#This Row],[Face value]])</f>
        <v>#N/A</v>
      </c>
      <c r="X897" s="27" t="e">
        <f>Table1[[#This Row],[IRR]]*Table1[[#This Row],[Coupon Frequency2]]</f>
        <v>#N/A</v>
      </c>
      <c r="Y897" s="19" t="e" cm="1">
        <f t="array" ref="Y8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7" s="33" t="e">
        <f>DURATION(Table1[[#This Row],[Issue date]],Table1[[#This Row],[Maturity date]],Table1[[#This Row],[Current coupon %]],Table1[[#This Row],[Yield (Annualised)]],Table1[[#This Row],[Coupon Frequency2]])</f>
        <v>#N/A</v>
      </c>
      <c r="AA897" s="33" t="e">
        <f>Table1[[#This Row],[Macaulay Duration in Years]]/(1+Table1[[#This Row],[IRR]])</f>
        <v>#N/A</v>
      </c>
      <c r="AB897" s="58" t="e">
        <f>VLOOKUP(Table1[[#This Row],[Yield Cluster]],'Cluster Details'!$B$3:$C$16,2,0)</f>
        <v>#N/A</v>
      </c>
      <c r="AC8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7" s="58" t="e">
        <f>IF(Table1[[#This Row],[Ask Price]]&gt;Table1[[#This Row],[Calculated Bond Price]],"Rich","Cheap")</f>
        <v>#N/A</v>
      </c>
      <c r="AE8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7" s="78" t="e">
        <f>(Table1[[#This Row],[P (+ shock)]]+Table1[[#This Row],[P (-shock)]]-2*Table1[[#This Row],[Ask Price]])/(2*Table1[[#This Row],[Ask Price]]*($AF$2^2))</f>
        <v>#N/A</v>
      </c>
      <c r="AH897">
        <v>11.7499494049316</v>
      </c>
      <c r="AI897" s="6" t="e">
        <f t="shared" si="53"/>
        <v>#DIV/0!</v>
      </c>
      <c r="AK897" s="47" t="e">
        <f>RATE(Table1[[#This Row],[Total No. of Coupons]],Table1[[#This Row],[Coupon Amount]],-Table1[[#This Row],[Ask Price]],Table1[[#This Row],[Face value]])</f>
        <v>#N/A</v>
      </c>
      <c r="AL897" s="27" t="e">
        <f>Table1[[#This Row],[IRR]]*Table1[[#This Row],[Coupon Frequency2]]</f>
        <v>#N/A</v>
      </c>
      <c r="AM897" s="5" t="e">
        <f t="shared" si="54"/>
        <v>#N/A</v>
      </c>
      <c r="AN897" t="s">
        <v>64</v>
      </c>
      <c r="AO897" t="s">
        <v>62</v>
      </c>
      <c r="AP897" t="str">
        <f t="shared" si="55"/>
        <v/>
      </c>
    </row>
    <row r="898" spans="4:42" x14ac:dyDescent="0.35">
      <c r="D898" s="21"/>
      <c r="E898" s="21"/>
      <c r="L898" s="22"/>
      <c r="S898">
        <f t="shared" si="52"/>
        <v>0</v>
      </c>
      <c r="T898" s="5" t="e" cm="1">
        <f t="array" ref="T8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8" t="e">
        <f>Table1[[#This Row],[Term to Maturity (Years)]]*Table1[[#This Row],[Coupon Frequency2]]</f>
        <v>#N/A</v>
      </c>
      <c r="V898">
        <f>Table1[[#This Row],[Face value]]*Table1[[#This Row],[Current coupon %]]</f>
        <v>0</v>
      </c>
      <c r="W898" s="36" t="e">
        <f>RATE(Table1[[#This Row],[Total No. of Coupons]],Table1[[#This Row],[Coupon Amount]],-Table1[[#This Row],[Ask Price]],Table1[[#This Row],[Face value]])</f>
        <v>#N/A</v>
      </c>
      <c r="X898" s="27" t="e">
        <f>Table1[[#This Row],[IRR]]*Table1[[#This Row],[Coupon Frequency2]]</f>
        <v>#N/A</v>
      </c>
      <c r="Y898" s="19" t="e" cm="1">
        <f t="array" ref="Y8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8" s="33" t="e">
        <f>DURATION(Table1[[#This Row],[Issue date]],Table1[[#This Row],[Maturity date]],Table1[[#This Row],[Current coupon %]],Table1[[#This Row],[Yield (Annualised)]],Table1[[#This Row],[Coupon Frequency2]])</f>
        <v>#N/A</v>
      </c>
      <c r="AA898" s="33" t="e">
        <f>Table1[[#This Row],[Macaulay Duration in Years]]/(1+Table1[[#This Row],[IRR]])</f>
        <v>#N/A</v>
      </c>
      <c r="AB898" s="58" t="e">
        <f>VLOOKUP(Table1[[#This Row],[Yield Cluster]],'Cluster Details'!$B$3:$C$16,2,0)</f>
        <v>#N/A</v>
      </c>
      <c r="AC8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8" s="58" t="e">
        <f>IF(Table1[[#This Row],[Ask Price]]&gt;Table1[[#This Row],[Calculated Bond Price]],"Rich","Cheap")</f>
        <v>#N/A</v>
      </c>
      <c r="AE8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8" s="78" t="e">
        <f>(Table1[[#This Row],[P (+ shock)]]+Table1[[#This Row],[P (-shock)]]-2*Table1[[#This Row],[Ask Price]])/(2*Table1[[#This Row],[Ask Price]]*($AF$2^2))</f>
        <v>#N/A</v>
      </c>
      <c r="AH898">
        <v>10.042505656376299</v>
      </c>
      <c r="AI898" s="6" t="e">
        <f t="shared" si="53"/>
        <v>#DIV/0!</v>
      </c>
      <c r="AK898" s="47" t="e">
        <f>RATE(Table1[[#This Row],[Total No. of Coupons]],Table1[[#This Row],[Coupon Amount]],-Table1[[#This Row],[Ask Price]],Table1[[#This Row],[Face value]])</f>
        <v>#N/A</v>
      </c>
      <c r="AL898" s="27" t="e">
        <f>Table1[[#This Row],[IRR]]*Table1[[#This Row],[Coupon Frequency2]]</f>
        <v>#N/A</v>
      </c>
      <c r="AM898" s="5" t="e">
        <f t="shared" si="54"/>
        <v>#N/A</v>
      </c>
      <c r="AN898" t="s">
        <v>64</v>
      </c>
      <c r="AO898" t="s">
        <v>62</v>
      </c>
      <c r="AP898" t="str">
        <f t="shared" si="55"/>
        <v/>
      </c>
    </row>
    <row r="899" spans="4:42" x14ac:dyDescent="0.35">
      <c r="D899" s="21"/>
      <c r="E899" s="21"/>
      <c r="L899" s="22"/>
      <c r="S899">
        <f t="shared" si="52"/>
        <v>0</v>
      </c>
      <c r="T899" s="5" t="e" cm="1">
        <f t="array" ref="T8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899" t="e">
        <f>Table1[[#This Row],[Term to Maturity (Years)]]*Table1[[#This Row],[Coupon Frequency2]]</f>
        <v>#N/A</v>
      </c>
      <c r="V899">
        <f>Table1[[#This Row],[Face value]]*Table1[[#This Row],[Current coupon %]]</f>
        <v>0</v>
      </c>
      <c r="W899" s="36" t="e">
        <f>RATE(Table1[[#This Row],[Total No. of Coupons]],Table1[[#This Row],[Coupon Amount]],-Table1[[#This Row],[Ask Price]],Table1[[#This Row],[Face value]])</f>
        <v>#N/A</v>
      </c>
      <c r="X899" s="27" t="e">
        <f>Table1[[#This Row],[IRR]]*Table1[[#This Row],[Coupon Frequency2]]</f>
        <v>#N/A</v>
      </c>
      <c r="Y899" s="19" t="e" cm="1">
        <f t="array" ref="Y8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899" s="33" t="e">
        <f>DURATION(Table1[[#This Row],[Issue date]],Table1[[#This Row],[Maturity date]],Table1[[#This Row],[Current coupon %]],Table1[[#This Row],[Yield (Annualised)]],Table1[[#This Row],[Coupon Frequency2]])</f>
        <v>#N/A</v>
      </c>
      <c r="AA899" s="33" t="e">
        <f>Table1[[#This Row],[Macaulay Duration in Years]]/(1+Table1[[#This Row],[IRR]])</f>
        <v>#N/A</v>
      </c>
      <c r="AB899" s="58" t="e">
        <f>VLOOKUP(Table1[[#This Row],[Yield Cluster]],'Cluster Details'!$B$3:$C$16,2,0)</f>
        <v>#N/A</v>
      </c>
      <c r="AC8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899" s="58" t="e">
        <f>IF(Table1[[#This Row],[Ask Price]]&gt;Table1[[#This Row],[Calculated Bond Price]],"Rich","Cheap")</f>
        <v>#N/A</v>
      </c>
      <c r="AE8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8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899" s="78" t="e">
        <f>(Table1[[#This Row],[P (+ shock)]]+Table1[[#This Row],[P (-shock)]]-2*Table1[[#This Row],[Ask Price]])/(2*Table1[[#This Row],[Ask Price]]*($AF$2^2))</f>
        <v>#N/A</v>
      </c>
      <c r="AH899">
        <v>9.6534937257149291</v>
      </c>
      <c r="AI899" s="6" t="e">
        <f t="shared" si="53"/>
        <v>#DIV/0!</v>
      </c>
      <c r="AK899" s="47" t="e">
        <f>RATE(Table1[[#This Row],[Total No. of Coupons]],Table1[[#This Row],[Coupon Amount]],-Table1[[#This Row],[Ask Price]],Table1[[#This Row],[Face value]])</f>
        <v>#N/A</v>
      </c>
      <c r="AL899" s="27" t="e">
        <f>Table1[[#This Row],[IRR]]*Table1[[#This Row],[Coupon Frequency2]]</f>
        <v>#N/A</v>
      </c>
      <c r="AM899" s="5" t="e">
        <f t="shared" si="54"/>
        <v>#N/A</v>
      </c>
      <c r="AN899" t="s">
        <v>64</v>
      </c>
      <c r="AO899" t="s">
        <v>62</v>
      </c>
      <c r="AP899" t="str">
        <f t="shared" si="55"/>
        <v/>
      </c>
    </row>
    <row r="900" spans="4:42" x14ac:dyDescent="0.35">
      <c r="D900" s="21"/>
      <c r="E900" s="21"/>
      <c r="L900" s="22"/>
      <c r="S900">
        <f t="shared" ref="S900:S963" si="56">ROUND(YEARFRAC(D900,E900),0)</f>
        <v>0</v>
      </c>
      <c r="T900" s="5" t="e" cm="1">
        <f t="array" ref="T9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0" t="e">
        <f>Table1[[#This Row],[Term to Maturity (Years)]]*Table1[[#This Row],[Coupon Frequency2]]</f>
        <v>#N/A</v>
      </c>
      <c r="V900">
        <f>Table1[[#This Row],[Face value]]*Table1[[#This Row],[Current coupon %]]</f>
        <v>0</v>
      </c>
      <c r="W900" s="36" t="e">
        <f>RATE(Table1[[#This Row],[Total No. of Coupons]],Table1[[#This Row],[Coupon Amount]],-Table1[[#This Row],[Ask Price]],Table1[[#This Row],[Face value]])</f>
        <v>#N/A</v>
      </c>
      <c r="X900" s="27" t="e">
        <f>Table1[[#This Row],[IRR]]*Table1[[#This Row],[Coupon Frequency2]]</f>
        <v>#N/A</v>
      </c>
      <c r="Y900" s="19" t="e" cm="1">
        <f t="array" ref="Y9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0" s="33" t="e">
        <f>DURATION(Table1[[#This Row],[Issue date]],Table1[[#This Row],[Maturity date]],Table1[[#This Row],[Current coupon %]],Table1[[#This Row],[Yield (Annualised)]],Table1[[#This Row],[Coupon Frequency2]])</f>
        <v>#N/A</v>
      </c>
      <c r="AA900" s="33" t="e">
        <f>Table1[[#This Row],[Macaulay Duration in Years]]/(1+Table1[[#This Row],[IRR]])</f>
        <v>#N/A</v>
      </c>
      <c r="AB900" s="58" t="e">
        <f>VLOOKUP(Table1[[#This Row],[Yield Cluster]],'Cluster Details'!$B$3:$C$16,2,0)</f>
        <v>#N/A</v>
      </c>
      <c r="AC9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0" s="58" t="e">
        <f>IF(Table1[[#This Row],[Ask Price]]&gt;Table1[[#This Row],[Calculated Bond Price]],"Rich","Cheap")</f>
        <v>#N/A</v>
      </c>
      <c r="AE9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0" s="78" t="e">
        <f>(Table1[[#This Row],[P (+ shock)]]+Table1[[#This Row],[P (-shock)]]-2*Table1[[#This Row],[Ask Price]])/(2*Table1[[#This Row],[Ask Price]]*($AF$2^2))</f>
        <v>#N/A</v>
      </c>
      <c r="AH900">
        <v>13.2910459342023</v>
      </c>
      <c r="AI900" s="6" t="e">
        <f t="shared" ref="AI900:AI963" si="57">(L900*F900)/H900</f>
        <v>#DIV/0!</v>
      </c>
      <c r="AK900" s="47" t="e">
        <f>RATE(Table1[[#This Row],[Total No. of Coupons]],Table1[[#This Row],[Coupon Amount]],-Table1[[#This Row],[Ask Price]],Table1[[#This Row],[Face value]])</f>
        <v>#N/A</v>
      </c>
      <c r="AL900" s="27" t="e">
        <f>Table1[[#This Row],[IRR]]*Table1[[#This Row],[Coupon Frequency2]]</f>
        <v>#N/A</v>
      </c>
      <c r="AM900" s="5" t="e">
        <f t="shared" ref="AM900:AM963" si="58">-AA900*H900</f>
        <v>#N/A</v>
      </c>
      <c r="AN900" t="s">
        <v>64</v>
      </c>
      <c r="AO900" t="s">
        <v>62</v>
      </c>
      <c r="AP900" t="str">
        <f t="shared" ref="AP900:AP963" si="59">_xlfn.SWITCH(PROPER(TRIM(M900)),
   "Annual",1,
   "Semi-Annual",2,
   "Quarterly",4,
   "Monthly",12,
   "")</f>
        <v/>
      </c>
    </row>
    <row r="901" spans="4:42" x14ac:dyDescent="0.35">
      <c r="D901" s="21"/>
      <c r="E901" s="21"/>
      <c r="L901" s="22"/>
      <c r="S901">
        <f t="shared" si="56"/>
        <v>0</v>
      </c>
      <c r="T901" s="5" t="e" cm="1">
        <f t="array" ref="T9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1" t="e">
        <f>Table1[[#This Row],[Term to Maturity (Years)]]*Table1[[#This Row],[Coupon Frequency2]]</f>
        <v>#N/A</v>
      </c>
      <c r="V901">
        <f>Table1[[#This Row],[Face value]]*Table1[[#This Row],[Current coupon %]]</f>
        <v>0</v>
      </c>
      <c r="W901" s="36" t="e">
        <f>RATE(Table1[[#This Row],[Total No. of Coupons]],Table1[[#This Row],[Coupon Amount]],-Table1[[#This Row],[Ask Price]],Table1[[#This Row],[Face value]])</f>
        <v>#N/A</v>
      </c>
      <c r="X901" s="27" t="e">
        <f>Table1[[#This Row],[IRR]]*Table1[[#This Row],[Coupon Frequency2]]</f>
        <v>#N/A</v>
      </c>
      <c r="Y901" s="19" t="e" cm="1">
        <f t="array" ref="Y9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1" s="33" t="e">
        <f>DURATION(Table1[[#This Row],[Issue date]],Table1[[#This Row],[Maturity date]],Table1[[#This Row],[Current coupon %]],Table1[[#This Row],[Yield (Annualised)]],Table1[[#This Row],[Coupon Frequency2]])</f>
        <v>#N/A</v>
      </c>
      <c r="AA901" s="33" t="e">
        <f>Table1[[#This Row],[Macaulay Duration in Years]]/(1+Table1[[#This Row],[IRR]])</f>
        <v>#N/A</v>
      </c>
      <c r="AB901" s="58" t="e">
        <f>VLOOKUP(Table1[[#This Row],[Yield Cluster]],'Cluster Details'!$B$3:$C$16,2,0)</f>
        <v>#N/A</v>
      </c>
      <c r="AC9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1" s="58" t="e">
        <f>IF(Table1[[#This Row],[Ask Price]]&gt;Table1[[#This Row],[Calculated Bond Price]],"Rich","Cheap")</f>
        <v>#N/A</v>
      </c>
      <c r="AE9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1" s="78" t="e">
        <f>(Table1[[#This Row],[P (+ shock)]]+Table1[[#This Row],[P (-shock)]]-2*Table1[[#This Row],[Ask Price]])/(2*Table1[[#This Row],[Ask Price]]*($AF$2^2))</f>
        <v>#N/A</v>
      </c>
      <c r="AH901">
        <v>10.407258513330699</v>
      </c>
      <c r="AI901" s="6" t="e">
        <f t="shared" si="57"/>
        <v>#DIV/0!</v>
      </c>
      <c r="AK901" s="47" t="e">
        <f>RATE(Table1[[#This Row],[Total No. of Coupons]],Table1[[#This Row],[Coupon Amount]],-Table1[[#This Row],[Ask Price]],Table1[[#This Row],[Face value]])</f>
        <v>#N/A</v>
      </c>
      <c r="AL901" s="27" t="e">
        <f>Table1[[#This Row],[IRR]]*Table1[[#This Row],[Coupon Frequency2]]</f>
        <v>#N/A</v>
      </c>
      <c r="AM901" s="5" t="e">
        <f t="shared" si="58"/>
        <v>#N/A</v>
      </c>
      <c r="AN901" t="s">
        <v>64</v>
      </c>
      <c r="AO901" t="s">
        <v>62</v>
      </c>
      <c r="AP901" t="str">
        <f t="shared" si="59"/>
        <v/>
      </c>
    </row>
    <row r="902" spans="4:42" x14ac:dyDescent="0.35">
      <c r="D902" s="21"/>
      <c r="E902" s="21"/>
      <c r="L902" s="22"/>
      <c r="S902">
        <f t="shared" si="56"/>
        <v>0</v>
      </c>
      <c r="T902" s="5" t="e" cm="1">
        <f t="array" ref="T9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2" t="e">
        <f>Table1[[#This Row],[Term to Maturity (Years)]]*Table1[[#This Row],[Coupon Frequency2]]</f>
        <v>#N/A</v>
      </c>
      <c r="V902">
        <f>Table1[[#This Row],[Face value]]*Table1[[#This Row],[Current coupon %]]</f>
        <v>0</v>
      </c>
      <c r="W902" s="36" t="e">
        <f>RATE(Table1[[#This Row],[Total No. of Coupons]],Table1[[#This Row],[Coupon Amount]],-Table1[[#This Row],[Ask Price]],Table1[[#This Row],[Face value]])</f>
        <v>#N/A</v>
      </c>
      <c r="X902" s="27" t="e">
        <f>Table1[[#This Row],[IRR]]*Table1[[#This Row],[Coupon Frequency2]]</f>
        <v>#N/A</v>
      </c>
      <c r="Y902" s="19" t="e" cm="1">
        <f t="array" ref="Y9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2" s="33" t="e">
        <f>DURATION(Table1[[#This Row],[Issue date]],Table1[[#This Row],[Maturity date]],Table1[[#This Row],[Current coupon %]],Table1[[#This Row],[Yield (Annualised)]],Table1[[#This Row],[Coupon Frequency2]])</f>
        <v>#N/A</v>
      </c>
      <c r="AA902" s="33" t="e">
        <f>Table1[[#This Row],[Macaulay Duration in Years]]/(1+Table1[[#This Row],[IRR]])</f>
        <v>#N/A</v>
      </c>
      <c r="AB902" s="58" t="e">
        <f>VLOOKUP(Table1[[#This Row],[Yield Cluster]],'Cluster Details'!$B$3:$C$16,2,0)</f>
        <v>#N/A</v>
      </c>
      <c r="AC9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2" s="58" t="e">
        <f>IF(Table1[[#This Row],[Ask Price]]&gt;Table1[[#This Row],[Calculated Bond Price]],"Rich","Cheap")</f>
        <v>#N/A</v>
      </c>
      <c r="AE9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2" s="78" t="e">
        <f>(Table1[[#This Row],[P (+ shock)]]+Table1[[#This Row],[P (-shock)]]-2*Table1[[#This Row],[Ask Price]])/(2*Table1[[#This Row],[Ask Price]]*($AF$2^2))</f>
        <v>#N/A</v>
      </c>
      <c r="AH902">
        <v>10.5465908841977</v>
      </c>
      <c r="AI902" s="6" t="e">
        <f t="shared" si="57"/>
        <v>#DIV/0!</v>
      </c>
      <c r="AK902" s="47" t="e">
        <f>RATE(Table1[[#This Row],[Total No. of Coupons]],Table1[[#This Row],[Coupon Amount]],-Table1[[#This Row],[Ask Price]],Table1[[#This Row],[Face value]])</f>
        <v>#N/A</v>
      </c>
      <c r="AL902" s="27" t="e">
        <f>Table1[[#This Row],[IRR]]*Table1[[#This Row],[Coupon Frequency2]]</f>
        <v>#N/A</v>
      </c>
      <c r="AM902" s="5" t="e">
        <f t="shared" si="58"/>
        <v>#N/A</v>
      </c>
      <c r="AN902" t="s">
        <v>64</v>
      </c>
      <c r="AO902" t="s">
        <v>62</v>
      </c>
      <c r="AP902" t="str">
        <f t="shared" si="59"/>
        <v/>
      </c>
    </row>
    <row r="903" spans="4:42" x14ac:dyDescent="0.35">
      <c r="D903" s="21"/>
      <c r="E903" s="21"/>
      <c r="L903" s="22"/>
      <c r="S903">
        <f t="shared" si="56"/>
        <v>0</v>
      </c>
      <c r="T903" s="5" t="e" cm="1">
        <f t="array" ref="T9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3" t="e">
        <f>Table1[[#This Row],[Term to Maturity (Years)]]*Table1[[#This Row],[Coupon Frequency2]]</f>
        <v>#N/A</v>
      </c>
      <c r="V903">
        <f>Table1[[#This Row],[Face value]]*Table1[[#This Row],[Current coupon %]]</f>
        <v>0</v>
      </c>
      <c r="W903" s="36" t="e">
        <f>RATE(Table1[[#This Row],[Total No. of Coupons]],Table1[[#This Row],[Coupon Amount]],-Table1[[#This Row],[Ask Price]],Table1[[#This Row],[Face value]])</f>
        <v>#N/A</v>
      </c>
      <c r="X903" s="27" t="e">
        <f>Table1[[#This Row],[IRR]]*Table1[[#This Row],[Coupon Frequency2]]</f>
        <v>#N/A</v>
      </c>
      <c r="Y903" s="19" t="e" cm="1">
        <f t="array" ref="Y9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3" s="33" t="e">
        <f>DURATION(Table1[[#This Row],[Issue date]],Table1[[#This Row],[Maturity date]],Table1[[#This Row],[Current coupon %]],Table1[[#This Row],[Yield (Annualised)]],Table1[[#This Row],[Coupon Frequency2]])</f>
        <v>#N/A</v>
      </c>
      <c r="AA903" s="33" t="e">
        <f>Table1[[#This Row],[Macaulay Duration in Years]]/(1+Table1[[#This Row],[IRR]])</f>
        <v>#N/A</v>
      </c>
      <c r="AB903" s="58" t="e">
        <f>VLOOKUP(Table1[[#This Row],[Yield Cluster]],'Cluster Details'!$B$3:$C$16,2,0)</f>
        <v>#N/A</v>
      </c>
      <c r="AC9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3" s="58" t="e">
        <f>IF(Table1[[#This Row],[Ask Price]]&gt;Table1[[#This Row],[Calculated Bond Price]],"Rich","Cheap")</f>
        <v>#N/A</v>
      </c>
      <c r="AE9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3" s="78" t="e">
        <f>(Table1[[#This Row],[P (+ shock)]]+Table1[[#This Row],[P (-shock)]]-2*Table1[[#This Row],[Ask Price]])/(2*Table1[[#This Row],[Ask Price]]*($AF$2^2))</f>
        <v>#N/A</v>
      </c>
      <c r="AH903">
        <v>10.348323304191499</v>
      </c>
      <c r="AI903" s="6" t="e">
        <f t="shared" si="57"/>
        <v>#DIV/0!</v>
      </c>
      <c r="AK903" s="47" t="e">
        <f>RATE(Table1[[#This Row],[Total No. of Coupons]],Table1[[#This Row],[Coupon Amount]],-Table1[[#This Row],[Ask Price]],Table1[[#This Row],[Face value]])</f>
        <v>#N/A</v>
      </c>
      <c r="AL903" s="27" t="e">
        <f>Table1[[#This Row],[IRR]]*Table1[[#This Row],[Coupon Frequency2]]</f>
        <v>#N/A</v>
      </c>
      <c r="AM903" s="5" t="e">
        <f t="shared" si="58"/>
        <v>#N/A</v>
      </c>
      <c r="AN903" t="s">
        <v>64</v>
      </c>
      <c r="AO903" t="s">
        <v>62</v>
      </c>
      <c r="AP903" t="str">
        <f t="shared" si="59"/>
        <v/>
      </c>
    </row>
    <row r="904" spans="4:42" x14ac:dyDescent="0.35">
      <c r="D904" s="21"/>
      <c r="E904" s="21"/>
      <c r="L904" s="22"/>
      <c r="S904">
        <f t="shared" si="56"/>
        <v>0</v>
      </c>
      <c r="T904" s="5" t="e" cm="1">
        <f t="array" ref="T9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4" t="e">
        <f>Table1[[#This Row],[Term to Maturity (Years)]]*Table1[[#This Row],[Coupon Frequency2]]</f>
        <v>#N/A</v>
      </c>
      <c r="V904">
        <f>Table1[[#This Row],[Face value]]*Table1[[#This Row],[Current coupon %]]</f>
        <v>0</v>
      </c>
      <c r="W904" s="36" t="e">
        <f>RATE(Table1[[#This Row],[Total No. of Coupons]],Table1[[#This Row],[Coupon Amount]],-Table1[[#This Row],[Ask Price]],Table1[[#This Row],[Face value]])</f>
        <v>#N/A</v>
      </c>
      <c r="X904" s="27" t="e">
        <f>Table1[[#This Row],[IRR]]*Table1[[#This Row],[Coupon Frequency2]]</f>
        <v>#N/A</v>
      </c>
      <c r="Y904" s="19" t="e" cm="1">
        <f t="array" ref="Y9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4" s="33" t="e">
        <f>DURATION(Table1[[#This Row],[Issue date]],Table1[[#This Row],[Maturity date]],Table1[[#This Row],[Current coupon %]],Table1[[#This Row],[Yield (Annualised)]],Table1[[#This Row],[Coupon Frequency2]])</f>
        <v>#N/A</v>
      </c>
      <c r="AA904" s="33" t="e">
        <f>Table1[[#This Row],[Macaulay Duration in Years]]/(1+Table1[[#This Row],[IRR]])</f>
        <v>#N/A</v>
      </c>
      <c r="AB904" s="58" t="e">
        <f>VLOOKUP(Table1[[#This Row],[Yield Cluster]],'Cluster Details'!$B$3:$C$16,2,0)</f>
        <v>#N/A</v>
      </c>
      <c r="AC9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4" s="58" t="e">
        <f>IF(Table1[[#This Row],[Ask Price]]&gt;Table1[[#This Row],[Calculated Bond Price]],"Rich","Cheap")</f>
        <v>#N/A</v>
      </c>
      <c r="AE9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4" s="78" t="e">
        <f>(Table1[[#This Row],[P (+ shock)]]+Table1[[#This Row],[P (-shock)]]-2*Table1[[#This Row],[Ask Price]])/(2*Table1[[#This Row],[Ask Price]]*($AF$2^2))</f>
        <v>#N/A</v>
      </c>
      <c r="AH904">
        <v>9.57</v>
      </c>
      <c r="AI904" s="6" t="e">
        <f t="shared" si="57"/>
        <v>#DIV/0!</v>
      </c>
      <c r="AK904" s="47" t="e">
        <f>RATE(Table1[[#This Row],[Total No. of Coupons]],Table1[[#This Row],[Coupon Amount]],-Table1[[#This Row],[Ask Price]],Table1[[#This Row],[Face value]])</f>
        <v>#N/A</v>
      </c>
      <c r="AL904" s="27" t="e">
        <f>Table1[[#This Row],[IRR]]*Table1[[#This Row],[Coupon Frequency2]]</f>
        <v>#N/A</v>
      </c>
      <c r="AM904" s="5" t="e">
        <f t="shared" si="58"/>
        <v>#N/A</v>
      </c>
      <c r="AN904" t="s">
        <v>64</v>
      </c>
      <c r="AO904" t="s">
        <v>62</v>
      </c>
      <c r="AP904" t="str">
        <f t="shared" si="59"/>
        <v/>
      </c>
    </row>
    <row r="905" spans="4:42" x14ac:dyDescent="0.35">
      <c r="D905" s="21"/>
      <c r="E905" s="21"/>
      <c r="L905" s="22"/>
      <c r="S905">
        <f t="shared" si="56"/>
        <v>0</v>
      </c>
      <c r="T905" s="5" t="e" cm="1">
        <f t="array" ref="T9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5" t="e">
        <f>Table1[[#This Row],[Term to Maturity (Years)]]*Table1[[#This Row],[Coupon Frequency2]]</f>
        <v>#N/A</v>
      </c>
      <c r="V905">
        <f>Table1[[#This Row],[Face value]]*Table1[[#This Row],[Current coupon %]]</f>
        <v>0</v>
      </c>
      <c r="W905" s="36" t="e">
        <f>RATE(Table1[[#This Row],[Total No. of Coupons]],Table1[[#This Row],[Coupon Amount]],-Table1[[#This Row],[Ask Price]],Table1[[#This Row],[Face value]])</f>
        <v>#N/A</v>
      </c>
      <c r="X905" s="27" t="e">
        <f>Table1[[#This Row],[IRR]]*Table1[[#This Row],[Coupon Frequency2]]</f>
        <v>#N/A</v>
      </c>
      <c r="Y905" s="19" t="e" cm="1">
        <f t="array" ref="Y9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5" s="33" t="e">
        <f>DURATION(Table1[[#This Row],[Issue date]],Table1[[#This Row],[Maturity date]],Table1[[#This Row],[Current coupon %]],Table1[[#This Row],[Yield (Annualised)]],Table1[[#This Row],[Coupon Frequency2]])</f>
        <v>#N/A</v>
      </c>
      <c r="AA905" s="33" t="e">
        <f>Table1[[#This Row],[Macaulay Duration in Years]]/(1+Table1[[#This Row],[IRR]])</f>
        <v>#N/A</v>
      </c>
      <c r="AB905" s="58" t="e">
        <f>VLOOKUP(Table1[[#This Row],[Yield Cluster]],'Cluster Details'!$B$3:$C$16,2,0)</f>
        <v>#N/A</v>
      </c>
      <c r="AC9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5" s="58" t="e">
        <f>IF(Table1[[#This Row],[Ask Price]]&gt;Table1[[#This Row],[Calculated Bond Price]],"Rich","Cheap")</f>
        <v>#N/A</v>
      </c>
      <c r="AE9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5" s="78" t="e">
        <f>(Table1[[#This Row],[P (+ shock)]]+Table1[[#This Row],[P (-shock)]]-2*Table1[[#This Row],[Ask Price]])/(2*Table1[[#This Row],[Ask Price]]*($AF$2^2))</f>
        <v>#N/A</v>
      </c>
      <c r="AH905">
        <v>7.0284744957827199</v>
      </c>
      <c r="AI905" s="6" t="e">
        <f t="shared" si="57"/>
        <v>#DIV/0!</v>
      </c>
      <c r="AK905" s="47" t="e">
        <f>RATE(Table1[[#This Row],[Total No. of Coupons]],Table1[[#This Row],[Coupon Amount]],-Table1[[#This Row],[Ask Price]],Table1[[#This Row],[Face value]])</f>
        <v>#N/A</v>
      </c>
      <c r="AL905" s="27" t="e">
        <f>Table1[[#This Row],[IRR]]*Table1[[#This Row],[Coupon Frequency2]]</f>
        <v>#N/A</v>
      </c>
      <c r="AM905" s="5" t="e">
        <f t="shared" si="58"/>
        <v>#N/A</v>
      </c>
      <c r="AN905" t="s">
        <v>64</v>
      </c>
      <c r="AO905" t="s">
        <v>62</v>
      </c>
      <c r="AP905" t="str">
        <f t="shared" si="59"/>
        <v/>
      </c>
    </row>
    <row r="906" spans="4:42" x14ac:dyDescent="0.35">
      <c r="D906" s="21"/>
      <c r="E906" s="21"/>
      <c r="L906" s="22"/>
      <c r="S906">
        <f t="shared" si="56"/>
        <v>0</v>
      </c>
      <c r="T906" s="5" t="e" cm="1">
        <f t="array" ref="T9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6" t="e">
        <f>Table1[[#This Row],[Term to Maturity (Years)]]*Table1[[#This Row],[Coupon Frequency2]]</f>
        <v>#N/A</v>
      </c>
      <c r="V906">
        <f>Table1[[#This Row],[Face value]]*Table1[[#This Row],[Current coupon %]]</f>
        <v>0</v>
      </c>
      <c r="W906" s="36" t="e">
        <f>RATE(Table1[[#This Row],[Total No. of Coupons]],Table1[[#This Row],[Coupon Amount]],-Table1[[#This Row],[Ask Price]],Table1[[#This Row],[Face value]])</f>
        <v>#N/A</v>
      </c>
      <c r="X906" s="27" t="e">
        <f>Table1[[#This Row],[IRR]]*Table1[[#This Row],[Coupon Frequency2]]</f>
        <v>#N/A</v>
      </c>
      <c r="Y906" s="19" t="e" cm="1">
        <f t="array" ref="Y9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6" s="33" t="e">
        <f>DURATION(Table1[[#This Row],[Issue date]],Table1[[#This Row],[Maturity date]],Table1[[#This Row],[Current coupon %]],Table1[[#This Row],[Yield (Annualised)]],Table1[[#This Row],[Coupon Frequency2]])</f>
        <v>#N/A</v>
      </c>
      <c r="AA906" s="33" t="e">
        <f>Table1[[#This Row],[Macaulay Duration in Years]]/(1+Table1[[#This Row],[IRR]])</f>
        <v>#N/A</v>
      </c>
      <c r="AB906" s="58" t="e">
        <f>VLOOKUP(Table1[[#This Row],[Yield Cluster]],'Cluster Details'!$B$3:$C$16,2,0)</f>
        <v>#N/A</v>
      </c>
      <c r="AC9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6" s="58" t="e">
        <f>IF(Table1[[#This Row],[Ask Price]]&gt;Table1[[#This Row],[Calculated Bond Price]],"Rich","Cheap")</f>
        <v>#N/A</v>
      </c>
      <c r="AE9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6" s="78" t="e">
        <f>(Table1[[#This Row],[P (+ shock)]]+Table1[[#This Row],[P (-shock)]]-2*Table1[[#This Row],[Ask Price]])/(2*Table1[[#This Row],[Ask Price]]*($AF$2^2))</f>
        <v>#N/A</v>
      </c>
      <c r="AH906">
        <v>7.5479129768167201</v>
      </c>
      <c r="AI906" s="6" t="e">
        <f t="shared" si="57"/>
        <v>#DIV/0!</v>
      </c>
      <c r="AK906" s="47" t="e">
        <f>RATE(Table1[[#This Row],[Total No. of Coupons]],Table1[[#This Row],[Coupon Amount]],-Table1[[#This Row],[Ask Price]],Table1[[#This Row],[Face value]])</f>
        <v>#N/A</v>
      </c>
      <c r="AL906" s="27" t="e">
        <f>Table1[[#This Row],[IRR]]*Table1[[#This Row],[Coupon Frequency2]]</f>
        <v>#N/A</v>
      </c>
      <c r="AM906" s="5" t="e">
        <f t="shared" si="58"/>
        <v>#N/A</v>
      </c>
      <c r="AN906" t="s">
        <v>64</v>
      </c>
      <c r="AO906" t="s">
        <v>62</v>
      </c>
      <c r="AP906" t="str">
        <f t="shared" si="59"/>
        <v/>
      </c>
    </row>
    <row r="907" spans="4:42" x14ac:dyDescent="0.35">
      <c r="D907" s="21"/>
      <c r="E907" s="21"/>
      <c r="L907" s="22"/>
      <c r="S907">
        <f t="shared" si="56"/>
        <v>0</v>
      </c>
      <c r="T907" s="5" t="e" cm="1">
        <f t="array" ref="T9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7" t="e">
        <f>Table1[[#This Row],[Term to Maturity (Years)]]*Table1[[#This Row],[Coupon Frequency2]]</f>
        <v>#N/A</v>
      </c>
      <c r="V907">
        <f>Table1[[#This Row],[Face value]]*Table1[[#This Row],[Current coupon %]]</f>
        <v>0</v>
      </c>
      <c r="W907" s="36" t="e">
        <f>RATE(Table1[[#This Row],[Total No. of Coupons]],Table1[[#This Row],[Coupon Amount]],-Table1[[#This Row],[Ask Price]],Table1[[#This Row],[Face value]])</f>
        <v>#N/A</v>
      </c>
      <c r="X907" s="27" t="e">
        <f>Table1[[#This Row],[IRR]]*Table1[[#This Row],[Coupon Frequency2]]</f>
        <v>#N/A</v>
      </c>
      <c r="Y907" s="19" t="e" cm="1">
        <f t="array" ref="Y9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7" s="33" t="e">
        <f>DURATION(Table1[[#This Row],[Issue date]],Table1[[#This Row],[Maturity date]],Table1[[#This Row],[Current coupon %]],Table1[[#This Row],[Yield (Annualised)]],Table1[[#This Row],[Coupon Frequency2]])</f>
        <v>#N/A</v>
      </c>
      <c r="AA907" s="33" t="e">
        <f>Table1[[#This Row],[Macaulay Duration in Years]]/(1+Table1[[#This Row],[IRR]])</f>
        <v>#N/A</v>
      </c>
      <c r="AB907" s="58" t="e">
        <f>VLOOKUP(Table1[[#This Row],[Yield Cluster]],'Cluster Details'!$B$3:$C$16,2,0)</f>
        <v>#N/A</v>
      </c>
      <c r="AC9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7" s="58" t="e">
        <f>IF(Table1[[#This Row],[Ask Price]]&gt;Table1[[#This Row],[Calculated Bond Price]],"Rich","Cheap")</f>
        <v>#N/A</v>
      </c>
      <c r="AE9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7" s="78" t="e">
        <f>(Table1[[#This Row],[P (+ shock)]]+Table1[[#This Row],[P (-shock)]]-2*Table1[[#This Row],[Ask Price]])/(2*Table1[[#This Row],[Ask Price]]*($AF$2^2))</f>
        <v>#N/A</v>
      </c>
      <c r="AI907" s="6" t="e">
        <f t="shared" si="57"/>
        <v>#DIV/0!</v>
      </c>
      <c r="AK907" s="47" t="e">
        <f>RATE(Table1[[#This Row],[Total No. of Coupons]],Table1[[#This Row],[Coupon Amount]],-Table1[[#This Row],[Ask Price]],Table1[[#This Row],[Face value]])</f>
        <v>#N/A</v>
      </c>
      <c r="AL907" s="27" t="e">
        <f>Table1[[#This Row],[IRR]]*Table1[[#This Row],[Coupon Frequency2]]</f>
        <v>#N/A</v>
      </c>
      <c r="AM907" s="5" t="e">
        <f t="shared" si="58"/>
        <v>#N/A</v>
      </c>
      <c r="AN907" t="s">
        <v>69</v>
      </c>
      <c r="AO907" t="s">
        <v>62</v>
      </c>
      <c r="AP907" t="str">
        <f t="shared" si="59"/>
        <v/>
      </c>
    </row>
    <row r="908" spans="4:42" x14ac:dyDescent="0.35">
      <c r="D908" s="21"/>
      <c r="E908" s="21"/>
      <c r="L908" s="22"/>
      <c r="S908">
        <f t="shared" si="56"/>
        <v>0</v>
      </c>
      <c r="T908" s="5" t="e" cm="1">
        <f t="array" ref="T9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8" t="e">
        <f>Table1[[#This Row],[Term to Maturity (Years)]]*Table1[[#This Row],[Coupon Frequency2]]</f>
        <v>#N/A</v>
      </c>
      <c r="V908">
        <f>Table1[[#This Row],[Face value]]*Table1[[#This Row],[Current coupon %]]</f>
        <v>0</v>
      </c>
      <c r="W908" s="36" t="e">
        <f>RATE(Table1[[#This Row],[Total No. of Coupons]],Table1[[#This Row],[Coupon Amount]],-Table1[[#This Row],[Ask Price]],Table1[[#This Row],[Face value]])</f>
        <v>#N/A</v>
      </c>
      <c r="X908" s="27" t="e">
        <f>Table1[[#This Row],[IRR]]*Table1[[#This Row],[Coupon Frequency2]]</f>
        <v>#N/A</v>
      </c>
      <c r="Y908" s="19" t="e" cm="1">
        <f t="array" ref="Y9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8" s="33" t="e">
        <f>DURATION(Table1[[#This Row],[Issue date]],Table1[[#This Row],[Maturity date]],Table1[[#This Row],[Current coupon %]],Table1[[#This Row],[Yield (Annualised)]],Table1[[#This Row],[Coupon Frequency2]])</f>
        <v>#N/A</v>
      </c>
      <c r="AA908" s="33" t="e">
        <f>Table1[[#This Row],[Macaulay Duration in Years]]/(1+Table1[[#This Row],[IRR]])</f>
        <v>#N/A</v>
      </c>
      <c r="AB908" s="58" t="e">
        <f>VLOOKUP(Table1[[#This Row],[Yield Cluster]],'Cluster Details'!$B$3:$C$16,2,0)</f>
        <v>#N/A</v>
      </c>
      <c r="AC9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8" s="58" t="e">
        <f>IF(Table1[[#This Row],[Ask Price]]&gt;Table1[[#This Row],[Calculated Bond Price]],"Rich","Cheap")</f>
        <v>#N/A</v>
      </c>
      <c r="AE9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8" s="78" t="e">
        <f>(Table1[[#This Row],[P (+ shock)]]+Table1[[#This Row],[P (-shock)]]-2*Table1[[#This Row],[Ask Price]])/(2*Table1[[#This Row],[Ask Price]]*($AF$2^2))</f>
        <v>#N/A</v>
      </c>
      <c r="AI908" s="6" t="e">
        <f t="shared" si="57"/>
        <v>#DIV/0!</v>
      </c>
      <c r="AK908" s="47" t="e">
        <f>RATE(Table1[[#This Row],[Total No. of Coupons]],Table1[[#This Row],[Coupon Amount]],-Table1[[#This Row],[Ask Price]],Table1[[#This Row],[Face value]])</f>
        <v>#N/A</v>
      </c>
      <c r="AL908" s="27" t="e">
        <f>Table1[[#This Row],[IRR]]*Table1[[#This Row],[Coupon Frequency2]]</f>
        <v>#N/A</v>
      </c>
      <c r="AM908" s="5" t="e">
        <f t="shared" si="58"/>
        <v>#N/A</v>
      </c>
      <c r="AN908" t="s">
        <v>69</v>
      </c>
      <c r="AO908" t="s">
        <v>62</v>
      </c>
      <c r="AP908" t="str">
        <f t="shared" si="59"/>
        <v/>
      </c>
    </row>
    <row r="909" spans="4:42" x14ac:dyDescent="0.35">
      <c r="D909" s="21"/>
      <c r="E909" s="21"/>
      <c r="L909" s="22"/>
      <c r="S909">
        <f t="shared" si="56"/>
        <v>0</v>
      </c>
      <c r="T909" s="5" t="e" cm="1">
        <f t="array" ref="T9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09" t="e">
        <f>Table1[[#This Row],[Term to Maturity (Years)]]*Table1[[#This Row],[Coupon Frequency2]]</f>
        <v>#N/A</v>
      </c>
      <c r="V909">
        <f>Table1[[#This Row],[Face value]]*Table1[[#This Row],[Current coupon %]]</f>
        <v>0</v>
      </c>
      <c r="W909" s="36" t="e">
        <f>RATE(Table1[[#This Row],[Total No. of Coupons]],Table1[[#This Row],[Coupon Amount]],-Table1[[#This Row],[Ask Price]],Table1[[#This Row],[Face value]])</f>
        <v>#N/A</v>
      </c>
      <c r="X909" s="27" t="e">
        <f>Table1[[#This Row],[IRR]]*Table1[[#This Row],[Coupon Frequency2]]</f>
        <v>#N/A</v>
      </c>
      <c r="Y909" s="19" t="e" cm="1">
        <f t="array" ref="Y9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09" s="33" t="e">
        <f>DURATION(Table1[[#This Row],[Issue date]],Table1[[#This Row],[Maturity date]],Table1[[#This Row],[Current coupon %]],Table1[[#This Row],[Yield (Annualised)]],Table1[[#This Row],[Coupon Frequency2]])</f>
        <v>#N/A</v>
      </c>
      <c r="AA909" s="33" t="e">
        <f>Table1[[#This Row],[Macaulay Duration in Years]]/(1+Table1[[#This Row],[IRR]])</f>
        <v>#N/A</v>
      </c>
      <c r="AB909" s="58" t="e">
        <f>VLOOKUP(Table1[[#This Row],[Yield Cluster]],'Cluster Details'!$B$3:$C$16,2,0)</f>
        <v>#N/A</v>
      </c>
      <c r="AC9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09" s="58" t="e">
        <f>IF(Table1[[#This Row],[Ask Price]]&gt;Table1[[#This Row],[Calculated Bond Price]],"Rich","Cheap")</f>
        <v>#N/A</v>
      </c>
      <c r="AE9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09" s="78" t="e">
        <f>(Table1[[#This Row],[P (+ shock)]]+Table1[[#This Row],[P (-shock)]]-2*Table1[[#This Row],[Ask Price]])/(2*Table1[[#This Row],[Ask Price]]*($AF$2^2))</f>
        <v>#N/A</v>
      </c>
      <c r="AI909" s="6" t="e">
        <f t="shared" si="57"/>
        <v>#DIV/0!</v>
      </c>
      <c r="AK909" s="47" t="e">
        <f>RATE(Table1[[#This Row],[Total No. of Coupons]],Table1[[#This Row],[Coupon Amount]],-Table1[[#This Row],[Ask Price]],Table1[[#This Row],[Face value]])</f>
        <v>#N/A</v>
      </c>
      <c r="AL909" s="27" t="e">
        <f>Table1[[#This Row],[IRR]]*Table1[[#This Row],[Coupon Frequency2]]</f>
        <v>#N/A</v>
      </c>
      <c r="AM909" s="5" t="e">
        <f t="shared" si="58"/>
        <v>#N/A</v>
      </c>
      <c r="AN909" t="s">
        <v>69</v>
      </c>
      <c r="AO909" t="s">
        <v>62</v>
      </c>
      <c r="AP909" t="str">
        <f t="shared" si="59"/>
        <v/>
      </c>
    </row>
    <row r="910" spans="4:42" x14ac:dyDescent="0.35">
      <c r="D910" s="21"/>
      <c r="E910" s="21"/>
      <c r="L910" s="22"/>
      <c r="S910">
        <f t="shared" si="56"/>
        <v>0</v>
      </c>
      <c r="T910" s="5" t="e" cm="1">
        <f t="array" ref="T9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0" t="e">
        <f>Table1[[#This Row],[Term to Maturity (Years)]]*Table1[[#This Row],[Coupon Frequency2]]</f>
        <v>#N/A</v>
      </c>
      <c r="V910">
        <f>Table1[[#This Row],[Face value]]*Table1[[#This Row],[Current coupon %]]</f>
        <v>0</v>
      </c>
      <c r="W910" s="36" t="e">
        <f>RATE(Table1[[#This Row],[Total No. of Coupons]],Table1[[#This Row],[Coupon Amount]],-Table1[[#This Row],[Ask Price]],Table1[[#This Row],[Face value]])</f>
        <v>#N/A</v>
      </c>
      <c r="X910" s="27" t="e">
        <f>Table1[[#This Row],[IRR]]*Table1[[#This Row],[Coupon Frequency2]]</f>
        <v>#N/A</v>
      </c>
      <c r="Y910" s="19" t="e" cm="1">
        <f t="array" ref="Y9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0" s="33" t="e">
        <f>DURATION(Table1[[#This Row],[Issue date]],Table1[[#This Row],[Maturity date]],Table1[[#This Row],[Current coupon %]],Table1[[#This Row],[Yield (Annualised)]],Table1[[#This Row],[Coupon Frequency2]])</f>
        <v>#N/A</v>
      </c>
      <c r="AA910" s="33" t="e">
        <f>Table1[[#This Row],[Macaulay Duration in Years]]/(1+Table1[[#This Row],[IRR]])</f>
        <v>#N/A</v>
      </c>
      <c r="AB910" s="58" t="e">
        <f>VLOOKUP(Table1[[#This Row],[Yield Cluster]],'Cluster Details'!$B$3:$C$16,2,0)</f>
        <v>#N/A</v>
      </c>
      <c r="AC9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0" s="58" t="e">
        <f>IF(Table1[[#This Row],[Ask Price]]&gt;Table1[[#This Row],[Calculated Bond Price]],"Rich","Cheap")</f>
        <v>#N/A</v>
      </c>
      <c r="AE9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0" s="78" t="e">
        <f>(Table1[[#This Row],[P (+ shock)]]+Table1[[#This Row],[P (-shock)]]-2*Table1[[#This Row],[Ask Price]])/(2*Table1[[#This Row],[Ask Price]]*($AF$2^2))</f>
        <v>#N/A</v>
      </c>
      <c r="AI910" s="6" t="e">
        <f t="shared" si="57"/>
        <v>#DIV/0!</v>
      </c>
      <c r="AK910" s="47" t="e">
        <f>RATE(Table1[[#This Row],[Total No. of Coupons]],Table1[[#This Row],[Coupon Amount]],-Table1[[#This Row],[Ask Price]],Table1[[#This Row],[Face value]])</f>
        <v>#N/A</v>
      </c>
      <c r="AL910" s="27" t="e">
        <f>Table1[[#This Row],[IRR]]*Table1[[#This Row],[Coupon Frequency2]]</f>
        <v>#N/A</v>
      </c>
      <c r="AM910" s="5" t="e">
        <f t="shared" si="58"/>
        <v>#N/A</v>
      </c>
      <c r="AN910" t="s">
        <v>69</v>
      </c>
      <c r="AO910" t="s">
        <v>62</v>
      </c>
      <c r="AP910" t="str">
        <f t="shared" si="59"/>
        <v/>
      </c>
    </row>
    <row r="911" spans="4:42" x14ac:dyDescent="0.35">
      <c r="D911" s="21"/>
      <c r="E911" s="21"/>
      <c r="L911" s="22"/>
      <c r="S911">
        <f t="shared" si="56"/>
        <v>0</v>
      </c>
      <c r="T911" s="5" t="e" cm="1">
        <f t="array" ref="T9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1" t="e">
        <f>Table1[[#This Row],[Term to Maturity (Years)]]*Table1[[#This Row],[Coupon Frequency2]]</f>
        <v>#N/A</v>
      </c>
      <c r="V911">
        <f>Table1[[#This Row],[Face value]]*Table1[[#This Row],[Current coupon %]]</f>
        <v>0</v>
      </c>
      <c r="W911" s="36" t="e">
        <f>RATE(Table1[[#This Row],[Total No. of Coupons]],Table1[[#This Row],[Coupon Amount]],-Table1[[#This Row],[Ask Price]],Table1[[#This Row],[Face value]])</f>
        <v>#N/A</v>
      </c>
      <c r="X911" s="27" t="e">
        <f>Table1[[#This Row],[IRR]]*Table1[[#This Row],[Coupon Frequency2]]</f>
        <v>#N/A</v>
      </c>
      <c r="Y911" s="19" t="e" cm="1">
        <f t="array" ref="Y9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1" s="33" t="e">
        <f>DURATION(Table1[[#This Row],[Issue date]],Table1[[#This Row],[Maturity date]],Table1[[#This Row],[Current coupon %]],Table1[[#This Row],[Yield (Annualised)]],Table1[[#This Row],[Coupon Frequency2]])</f>
        <v>#N/A</v>
      </c>
      <c r="AA911" s="33" t="e">
        <f>Table1[[#This Row],[Macaulay Duration in Years]]/(1+Table1[[#This Row],[IRR]])</f>
        <v>#N/A</v>
      </c>
      <c r="AB911" s="58" t="e">
        <f>VLOOKUP(Table1[[#This Row],[Yield Cluster]],'Cluster Details'!$B$3:$C$16,2,0)</f>
        <v>#N/A</v>
      </c>
      <c r="AC9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1" s="58" t="e">
        <f>IF(Table1[[#This Row],[Ask Price]]&gt;Table1[[#This Row],[Calculated Bond Price]],"Rich","Cheap")</f>
        <v>#N/A</v>
      </c>
      <c r="AE9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1" s="78" t="e">
        <f>(Table1[[#This Row],[P (+ shock)]]+Table1[[#This Row],[P (-shock)]]-2*Table1[[#This Row],[Ask Price]])/(2*Table1[[#This Row],[Ask Price]]*($AF$2^2))</f>
        <v>#N/A</v>
      </c>
      <c r="AI911" s="6" t="e">
        <f t="shared" si="57"/>
        <v>#DIV/0!</v>
      </c>
      <c r="AK911" s="47" t="e">
        <f>RATE(Table1[[#This Row],[Total No. of Coupons]],Table1[[#This Row],[Coupon Amount]],-Table1[[#This Row],[Ask Price]],Table1[[#This Row],[Face value]])</f>
        <v>#N/A</v>
      </c>
      <c r="AL911" s="27" t="e">
        <f>Table1[[#This Row],[IRR]]*Table1[[#This Row],[Coupon Frequency2]]</f>
        <v>#N/A</v>
      </c>
      <c r="AM911" s="5" t="e">
        <f t="shared" si="58"/>
        <v>#N/A</v>
      </c>
      <c r="AN911" t="s">
        <v>69</v>
      </c>
      <c r="AO911" t="s">
        <v>62</v>
      </c>
      <c r="AP911" t="str">
        <f t="shared" si="59"/>
        <v/>
      </c>
    </row>
    <row r="912" spans="4:42" x14ac:dyDescent="0.35">
      <c r="D912" s="21"/>
      <c r="E912" s="21"/>
      <c r="L912" s="22"/>
      <c r="S912">
        <f t="shared" si="56"/>
        <v>0</v>
      </c>
      <c r="T912" s="5" t="e" cm="1">
        <f t="array" ref="T9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2" t="e">
        <f>Table1[[#This Row],[Term to Maturity (Years)]]*Table1[[#This Row],[Coupon Frequency2]]</f>
        <v>#N/A</v>
      </c>
      <c r="V912">
        <f>Table1[[#This Row],[Face value]]*Table1[[#This Row],[Current coupon %]]</f>
        <v>0</v>
      </c>
      <c r="W912" s="36" t="e">
        <f>RATE(Table1[[#This Row],[Total No. of Coupons]],Table1[[#This Row],[Coupon Amount]],-Table1[[#This Row],[Ask Price]],Table1[[#This Row],[Face value]])</f>
        <v>#N/A</v>
      </c>
      <c r="X912" s="27" t="e">
        <f>Table1[[#This Row],[IRR]]*Table1[[#This Row],[Coupon Frequency2]]</f>
        <v>#N/A</v>
      </c>
      <c r="Y912" s="19" t="e" cm="1">
        <f t="array" ref="Y9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2" s="33" t="e">
        <f>DURATION(Table1[[#This Row],[Issue date]],Table1[[#This Row],[Maturity date]],Table1[[#This Row],[Current coupon %]],Table1[[#This Row],[Yield (Annualised)]],Table1[[#This Row],[Coupon Frequency2]])</f>
        <v>#N/A</v>
      </c>
      <c r="AA912" s="33" t="e">
        <f>Table1[[#This Row],[Macaulay Duration in Years]]/(1+Table1[[#This Row],[IRR]])</f>
        <v>#N/A</v>
      </c>
      <c r="AB912" s="58" t="e">
        <f>VLOOKUP(Table1[[#This Row],[Yield Cluster]],'Cluster Details'!$B$3:$C$16,2,0)</f>
        <v>#N/A</v>
      </c>
      <c r="AC9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2" s="58" t="e">
        <f>IF(Table1[[#This Row],[Ask Price]]&gt;Table1[[#This Row],[Calculated Bond Price]],"Rich","Cheap")</f>
        <v>#N/A</v>
      </c>
      <c r="AE9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2" s="78" t="e">
        <f>(Table1[[#This Row],[P (+ shock)]]+Table1[[#This Row],[P (-shock)]]-2*Table1[[#This Row],[Ask Price]])/(2*Table1[[#This Row],[Ask Price]]*($AF$2^2))</f>
        <v>#N/A</v>
      </c>
      <c r="AI912" s="6" t="e">
        <f t="shared" si="57"/>
        <v>#DIV/0!</v>
      </c>
      <c r="AK912" s="47" t="e">
        <f>RATE(Table1[[#This Row],[Total No. of Coupons]],Table1[[#This Row],[Coupon Amount]],-Table1[[#This Row],[Ask Price]],Table1[[#This Row],[Face value]])</f>
        <v>#N/A</v>
      </c>
      <c r="AL912" s="27" t="e">
        <f>Table1[[#This Row],[IRR]]*Table1[[#This Row],[Coupon Frequency2]]</f>
        <v>#N/A</v>
      </c>
      <c r="AM912" s="5" t="e">
        <f t="shared" si="58"/>
        <v>#N/A</v>
      </c>
      <c r="AN912" t="s">
        <v>69</v>
      </c>
      <c r="AO912" t="s">
        <v>62</v>
      </c>
      <c r="AP912" t="str">
        <f t="shared" si="59"/>
        <v/>
      </c>
    </row>
    <row r="913" spans="4:42" x14ac:dyDescent="0.35">
      <c r="D913" s="21"/>
      <c r="E913" s="21"/>
      <c r="L913" s="22"/>
      <c r="S913">
        <f t="shared" si="56"/>
        <v>0</v>
      </c>
      <c r="T913" s="5" t="e" cm="1">
        <f t="array" ref="T9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3" t="e">
        <f>Table1[[#This Row],[Term to Maturity (Years)]]*Table1[[#This Row],[Coupon Frequency2]]</f>
        <v>#N/A</v>
      </c>
      <c r="V913">
        <f>Table1[[#This Row],[Face value]]*Table1[[#This Row],[Current coupon %]]</f>
        <v>0</v>
      </c>
      <c r="W913" s="36" t="e">
        <f>RATE(Table1[[#This Row],[Total No. of Coupons]],Table1[[#This Row],[Coupon Amount]],-Table1[[#This Row],[Ask Price]],Table1[[#This Row],[Face value]])</f>
        <v>#N/A</v>
      </c>
      <c r="X913" s="27" t="e">
        <f>Table1[[#This Row],[IRR]]*Table1[[#This Row],[Coupon Frequency2]]</f>
        <v>#N/A</v>
      </c>
      <c r="Y913" s="19" t="e" cm="1">
        <f t="array" ref="Y9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3" s="33" t="e">
        <f>DURATION(Table1[[#This Row],[Issue date]],Table1[[#This Row],[Maturity date]],Table1[[#This Row],[Current coupon %]],Table1[[#This Row],[Yield (Annualised)]],Table1[[#This Row],[Coupon Frequency2]])</f>
        <v>#N/A</v>
      </c>
      <c r="AA913" s="33" t="e">
        <f>Table1[[#This Row],[Macaulay Duration in Years]]/(1+Table1[[#This Row],[IRR]])</f>
        <v>#N/A</v>
      </c>
      <c r="AB913" s="58" t="e">
        <f>VLOOKUP(Table1[[#This Row],[Yield Cluster]],'Cluster Details'!$B$3:$C$16,2,0)</f>
        <v>#N/A</v>
      </c>
      <c r="AC9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3" s="58" t="e">
        <f>IF(Table1[[#This Row],[Ask Price]]&gt;Table1[[#This Row],[Calculated Bond Price]],"Rich","Cheap")</f>
        <v>#N/A</v>
      </c>
      <c r="AE9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3" s="78" t="e">
        <f>(Table1[[#This Row],[P (+ shock)]]+Table1[[#This Row],[P (-shock)]]-2*Table1[[#This Row],[Ask Price]])/(2*Table1[[#This Row],[Ask Price]]*($AF$2^2))</f>
        <v>#N/A</v>
      </c>
      <c r="AI913" s="6" t="e">
        <f t="shared" si="57"/>
        <v>#DIV/0!</v>
      </c>
      <c r="AK913" s="47" t="e">
        <f>RATE(Table1[[#This Row],[Total No. of Coupons]],Table1[[#This Row],[Coupon Amount]],-Table1[[#This Row],[Ask Price]],Table1[[#This Row],[Face value]])</f>
        <v>#N/A</v>
      </c>
      <c r="AL913" s="27" t="e">
        <f>Table1[[#This Row],[IRR]]*Table1[[#This Row],[Coupon Frequency2]]</f>
        <v>#N/A</v>
      </c>
      <c r="AM913" s="5" t="e">
        <f t="shared" si="58"/>
        <v>#N/A</v>
      </c>
      <c r="AN913" t="s">
        <v>69</v>
      </c>
      <c r="AO913" t="s">
        <v>62</v>
      </c>
      <c r="AP913" t="str">
        <f t="shared" si="59"/>
        <v/>
      </c>
    </row>
    <row r="914" spans="4:42" x14ac:dyDescent="0.35">
      <c r="D914" s="21"/>
      <c r="E914" s="21"/>
      <c r="L914" s="22"/>
      <c r="S914">
        <f t="shared" si="56"/>
        <v>0</v>
      </c>
      <c r="T914" s="5" t="e" cm="1">
        <f t="array" ref="T9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4" t="e">
        <f>Table1[[#This Row],[Term to Maturity (Years)]]*Table1[[#This Row],[Coupon Frequency2]]</f>
        <v>#N/A</v>
      </c>
      <c r="V914">
        <f>Table1[[#This Row],[Face value]]*Table1[[#This Row],[Current coupon %]]</f>
        <v>0</v>
      </c>
      <c r="W914" s="36" t="e">
        <f>RATE(Table1[[#This Row],[Total No. of Coupons]],Table1[[#This Row],[Coupon Amount]],-Table1[[#This Row],[Ask Price]],Table1[[#This Row],[Face value]])</f>
        <v>#N/A</v>
      </c>
      <c r="X914" s="27" t="e">
        <f>Table1[[#This Row],[IRR]]*Table1[[#This Row],[Coupon Frequency2]]</f>
        <v>#N/A</v>
      </c>
      <c r="Y914" s="19" t="e" cm="1">
        <f t="array" ref="Y9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4" s="33" t="e">
        <f>DURATION(Table1[[#This Row],[Issue date]],Table1[[#This Row],[Maturity date]],Table1[[#This Row],[Current coupon %]],Table1[[#This Row],[Yield (Annualised)]],Table1[[#This Row],[Coupon Frequency2]])</f>
        <v>#N/A</v>
      </c>
      <c r="AA914" s="33" t="e">
        <f>Table1[[#This Row],[Macaulay Duration in Years]]/(1+Table1[[#This Row],[IRR]])</f>
        <v>#N/A</v>
      </c>
      <c r="AB914" s="58" t="e">
        <f>VLOOKUP(Table1[[#This Row],[Yield Cluster]],'Cluster Details'!$B$3:$C$16,2,0)</f>
        <v>#N/A</v>
      </c>
      <c r="AC9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4" s="58" t="e">
        <f>IF(Table1[[#This Row],[Ask Price]]&gt;Table1[[#This Row],[Calculated Bond Price]],"Rich","Cheap")</f>
        <v>#N/A</v>
      </c>
      <c r="AE9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4" s="78" t="e">
        <f>(Table1[[#This Row],[P (+ shock)]]+Table1[[#This Row],[P (-shock)]]-2*Table1[[#This Row],[Ask Price]])/(2*Table1[[#This Row],[Ask Price]]*($AF$2^2))</f>
        <v>#N/A</v>
      </c>
      <c r="AI914" s="6" t="e">
        <f t="shared" si="57"/>
        <v>#DIV/0!</v>
      </c>
      <c r="AK914" s="47" t="e">
        <f>RATE(Table1[[#This Row],[Total No. of Coupons]],Table1[[#This Row],[Coupon Amount]],-Table1[[#This Row],[Ask Price]],Table1[[#This Row],[Face value]])</f>
        <v>#N/A</v>
      </c>
      <c r="AL914" s="27" t="e">
        <f>Table1[[#This Row],[IRR]]*Table1[[#This Row],[Coupon Frequency2]]</f>
        <v>#N/A</v>
      </c>
      <c r="AM914" s="5" t="e">
        <f t="shared" si="58"/>
        <v>#N/A</v>
      </c>
      <c r="AN914" t="s">
        <v>69</v>
      </c>
      <c r="AO914" t="s">
        <v>62</v>
      </c>
      <c r="AP914" t="str">
        <f t="shared" si="59"/>
        <v/>
      </c>
    </row>
    <row r="915" spans="4:42" x14ac:dyDescent="0.35">
      <c r="D915" s="21"/>
      <c r="E915" s="21"/>
      <c r="L915" s="22"/>
      <c r="S915">
        <f t="shared" si="56"/>
        <v>0</v>
      </c>
      <c r="T915" s="5" t="e" cm="1">
        <f t="array" ref="T9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5" t="e">
        <f>Table1[[#This Row],[Term to Maturity (Years)]]*Table1[[#This Row],[Coupon Frequency2]]</f>
        <v>#N/A</v>
      </c>
      <c r="V915">
        <f>Table1[[#This Row],[Face value]]*Table1[[#This Row],[Current coupon %]]</f>
        <v>0</v>
      </c>
      <c r="W915" s="36" t="e">
        <f>RATE(Table1[[#This Row],[Total No. of Coupons]],Table1[[#This Row],[Coupon Amount]],-Table1[[#This Row],[Ask Price]],Table1[[#This Row],[Face value]])</f>
        <v>#N/A</v>
      </c>
      <c r="X915" s="27" t="e">
        <f>Table1[[#This Row],[IRR]]*Table1[[#This Row],[Coupon Frequency2]]</f>
        <v>#N/A</v>
      </c>
      <c r="Y915" s="19" t="e" cm="1">
        <f t="array" ref="Y9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5" s="33" t="e">
        <f>DURATION(Table1[[#This Row],[Issue date]],Table1[[#This Row],[Maturity date]],Table1[[#This Row],[Current coupon %]],Table1[[#This Row],[Yield (Annualised)]],Table1[[#This Row],[Coupon Frequency2]])</f>
        <v>#N/A</v>
      </c>
      <c r="AA915" s="33" t="e">
        <f>Table1[[#This Row],[Macaulay Duration in Years]]/(1+Table1[[#This Row],[IRR]])</f>
        <v>#N/A</v>
      </c>
      <c r="AB915" s="58" t="e">
        <f>VLOOKUP(Table1[[#This Row],[Yield Cluster]],'Cluster Details'!$B$3:$C$16,2,0)</f>
        <v>#N/A</v>
      </c>
      <c r="AC9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5" s="58" t="e">
        <f>IF(Table1[[#This Row],[Ask Price]]&gt;Table1[[#This Row],[Calculated Bond Price]],"Rich","Cheap")</f>
        <v>#N/A</v>
      </c>
      <c r="AE9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5" s="78" t="e">
        <f>(Table1[[#This Row],[P (+ shock)]]+Table1[[#This Row],[P (-shock)]]-2*Table1[[#This Row],[Ask Price]])/(2*Table1[[#This Row],[Ask Price]]*($AF$2^2))</f>
        <v>#N/A</v>
      </c>
      <c r="AH915">
        <v>11.0009423471984</v>
      </c>
      <c r="AI915" s="6" t="e">
        <f t="shared" si="57"/>
        <v>#DIV/0!</v>
      </c>
      <c r="AK915" s="47" t="e">
        <f>RATE(Table1[[#This Row],[Total No. of Coupons]],Table1[[#This Row],[Coupon Amount]],-Table1[[#This Row],[Ask Price]],Table1[[#This Row],[Face value]])</f>
        <v>#N/A</v>
      </c>
      <c r="AL915" s="27" t="e">
        <f>Table1[[#This Row],[IRR]]*Table1[[#This Row],[Coupon Frequency2]]</f>
        <v>#N/A</v>
      </c>
      <c r="AM915" s="5" t="e">
        <f t="shared" si="58"/>
        <v>#N/A</v>
      </c>
      <c r="AN915" t="s">
        <v>64</v>
      </c>
      <c r="AO915" t="s">
        <v>62</v>
      </c>
      <c r="AP915" t="str">
        <f t="shared" si="59"/>
        <v/>
      </c>
    </row>
    <row r="916" spans="4:42" x14ac:dyDescent="0.35">
      <c r="D916" s="21"/>
      <c r="E916" s="21"/>
      <c r="L916" s="22"/>
      <c r="S916">
        <f t="shared" si="56"/>
        <v>0</v>
      </c>
      <c r="T916" s="5" t="e" cm="1">
        <f t="array" ref="T9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6" t="e">
        <f>Table1[[#This Row],[Term to Maturity (Years)]]*Table1[[#This Row],[Coupon Frequency2]]</f>
        <v>#N/A</v>
      </c>
      <c r="V916">
        <f>Table1[[#This Row],[Face value]]*Table1[[#This Row],[Current coupon %]]</f>
        <v>0</v>
      </c>
      <c r="W916" s="36" t="e">
        <f>RATE(Table1[[#This Row],[Total No. of Coupons]],Table1[[#This Row],[Coupon Amount]],-Table1[[#This Row],[Ask Price]],Table1[[#This Row],[Face value]])</f>
        <v>#N/A</v>
      </c>
      <c r="X916" s="27" t="e">
        <f>Table1[[#This Row],[IRR]]*Table1[[#This Row],[Coupon Frequency2]]</f>
        <v>#N/A</v>
      </c>
      <c r="Y916" s="19" t="e" cm="1">
        <f t="array" ref="Y9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6" s="33" t="e">
        <f>DURATION(Table1[[#This Row],[Issue date]],Table1[[#This Row],[Maturity date]],Table1[[#This Row],[Current coupon %]],Table1[[#This Row],[Yield (Annualised)]],Table1[[#This Row],[Coupon Frequency2]])</f>
        <v>#N/A</v>
      </c>
      <c r="AA916" s="33" t="e">
        <f>Table1[[#This Row],[Macaulay Duration in Years]]/(1+Table1[[#This Row],[IRR]])</f>
        <v>#N/A</v>
      </c>
      <c r="AB916" s="58" t="e">
        <f>VLOOKUP(Table1[[#This Row],[Yield Cluster]],'Cluster Details'!$B$3:$C$16,2,0)</f>
        <v>#N/A</v>
      </c>
      <c r="AC9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6" s="58" t="e">
        <f>IF(Table1[[#This Row],[Ask Price]]&gt;Table1[[#This Row],[Calculated Bond Price]],"Rich","Cheap")</f>
        <v>#N/A</v>
      </c>
      <c r="AE9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6" s="78" t="e">
        <f>(Table1[[#This Row],[P (+ shock)]]+Table1[[#This Row],[P (-shock)]]-2*Table1[[#This Row],[Ask Price]])/(2*Table1[[#This Row],[Ask Price]]*($AF$2^2))</f>
        <v>#N/A</v>
      </c>
      <c r="AI916" s="6" t="e">
        <f t="shared" si="57"/>
        <v>#DIV/0!</v>
      </c>
      <c r="AK916" s="47" t="e">
        <f>RATE(Table1[[#This Row],[Total No. of Coupons]],Table1[[#This Row],[Coupon Amount]],-Table1[[#This Row],[Ask Price]],Table1[[#This Row],[Face value]])</f>
        <v>#N/A</v>
      </c>
      <c r="AL916" s="27" t="e">
        <f>Table1[[#This Row],[IRR]]*Table1[[#This Row],[Coupon Frequency2]]</f>
        <v>#N/A</v>
      </c>
      <c r="AM916" s="5" t="e">
        <f t="shared" si="58"/>
        <v>#N/A</v>
      </c>
      <c r="AN916" t="s">
        <v>69</v>
      </c>
      <c r="AO916" t="s">
        <v>62</v>
      </c>
      <c r="AP916" t="str">
        <f t="shared" si="59"/>
        <v/>
      </c>
    </row>
    <row r="917" spans="4:42" x14ac:dyDescent="0.35">
      <c r="D917" s="21"/>
      <c r="E917" s="21"/>
      <c r="L917" s="22"/>
      <c r="S917">
        <f t="shared" si="56"/>
        <v>0</v>
      </c>
      <c r="T917" s="5" t="e" cm="1">
        <f t="array" ref="T9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7" t="e">
        <f>Table1[[#This Row],[Term to Maturity (Years)]]*Table1[[#This Row],[Coupon Frequency2]]</f>
        <v>#N/A</v>
      </c>
      <c r="V917">
        <f>Table1[[#This Row],[Face value]]*Table1[[#This Row],[Current coupon %]]</f>
        <v>0</v>
      </c>
      <c r="W917" s="36" t="e">
        <f>RATE(Table1[[#This Row],[Total No. of Coupons]],Table1[[#This Row],[Coupon Amount]],-Table1[[#This Row],[Ask Price]],Table1[[#This Row],[Face value]])</f>
        <v>#N/A</v>
      </c>
      <c r="X917" s="27" t="e">
        <f>Table1[[#This Row],[IRR]]*Table1[[#This Row],[Coupon Frequency2]]</f>
        <v>#N/A</v>
      </c>
      <c r="Y917" s="19" t="e" cm="1">
        <f t="array" ref="Y9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7" s="33" t="e">
        <f>DURATION(Table1[[#This Row],[Issue date]],Table1[[#This Row],[Maturity date]],Table1[[#This Row],[Current coupon %]],Table1[[#This Row],[Yield (Annualised)]],Table1[[#This Row],[Coupon Frequency2]])</f>
        <v>#N/A</v>
      </c>
      <c r="AA917" s="33" t="e">
        <f>Table1[[#This Row],[Macaulay Duration in Years]]/(1+Table1[[#This Row],[IRR]])</f>
        <v>#N/A</v>
      </c>
      <c r="AB917" s="58" t="e">
        <f>VLOOKUP(Table1[[#This Row],[Yield Cluster]],'Cluster Details'!$B$3:$C$16,2,0)</f>
        <v>#N/A</v>
      </c>
      <c r="AC9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7" s="58" t="e">
        <f>IF(Table1[[#This Row],[Ask Price]]&gt;Table1[[#This Row],[Calculated Bond Price]],"Rich","Cheap")</f>
        <v>#N/A</v>
      </c>
      <c r="AE9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7" s="78" t="e">
        <f>(Table1[[#This Row],[P (+ shock)]]+Table1[[#This Row],[P (-shock)]]-2*Table1[[#This Row],[Ask Price]])/(2*Table1[[#This Row],[Ask Price]]*($AF$2^2))</f>
        <v>#N/A</v>
      </c>
      <c r="AH917">
        <v>12.297962523562701</v>
      </c>
      <c r="AI917" s="6" t="e">
        <f t="shared" si="57"/>
        <v>#DIV/0!</v>
      </c>
      <c r="AK917" s="47" t="e">
        <f>RATE(Table1[[#This Row],[Total No. of Coupons]],Table1[[#This Row],[Coupon Amount]],-Table1[[#This Row],[Ask Price]],Table1[[#This Row],[Face value]])</f>
        <v>#N/A</v>
      </c>
      <c r="AL917" s="27" t="e">
        <f>Table1[[#This Row],[IRR]]*Table1[[#This Row],[Coupon Frequency2]]</f>
        <v>#N/A</v>
      </c>
      <c r="AM917" s="5" t="e">
        <f t="shared" si="58"/>
        <v>#N/A</v>
      </c>
      <c r="AN917" t="s">
        <v>64</v>
      </c>
      <c r="AO917" t="s">
        <v>62</v>
      </c>
      <c r="AP917" t="str">
        <f t="shared" si="59"/>
        <v/>
      </c>
    </row>
    <row r="918" spans="4:42" x14ac:dyDescent="0.35">
      <c r="D918" s="21"/>
      <c r="E918" s="21"/>
      <c r="L918" s="22"/>
      <c r="S918">
        <f t="shared" si="56"/>
        <v>0</v>
      </c>
      <c r="T918" s="5" t="e" cm="1">
        <f t="array" ref="T9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8" t="e">
        <f>Table1[[#This Row],[Term to Maturity (Years)]]*Table1[[#This Row],[Coupon Frequency2]]</f>
        <v>#N/A</v>
      </c>
      <c r="V918">
        <f>Table1[[#This Row],[Face value]]*Table1[[#This Row],[Current coupon %]]</f>
        <v>0</v>
      </c>
      <c r="W918" s="36" t="e">
        <f>RATE(Table1[[#This Row],[Total No. of Coupons]],Table1[[#This Row],[Coupon Amount]],-Table1[[#This Row],[Ask Price]],Table1[[#This Row],[Face value]])</f>
        <v>#N/A</v>
      </c>
      <c r="X918" s="27" t="e">
        <f>Table1[[#This Row],[IRR]]*Table1[[#This Row],[Coupon Frequency2]]</f>
        <v>#N/A</v>
      </c>
      <c r="Y918" s="19" t="e" cm="1">
        <f t="array" ref="Y9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8" s="33" t="e">
        <f>DURATION(Table1[[#This Row],[Issue date]],Table1[[#This Row],[Maturity date]],Table1[[#This Row],[Current coupon %]],Table1[[#This Row],[Yield (Annualised)]],Table1[[#This Row],[Coupon Frequency2]])</f>
        <v>#N/A</v>
      </c>
      <c r="AA918" s="33" t="e">
        <f>Table1[[#This Row],[Macaulay Duration in Years]]/(1+Table1[[#This Row],[IRR]])</f>
        <v>#N/A</v>
      </c>
      <c r="AB918" s="58" t="e">
        <f>VLOOKUP(Table1[[#This Row],[Yield Cluster]],'Cluster Details'!$B$3:$C$16,2,0)</f>
        <v>#N/A</v>
      </c>
      <c r="AC9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8" s="58" t="e">
        <f>IF(Table1[[#This Row],[Ask Price]]&gt;Table1[[#This Row],[Calculated Bond Price]],"Rich","Cheap")</f>
        <v>#N/A</v>
      </c>
      <c r="AE9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8" s="78" t="e">
        <f>(Table1[[#This Row],[P (+ shock)]]+Table1[[#This Row],[P (-shock)]]-2*Table1[[#This Row],[Ask Price]])/(2*Table1[[#This Row],[Ask Price]]*($AF$2^2))</f>
        <v>#N/A</v>
      </c>
      <c r="AH918">
        <v>11.6342675940707</v>
      </c>
      <c r="AI918" s="6" t="e">
        <f t="shared" si="57"/>
        <v>#DIV/0!</v>
      </c>
      <c r="AK918" s="47" t="e">
        <f>RATE(Table1[[#This Row],[Total No. of Coupons]],Table1[[#This Row],[Coupon Amount]],-Table1[[#This Row],[Ask Price]],Table1[[#This Row],[Face value]])</f>
        <v>#N/A</v>
      </c>
      <c r="AL918" s="27" t="e">
        <f>Table1[[#This Row],[IRR]]*Table1[[#This Row],[Coupon Frequency2]]</f>
        <v>#N/A</v>
      </c>
      <c r="AM918" s="5" t="e">
        <f t="shared" si="58"/>
        <v>#N/A</v>
      </c>
      <c r="AN918" t="s">
        <v>64</v>
      </c>
      <c r="AO918" t="s">
        <v>62</v>
      </c>
      <c r="AP918" t="str">
        <f t="shared" si="59"/>
        <v/>
      </c>
    </row>
    <row r="919" spans="4:42" x14ac:dyDescent="0.35">
      <c r="D919" s="21"/>
      <c r="E919" s="21"/>
      <c r="L919" s="22"/>
      <c r="S919">
        <f t="shared" si="56"/>
        <v>0</v>
      </c>
      <c r="T919" s="5" t="e" cm="1">
        <f t="array" ref="T9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19" t="e">
        <f>Table1[[#This Row],[Term to Maturity (Years)]]*Table1[[#This Row],[Coupon Frequency2]]</f>
        <v>#N/A</v>
      </c>
      <c r="V919">
        <f>Table1[[#This Row],[Face value]]*Table1[[#This Row],[Current coupon %]]</f>
        <v>0</v>
      </c>
      <c r="W919" s="36" t="e">
        <f>RATE(Table1[[#This Row],[Total No. of Coupons]],Table1[[#This Row],[Coupon Amount]],-Table1[[#This Row],[Ask Price]],Table1[[#This Row],[Face value]])</f>
        <v>#N/A</v>
      </c>
      <c r="X919" s="27" t="e">
        <f>Table1[[#This Row],[IRR]]*Table1[[#This Row],[Coupon Frequency2]]</f>
        <v>#N/A</v>
      </c>
      <c r="Y919" s="19" t="e" cm="1">
        <f t="array" ref="Y9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19" s="33" t="e">
        <f>DURATION(Table1[[#This Row],[Issue date]],Table1[[#This Row],[Maturity date]],Table1[[#This Row],[Current coupon %]],Table1[[#This Row],[Yield (Annualised)]],Table1[[#This Row],[Coupon Frequency2]])</f>
        <v>#N/A</v>
      </c>
      <c r="AA919" s="33" t="e">
        <f>Table1[[#This Row],[Macaulay Duration in Years]]/(1+Table1[[#This Row],[IRR]])</f>
        <v>#N/A</v>
      </c>
      <c r="AB919" s="58" t="e">
        <f>VLOOKUP(Table1[[#This Row],[Yield Cluster]],'Cluster Details'!$B$3:$C$16,2,0)</f>
        <v>#N/A</v>
      </c>
      <c r="AC9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19" s="58" t="e">
        <f>IF(Table1[[#This Row],[Ask Price]]&gt;Table1[[#This Row],[Calculated Bond Price]],"Rich","Cheap")</f>
        <v>#N/A</v>
      </c>
      <c r="AE9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19" s="78" t="e">
        <f>(Table1[[#This Row],[P (+ shock)]]+Table1[[#This Row],[P (-shock)]]-2*Table1[[#This Row],[Ask Price]])/(2*Table1[[#This Row],[Ask Price]]*($AF$2^2))</f>
        <v>#N/A</v>
      </c>
      <c r="AI919" s="6" t="e">
        <f t="shared" si="57"/>
        <v>#DIV/0!</v>
      </c>
      <c r="AK919" s="47" t="e">
        <f>RATE(Table1[[#This Row],[Total No. of Coupons]],Table1[[#This Row],[Coupon Amount]],-Table1[[#This Row],[Ask Price]],Table1[[#This Row],[Face value]])</f>
        <v>#N/A</v>
      </c>
      <c r="AL919" s="27" t="e">
        <f>Table1[[#This Row],[IRR]]*Table1[[#This Row],[Coupon Frequency2]]</f>
        <v>#N/A</v>
      </c>
      <c r="AM919" s="5" t="e">
        <f t="shared" si="58"/>
        <v>#N/A</v>
      </c>
      <c r="AN919" t="s">
        <v>64</v>
      </c>
      <c r="AO919" t="s">
        <v>62</v>
      </c>
      <c r="AP919" t="str">
        <f t="shared" si="59"/>
        <v/>
      </c>
    </row>
    <row r="920" spans="4:42" x14ac:dyDescent="0.35">
      <c r="D920" s="21"/>
      <c r="E920" s="21"/>
      <c r="L920" s="22"/>
      <c r="S920">
        <f t="shared" si="56"/>
        <v>0</v>
      </c>
      <c r="T920" s="5" t="e" cm="1">
        <f t="array" ref="T9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0" t="e">
        <f>Table1[[#This Row],[Term to Maturity (Years)]]*Table1[[#This Row],[Coupon Frequency2]]</f>
        <v>#N/A</v>
      </c>
      <c r="V920">
        <f>Table1[[#This Row],[Face value]]*Table1[[#This Row],[Current coupon %]]</f>
        <v>0</v>
      </c>
      <c r="W920" s="36" t="e">
        <f>RATE(Table1[[#This Row],[Total No. of Coupons]],Table1[[#This Row],[Coupon Amount]],-Table1[[#This Row],[Ask Price]],Table1[[#This Row],[Face value]])</f>
        <v>#N/A</v>
      </c>
      <c r="X920" s="27" t="e">
        <f>Table1[[#This Row],[IRR]]*Table1[[#This Row],[Coupon Frequency2]]</f>
        <v>#N/A</v>
      </c>
      <c r="Y920" s="19" t="e" cm="1">
        <f t="array" ref="Y9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0" s="33" t="e">
        <f>DURATION(Table1[[#This Row],[Issue date]],Table1[[#This Row],[Maturity date]],Table1[[#This Row],[Current coupon %]],Table1[[#This Row],[Yield (Annualised)]],Table1[[#This Row],[Coupon Frequency2]])</f>
        <v>#N/A</v>
      </c>
      <c r="AA920" s="33" t="e">
        <f>Table1[[#This Row],[Macaulay Duration in Years]]/(1+Table1[[#This Row],[IRR]])</f>
        <v>#N/A</v>
      </c>
      <c r="AB920" s="58" t="e">
        <f>VLOOKUP(Table1[[#This Row],[Yield Cluster]],'Cluster Details'!$B$3:$C$16,2,0)</f>
        <v>#N/A</v>
      </c>
      <c r="AC9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0" s="58" t="e">
        <f>IF(Table1[[#This Row],[Ask Price]]&gt;Table1[[#This Row],[Calculated Bond Price]],"Rich","Cheap")</f>
        <v>#N/A</v>
      </c>
      <c r="AE9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0" s="78" t="e">
        <f>(Table1[[#This Row],[P (+ shock)]]+Table1[[#This Row],[P (-shock)]]-2*Table1[[#This Row],[Ask Price]])/(2*Table1[[#This Row],[Ask Price]]*($AF$2^2))</f>
        <v>#N/A</v>
      </c>
      <c r="AH920">
        <v>20.7936456724496</v>
      </c>
      <c r="AI920" s="6" t="e">
        <f t="shared" si="57"/>
        <v>#DIV/0!</v>
      </c>
      <c r="AK920" s="47" t="e">
        <f>RATE(Table1[[#This Row],[Total No. of Coupons]],Table1[[#This Row],[Coupon Amount]],-Table1[[#This Row],[Ask Price]],Table1[[#This Row],[Face value]])</f>
        <v>#N/A</v>
      </c>
      <c r="AL920" s="27" t="e">
        <f>Table1[[#This Row],[IRR]]*Table1[[#This Row],[Coupon Frequency2]]</f>
        <v>#N/A</v>
      </c>
      <c r="AM920" s="5" t="e">
        <f t="shared" si="58"/>
        <v>#N/A</v>
      </c>
      <c r="AN920" t="s">
        <v>64</v>
      </c>
      <c r="AO920" t="s">
        <v>62</v>
      </c>
      <c r="AP920" t="str">
        <f t="shared" si="59"/>
        <v/>
      </c>
    </row>
    <row r="921" spans="4:42" x14ac:dyDescent="0.35">
      <c r="D921" s="21"/>
      <c r="E921" s="21"/>
      <c r="L921" s="22"/>
      <c r="S921">
        <f t="shared" si="56"/>
        <v>0</v>
      </c>
      <c r="T921" s="5" t="e" cm="1">
        <f t="array" ref="T9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1" t="e">
        <f>Table1[[#This Row],[Term to Maturity (Years)]]*Table1[[#This Row],[Coupon Frequency2]]</f>
        <v>#N/A</v>
      </c>
      <c r="V921">
        <f>Table1[[#This Row],[Face value]]*Table1[[#This Row],[Current coupon %]]</f>
        <v>0</v>
      </c>
      <c r="W921" s="36" t="e">
        <f>RATE(Table1[[#This Row],[Total No. of Coupons]],Table1[[#This Row],[Coupon Amount]],-Table1[[#This Row],[Ask Price]],Table1[[#This Row],[Face value]])</f>
        <v>#N/A</v>
      </c>
      <c r="X921" s="27" t="e">
        <f>Table1[[#This Row],[IRR]]*Table1[[#This Row],[Coupon Frequency2]]</f>
        <v>#N/A</v>
      </c>
      <c r="Y921" s="19" t="e" cm="1">
        <f t="array" ref="Y9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1" s="33" t="e">
        <f>DURATION(Table1[[#This Row],[Issue date]],Table1[[#This Row],[Maturity date]],Table1[[#This Row],[Current coupon %]],Table1[[#This Row],[Yield (Annualised)]],Table1[[#This Row],[Coupon Frequency2]])</f>
        <v>#N/A</v>
      </c>
      <c r="AA921" s="33" t="e">
        <f>Table1[[#This Row],[Macaulay Duration in Years]]/(1+Table1[[#This Row],[IRR]])</f>
        <v>#N/A</v>
      </c>
      <c r="AB921" s="58" t="e">
        <f>VLOOKUP(Table1[[#This Row],[Yield Cluster]],'Cluster Details'!$B$3:$C$16,2,0)</f>
        <v>#N/A</v>
      </c>
      <c r="AC9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1" s="58" t="e">
        <f>IF(Table1[[#This Row],[Ask Price]]&gt;Table1[[#This Row],[Calculated Bond Price]],"Rich","Cheap")</f>
        <v>#N/A</v>
      </c>
      <c r="AE9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1" s="78" t="e">
        <f>(Table1[[#This Row],[P (+ shock)]]+Table1[[#This Row],[P (-shock)]]-2*Table1[[#This Row],[Ask Price]])/(2*Table1[[#This Row],[Ask Price]]*($AF$2^2))</f>
        <v>#N/A</v>
      </c>
      <c r="AH921">
        <v>27.1706285459688</v>
      </c>
      <c r="AI921" s="6" t="e">
        <f t="shared" si="57"/>
        <v>#DIV/0!</v>
      </c>
      <c r="AK921" s="47" t="e">
        <f>RATE(Table1[[#This Row],[Total No. of Coupons]],Table1[[#This Row],[Coupon Amount]],-Table1[[#This Row],[Ask Price]],Table1[[#This Row],[Face value]])</f>
        <v>#N/A</v>
      </c>
      <c r="AL921" s="27" t="e">
        <f>Table1[[#This Row],[IRR]]*Table1[[#This Row],[Coupon Frequency2]]</f>
        <v>#N/A</v>
      </c>
      <c r="AM921" s="5" t="e">
        <f t="shared" si="58"/>
        <v>#N/A</v>
      </c>
      <c r="AN921" t="s">
        <v>64</v>
      </c>
      <c r="AO921" t="s">
        <v>62</v>
      </c>
      <c r="AP921" t="str">
        <f t="shared" si="59"/>
        <v/>
      </c>
    </row>
    <row r="922" spans="4:42" x14ac:dyDescent="0.35">
      <c r="D922" s="21"/>
      <c r="E922" s="21"/>
      <c r="L922" s="22"/>
      <c r="S922">
        <f t="shared" si="56"/>
        <v>0</v>
      </c>
      <c r="T922" s="5" t="e" cm="1">
        <f t="array" ref="T9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2" t="e">
        <f>Table1[[#This Row],[Term to Maturity (Years)]]*Table1[[#This Row],[Coupon Frequency2]]</f>
        <v>#N/A</v>
      </c>
      <c r="V922">
        <f>Table1[[#This Row],[Face value]]*Table1[[#This Row],[Current coupon %]]</f>
        <v>0</v>
      </c>
      <c r="W922" s="36" t="e">
        <f>RATE(Table1[[#This Row],[Total No. of Coupons]],Table1[[#This Row],[Coupon Amount]],-Table1[[#This Row],[Ask Price]],Table1[[#This Row],[Face value]])</f>
        <v>#N/A</v>
      </c>
      <c r="X922" s="27" t="e">
        <f>Table1[[#This Row],[IRR]]*Table1[[#This Row],[Coupon Frequency2]]</f>
        <v>#N/A</v>
      </c>
      <c r="Y922" s="19" t="e" cm="1">
        <f t="array" ref="Y9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2" s="33" t="e">
        <f>DURATION(Table1[[#This Row],[Issue date]],Table1[[#This Row],[Maturity date]],Table1[[#This Row],[Current coupon %]],Table1[[#This Row],[Yield (Annualised)]],Table1[[#This Row],[Coupon Frequency2]])</f>
        <v>#N/A</v>
      </c>
      <c r="AA922" s="33" t="e">
        <f>Table1[[#This Row],[Macaulay Duration in Years]]/(1+Table1[[#This Row],[IRR]])</f>
        <v>#N/A</v>
      </c>
      <c r="AB922" s="58" t="e">
        <f>VLOOKUP(Table1[[#This Row],[Yield Cluster]],'Cluster Details'!$B$3:$C$16,2,0)</f>
        <v>#N/A</v>
      </c>
      <c r="AC92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2" s="58" t="e">
        <f>IF(Table1[[#This Row],[Ask Price]]&gt;Table1[[#This Row],[Calculated Bond Price]],"Rich","Cheap")</f>
        <v>#N/A</v>
      </c>
      <c r="AE92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2" s="78" t="e">
        <f>(Table1[[#This Row],[P (+ shock)]]+Table1[[#This Row],[P (-shock)]]-2*Table1[[#This Row],[Ask Price]])/(2*Table1[[#This Row],[Ask Price]]*($AF$2^2))</f>
        <v>#N/A</v>
      </c>
      <c r="AH922">
        <v>11.171635553078801</v>
      </c>
      <c r="AI922" s="6" t="e">
        <f t="shared" si="57"/>
        <v>#DIV/0!</v>
      </c>
      <c r="AK922" s="47" t="e">
        <f>RATE(Table1[[#This Row],[Total No. of Coupons]],Table1[[#This Row],[Coupon Amount]],-Table1[[#This Row],[Ask Price]],Table1[[#This Row],[Face value]])</f>
        <v>#N/A</v>
      </c>
      <c r="AL922" s="27" t="e">
        <f>Table1[[#This Row],[IRR]]*Table1[[#This Row],[Coupon Frequency2]]</f>
        <v>#N/A</v>
      </c>
      <c r="AM922" s="5" t="e">
        <f t="shared" si="58"/>
        <v>#N/A</v>
      </c>
      <c r="AN922" t="s">
        <v>64</v>
      </c>
      <c r="AO922" t="s">
        <v>62</v>
      </c>
      <c r="AP922" t="str">
        <f t="shared" si="59"/>
        <v/>
      </c>
    </row>
    <row r="923" spans="4:42" x14ac:dyDescent="0.35">
      <c r="D923" s="21"/>
      <c r="E923" s="21"/>
      <c r="L923" s="22"/>
      <c r="S923">
        <f t="shared" si="56"/>
        <v>0</v>
      </c>
      <c r="T923" s="5" t="e" cm="1">
        <f t="array" ref="T9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3" t="e">
        <f>Table1[[#This Row],[Term to Maturity (Years)]]*Table1[[#This Row],[Coupon Frequency2]]</f>
        <v>#N/A</v>
      </c>
      <c r="V923">
        <f>Table1[[#This Row],[Face value]]*Table1[[#This Row],[Current coupon %]]</f>
        <v>0</v>
      </c>
      <c r="W923" s="36" t="e">
        <f>RATE(Table1[[#This Row],[Total No. of Coupons]],Table1[[#This Row],[Coupon Amount]],-Table1[[#This Row],[Ask Price]],Table1[[#This Row],[Face value]])</f>
        <v>#N/A</v>
      </c>
      <c r="X923" s="27" t="e">
        <f>Table1[[#This Row],[IRR]]*Table1[[#This Row],[Coupon Frequency2]]</f>
        <v>#N/A</v>
      </c>
      <c r="Y923" s="19" t="e" cm="1">
        <f t="array" ref="Y9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3" s="33" t="e">
        <f>DURATION(Table1[[#This Row],[Issue date]],Table1[[#This Row],[Maturity date]],Table1[[#This Row],[Current coupon %]],Table1[[#This Row],[Yield (Annualised)]],Table1[[#This Row],[Coupon Frequency2]])</f>
        <v>#N/A</v>
      </c>
      <c r="AA923" s="33" t="e">
        <f>Table1[[#This Row],[Macaulay Duration in Years]]/(1+Table1[[#This Row],[IRR]])</f>
        <v>#N/A</v>
      </c>
      <c r="AB923" s="58" t="e">
        <f>VLOOKUP(Table1[[#This Row],[Yield Cluster]],'Cluster Details'!$B$3:$C$16,2,0)</f>
        <v>#N/A</v>
      </c>
      <c r="AC92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3" s="58" t="e">
        <f>IF(Table1[[#This Row],[Ask Price]]&gt;Table1[[#This Row],[Calculated Bond Price]],"Rich","Cheap")</f>
        <v>#N/A</v>
      </c>
      <c r="AE92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3" s="78" t="e">
        <f>(Table1[[#This Row],[P (+ shock)]]+Table1[[#This Row],[P (-shock)]]-2*Table1[[#This Row],[Ask Price]])/(2*Table1[[#This Row],[Ask Price]]*($AF$2^2))</f>
        <v>#N/A</v>
      </c>
      <c r="AH923">
        <v>10.917191712468499</v>
      </c>
      <c r="AI923" s="6" t="e">
        <f t="shared" si="57"/>
        <v>#DIV/0!</v>
      </c>
      <c r="AK923" s="47" t="e">
        <f>RATE(Table1[[#This Row],[Total No. of Coupons]],Table1[[#This Row],[Coupon Amount]],-Table1[[#This Row],[Ask Price]],Table1[[#This Row],[Face value]])</f>
        <v>#N/A</v>
      </c>
      <c r="AL923" s="27" t="e">
        <f>Table1[[#This Row],[IRR]]*Table1[[#This Row],[Coupon Frequency2]]</f>
        <v>#N/A</v>
      </c>
      <c r="AM923" s="5" t="e">
        <f t="shared" si="58"/>
        <v>#N/A</v>
      </c>
      <c r="AN923" t="s">
        <v>64</v>
      </c>
      <c r="AO923" t="s">
        <v>62</v>
      </c>
      <c r="AP923" t="str">
        <f t="shared" si="59"/>
        <v/>
      </c>
    </row>
    <row r="924" spans="4:42" x14ac:dyDescent="0.35">
      <c r="D924" s="21"/>
      <c r="E924" s="21"/>
      <c r="L924" s="22"/>
      <c r="S924">
        <f t="shared" si="56"/>
        <v>0</v>
      </c>
      <c r="T924" s="5" t="e" cm="1">
        <f t="array" ref="T9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4" t="e">
        <f>Table1[[#This Row],[Term to Maturity (Years)]]*Table1[[#This Row],[Coupon Frequency2]]</f>
        <v>#N/A</v>
      </c>
      <c r="V924">
        <f>Table1[[#This Row],[Face value]]*Table1[[#This Row],[Current coupon %]]</f>
        <v>0</v>
      </c>
      <c r="W924" s="36" t="e">
        <f>RATE(Table1[[#This Row],[Total No. of Coupons]],Table1[[#This Row],[Coupon Amount]],-Table1[[#This Row],[Ask Price]],Table1[[#This Row],[Face value]])</f>
        <v>#N/A</v>
      </c>
      <c r="X924" s="27" t="e">
        <f>Table1[[#This Row],[IRR]]*Table1[[#This Row],[Coupon Frequency2]]</f>
        <v>#N/A</v>
      </c>
      <c r="Y924" s="19" t="e" cm="1">
        <f t="array" ref="Y9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4" s="33" t="e">
        <f>DURATION(Table1[[#This Row],[Issue date]],Table1[[#This Row],[Maturity date]],Table1[[#This Row],[Current coupon %]],Table1[[#This Row],[Yield (Annualised)]],Table1[[#This Row],[Coupon Frequency2]])</f>
        <v>#N/A</v>
      </c>
      <c r="AA924" s="33" t="e">
        <f>Table1[[#This Row],[Macaulay Duration in Years]]/(1+Table1[[#This Row],[IRR]])</f>
        <v>#N/A</v>
      </c>
      <c r="AB924" s="58" t="e">
        <f>VLOOKUP(Table1[[#This Row],[Yield Cluster]],'Cluster Details'!$B$3:$C$16,2,0)</f>
        <v>#N/A</v>
      </c>
      <c r="AC92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4" s="58" t="e">
        <f>IF(Table1[[#This Row],[Ask Price]]&gt;Table1[[#This Row],[Calculated Bond Price]],"Rich","Cheap")</f>
        <v>#N/A</v>
      </c>
      <c r="AE92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4" s="78" t="e">
        <f>(Table1[[#This Row],[P (+ shock)]]+Table1[[#This Row],[P (-shock)]]-2*Table1[[#This Row],[Ask Price]])/(2*Table1[[#This Row],[Ask Price]]*($AF$2^2))</f>
        <v>#N/A</v>
      </c>
      <c r="AH924">
        <v>10.184449011804</v>
      </c>
      <c r="AI924" s="6" t="e">
        <f t="shared" si="57"/>
        <v>#DIV/0!</v>
      </c>
      <c r="AK924" s="47" t="e">
        <f>RATE(Table1[[#This Row],[Total No. of Coupons]],Table1[[#This Row],[Coupon Amount]],-Table1[[#This Row],[Ask Price]],Table1[[#This Row],[Face value]])</f>
        <v>#N/A</v>
      </c>
      <c r="AL924" s="27" t="e">
        <f>Table1[[#This Row],[IRR]]*Table1[[#This Row],[Coupon Frequency2]]</f>
        <v>#N/A</v>
      </c>
      <c r="AM924" s="5" t="e">
        <f t="shared" si="58"/>
        <v>#N/A</v>
      </c>
      <c r="AN924" t="s">
        <v>64</v>
      </c>
      <c r="AO924" t="s">
        <v>62</v>
      </c>
      <c r="AP924" t="str">
        <f t="shared" si="59"/>
        <v/>
      </c>
    </row>
    <row r="925" spans="4:42" x14ac:dyDescent="0.35">
      <c r="D925" s="21"/>
      <c r="E925" s="21"/>
      <c r="L925" s="22"/>
      <c r="S925">
        <f t="shared" si="56"/>
        <v>0</v>
      </c>
      <c r="T925" s="5" t="e" cm="1">
        <f t="array" ref="T9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5" t="e">
        <f>Table1[[#This Row],[Term to Maturity (Years)]]*Table1[[#This Row],[Coupon Frequency2]]</f>
        <v>#N/A</v>
      </c>
      <c r="V925">
        <f>Table1[[#This Row],[Face value]]*Table1[[#This Row],[Current coupon %]]</f>
        <v>0</v>
      </c>
      <c r="W925" s="36" t="e">
        <f>RATE(Table1[[#This Row],[Total No. of Coupons]],Table1[[#This Row],[Coupon Amount]],-Table1[[#This Row],[Ask Price]],Table1[[#This Row],[Face value]])</f>
        <v>#N/A</v>
      </c>
      <c r="X925" s="27" t="e">
        <f>Table1[[#This Row],[IRR]]*Table1[[#This Row],[Coupon Frequency2]]</f>
        <v>#N/A</v>
      </c>
      <c r="Y925" s="19" t="e" cm="1">
        <f t="array" ref="Y9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5" s="33" t="e">
        <f>DURATION(Table1[[#This Row],[Issue date]],Table1[[#This Row],[Maturity date]],Table1[[#This Row],[Current coupon %]],Table1[[#This Row],[Yield (Annualised)]],Table1[[#This Row],[Coupon Frequency2]])</f>
        <v>#N/A</v>
      </c>
      <c r="AA925" s="33" t="e">
        <f>Table1[[#This Row],[Macaulay Duration in Years]]/(1+Table1[[#This Row],[IRR]])</f>
        <v>#N/A</v>
      </c>
      <c r="AB925" s="58" t="e">
        <f>VLOOKUP(Table1[[#This Row],[Yield Cluster]],'Cluster Details'!$B$3:$C$16,2,0)</f>
        <v>#N/A</v>
      </c>
      <c r="AC92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5" s="58" t="e">
        <f>IF(Table1[[#This Row],[Ask Price]]&gt;Table1[[#This Row],[Calculated Bond Price]],"Rich","Cheap")</f>
        <v>#N/A</v>
      </c>
      <c r="AE92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5" s="78" t="e">
        <f>(Table1[[#This Row],[P (+ shock)]]+Table1[[#This Row],[P (-shock)]]-2*Table1[[#This Row],[Ask Price]])/(2*Table1[[#This Row],[Ask Price]]*($AF$2^2))</f>
        <v>#N/A</v>
      </c>
      <c r="AH925">
        <v>9.0067498927733407</v>
      </c>
      <c r="AI925" s="6" t="e">
        <f t="shared" si="57"/>
        <v>#DIV/0!</v>
      </c>
      <c r="AK925" s="47" t="e">
        <f>RATE(Table1[[#This Row],[Total No. of Coupons]],Table1[[#This Row],[Coupon Amount]],-Table1[[#This Row],[Ask Price]],Table1[[#This Row],[Face value]])</f>
        <v>#N/A</v>
      </c>
      <c r="AL925" s="27" t="e">
        <f>Table1[[#This Row],[IRR]]*Table1[[#This Row],[Coupon Frequency2]]</f>
        <v>#N/A</v>
      </c>
      <c r="AM925" s="5" t="e">
        <f t="shared" si="58"/>
        <v>#N/A</v>
      </c>
      <c r="AN925" t="s">
        <v>64</v>
      </c>
      <c r="AO925" t="s">
        <v>62</v>
      </c>
      <c r="AP925" t="str">
        <f t="shared" si="59"/>
        <v/>
      </c>
    </row>
    <row r="926" spans="4:42" x14ac:dyDescent="0.35">
      <c r="D926" s="21"/>
      <c r="E926" s="21"/>
      <c r="L926" s="22"/>
      <c r="S926">
        <f t="shared" si="56"/>
        <v>0</v>
      </c>
      <c r="T926" s="5" t="e" cm="1">
        <f t="array" ref="T9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6" t="e">
        <f>Table1[[#This Row],[Term to Maturity (Years)]]*Table1[[#This Row],[Coupon Frequency2]]</f>
        <v>#N/A</v>
      </c>
      <c r="V926">
        <f>Table1[[#This Row],[Face value]]*Table1[[#This Row],[Current coupon %]]</f>
        <v>0</v>
      </c>
      <c r="W926" s="36" t="e">
        <f>RATE(Table1[[#This Row],[Total No. of Coupons]],Table1[[#This Row],[Coupon Amount]],-Table1[[#This Row],[Ask Price]],Table1[[#This Row],[Face value]])</f>
        <v>#N/A</v>
      </c>
      <c r="X926" s="27" t="e">
        <f>Table1[[#This Row],[IRR]]*Table1[[#This Row],[Coupon Frequency2]]</f>
        <v>#N/A</v>
      </c>
      <c r="Y926" s="19" t="e" cm="1">
        <f t="array" ref="Y9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6" s="33" t="e">
        <f>DURATION(Table1[[#This Row],[Issue date]],Table1[[#This Row],[Maturity date]],Table1[[#This Row],[Current coupon %]],Table1[[#This Row],[Yield (Annualised)]],Table1[[#This Row],[Coupon Frequency2]])</f>
        <v>#N/A</v>
      </c>
      <c r="AA926" s="33" t="e">
        <f>Table1[[#This Row],[Macaulay Duration in Years]]/(1+Table1[[#This Row],[IRR]])</f>
        <v>#N/A</v>
      </c>
      <c r="AB926" s="58" t="e">
        <f>VLOOKUP(Table1[[#This Row],[Yield Cluster]],'Cluster Details'!$B$3:$C$16,2,0)</f>
        <v>#N/A</v>
      </c>
      <c r="AC92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6" s="58" t="e">
        <f>IF(Table1[[#This Row],[Ask Price]]&gt;Table1[[#This Row],[Calculated Bond Price]],"Rich","Cheap")</f>
        <v>#N/A</v>
      </c>
      <c r="AE92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6" s="78" t="e">
        <f>(Table1[[#This Row],[P (+ shock)]]+Table1[[#This Row],[P (-shock)]]-2*Table1[[#This Row],[Ask Price]])/(2*Table1[[#This Row],[Ask Price]]*($AF$2^2))</f>
        <v>#N/A</v>
      </c>
      <c r="AH926">
        <v>5.4328482862741296</v>
      </c>
      <c r="AI926" s="6" t="e">
        <f t="shared" si="57"/>
        <v>#DIV/0!</v>
      </c>
      <c r="AK926" s="47" t="e">
        <f>RATE(Table1[[#This Row],[Total No. of Coupons]],Table1[[#This Row],[Coupon Amount]],-Table1[[#This Row],[Ask Price]],Table1[[#This Row],[Face value]])</f>
        <v>#N/A</v>
      </c>
      <c r="AL926" s="27" t="e">
        <f>Table1[[#This Row],[IRR]]*Table1[[#This Row],[Coupon Frequency2]]</f>
        <v>#N/A</v>
      </c>
      <c r="AM926" s="5" t="e">
        <f t="shared" si="58"/>
        <v>#N/A</v>
      </c>
      <c r="AN926" t="s">
        <v>64</v>
      </c>
      <c r="AO926" t="s">
        <v>62</v>
      </c>
      <c r="AP926" t="str">
        <f t="shared" si="59"/>
        <v/>
      </c>
    </row>
    <row r="927" spans="4:42" x14ac:dyDescent="0.35">
      <c r="D927" s="21"/>
      <c r="E927" s="21"/>
      <c r="L927" s="22"/>
      <c r="S927">
        <f t="shared" si="56"/>
        <v>0</v>
      </c>
      <c r="T927" s="5" t="e" cm="1">
        <f t="array" ref="T9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7" t="e">
        <f>Table1[[#This Row],[Term to Maturity (Years)]]*Table1[[#This Row],[Coupon Frequency2]]</f>
        <v>#N/A</v>
      </c>
      <c r="V927">
        <f>Table1[[#This Row],[Face value]]*Table1[[#This Row],[Current coupon %]]</f>
        <v>0</v>
      </c>
      <c r="W927" s="36" t="e">
        <f>RATE(Table1[[#This Row],[Total No. of Coupons]],Table1[[#This Row],[Coupon Amount]],-Table1[[#This Row],[Ask Price]],Table1[[#This Row],[Face value]])</f>
        <v>#N/A</v>
      </c>
      <c r="X927" s="27" t="e">
        <f>Table1[[#This Row],[IRR]]*Table1[[#This Row],[Coupon Frequency2]]</f>
        <v>#N/A</v>
      </c>
      <c r="Y927" s="19" t="e" cm="1">
        <f t="array" ref="Y9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7" s="33" t="e">
        <f>DURATION(Table1[[#This Row],[Issue date]],Table1[[#This Row],[Maturity date]],Table1[[#This Row],[Current coupon %]],Table1[[#This Row],[Yield (Annualised)]],Table1[[#This Row],[Coupon Frequency2]])</f>
        <v>#N/A</v>
      </c>
      <c r="AA927" s="33" t="e">
        <f>Table1[[#This Row],[Macaulay Duration in Years]]/(1+Table1[[#This Row],[IRR]])</f>
        <v>#N/A</v>
      </c>
      <c r="AB927" s="58" t="e">
        <f>VLOOKUP(Table1[[#This Row],[Yield Cluster]],'Cluster Details'!$B$3:$C$16,2,0)</f>
        <v>#N/A</v>
      </c>
      <c r="AC92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7" s="58" t="e">
        <f>IF(Table1[[#This Row],[Ask Price]]&gt;Table1[[#This Row],[Calculated Bond Price]],"Rich","Cheap")</f>
        <v>#N/A</v>
      </c>
      <c r="AE92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7" s="78" t="e">
        <f>(Table1[[#This Row],[P (+ shock)]]+Table1[[#This Row],[P (-shock)]]-2*Table1[[#This Row],[Ask Price]])/(2*Table1[[#This Row],[Ask Price]]*($AF$2^2))</f>
        <v>#N/A</v>
      </c>
      <c r="AI927" s="6" t="e">
        <f t="shared" si="57"/>
        <v>#DIV/0!</v>
      </c>
      <c r="AK927" s="47" t="e">
        <f>RATE(Table1[[#This Row],[Total No. of Coupons]],Table1[[#This Row],[Coupon Amount]],-Table1[[#This Row],[Ask Price]],Table1[[#This Row],[Face value]])</f>
        <v>#N/A</v>
      </c>
      <c r="AL927" s="27" t="e">
        <f>Table1[[#This Row],[IRR]]*Table1[[#This Row],[Coupon Frequency2]]</f>
        <v>#N/A</v>
      </c>
      <c r="AM927" s="5" t="e">
        <f t="shared" si="58"/>
        <v>#N/A</v>
      </c>
      <c r="AN927" t="s">
        <v>64</v>
      </c>
      <c r="AO927" t="s">
        <v>62</v>
      </c>
      <c r="AP927" t="str">
        <f t="shared" si="59"/>
        <v/>
      </c>
    </row>
    <row r="928" spans="4:42" x14ac:dyDescent="0.35">
      <c r="D928" s="21"/>
      <c r="E928" s="21"/>
      <c r="L928" s="22"/>
      <c r="S928">
        <f t="shared" si="56"/>
        <v>0</v>
      </c>
      <c r="T928" s="5" t="e" cm="1">
        <f t="array" ref="T9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8" t="e">
        <f>Table1[[#This Row],[Term to Maturity (Years)]]*Table1[[#This Row],[Coupon Frequency2]]</f>
        <v>#N/A</v>
      </c>
      <c r="V928">
        <f>Table1[[#This Row],[Face value]]*Table1[[#This Row],[Current coupon %]]</f>
        <v>0</v>
      </c>
      <c r="W928" s="36" t="e">
        <f>RATE(Table1[[#This Row],[Total No. of Coupons]],Table1[[#This Row],[Coupon Amount]],-Table1[[#This Row],[Ask Price]],Table1[[#This Row],[Face value]])</f>
        <v>#N/A</v>
      </c>
      <c r="X928" s="27" t="e">
        <f>Table1[[#This Row],[IRR]]*Table1[[#This Row],[Coupon Frequency2]]</f>
        <v>#N/A</v>
      </c>
      <c r="Y928" s="19" t="e" cm="1">
        <f t="array" ref="Y9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8" s="33" t="e">
        <f>DURATION(Table1[[#This Row],[Issue date]],Table1[[#This Row],[Maturity date]],Table1[[#This Row],[Current coupon %]],Table1[[#This Row],[Yield (Annualised)]],Table1[[#This Row],[Coupon Frequency2]])</f>
        <v>#N/A</v>
      </c>
      <c r="AA928" s="33" t="e">
        <f>Table1[[#This Row],[Macaulay Duration in Years]]/(1+Table1[[#This Row],[IRR]])</f>
        <v>#N/A</v>
      </c>
      <c r="AB928" s="58" t="e">
        <f>VLOOKUP(Table1[[#This Row],[Yield Cluster]],'Cluster Details'!$B$3:$C$16,2,0)</f>
        <v>#N/A</v>
      </c>
      <c r="AC92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8" s="58" t="e">
        <f>IF(Table1[[#This Row],[Ask Price]]&gt;Table1[[#This Row],[Calculated Bond Price]],"Rich","Cheap")</f>
        <v>#N/A</v>
      </c>
      <c r="AE92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8" s="78" t="e">
        <f>(Table1[[#This Row],[P (+ shock)]]+Table1[[#This Row],[P (-shock)]]-2*Table1[[#This Row],[Ask Price]])/(2*Table1[[#This Row],[Ask Price]]*($AF$2^2))</f>
        <v>#N/A</v>
      </c>
      <c r="AH928">
        <v>15.3605709119587</v>
      </c>
      <c r="AI928" s="6" t="e">
        <f t="shared" si="57"/>
        <v>#DIV/0!</v>
      </c>
      <c r="AK928" s="47" t="e">
        <f>RATE(Table1[[#This Row],[Total No. of Coupons]],Table1[[#This Row],[Coupon Amount]],-Table1[[#This Row],[Ask Price]],Table1[[#This Row],[Face value]])</f>
        <v>#N/A</v>
      </c>
      <c r="AL928" s="27" t="e">
        <f>Table1[[#This Row],[IRR]]*Table1[[#This Row],[Coupon Frequency2]]</f>
        <v>#N/A</v>
      </c>
      <c r="AM928" s="5" t="e">
        <f t="shared" si="58"/>
        <v>#N/A</v>
      </c>
      <c r="AN928" t="s">
        <v>64</v>
      </c>
      <c r="AO928" t="s">
        <v>62</v>
      </c>
      <c r="AP928" t="str">
        <f t="shared" si="59"/>
        <v/>
      </c>
    </row>
    <row r="929" spans="4:42" x14ac:dyDescent="0.35">
      <c r="D929" s="21"/>
      <c r="E929" s="21"/>
      <c r="L929" s="22"/>
      <c r="S929">
        <f t="shared" si="56"/>
        <v>0</v>
      </c>
      <c r="T929" s="5" t="e" cm="1">
        <f t="array" ref="T9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29" t="e">
        <f>Table1[[#This Row],[Term to Maturity (Years)]]*Table1[[#This Row],[Coupon Frequency2]]</f>
        <v>#N/A</v>
      </c>
      <c r="V929">
        <f>Table1[[#This Row],[Face value]]*Table1[[#This Row],[Current coupon %]]</f>
        <v>0</v>
      </c>
      <c r="W929" s="36" t="e">
        <f>RATE(Table1[[#This Row],[Total No. of Coupons]],Table1[[#This Row],[Coupon Amount]],-Table1[[#This Row],[Ask Price]],Table1[[#This Row],[Face value]])</f>
        <v>#N/A</v>
      </c>
      <c r="X929" s="27" t="e">
        <f>Table1[[#This Row],[IRR]]*Table1[[#This Row],[Coupon Frequency2]]</f>
        <v>#N/A</v>
      </c>
      <c r="Y929" s="19" t="e" cm="1">
        <f t="array" ref="Y9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29" s="33" t="e">
        <f>DURATION(Table1[[#This Row],[Issue date]],Table1[[#This Row],[Maturity date]],Table1[[#This Row],[Current coupon %]],Table1[[#This Row],[Yield (Annualised)]],Table1[[#This Row],[Coupon Frequency2]])</f>
        <v>#N/A</v>
      </c>
      <c r="AA929" s="33" t="e">
        <f>Table1[[#This Row],[Macaulay Duration in Years]]/(1+Table1[[#This Row],[IRR]])</f>
        <v>#N/A</v>
      </c>
      <c r="AB929" s="58" t="e">
        <f>VLOOKUP(Table1[[#This Row],[Yield Cluster]],'Cluster Details'!$B$3:$C$16,2,0)</f>
        <v>#N/A</v>
      </c>
      <c r="AC92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29" s="58" t="e">
        <f>IF(Table1[[#This Row],[Ask Price]]&gt;Table1[[#This Row],[Calculated Bond Price]],"Rich","Cheap")</f>
        <v>#N/A</v>
      </c>
      <c r="AE92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2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29" s="78" t="e">
        <f>(Table1[[#This Row],[P (+ shock)]]+Table1[[#This Row],[P (-shock)]]-2*Table1[[#This Row],[Ask Price]])/(2*Table1[[#This Row],[Ask Price]]*($AF$2^2))</f>
        <v>#N/A</v>
      </c>
      <c r="AH929">
        <v>10.6852188324814</v>
      </c>
      <c r="AI929" s="6" t="e">
        <f t="shared" si="57"/>
        <v>#DIV/0!</v>
      </c>
      <c r="AK929" s="47" t="e">
        <f>RATE(Table1[[#This Row],[Total No. of Coupons]],Table1[[#This Row],[Coupon Amount]],-Table1[[#This Row],[Ask Price]],Table1[[#This Row],[Face value]])</f>
        <v>#N/A</v>
      </c>
      <c r="AL929" s="27" t="e">
        <f>Table1[[#This Row],[IRR]]*Table1[[#This Row],[Coupon Frequency2]]</f>
        <v>#N/A</v>
      </c>
      <c r="AM929" s="5" t="e">
        <f t="shared" si="58"/>
        <v>#N/A</v>
      </c>
      <c r="AN929" t="s">
        <v>64</v>
      </c>
      <c r="AO929" t="s">
        <v>62</v>
      </c>
      <c r="AP929" t="str">
        <f t="shared" si="59"/>
        <v/>
      </c>
    </row>
    <row r="930" spans="4:42" x14ac:dyDescent="0.35">
      <c r="D930" s="21"/>
      <c r="E930" s="21"/>
      <c r="L930" s="22"/>
      <c r="S930">
        <f t="shared" si="56"/>
        <v>0</v>
      </c>
      <c r="T930" s="5" t="e" cm="1">
        <f t="array" ref="T9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0" t="e">
        <f>Table1[[#This Row],[Term to Maturity (Years)]]*Table1[[#This Row],[Coupon Frequency2]]</f>
        <v>#N/A</v>
      </c>
      <c r="V930">
        <f>Table1[[#This Row],[Face value]]*Table1[[#This Row],[Current coupon %]]</f>
        <v>0</v>
      </c>
      <c r="W930" s="36" t="e">
        <f>RATE(Table1[[#This Row],[Total No. of Coupons]],Table1[[#This Row],[Coupon Amount]],-Table1[[#This Row],[Ask Price]],Table1[[#This Row],[Face value]])</f>
        <v>#N/A</v>
      </c>
      <c r="X930" s="27" t="e">
        <f>Table1[[#This Row],[IRR]]*Table1[[#This Row],[Coupon Frequency2]]</f>
        <v>#N/A</v>
      </c>
      <c r="Y930" s="19" t="e" cm="1">
        <f t="array" ref="Y9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0" s="33" t="e">
        <f>DURATION(Table1[[#This Row],[Issue date]],Table1[[#This Row],[Maturity date]],Table1[[#This Row],[Current coupon %]],Table1[[#This Row],[Yield (Annualised)]],Table1[[#This Row],[Coupon Frequency2]])</f>
        <v>#N/A</v>
      </c>
      <c r="AA930" s="33" t="e">
        <f>Table1[[#This Row],[Macaulay Duration in Years]]/(1+Table1[[#This Row],[IRR]])</f>
        <v>#N/A</v>
      </c>
      <c r="AB930" s="58" t="e">
        <f>VLOOKUP(Table1[[#This Row],[Yield Cluster]],'Cluster Details'!$B$3:$C$16,2,0)</f>
        <v>#N/A</v>
      </c>
      <c r="AC93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0" s="58" t="e">
        <f>IF(Table1[[#This Row],[Ask Price]]&gt;Table1[[#This Row],[Calculated Bond Price]],"Rich","Cheap")</f>
        <v>#N/A</v>
      </c>
      <c r="AE93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0" s="78" t="e">
        <f>(Table1[[#This Row],[P (+ shock)]]+Table1[[#This Row],[P (-shock)]]-2*Table1[[#This Row],[Ask Price]])/(2*Table1[[#This Row],[Ask Price]]*($AF$2^2))</f>
        <v>#N/A</v>
      </c>
      <c r="AH930">
        <v>13.865273382080099</v>
      </c>
      <c r="AI930" s="6" t="e">
        <f t="shared" si="57"/>
        <v>#DIV/0!</v>
      </c>
      <c r="AK930" s="47" t="e">
        <f>RATE(Table1[[#This Row],[Total No. of Coupons]],Table1[[#This Row],[Coupon Amount]],-Table1[[#This Row],[Ask Price]],Table1[[#This Row],[Face value]])</f>
        <v>#N/A</v>
      </c>
      <c r="AL930" s="27" t="e">
        <f>Table1[[#This Row],[IRR]]*Table1[[#This Row],[Coupon Frequency2]]</f>
        <v>#N/A</v>
      </c>
      <c r="AM930" s="5" t="e">
        <f t="shared" si="58"/>
        <v>#N/A</v>
      </c>
      <c r="AN930" t="s">
        <v>64</v>
      </c>
      <c r="AO930" t="s">
        <v>62</v>
      </c>
      <c r="AP930" t="str">
        <f t="shared" si="59"/>
        <v/>
      </c>
    </row>
    <row r="931" spans="4:42" x14ac:dyDescent="0.35">
      <c r="D931" s="21"/>
      <c r="E931" s="21"/>
      <c r="L931" s="22"/>
      <c r="S931">
        <f t="shared" si="56"/>
        <v>0</v>
      </c>
      <c r="T931" s="5" t="e" cm="1">
        <f t="array" ref="T9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1" t="e">
        <f>Table1[[#This Row],[Term to Maturity (Years)]]*Table1[[#This Row],[Coupon Frequency2]]</f>
        <v>#N/A</v>
      </c>
      <c r="V931">
        <f>Table1[[#This Row],[Face value]]*Table1[[#This Row],[Current coupon %]]</f>
        <v>0</v>
      </c>
      <c r="W931" s="36" t="e">
        <f>RATE(Table1[[#This Row],[Total No. of Coupons]],Table1[[#This Row],[Coupon Amount]],-Table1[[#This Row],[Ask Price]],Table1[[#This Row],[Face value]])</f>
        <v>#N/A</v>
      </c>
      <c r="X931" s="27" t="e">
        <f>Table1[[#This Row],[IRR]]*Table1[[#This Row],[Coupon Frequency2]]</f>
        <v>#N/A</v>
      </c>
      <c r="Y931" s="19" t="e" cm="1">
        <f t="array" ref="Y9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1" s="33" t="e">
        <f>DURATION(Table1[[#This Row],[Issue date]],Table1[[#This Row],[Maturity date]],Table1[[#This Row],[Current coupon %]],Table1[[#This Row],[Yield (Annualised)]],Table1[[#This Row],[Coupon Frequency2]])</f>
        <v>#N/A</v>
      </c>
      <c r="AA931" s="33" t="e">
        <f>Table1[[#This Row],[Macaulay Duration in Years]]/(1+Table1[[#This Row],[IRR]])</f>
        <v>#N/A</v>
      </c>
      <c r="AB931" s="58" t="e">
        <f>VLOOKUP(Table1[[#This Row],[Yield Cluster]],'Cluster Details'!$B$3:$C$16,2,0)</f>
        <v>#N/A</v>
      </c>
      <c r="AC93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1" s="58" t="e">
        <f>IF(Table1[[#This Row],[Ask Price]]&gt;Table1[[#This Row],[Calculated Bond Price]],"Rich","Cheap")</f>
        <v>#N/A</v>
      </c>
      <c r="AE93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1" s="78" t="e">
        <f>(Table1[[#This Row],[P (+ shock)]]+Table1[[#This Row],[P (-shock)]]-2*Table1[[#This Row],[Ask Price]])/(2*Table1[[#This Row],[Ask Price]]*($AF$2^2))</f>
        <v>#N/A</v>
      </c>
      <c r="AH931">
        <v>4.3483101188862001</v>
      </c>
      <c r="AI931" s="6" t="e">
        <f t="shared" si="57"/>
        <v>#DIV/0!</v>
      </c>
      <c r="AK931" s="47" t="e">
        <f>RATE(Table1[[#This Row],[Total No. of Coupons]],Table1[[#This Row],[Coupon Amount]],-Table1[[#This Row],[Ask Price]],Table1[[#This Row],[Face value]])</f>
        <v>#N/A</v>
      </c>
      <c r="AL931" s="27" t="e">
        <f>Table1[[#This Row],[IRR]]*Table1[[#This Row],[Coupon Frequency2]]</f>
        <v>#N/A</v>
      </c>
      <c r="AM931" s="5" t="e">
        <f t="shared" si="58"/>
        <v>#N/A</v>
      </c>
      <c r="AN931" t="s">
        <v>64</v>
      </c>
      <c r="AO931" t="s">
        <v>62</v>
      </c>
      <c r="AP931" t="str">
        <f t="shared" si="59"/>
        <v/>
      </c>
    </row>
    <row r="932" spans="4:42" x14ac:dyDescent="0.35">
      <c r="D932" s="21"/>
      <c r="E932" s="21"/>
      <c r="L932" s="22"/>
      <c r="S932">
        <f t="shared" si="56"/>
        <v>0</v>
      </c>
      <c r="T932" s="5" t="e" cm="1">
        <f t="array" ref="T9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2" t="e">
        <f>Table1[[#This Row],[Term to Maturity (Years)]]*Table1[[#This Row],[Coupon Frequency2]]</f>
        <v>#N/A</v>
      </c>
      <c r="V932">
        <f>Table1[[#This Row],[Face value]]*Table1[[#This Row],[Current coupon %]]</f>
        <v>0</v>
      </c>
      <c r="W932" s="36" t="e">
        <f>RATE(Table1[[#This Row],[Total No. of Coupons]],Table1[[#This Row],[Coupon Amount]],-Table1[[#This Row],[Ask Price]],Table1[[#This Row],[Face value]])</f>
        <v>#N/A</v>
      </c>
      <c r="X932" s="27" t="e">
        <f>Table1[[#This Row],[IRR]]*Table1[[#This Row],[Coupon Frequency2]]</f>
        <v>#N/A</v>
      </c>
      <c r="Y932" s="19" t="e" cm="1">
        <f t="array" ref="Y9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2" s="33" t="e">
        <f>DURATION(Table1[[#This Row],[Issue date]],Table1[[#This Row],[Maturity date]],Table1[[#This Row],[Current coupon %]],Table1[[#This Row],[Yield (Annualised)]],Table1[[#This Row],[Coupon Frequency2]])</f>
        <v>#N/A</v>
      </c>
      <c r="AA932" s="33" t="e">
        <f>Table1[[#This Row],[Macaulay Duration in Years]]/(1+Table1[[#This Row],[IRR]])</f>
        <v>#N/A</v>
      </c>
      <c r="AB932" s="58" t="e">
        <f>VLOOKUP(Table1[[#This Row],[Yield Cluster]],'Cluster Details'!$B$3:$C$16,2,0)</f>
        <v>#N/A</v>
      </c>
      <c r="AC93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2" s="58" t="e">
        <f>IF(Table1[[#This Row],[Ask Price]]&gt;Table1[[#This Row],[Calculated Bond Price]],"Rich","Cheap")</f>
        <v>#N/A</v>
      </c>
      <c r="AE93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2" s="78" t="e">
        <f>(Table1[[#This Row],[P (+ shock)]]+Table1[[#This Row],[P (-shock)]]-2*Table1[[#This Row],[Ask Price]])/(2*Table1[[#This Row],[Ask Price]]*($AF$2^2))</f>
        <v>#N/A</v>
      </c>
      <c r="AH932">
        <v>3.37342485586968</v>
      </c>
      <c r="AI932" s="6" t="e">
        <f t="shared" si="57"/>
        <v>#DIV/0!</v>
      </c>
      <c r="AK932" s="47" t="e">
        <f>RATE(Table1[[#This Row],[Total No. of Coupons]],Table1[[#This Row],[Coupon Amount]],-Table1[[#This Row],[Ask Price]],Table1[[#This Row],[Face value]])</f>
        <v>#N/A</v>
      </c>
      <c r="AL932" s="27" t="e">
        <f>Table1[[#This Row],[IRR]]*Table1[[#This Row],[Coupon Frequency2]]</f>
        <v>#N/A</v>
      </c>
      <c r="AM932" s="5" t="e">
        <f t="shared" si="58"/>
        <v>#N/A</v>
      </c>
      <c r="AN932" t="s">
        <v>64</v>
      </c>
      <c r="AO932" t="s">
        <v>62</v>
      </c>
      <c r="AP932" t="str">
        <f t="shared" si="59"/>
        <v/>
      </c>
    </row>
    <row r="933" spans="4:42" x14ac:dyDescent="0.35">
      <c r="D933" s="21"/>
      <c r="E933" s="21"/>
      <c r="L933" s="22"/>
      <c r="S933">
        <f t="shared" si="56"/>
        <v>0</v>
      </c>
      <c r="T933" s="5" t="e" cm="1">
        <f t="array" ref="T9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3" t="e">
        <f>Table1[[#This Row],[Term to Maturity (Years)]]*Table1[[#This Row],[Coupon Frequency2]]</f>
        <v>#N/A</v>
      </c>
      <c r="V933">
        <f>Table1[[#This Row],[Face value]]*Table1[[#This Row],[Current coupon %]]</f>
        <v>0</v>
      </c>
      <c r="W933" s="36" t="e">
        <f>RATE(Table1[[#This Row],[Total No. of Coupons]],Table1[[#This Row],[Coupon Amount]],-Table1[[#This Row],[Ask Price]],Table1[[#This Row],[Face value]])</f>
        <v>#N/A</v>
      </c>
      <c r="X933" s="27" t="e">
        <f>Table1[[#This Row],[IRR]]*Table1[[#This Row],[Coupon Frequency2]]</f>
        <v>#N/A</v>
      </c>
      <c r="Y933" s="19" t="e" cm="1">
        <f t="array" ref="Y9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3" s="33" t="e">
        <f>DURATION(Table1[[#This Row],[Issue date]],Table1[[#This Row],[Maturity date]],Table1[[#This Row],[Current coupon %]],Table1[[#This Row],[Yield (Annualised)]],Table1[[#This Row],[Coupon Frequency2]])</f>
        <v>#N/A</v>
      </c>
      <c r="AA933" s="33" t="e">
        <f>Table1[[#This Row],[Macaulay Duration in Years]]/(1+Table1[[#This Row],[IRR]])</f>
        <v>#N/A</v>
      </c>
      <c r="AB933" s="58" t="e">
        <f>VLOOKUP(Table1[[#This Row],[Yield Cluster]],'Cluster Details'!$B$3:$C$16,2,0)</f>
        <v>#N/A</v>
      </c>
      <c r="AC93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3" s="58" t="e">
        <f>IF(Table1[[#This Row],[Ask Price]]&gt;Table1[[#This Row],[Calculated Bond Price]],"Rich","Cheap")</f>
        <v>#N/A</v>
      </c>
      <c r="AE93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3" s="78" t="e">
        <f>(Table1[[#This Row],[P (+ shock)]]+Table1[[#This Row],[P (-shock)]]-2*Table1[[#This Row],[Ask Price]])/(2*Table1[[#This Row],[Ask Price]]*($AF$2^2))</f>
        <v>#N/A</v>
      </c>
      <c r="AH933">
        <v>8.8831084097386697</v>
      </c>
      <c r="AI933" s="6" t="e">
        <f t="shared" si="57"/>
        <v>#DIV/0!</v>
      </c>
      <c r="AK933" s="47" t="e">
        <f>RATE(Table1[[#This Row],[Total No. of Coupons]],Table1[[#This Row],[Coupon Amount]],-Table1[[#This Row],[Ask Price]],Table1[[#This Row],[Face value]])</f>
        <v>#N/A</v>
      </c>
      <c r="AL933" s="27" t="e">
        <f>Table1[[#This Row],[IRR]]*Table1[[#This Row],[Coupon Frequency2]]</f>
        <v>#N/A</v>
      </c>
      <c r="AM933" s="5" t="e">
        <f t="shared" si="58"/>
        <v>#N/A</v>
      </c>
      <c r="AN933" t="s">
        <v>64</v>
      </c>
      <c r="AO933" t="s">
        <v>62</v>
      </c>
      <c r="AP933" t="str">
        <f t="shared" si="59"/>
        <v/>
      </c>
    </row>
    <row r="934" spans="4:42" x14ac:dyDescent="0.35">
      <c r="D934" s="21"/>
      <c r="E934" s="21"/>
      <c r="L934" s="22"/>
      <c r="S934">
        <f t="shared" si="56"/>
        <v>0</v>
      </c>
      <c r="T934" s="5" t="e" cm="1">
        <f t="array" ref="T9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4" t="e">
        <f>Table1[[#This Row],[Term to Maturity (Years)]]*Table1[[#This Row],[Coupon Frequency2]]</f>
        <v>#N/A</v>
      </c>
      <c r="V934">
        <f>Table1[[#This Row],[Face value]]*Table1[[#This Row],[Current coupon %]]</f>
        <v>0</v>
      </c>
      <c r="W934" s="36" t="e">
        <f>RATE(Table1[[#This Row],[Total No. of Coupons]],Table1[[#This Row],[Coupon Amount]],-Table1[[#This Row],[Ask Price]],Table1[[#This Row],[Face value]])</f>
        <v>#N/A</v>
      </c>
      <c r="X934" s="27" t="e">
        <f>Table1[[#This Row],[IRR]]*Table1[[#This Row],[Coupon Frequency2]]</f>
        <v>#N/A</v>
      </c>
      <c r="Y934" s="19" t="e" cm="1">
        <f t="array" ref="Y9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4" s="33" t="e">
        <f>DURATION(Table1[[#This Row],[Issue date]],Table1[[#This Row],[Maturity date]],Table1[[#This Row],[Current coupon %]],Table1[[#This Row],[Yield (Annualised)]],Table1[[#This Row],[Coupon Frequency2]])</f>
        <v>#N/A</v>
      </c>
      <c r="AA934" s="33" t="e">
        <f>Table1[[#This Row],[Macaulay Duration in Years]]/(1+Table1[[#This Row],[IRR]])</f>
        <v>#N/A</v>
      </c>
      <c r="AB934" s="58" t="e">
        <f>VLOOKUP(Table1[[#This Row],[Yield Cluster]],'Cluster Details'!$B$3:$C$16,2,0)</f>
        <v>#N/A</v>
      </c>
      <c r="AC93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4" s="58" t="e">
        <f>IF(Table1[[#This Row],[Ask Price]]&gt;Table1[[#This Row],[Calculated Bond Price]],"Rich","Cheap")</f>
        <v>#N/A</v>
      </c>
      <c r="AE93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4" s="78" t="e">
        <f>(Table1[[#This Row],[P (+ shock)]]+Table1[[#This Row],[P (-shock)]]-2*Table1[[#This Row],[Ask Price]])/(2*Table1[[#This Row],[Ask Price]]*($AF$2^2))</f>
        <v>#N/A</v>
      </c>
      <c r="AH934">
        <v>12.2634226968904</v>
      </c>
      <c r="AI934" s="6" t="e">
        <f t="shared" si="57"/>
        <v>#DIV/0!</v>
      </c>
      <c r="AK934" s="47" t="e">
        <f>RATE(Table1[[#This Row],[Total No. of Coupons]],Table1[[#This Row],[Coupon Amount]],-Table1[[#This Row],[Ask Price]],Table1[[#This Row],[Face value]])</f>
        <v>#N/A</v>
      </c>
      <c r="AL934" s="27" t="e">
        <f>Table1[[#This Row],[IRR]]*Table1[[#This Row],[Coupon Frequency2]]</f>
        <v>#N/A</v>
      </c>
      <c r="AM934" s="5" t="e">
        <f t="shared" si="58"/>
        <v>#N/A</v>
      </c>
      <c r="AN934" t="s">
        <v>64</v>
      </c>
      <c r="AO934" t="s">
        <v>62</v>
      </c>
      <c r="AP934" t="str">
        <f t="shared" si="59"/>
        <v/>
      </c>
    </row>
    <row r="935" spans="4:42" x14ac:dyDescent="0.35">
      <c r="D935" s="21"/>
      <c r="E935" s="21"/>
      <c r="L935" s="22"/>
      <c r="S935">
        <f t="shared" si="56"/>
        <v>0</v>
      </c>
      <c r="T935" s="5" t="e" cm="1">
        <f t="array" ref="T9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5" t="e">
        <f>Table1[[#This Row],[Term to Maturity (Years)]]*Table1[[#This Row],[Coupon Frequency2]]</f>
        <v>#N/A</v>
      </c>
      <c r="V935">
        <f>Table1[[#This Row],[Face value]]*Table1[[#This Row],[Current coupon %]]</f>
        <v>0</v>
      </c>
      <c r="W935" s="36" t="e">
        <f>RATE(Table1[[#This Row],[Total No. of Coupons]],Table1[[#This Row],[Coupon Amount]],-Table1[[#This Row],[Ask Price]],Table1[[#This Row],[Face value]])</f>
        <v>#N/A</v>
      </c>
      <c r="X935" s="27" t="e">
        <f>Table1[[#This Row],[IRR]]*Table1[[#This Row],[Coupon Frequency2]]</f>
        <v>#N/A</v>
      </c>
      <c r="Y935" s="19" t="e" cm="1">
        <f t="array" ref="Y9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5" s="33" t="e">
        <f>DURATION(Table1[[#This Row],[Issue date]],Table1[[#This Row],[Maturity date]],Table1[[#This Row],[Current coupon %]],Table1[[#This Row],[Yield (Annualised)]],Table1[[#This Row],[Coupon Frequency2]])</f>
        <v>#N/A</v>
      </c>
      <c r="AA935" s="33" t="e">
        <f>Table1[[#This Row],[Macaulay Duration in Years]]/(1+Table1[[#This Row],[IRR]])</f>
        <v>#N/A</v>
      </c>
      <c r="AB935" s="58" t="e">
        <f>VLOOKUP(Table1[[#This Row],[Yield Cluster]],'Cluster Details'!$B$3:$C$16,2,0)</f>
        <v>#N/A</v>
      </c>
      <c r="AC93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5" s="58" t="e">
        <f>IF(Table1[[#This Row],[Ask Price]]&gt;Table1[[#This Row],[Calculated Bond Price]],"Rich","Cheap")</f>
        <v>#N/A</v>
      </c>
      <c r="AE93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5" s="78" t="e">
        <f>(Table1[[#This Row],[P (+ shock)]]+Table1[[#This Row],[P (-shock)]]-2*Table1[[#This Row],[Ask Price]])/(2*Table1[[#This Row],[Ask Price]]*($AF$2^2))</f>
        <v>#N/A</v>
      </c>
      <c r="AH935">
        <v>9.30555555555555</v>
      </c>
      <c r="AI935" s="6" t="e">
        <f t="shared" si="57"/>
        <v>#DIV/0!</v>
      </c>
      <c r="AK935" s="47" t="e">
        <f>RATE(Table1[[#This Row],[Total No. of Coupons]],Table1[[#This Row],[Coupon Amount]],-Table1[[#This Row],[Ask Price]],Table1[[#This Row],[Face value]])</f>
        <v>#N/A</v>
      </c>
      <c r="AL935" s="27" t="e">
        <f>Table1[[#This Row],[IRR]]*Table1[[#This Row],[Coupon Frequency2]]</f>
        <v>#N/A</v>
      </c>
      <c r="AM935" s="5" t="e">
        <f t="shared" si="58"/>
        <v>#N/A</v>
      </c>
      <c r="AN935" t="s">
        <v>64</v>
      </c>
      <c r="AO935" t="s">
        <v>62</v>
      </c>
      <c r="AP935" t="str">
        <f t="shared" si="59"/>
        <v/>
      </c>
    </row>
    <row r="936" spans="4:42" x14ac:dyDescent="0.35">
      <c r="D936" s="21"/>
      <c r="E936" s="21"/>
      <c r="L936" s="22"/>
      <c r="S936">
        <f t="shared" si="56"/>
        <v>0</v>
      </c>
      <c r="T936" s="5" t="e" cm="1">
        <f t="array" ref="T9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6" t="e">
        <f>Table1[[#This Row],[Term to Maturity (Years)]]*Table1[[#This Row],[Coupon Frequency2]]</f>
        <v>#N/A</v>
      </c>
      <c r="V936">
        <f>Table1[[#This Row],[Face value]]*Table1[[#This Row],[Current coupon %]]</f>
        <v>0</v>
      </c>
      <c r="W936" s="36" t="e">
        <f>RATE(Table1[[#This Row],[Total No. of Coupons]],Table1[[#This Row],[Coupon Amount]],-Table1[[#This Row],[Ask Price]],Table1[[#This Row],[Face value]])</f>
        <v>#N/A</v>
      </c>
      <c r="X936" s="27" t="e">
        <f>Table1[[#This Row],[IRR]]*Table1[[#This Row],[Coupon Frequency2]]</f>
        <v>#N/A</v>
      </c>
      <c r="Y936" s="19" t="e" cm="1">
        <f t="array" ref="Y9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6" s="33" t="e">
        <f>DURATION(Table1[[#This Row],[Issue date]],Table1[[#This Row],[Maturity date]],Table1[[#This Row],[Current coupon %]],Table1[[#This Row],[Yield (Annualised)]],Table1[[#This Row],[Coupon Frequency2]])</f>
        <v>#N/A</v>
      </c>
      <c r="AA936" s="33" t="e">
        <f>Table1[[#This Row],[Macaulay Duration in Years]]/(1+Table1[[#This Row],[IRR]])</f>
        <v>#N/A</v>
      </c>
      <c r="AB936" s="58" t="e">
        <f>VLOOKUP(Table1[[#This Row],[Yield Cluster]],'Cluster Details'!$B$3:$C$16,2,0)</f>
        <v>#N/A</v>
      </c>
      <c r="AC93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6" s="58" t="e">
        <f>IF(Table1[[#This Row],[Ask Price]]&gt;Table1[[#This Row],[Calculated Bond Price]],"Rich","Cheap")</f>
        <v>#N/A</v>
      </c>
      <c r="AE93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6" s="78" t="e">
        <f>(Table1[[#This Row],[P (+ shock)]]+Table1[[#This Row],[P (-shock)]]-2*Table1[[#This Row],[Ask Price]])/(2*Table1[[#This Row],[Ask Price]]*($AF$2^2))</f>
        <v>#N/A</v>
      </c>
      <c r="AH936">
        <v>11.708499437205999</v>
      </c>
      <c r="AI936" s="6" t="e">
        <f t="shared" si="57"/>
        <v>#DIV/0!</v>
      </c>
      <c r="AK936" s="47" t="e">
        <f>RATE(Table1[[#This Row],[Total No. of Coupons]],Table1[[#This Row],[Coupon Amount]],-Table1[[#This Row],[Ask Price]],Table1[[#This Row],[Face value]])</f>
        <v>#N/A</v>
      </c>
      <c r="AL936" s="27" t="e">
        <f>Table1[[#This Row],[IRR]]*Table1[[#This Row],[Coupon Frequency2]]</f>
        <v>#N/A</v>
      </c>
      <c r="AM936" s="5" t="e">
        <f t="shared" si="58"/>
        <v>#N/A</v>
      </c>
      <c r="AN936" t="s">
        <v>64</v>
      </c>
      <c r="AO936" t="s">
        <v>62</v>
      </c>
      <c r="AP936" t="str">
        <f t="shared" si="59"/>
        <v/>
      </c>
    </row>
    <row r="937" spans="4:42" x14ac:dyDescent="0.35">
      <c r="D937" s="21"/>
      <c r="E937" s="21"/>
      <c r="L937" s="22"/>
      <c r="S937">
        <f t="shared" si="56"/>
        <v>0</v>
      </c>
      <c r="T937" s="5" t="e" cm="1">
        <f t="array" ref="T9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7" t="e">
        <f>Table1[[#This Row],[Term to Maturity (Years)]]*Table1[[#This Row],[Coupon Frequency2]]</f>
        <v>#N/A</v>
      </c>
      <c r="V937">
        <f>Table1[[#This Row],[Face value]]*Table1[[#This Row],[Current coupon %]]</f>
        <v>0</v>
      </c>
      <c r="W937" s="36" t="e">
        <f>RATE(Table1[[#This Row],[Total No. of Coupons]],Table1[[#This Row],[Coupon Amount]],-Table1[[#This Row],[Ask Price]],Table1[[#This Row],[Face value]])</f>
        <v>#N/A</v>
      </c>
      <c r="X937" s="27" t="e">
        <f>Table1[[#This Row],[IRR]]*Table1[[#This Row],[Coupon Frequency2]]</f>
        <v>#N/A</v>
      </c>
      <c r="Y937" s="19" t="e" cm="1">
        <f t="array" ref="Y9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7" s="33" t="e">
        <f>DURATION(Table1[[#This Row],[Issue date]],Table1[[#This Row],[Maturity date]],Table1[[#This Row],[Current coupon %]],Table1[[#This Row],[Yield (Annualised)]],Table1[[#This Row],[Coupon Frequency2]])</f>
        <v>#N/A</v>
      </c>
      <c r="AA937" s="33" t="e">
        <f>Table1[[#This Row],[Macaulay Duration in Years]]/(1+Table1[[#This Row],[IRR]])</f>
        <v>#N/A</v>
      </c>
      <c r="AB937" s="58" t="e">
        <f>VLOOKUP(Table1[[#This Row],[Yield Cluster]],'Cluster Details'!$B$3:$C$16,2,0)</f>
        <v>#N/A</v>
      </c>
      <c r="AC93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7" s="58" t="e">
        <f>IF(Table1[[#This Row],[Ask Price]]&gt;Table1[[#This Row],[Calculated Bond Price]],"Rich","Cheap")</f>
        <v>#N/A</v>
      </c>
      <c r="AE93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7" s="78" t="e">
        <f>(Table1[[#This Row],[P (+ shock)]]+Table1[[#This Row],[P (-shock)]]-2*Table1[[#This Row],[Ask Price]])/(2*Table1[[#This Row],[Ask Price]]*($AF$2^2))</f>
        <v>#N/A</v>
      </c>
      <c r="AH937">
        <v>10.3064245710412</v>
      </c>
      <c r="AI937" s="6" t="e">
        <f t="shared" si="57"/>
        <v>#DIV/0!</v>
      </c>
      <c r="AK937" s="47" t="e">
        <f>RATE(Table1[[#This Row],[Total No. of Coupons]],Table1[[#This Row],[Coupon Amount]],-Table1[[#This Row],[Ask Price]],Table1[[#This Row],[Face value]])</f>
        <v>#N/A</v>
      </c>
      <c r="AL937" s="27" t="e">
        <f>Table1[[#This Row],[IRR]]*Table1[[#This Row],[Coupon Frequency2]]</f>
        <v>#N/A</v>
      </c>
      <c r="AM937" s="5" t="e">
        <f t="shared" si="58"/>
        <v>#N/A</v>
      </c>
      <c r="AN937" t="s">
        <v>64</v>
      </c>
      <c r="AO937" t="s">
        <v>62</v>
      </c>
      <c r="AP937" t="str">
        <f t="shared" si="59"/>
        <v/>
      </c>
    </row>
    <row r="938" spans="4:42" x14ac:dyDescent="0.35">
      <c r="D938" s="21"/>
      <c r="E938" s="21"/>
      <c r="L938" s="22"/>
      <c r="S938">
        <f t="shared" si="56"/>
        <v>0</v>
      </c>
      <c r="T938" s="5" t="e" cm="1">
        <f t="array" ref="T9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8" t="e">
        <f>Table1[[#This Row],[Term to Maturity (Years)]]*Table1[[#This Row],[Coupon Frequency2]]</f>
        <v>#N/A</v>
      </c>
      <c r="V938">
        <f>Table1[[#This Row],[Face value]]*Table1[[#This Row],[Current coupon %]]</f>
        <v>0</v>
      </c>
      <c r="W938" s="36" t="e">
        <f>RATE(Table1[[#This Row],[Total No. of Coupons]],Table1[[#This Row],[Coupon Amount]],-Table1[[#This Row],[Ask Price]],Table1[[#This Row],[Face value]])</f>
        <v>#N/A</v>
      </c>
      <c r="X938" s="27" t="e">
        <f>Table1[[#This Row],[IRR]]*Table1[[#This Row],[Coupon Frequency2]]</f>
        <v>#N/A</v>
      </c>
      <c r="Y938" s="19" t="e" cm="1">
        <f t="array" ref="Y9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8" s="33" t="e">
        <f>DURATION(Table1[[#This Row],[Issue date]],Table1[[#This Row],[Maturity date]],Table1[[#This Row],[Current coupon %]],Table1[[#This Row],[Yield (Annualised)]],Table1[[#This Row],[Coupon Frequency2]])</f>
        <v>#N/A</v>
      </c>
      <c r="AA938" s="33" t="e">
        <f>Table1[[#This Row],[Macaulay Duration in Years]]/(1+Table1[[#This Row],[IRR]])</f>
        <v>#N/A</v>
      </c>
      <c r="AB938" s="58" t="e">
        <f>VLOOKUP(Table1[[#This Row],[Yield Cluster]],'Cluster Details'!$B$3:$C$16,2,0)</f>
        <v>#N/A</v>
      </c>
      <c r="AC93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8" s="58" t="e">
        <f>IF(Table1[[#This Row],[Ask Price]]&gt;Table1[[#This Row],[Calculated Bond Price]],"Rich","Cheap")</f>
        <v>#N/A</v>
      </c>
      <c r="AE93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8" s="78" t="e">
        <f>(Table1[[#This Row],[P (+ shock)]]+Table1[[#This Row],[P (-shock)]]-2*Table1[[#This Row],[Ask Price]])/(2*Table1[[#This Row],[Ask Price]]*($AF$2^2))</f>
        <v>#N/A</v>
      </c>
      <c r="AH938">
        <v>8.5938769065629792</v>
      </c>
      <c r="AI938" s="6" t="e">
        <f t="shared" si="57"/>
        <v>#DIV/0!</v>
      </c>
      <c r="AK938" s="47" t="e">
        <f>RATE(Table1[[#This Row],[Total No. of Coupons]],Table1[[#This Row],[Coupon Amount]],-Table1[[#This Row],[Ask Price]],Table1[[#This Row],[Face value]])</f>
        <v>#N/A</v>
      </c>
      <c r="AL938" s="27" t="e">
        <f>Table1[[#This Row],[IRR]]*Table1[[#This Row],[Coupon Frequency2]]</f>
        <v>#N/A</v>
      </c>
      <c r="AM938" s="5" t="e">
        <f t="shared" si="58"/>
        <v>#N/A</v>
      </c>
      <c r="AN938" t="s">
        <v>64</v>
      </c>
      <c r="AO938" t="s">
        <v>62</v>
      </c>
      <c r="AP938" t="str">
        <f t="shared" si="59"/>
        <v/>
      </c>
    </row>
    <row r="939" spans="4:42" x14ac:dyDescent="0.35">
      <c r="D939" s="21"/>
      <c r="E939" s="21"/>
      <c r="L939" s="22"/>
      <c r="S939">
        <f t="shared" si="56"/>
        <v>0</v>
      </c>
      <c r="T939" s="5" t="e" cm="1">
        <f t="array" ref="T9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39" t="e">
        <f>Table1[[#This Row],[Term to Maturity (Years)]]*Table1[[#This Row],[Coupon Frequency2]]</f>
        <v>#N/A</v>
      </c>
      <c r="V939">
        <f>Table1[[#This Row],[Face value]]*Table1[[#This Row],[Current coupon %]]</f>
        <v>0</v>
      </c>
      <c r="W939" s="36" t="e">
        <f>RATE(Table1[[#This Row],[Total No. of Coupons]],Table1[[#This Row],[Coupon Amount]],-Table1[[#This Row],[Ask Price]],Table1[[#This Row],[Face value]])</f>
        <v>#N/A</v>
      </c>
      <c r="X939" s="27" t="e">
        <f>Table1[[#This Row],[IRR]]*Table1[[#This Row],[Coupon Frequency2]]</f>
        <v>#N/A</v>
      </c>
      <c r="Y939" s="19" t="e" cm="1">
        <f t="array" ref="Y9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39" s="33" t="e">
        <f>DURATION(Table1[[#This Row],[Issue date]],Table1[[#This Row],[Maturity date]],Table1[[#This Row],[Current coupon %]],Table1[[#This Row],[Yield (Annualised)]],Table1[[#This Row],[Coupon Frequency2]])</f>
        <v>#N/A</v>
      </c>
      <c r="AA939" s="33" t="e">
        <f>Table1[[#This Row],[Macaulay Duration in Years]]/(1+Table1[[#This Row],[IRR]])</f>
        <v>#N/A</v>
      </c>
      <c r="AB939" s="58" t="e">
        <f>VLOOKUP(Table1[[#This Row],[Yield Cluster]],'Cluster Details'!$B$3:$C$16,2,0)</f>
        <v>#N/A</v>
      </c>
      <c r="AC93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39" s="58" t="e">
        <f>IF(Table1[[#This Row],[Ask Price]]&gt;Table1[[#This Row],[Calculated Bond Price]],"Rich","Cheap")</f>
        <v>#N/A</v>
      </c>
      <c r="AE93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3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39" s="78" t="e">
        <f>(Table1[[#This Row],[P (+ shock)]]+Table1[[#This Row],[P (-shock)]]-2*Table1[[#This Row],[Ask Price]])/(2*Table1[[#This Row],[Ask Price]]*($AF$2^2))</f>
        <v>#N/A</v>
      </c>
      <c r="AH939">
        <v>3.4188451753220499</v>
      </c>
      <c r="AI939" s="6" t="e">
        <f t="shared" si="57"/>
        <v>#DIV/0!</v>
      </c>
      <c r="AK939" s="47" t="e">
        <f>RATE(Table1[[#This Row],[Total No. of Coupons]],Table1[[#This Row],[Coupon Amount]],-Table1[[#This Row],[Ask Price]],Table1[[#This Row],[Face value]])</f>
        <v>#N/A</v>
      </c>
      <c r="AL939" s="27" t="e">
        <f>Table1[[#This Row],[IRR]]*Table1[[#This Row],[Coupon Frequency2]]</f>
        <v>#N/A</v>
      </c>
      <c r="AM939" s="5" t="e">
        <f t="shared" si="58"/>
        <v>#N/A</v>
      </c>
      <c r="AN939" t="s">
        <v>64</v>
      </c>
      <c r="AO939" t="s">
        <v>62</v>
      </c>
      <c r="AP939" t="str">
        <f t="shared" si="59"/>
        <v/>
      </c>
    </row>
    <row r="940" spans="4:42" x14ac:dyDescent="0.35">
      <c r="D940" s="21"/>
      <c r="E940" s="21"/>
      <c r="L940" s="22"/>
      <c r="S940">
        <f t="shared" si="56"/>
        <v>0</v>
      </c>
      <c r="T940" s="5" t="e" cm="1">
        <f t="array" ref="T9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0" t="e">
        <f>Table1[[#This Row],[Term to Maturity (Years)]]*Table1[[#This Row],[Coupon Frequency2]]</f>
        <v>#N/A</v>
      </c>
      <c r="V940">
        <f>Table1[[#This Row],[Face value]]*Table1[[#This Row],[Current coupon %]]</f>
        <v>0</v>
      </c>
      <c r="W940" s="36" t="e">
        <f>RATE(Table1[[#This Row],[Total No. of Coupons]],Table1[[#This Row],[Coupon Amount]],-Table1[[#This Row],[Ask Price]],Table1[[#This Row],[Face value]])</f>
        <v>#N/A</v>
      </c>
      <c r="X940" s="27" t="e">
        <f>Table1[[#This Row],[IRR]]*Table1[[#This Row],[Coupon Frequency2]]</f>
        <v>#N/A</v>
      </c>
      <c r="Y940" s="19" t="e" cm="1">
        <f t="array" ref="Y9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0" s="33" t="e">
        <f>DURATION(Table1[[#This Row],[Issue date]],Table1[[#This Row],[Maturity date]],Table1[[#This Row],[Current coupon %]],Table1[[#This Row],[Yield (Annualised)]],Table1[[#This Row],[Coupon Frequency2]])</f>
        <v>#N/A</v>
      </c>
      <c r="AA940" s="33" t="e">
        <f>Table1[[#This Row],[Macaulay Duration in Years]]/(1+Table1[[#This Row],[IRR]])</f>
        <v>#N/A</v>
      </c>
      <c r="AB940" s="58" t="e">
        <f>VLOOKUP(Table1[[#This Row],[Yield Cluster]],'Cluster Details'!$B$3:$C$16,2,0)</f>
        <v>#N/A</v>
      </c>
      <c r="AC94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0" s="58" t="e">
        <f>IF(Table1[[#This Row],[Ask Price]]&gt;Table1[[#This Row],[Calculated Bond Price]],"Rich","Cheap")</f>
        <v>#N/A</v>
      </c>
      <c r="AE94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0" s="78" t="e">
        <f>(Table1[[#This Row],[P (+ shock)]]+Table1[[#This Row],[P (-shock)]]-2*Table1[[#This Row],[Ask Price]])/(2*Table1[[#This Row],[Ask Price]]*($AF$2^2))</f>
        <v>#N/A</v>
      </c>
      <c r="AH940">
        <v>3.37529120066417</v>
      </c>
      <c r="AI940" s="6" t="e">
        <f t="shared" si="57"/>
        <v>#DIV/0!</v>
      </c>
      <c r="AK940" s="47" t="e">
        <f>RATE(Table1[[#This Row],[Total No. of Coupons]],Table1[[#This Row],[Coupon Amount]],-Table1[[#This Row],[Ask Price]],Table1[[#This Row],[Face value]])</f>
        <v>#N/A</v>
      </c>
      <c r="AL940" s="27" t="e">
        <f>Table1[[#This Row],[IRR]]*Table1[[#This Row],[Coupon Frequency2]]</f>
        <v>#N/A</v>
      </c>
      <c r="AM940" s="5" t="e">
        <f t="shared" si="58"/>
        <v>#N/A</v>
      </c>
      <c r="AN940" t="s">
        <v>64</v>
      </c>
      <c r="AO940" t="s">
        <v>62</v>
      </c>
      <c r="AP940" t="str">
        <f t="shared" si="59"/>
        <v/>
      </c>
    </row>
    <row r="941" spans="4:42" x14ac:dyDescent="0.35">
      <c r="D941" s="21"/>
      <c r="E941" s="21"/>
      <c r="L941" s="22"/>
      <c r="S941">
        <f t="shared" si="56"/>
        <v>0</v>
      </c>
      <c r="T941" s="5" t="e" cm="1">
        <f t="array" ref="T9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1" t="e">
        <f>Table1[[#This Row],[Term to Maturity (Years)]]*Table1[[#This Row],[Coupon Frequency2]]</f>
        <v>#N/A</v>
      </c>
      <c r="V941">
        <f>Table1[[#This Row],[Face value]]*Table1[[#This Row],[Current coupon %]]</f>
        <v>0</v>
      </c>
      <c r="W941" s="36" t="e">
        <f>RATE(Table1[[#This Row],[Total No. of Coupons]],Table1[[#This Row],[Coupon Amount]],-Table1[[#This Row],[Ask Price]],Table1[[#This Row],[Face value]])</f>
        <v>#N/A</v>
      </c>
      <c r="X941" s="27" t="e">
        <f>Table1[[#This Row],[IRR]]*Table1[[#This Row],[Coupon Frequency2]]</f>
        <v>#N/A</v>
      </c>
      <c r="Y941" s="19" t="e" cm="1">
        <f t="array" ref="Y9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1" s="33" t="e">
        <f>DURATION(Table1[[#This Row],[Issue date]],Table1[[#This Row],[Maturity date]],Table1[[#This Row],[Current coupon %]],Table1[[#This Row],[Yield (Annualised)]],Table1[[#This Row],[Coupon Frequency2]])</f>
        <v>#N/A</v>
      </c>
      <c r="AA941" s="33" t="e">
        <f>Table1[[#This Row],[Macaulay Duration in Years]]/(1+Table1[[#This Row],[IRR]])</f>
        <v>#N/A</v>
      </c>
      <c r="AB941" s="58" t="e">
        <f>VLOOKUP(Table1[[#This Row],[Yield Cluster]],'Cluster Details'!$B$3:$C$16,2,0)</f>
        <v>#N/A</v>
      </c>
      <c r="AC94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1" s="58" t="e">
        <f>IF(Table1[[#This Row],[Ask Price]]&gt;Table1[[#This Row],[Calculated Bond Price]],"Rich","Cheap")</f>
        <v>#N/A</v>
      </c>
      <c r="AE94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1" s="78" t="e">
        <f>(Table1[[#This Row],[P (+ shock)]]+Table1[[#This Row],[P (-shock)]]-2*Table1[[#This Row],[Ask Price]])/(2*Table1[[#This Row],[Ask Price]]*($AF$2^2))</f>
        <v>#N/A</v>
      </c>
      <c r="AH941">
        <v>3.3862609701758899</v>
      </c>
      <c r="AI941" s="6" t="e">
        <f t="shared" si="57"/>
        <v>#DIV/0!</v>
      </c>
      <c r="AK941" s="47" t="e">
        <f>RATE(Table1[[#This Row],[Total No. of Coupons]],Table1[[#This Row],[Coupon Amount]],-Table1[[#This Row],[Ask Price]],Table1[[#This Row],[Face value]])</f>
        <v>#N/A</v>
      </c>
      <c r="AL941" s="27" t="e">
        <f>Table1[[#This Row],[IRR]]*Table1[[#This Row],[Coupon Frequency2]]</f>
        <v>#N/A</v>
      </c>
      <c r="AM941" s="5" t="e">
        <f t="shared" si="58"/>
        <v>#N/A</v>
      </c>
      <c r="AN941" t="s">
        <v>64</v>
      </c>
      <c r="AO941" t="s">
        <v>62</v>
      </c>
      <c r="AP941" t="str">
        <f t="shared" si="59"/>
        <v/>
      </c>
    </row>
    <row r="942" spans="4:42" x14ac:dyDescent="0.35">
      <c r="D942" s="21"/>
      <c r="E942" s="21"/>
      <c r="L942" s="22"/>
      <c r="S942">
        <f t="shared" si="56"/>
        <v>0</v>
      </c>
      <c r="T942" s="5" t="e" cm="1">
        <f t="array" ref="T9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2" t="e">
        <f>Table1[[#This Row],[Term to Maturity (Years)]]*Table1[[#This Row],[Coupon Frequency2]]</f>
        <v>#N/A</v>
      </c>
      <c r="V942">
        <f>Table1[[#This Row],[Face value]]*Table1[[#This Row],[Current coupon %]]</f>
        <v>0</v>
      </c>
      <c r="W942" s="36" t="e">
        <f>RATE(Table1[[#This Row],[Total No. of Coupons]],Table1[[#This Row],[Coupon Amount]],-Table1[[#This Row],[Ask Price]],Table1[[#This Row],[Face value]])</f>
        <v>#N/A</v>
      </c>
      <c r="X942" s="27" t="e">
        <f>Table1[[#This Row],[IRR]]*Table1[[#This Row],[Coupon Frequency2]]</f>
        <v>#N/A</v>
      </c>
      <c r="Y942" s="19" t="e" cm="1">
        <f t="array" ref="Y9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2" s="33" t="e">
        <f>DURATION(Table1[[#This Row],[Issue date]],Table1[[#This Row],[Maturity date]],Table1[[#This Row],[Current coupon %]],Table1[[#This Row],[Yield (Annualised)]],Table1[[#This Row],[Coupon Frequency2]])</f>
        <v>#N/A</v>
      </c>
      <c r="AA942" s="33" t="e">
        <f>Table1[[#This Row],[Macaulay Duration in Years]]/(1+Table1[[#This Row],[IRR]])</f>
        <v>#N/A</v>
      </c>
      <c r="AB942" s="58" t="e">
        <f>VLOOKUP(Table1[[#This Row],[Yield Cluster]],'Cluster Details'!$B$3:$C$16,2,0)</f>
        <v>#N/A</v>
      </c>
      <c r="AC94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2" s="58" t="e">
        <f>IF(Table1[[#This Row],[Ask Price]]&gt;Table1[[#This Row],[Calculated Bond Price]],"Rich","Cheap")</f>
        <v>#N/A</v>
      </c>
      <c r="AE94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2" s="78" t="e">
        <f>(Table1[[#This Row],[P (+ shock)]]+Table1[[#This Row],[P (-shock)]]-2*Table1[[#This Row],[Ask Price]])/(2*Table1[[#This Row],[Ask Price]]*($AF$2^2))</f>
        <v>#N/A</v>
      </c>
      <c r="AH942">
        <v>3.40346079437685</v>
      </c>
      <c r="AI942" s="6" t="e">
        <f t="shared" si="57"/>
        <v>#DIV/0!</v>
      </c>
      <c r="AK942" s="47" t="e">
        <f>RATE(Table1[[#This Row],[Total No. of Coupons]],Table1[[#This Row],[Coupon Amount]],-Table1[[#This Row],[Ask Price]],Table1[[#This Row],[Face value]])</f>
        <v>#N/A</v>
      </c>
      <c r="AL942" s="27" t="e">
        <f>Table1[[#This Row],[IRR]]*Table1[[#This Row],[Coupon Frequency2]]</f>
        <v>#N/A</v>
      </c>
      <c r="AM942" s="5" t="e">
        <f t="shared" si="58"/>
        <v>#N/A</v>
      </c>
      <c r="AN942" t="s">
        <v>64</v>
      </c>
      <c r="AO942" t="s">
        <v>62</v>
      </c>
      <c r="AP942" t="str">
        <f t="shared" si="59"/>
        <v/>
      </c>
    </row>
    <row r="943" spans="4:42" x14ac:dyDescent="0.35">
      <c r="D943" s="21"/>
      <c r="E943" s="21"/>
      <c r="L943" s="22"/>
      <c r="S943">
        <f t="shared" si="56"/>
        <v>0</v>
      </c>
      <c r="T943" s="5" t="e" cm="1">
        <f t="array" ref="T9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3" t="e">
        <f>Table1[[#This Row],[Term to Maturity (Years)]]*Table1[[#This Row],[Coupon Frequency2]]</f>
        <v>#N/A</v>
      </c>
      <c r="V943">
        <f>Table1[[#This Row],[Face value]]*Table1[[#This Row],[Current coupon %]]</f>
        <v>0</v>
      </c>
      <c r="W943" s="36" t="e">
        <f>RATE(Table1[[#This Row],[Total No. of Coupons]],Table1[[#This Row],[Coupon Amount]],-Table1[[#This Row],[Ask Price]],Table1[[#This Row],[Face value]])</f>
        <v>#N/A</v>
      </c>
      <c r="X943" s="27" t="e">
        <f>Table1[[#This Row],[IRR]]*Table1[[#This Row],[Coupon Frequency2]]</f>
        <v>#N/A</v>
      </c>
      <c r="Y943" s="19" t="e" cm="1">
        <f t="array" ref="Y9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3" s="33" t="e">
        <f>DURATION(Table1[[#This Row],[Issue date]],Table1[[#This Row],[Maturity date]],Table1[[#This Row],[Current coupon %]],Table1[[#This Row],[Yield (Annualised)]],Table1[[#This Row],[Coupon Frequency2]])</f>
        <v>#N/A</v>
      </c>
      <c r="AA943" s="33" t="e">
        <f>Table1[[#This Row],[Macaulay Duration in Years]]/(1+Table1[[#This Row],[IRR]])</f>
        <v>#N/A</v>
      </c>
      <c r="AB943" s="58" t="e">
        <f>VLOOKUP(Table1[[#This Row],[Yield Cluster]],'Cluster Details'!$B$3:$C$16,2,0)</f>
        <v>#N/A</v>
      </c>
      <c r="AC94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3" s="58" t="e">
        <f>IF(Table1[[#This Row],[Ask Price]]&gt;Table1[[#This Row],[Calculated Bond Price]],"Rich","Cheap")</f>
        <v>#N/A</v>
      </c>
      <c r="AE94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3" s="78" t="e">
        <f>(Table1[[#This Row],[P (+ shock)]]+Table1[[#This Row],[P (-shock)]]-2*Table1[[#This Row],[Ask Price]])/(2*Table1[[#This Row],[Ask Price]]*($AF$2^2))</f>
        <v>#N/A</v>
      </c>
      <c r="AH943">
        <v>3.4188451753220499</v>
      </c>
      <c r="AI943" s="6" t="e">
        <f t="shared" si="57"/>
        <v>#DIV/0!</v>
      </c>
      <c r="AK943" s="47" t="e">
        <f>RATE(Table1[[#This Row],[Total No. of Coupons]],Table1[[#This Row],[Coupon Amount]],-Table1[[#This Row],[Ask Price]],Table1[[#This Row],[Face value]])</f>
        <v>#N/A</v>
      </c>
      <c r="AL943" s="27" t="e">
        <f>Table1[[#This Row],[IRR]]*Table1[[#This Row],[Coupon Frequency2]]</f>
        <v>#N/A</v>
      </c>
      <c r="AM943" s="5" t="e">
        <f t="shared" si="58"/>
        <v>#N/A</v>
      </c>
      <c r="AN943" t="s">
        <v>64</v>
      </c>
      <c r="AO943" t="s">
        <v>62</v>
      </c>
      <c r="AP943" t="str">
        <f t="shared" si="59"/>
        <v/>
      </c>
    </row>
    <row r="944" spans="4:42" x14ac:dyDescent="0.35">
      <c r="D944" s="21"/>
      <c r="E944" s="21"/>
      <c r="L944" s="22"/>
      <c r="S944">
        <f t="shared" si="56"/>
        <v>0</v>
      </c>
      <c r="T944" s="5" t="e" cm="1">
        <f t="array" ref="T9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4" t="e">
        <f>Table1[[#This Row],[Term to Maturity (Years)]]*Table1[[#This Row],[Coupon Frequency2]]</f>
        <v>#N/A</v>
      </c>
      <c r="V944">
        <f>Table1[[#This Row],[Face value]]*Table1[[#This Row],[Current coupon %]]</f>
        <v>0</v>
      </c>
      <c r="W944" s="36" t="e">
        <f>RATE(Table1[[#This Row],[Total No. of Coupons]],Table1[[#This Row],[Coupon Amount]],-Table1[[#This Row],[Ask Price]],Table1[[#This Row],[Face value]])</f>
        <v>#N/A</v>
      </c>
      <c r="X944" s="27" t="e">
        <f>Table1[[#This Row],[IRR]]*Table1[[#This Row],[Coupon Frequency2]]</f>
        <v>#N/A</v>
      </c>
      <c r="Y944" s="19" t="e" cm="1">
        <f t="array" ref="Y9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4" s="33" t="e">
        <f>DURATION(Table1[[#This Row],[Issue date]],Table1[[#This Row],[Maturity date]],Table1[[#This Row],[Current coupon %]],Table1[[#This Row],[Yield (Annualised)]],Table1[[#This Row],[Coupon Frequency2]])</f>
        <v>#N/A</v>
      </c>
      <c r="AA944" s="33" t="e">
        <f>Table1[[#This Row],[Macaulay Duration in Years]]/(1+Table1[[#This Row],[IRR]])</f>
        <v>#N/A</v>
      </c>
      <c r="AB944" s="58" t="e">
        <f>VLOOKUP(Table1[[#This Row],[Yield Cluster]],'Cluster Details'!$B$3:$C$16,2,0)</f>
        <v>#N/A</v>
      </c>
      <c r="AC94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4" s="58" t="e">
        <f>IF(Table1[[#This Row],[Ask Price]]&gt;Table1[[#This Row],[Calculated Bond Price]],"Rich","Cheap")</f>
        <v>#N/A</v>
      </c>
      <c r="AE94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4" s="78" t="e">
        <f>(Table1[[#This Row],[P (+ shock)]]+Table1[[#This Row],[P (-shock)]]-2*Table1[[#This Row],[Ask Price]])/(2*Table1[[#This Row],[Ask Price]]*($AF$2^2))</f>
        <v>#N/A</v>
      </c>
      <c r="AH944">
        <v>3.4852996541244501</v>
      </c>
      <c r="AI944" s="6" t="e">
        <f t="shared" si="57"/>
        <v>#DIV/0!</v>
      </c>
      <c r="AK944" s="47" t="e">
        <f>RATE(Table1[[#This Row],[Total No. of Coupons]],Table1[[#This Row],[Coupon Amount]],-Table1[[#This Row],[Ask Price]],Table1[[#This Row],[Face value]])</f>
        <v>#N/A</v>
      </c>
      <c r="AL944" s="27" t="e">
        <f>Table1[[#This Row],[IRR]]*Table1[[#This Row],[Coupon Frequency2]]</f>
        <v>#N/A</v>
      </c>
      <c r="AM944" s="5" t="e">
        <f t="shared" si="58"/>
        <v>#N/A</v>
      </c>
      <c r="AN944" t="s">
        <v>64</v>
      </c>
      <c r="AO944" t="s">
        <v>62</v>
      </c>
      <c r="AP944" t="str">
        <f t="shared" si="59"/>
        <v/>
      </c>
    </row>
    <row r="945" spans="4:42" x14ac:dyDescent="0.35">
      <c r="D945" s="21"/>
      <c r="E945" s="21"/>
      <c r="L945" s="22"/>
      <c r="S945">
        <f t="shared" si="56"/>
        <v>0</v>
      </c>
      <c r="T945" s="5" t="e" cm="1">
        <f t="array" ref="T9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5" t="e">
        <f>Table1[[#This Row],[Term to Maturity (Years)]]*Table1[[#This Row],[Coupon Frequency2]]</f>
        <v>#N/A</v>
      </c>
      <c r="V945">
        <f>Table1[[#This Row],[Face value]]*Table1[[#This Row],[Current coupon %]]</f>
        <v>0</v>
      </c>
      <c r="W945" s="36" t="e">
        <f>RATE(Table1[[#This Row],[Total No. of Coupons]],Table1[[#This Row],[Coupon Amount]],-Table1[[#This Row],[Ask Price]],Table1[[#This Row],[Face value]])</f>
        <v>#N/A</v>
      </c>
      <c r="X945" s="27" t="e">
        <f>Table1[[#This Row],[IRR]]*Table1[[#This Row],[Coupon Frequency2]]</f>
        <v>#N/A</v>
      </c>
      <c r="Y945" s="19" t="e" cm="1">
        <f t="array" ref="Y9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5" s="33" t="e">
        <f>DURATION(Table1[[#This Row],[Issue date]],Table1[[#This Row],[Maturity date]],Table1[[#This Row],[Current coupon %]],Table1[[#This Row],[Yield (Annualised)]],Table1[[#This Row],[Coupon Frequency2]])</f>
        <v>#N/A</v>
      </c>
      <c r="AA945" s="33" t="e">
        <f>Table1[[#This Row],[Macaulay Duration in Years]]/(1+Table1[[#This Row],[IRR]])</f>
        <v>#N/A</v>
      </c>
      <c r="AB945" s="58" t="e">
        <f>VLOOKUP(Table1[[#This Row],[Yield Cluster]],'Cluster Details'!$B$3:$C$16,2,0)</f>
        <v>#N/A</v>
      </c>
      <c r="AC94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5" s="58" t="e">
        <f>IF(Table1[[#This Row],[Ask Price]]&gt;Table1[[#This Row],[Calculated Bond Price]],"Rich","Cheap")</f>
        <v>#N/A</v>
      </c>
      <c r="AE94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5" s="78" t="e">
        <f>(Table1[[#This Row],[P (+ shock)]]+Table1[[#This Row],[P (-shock)]]-2*Table1[[#This Row],[Ask Price]])/(2*Table1[[#This Row],[Ask Price]]*($AF$2^2))</f>
        <v>#N/A</v>
      </c>
      <c r="AH945">
        <v>3.2847816857489698</v>
      </c>
      <c r="AI945" s="6" t="e">
        <f t="shared" si="57"/>
        <v>#DIV/0!</v>
      </c>
      <c r="AK945" s="47" t="e">
        <f>RATE(Table1[[#This Row],[Total No. of Coupons]],Table1[[#This Row],[Coupon Amount]],-Table1[[#This Row],[Ask Price]],Table1[[#This Row],[Face value]])</f>
        <v>#N/A</v>
      </c>
      <c r="AL945" s="27" t="e">
        <f>Table1[[#This Row],[IRR]]*Table1[[#This Row],[Coupon Frequency2]]</f>
        <v>#N/A</v>
      </c>
      <c r="AM945" s="5" t="e">
        <f t="shared" si="58"/>
        <v>#N/A</v>
      </c>
      <c r="AN945" t="s">
        <v>64</v>
      </c>
      <c r="AO945" t="s">
        <v>62</v>
      </c>
      <c r="AP945" t="str">
        <f t="shared" si="59"/>
        <v/>
      </c>
    </row>
    <row r="946" spans="4:42" x14ac:dyDescent="0.35">
      <c r="D946" s="21"/>
      <c r="E946" s="21"/>
      <c r="L946" s="22"/>
      <c r="S946">
        <f t="shared" si="56"/>
        <v>0</v>
      </c>
      <c r="T946" s="5" t="e" cm="1">
        <f t="array" ref="T9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6" t="e">
        <f>Table1[[#This Row],[Term to Maturity (Years)]]*Table1[[#This Row],[Coupon Frequency2]]</f>
        <v>#N/A</v>
      </c>
      <c r="V946">
        <f>Table1[[#This Row],[Face value]]*Table1[[#This Row],[Current coupon %]]</f>
        <v>0</v>
      </c>
      <c r="W946" s="36" t="e">
        <f>RATE(Table1[[#This Row],[Total No. of Coupons]],Table1[[#This Row],[Coupon Amount]],-Table1[[#This Row],[Ask Price]],Table1[[#This Row],[Face value]])</f>
        <v>#N/A</v>
      </c>
      <c r="X946" s="27" t="e">
        <f>Table1[[#This Row],[IRR]]*Table1[[#This Row],[Coupon Frequency2]]</f>
        <v>#N/A</v>
      </c>
      <c r="Y946" s="19" t="e" cm="1">
        <f t="array" ref="Y9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6" s="33" t="e">
        <f>DURATION(Table1[[#This Row],[Issue date]],Table1[[#This Row],[Maturity date]],Table1[[#This Row],[Current coupon %]],Table1[[#This Row],[Yield (Annualised)]],Table1[[#This Row],[Coupon Frequency2]])</f>
        <v>#N/A</v>
      </c>
      <c r="AA946" s="33" t="e">
        <f>Table1[[#This Row],[Macaulay Duration in Years]]/(1+Table1[[#This Row],[IRR]])</f>
        <v>#N/A</v>
      </c>
      <c r="AB946" s="58" t="e">
        <f>VLOOKUP(Table1[[#This Row],[Yield Cluster]],'Cluster Details'!$B$3:$C$16,2,0)</f>
        <v>#N/A</v>
      </c>
      <c r="AC94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6" s="58" t="e">
        <f>IF(Table1[[#This Row],[Ask Price]]&gt;Table1[[#This Row],[Calculated Bond Price]],"Rich","Cheap")</f>
        <v>#N/A</v>
      </c>
      <c r="AE94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6" s="78" t="e">
        <f>(Table1[[#This Row],[P (+ shock)]]+Table1[[#This Row],[P (-shock)]]-2*Table1[[#This Row],[Ask Price]])/(2*Table1[[#This Row],[Ask Price]]*($AF$2^2))</f>
        <v>#N/A</v>
      </c>
      <c r="AH946">
        <v>3.36469363184532</v>
      </c>
      <c r="AI946" s="6" t="e">
        <f t="shared" si="57"/>
        <v>#DIV/0!</v>
      </c>
      <c r="AK946" s="47" t="e">
        <f>RATE(Table1[[#This Row],[Total No. of Coupons]],Table1[[#This Row],[Coupon Amount]],-Table1[[#This Row],[Ask Price]],Table1[[#This Row],[Face value]])</f>
        <v>#N/A</v>
      </c>
      <c r="AL946" s="27" t="e">
        <f>Table1[[#This Row],[IRR]]*Table1[[#This Row],[Coupon Frequency2]]</f>
        <v>#N/A</v>
      </c>
      <c r="AM946" s="5" t="e">
        <f t="shared" si="58"/>
        <v>#N/A</v>
      </c>
      <c r="AN946" t="s">
        <v>64</v>
      </c>
      <c r="AO946" t="s">
        <v>62</v>
      </c>
      <c r="AP946" t="str">
        <f t="shared" si="59"/>
        <v/>
      </c>
    </row>
    <row r="947" spans="4:42" x14ac:dyDescent="0.35">
      <c r="D947" s="21"/>
      <c r="E947" s="21"/>
      <c r="L947" s="22"/>
      <c r="S947">
        <f t="shared" si="56"/>
        <v>0</v>
      </c>
      <c r="T947" s="5" t="e" cm="1">
        <f t="array" ref="T9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7" t="e">
        <f>Table1[[#This Row],[Term to Maturity (Years)]]*Table1[[#This Row],[Coupon Frequency2]]</f>
        <v>#N/A</v>
      </c>
      <c r="V947">
        <f>Table1[[#This Row],[Face value]]*Table1[[#This Row],[Current coupon %]]</f>
        <v>0</v>
      </c>
      <c r="W947" s="36" t="e">
        <f>RATE(Table1[[#This Row],[Total No. of Coupons]],Table1[[#This Row],[Coupon Amount]],-Table1[[#This Row],[Ask Price]],Table1[[#This Row],[Face value]])</f>
        <v>#N/A</v>
      </c>
      <c r="X947" s="27" t="e">
        <f>Table1[[#This Row],[IRR]]*Table1[[#This Row],[Coupon Frequency2]]</f>
        <v>#N/A</v>
      </c>
      <c r="Y947" s="19" t="e" cm="1">
        <f t="array" ref="Y9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7" s="33" t="e">
        <f>DURATION(Table1[[#This Row],[Issue date]],Table1[[#This Row],[Maturity date]],Table1[[#This Row],[Current coupon %]],Table1[[#This Row],[Yield (Annualised)]],Table1[[#This Row],[Coupon Frequency2]])</f>
        <v>#N/A</v>
      </c>
      <c r="AA947" s="33" t="e">
        <f>Table1[[#This Row],[Macaulay Duration in Years]]/(1+Table1[[#This Row],[IRR]])</f>
        <v>#N/A</v>
      </c>
      <c r="AB947" s="58" t="e">
        <f>VLOOKUP(Table1[[#This Row],[Yield Cluster]],'Cluster Details'!$B$3:$C$16,2,0)</f>
        <v>#N/A</v>
      </c>
      <c r="AC94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7" s="58" t="e">
        <f>IF(Table1[[#This Row],[Ask Price]]&gt;Table1[[#This Row],[Calculated Bond Price]],"Rich","Cheap")</f>
        <v>#N/A</v>
      </c>
      <c r="AE94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7" s="78" t="e">
        <f>(Table1[[#This Row],[P (+ shock)]]+Table1[[#This Row],[P (-shock)]]-2*Table1[[#This Row],[Ask Price]])/(2*Table1[[#This Row],[Ask Price]]*($AF$2^2))</f>
        <v>#N/A</v>
      </c>
      <c r="AH947">
        <v>2.7509781321986</v>
      </c>
      <c r="AI947" s="6" t="e">
        <f t="shared" si="57"/>
        <v>#DIV/0!</v>
      </c>
      <c r="AK947" s="47" t="e">
        <f>RATE(Table1[[#This Row],[Total No. of Coupons]],Table1[[#This Row],[Coupon Amount]],-Table1[[#This Row],[Ask Price]],Table1[[#This Row],[Face value]])</f>
        <v>#N/A</v>
      </c>
      <c r="AL947" s="27" t="e">
        <f>Table1[[#This Row],[IRR]]*Table1[[#This Row],[Coupon Frequency2]]</f>
        <v>#N/A</v>
      </c>
      <c r="AM947" s="5" t="e">
        <f t="shared" si="58"/>
        <v>#N/A</v>
      </c>
      <c r="AN947" t="s">
        <v>64</v>
      </c>
      <c r="AO947" t="s">
        <v>62</v>
      </c>
      <c r="AP947" t="str">
        <f t="shared" si="59"/>
        <v/>
      </c>
    </row>
    <row r="948" spans="4:42" x14ac:dyDescent="0.35">
      <c r="D948" s="21"/>
      <c r="E948" s="21"/>
      <c r="L948" s="22"/>
      <c r="S948">
        <f t="shared" si="56"/>
        <v>0</v>
      </c>
      <c r="T948" s="5" t="e" cm="1">
        <f t="array" ref="T9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8" t="e">
        <f>Table1[[#This Row],[Term to Maturity (Years)]]*Table1[[#This Row],[Coupon Frequency2]]</f>
        <v>#N/A</v>
      </c>
      <c r="V948">
        <f>Table1[[#This Row],[Face value]]*Table1[[#This Row],[Current coupon %]]</f>
        <v>0</v>
      </c>
      <c r="W948" s="36" t="e">
        <f>RATE(Table1[[#This Row],[Total No. of Coupons]],Table1[[#This Row],[Coupon Amount]],-Table1[[#This Row],[Ask Price]],Table1[[#This Row],[Face value]])</f>
        <v>#N/A</v>
      </c>
      <c r="X948" s="27" t="e">
        <f>Table1[[#This Row],[IRR]]*Table1[[#This Row],[Coupon Frequency2]]</f>
        <v>#N/A</v>
      </c>
      <c r="Y948" s="19" t="e" cm="1">
        <f t="array" ref="Y9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8" s="33" t="e">
        <f>DURATION(Table1[[#This Row],[Issue date]],Table1[[#This Row],[Maturity date]],Table1[[#This Row],[Current coupon %]],Table1[[#This Row],[Yield (Annualised)]],Table1[[#This Row],[Coupon Frequency2]])</f>
        <v>#N/A</v>
      </c>
      <c r="AA948" s="33" t="e">
        <f>Table1[[#This Row],[Macaulay Duration in Years]]/(1+Table1[[#This Row],[IRR]])</f>
        <v>#N/A</v>
      </c>
      <c r="AB948" s="58" t="e">
        <f>VLOOKUP(Table1[[#This Row],[Yield Cluster]],'Cluster Details'!$B$3:$C$16,2,0)</f>
        <v>#N/A</v>
      </c>
      <c r="AC94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8" s="58" t="e">
        <f>IF(Table1[[#This Row],[Ask Price]]&gt;Table1[[#This Row],[Calculated Bond Price]],"Rich","Cheap")</f>
        <v>#N/A</v>
      </c>
      <c r="AE94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8" s="78" t="e">
        <f>(Table1[[#This Row],[P (+ shock)]]+Table1[[#This Row],[P (-shock)]]-2*Table1[[#This Row],[Ask Price]])/(2*Table1[[#This Row],[Ask Price]]*($AF$2^2))</f>
        <v>#N/A</v>
      </c>
      <c r="AH948">
        <v>3.7761645493042901</v>
      </c>
      <c r="AI948" s="6" t="e">
        <f t="shared" si="57"/>
        <v>#DIV/0!</v>
      </c>
      <c r="AK948" s="47" t="e">
        <f>RATE(Table1[[#This Row],[Total No. of Coupons]],Table1[[#This Row],[Coupon Amount]],-Table1[[#This Row],[Ask Price]],Table1[[#This Row],[Face value]])</f>
        <v>#N/A</v>
      </c>
      <c r="AL948" s="27" t="e">
        <f>Table1[[#This Row],[IRR]]*Table1[[#This Row],[Coupon Frequency2]]</f>
        <v>#N/A</v>
      </c>
      <c r="AM948" s="5" t="e">
        <f t="shared" si="58"/>
        <v>#N/A</v>
      </c>
      <c r="AN948" t="s">
        <v>64</v>
      </c>
      <c r="AO948" t="s">
        <v>62</v>
      </c>
      <c r="AP948" t="str">
        <f t="shared" si="59"/>
        <v/>
      </c>
    </row>
    <row r="949" spans="4:42" x14ac:dyDescent="0.35">
      <c r="D949" s="21"/>
      <c r="E949" s="21"/>
      <c r="L949" s="22"/>
      <c r="S949">
        <f t="shared" si="56"/>
        <v>0</v>
      </c>
      <c r="T949" s="5" t="e" cm="1">
        <f t="array" ref="T9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49" t="e">
        <f>Table1[[#This Row],[Term to Maturity (Years)]]*Table1[[#This Row],[Coupon Frequency2]]</f>
        <v>#N/A</v>
      </c>
      <c r="V949">
        <f>Table1[[#This Row],[Face value]]*Table1[[#This Row],[Current coupon %]]</f>
        <v>0</v>
      </c>
      <c r="W949" s="36" t="e">
        <f>RATE(Table1[[#This Row],[Total No. of Coupons]],Table1[[#This Row],[Coupon Amount]],-Table1[[#This Row],[Ask Price]],Table1[[#This Row],[Face value]])</f>
        <v>#N/A</v>
      </c>
      <c r="X949" s="27" t="e">
        <f>Table1[[#This Row],[IRR]]*Table1[[#This Row],[Coupon Frequency2]]</f>
        <v>#N/A</v>
      </c>
      <c r="Y949" s="19" t="e" cm="1">
        <f t="array" ref="Y9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49" s="33" t="e">
        <f>DURATION(Table1[[#This Row],[Issue date]],Table1[[#This Row],[Maturity date]],Table1[[#This Row],[Current coupon %]],Table1[[#This Row],[Yield (Annualised)]],Table1[[#This Row],[Coupon Frequency2]])</f>
        <v>#N/A</v>
      </c>
      <c r="AA949" s="33" t="e">
        <f>Table1[[#This Row],[Macaulay Duration in Years]]/(1+Table1[[#This Row],[IRR]])</f>
        <v>#N/A</v>
      </c>
      <c r="AB949" s="58" t="e">
        <f>VLOOKUP(Table1[[#This Row],[Yield Cluster]],'Cluster Details'!$B$3:$C$16,2,0)</f>
        <v>#N/A</v>
      </c>
      <c r="AC94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49" s="58" t="e">
        <f>IF(Table1[[#This Row],[Ask Price]]&gt;Table1[[#This Row],[Calculated Bond Price]],"Rich","Cheap")</f>
        <v>#N/A</v>
      </c>
      <c r="AE94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4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49" s="78" t="e">
        <f>(Table1[[#This Row],[P (+ shock)]]+Table1[[#This Row],[P (-shock)]]-2*Table1[[#This Row],[Ask Price]])/(2*Table1[[#This Row],[Ask Price]]*($AF$2^2))</f>
        <v>#N/A</v>
      </c>
      <c r="AH949">
        <v>11.408131563406601</v>
      </c>
      <c r="AI949" s="6" t="e">
        <f t="shared" si="57"/>
        <v>#DIV/0!</v>
      </c>
      <c r="AK949" s="47" t="e">
        <f>RATE(Table1[[#This Row],[Total No. of Coupons]],Table1[[#This Row],[Coupon Amount]],-Table1[[#This Row],[Ask Price]],Table1[[#This Row],[Face value]])</f>
        <v>#N/A</v>
      </c>
      <c r="AL949" s="27" t="e">
        <f>Table1[[#This Row],[IRR]]*Table1[[#This Row],[Coupon Frequency2]]</f>
        <v>#N/A</v>
      </c>
      <c r="AM949" s="5" t="e">
        <f t="shared" si="58"/>
        <v>#N/A</v>
      </c>
      <c r="AN949" t="s">
        <v>64</v>
      </c>
      <c r="AO949" t="s">
        <v>62</v>
      </c>
      <c r="AP949" t="str">
        <f t="shared" si="59"/>
        <v/>
      </c>
    </row>
    <row r="950" spans="4:42" x14ac:dyDescent="0.35">
      <c r="D950" s="21"/>
      <c r="E950" s="21"/>
      <c r="L950" s="22"/>
      <c r="S950">
        <f t="shared" si="56"/>
        <v>0</v>
      </c>
      <c r="T950" s="5" t="e" cm="1">
        <f t="array" ref="T9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0" t="e">
        <f>Table1[[#This Row],[Term to Maturity (Years)]]*Table1[[#This Row],[Coupon Frequency2]]</f>
        <v>#N/A</v>
      </c>
      <c r="V950">
        <f>Table1[[#This Row],[Face value]]*Table1[[#This Row],[Current coupon %]]</f>
        <v>0</v>
      </c>
      <c r="W950" s="36" t="e">
        <f>RATE(Table1[[#This Row],[Total No. of Coupons]],Table1[[#This Row],[Coupon Amount]],-Table1[[#This Row],[Ask Price]],Table1[[#This Row],[Face value]])</f>
        <v>#N/A</v>
      </c>
      <c r="X950" s="27" t="e">
        <f>Table1[[#This Row],[IRR]]*Table1[[#This Row],[Coupon Frequency2]]</f>
        <v>#N/A</v>
      </c>
      <c r="Y950" s="19" t="e" cm="1">
        <f t="array" ref="Y9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0" s="33" t="e">
        <f>DURATION(Table1[[#This Row],[Issue date]],Table1[[#This Row],[Maturity date]],Table1[[#This Row],[Current coupon %]],Table1[[#This Row],[Yield (Annualised)]],Table1[[#This Row],[Coupon Frequency2]])</f>
        <v>#N/A</v>
      </c>
      <c r="AA950" s="33" t="e">
        <f>Table1[[#This Row],[Macaulay Duration in Years]]/(1+Table1[[#This Row],[IRR]])</f>
        <v>#N/A</v>
      </c>
      <c r="AB950" s="58" t="e">
        <f>VLOOKUP(Table1[[#This Row],[Yield Cluster]],'Cluster Details'!$B$3:$C$16,2,0)</f>
        <v>#N/A</v>
      </c>
      <c r="AC95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0" s="58" t="e">
        <f>IF(Table1[[#This Row],[Ask Price]]&gt;Table1[[#This Row],[Calculated Bond Price]],"Rich","Cheap")</f>
        <v>#N/A</v>
      </c>
      <c r="AE95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0" s="78" t="e">
        <f>(Table1[[#This Row],[P (+ shock)]]+Table1[[#This Row],[P (-shock)]]-2*Table1[[#This Row],[Ask Price]])/(2*Table1[[#This Row],[Ask Price]]*($AF$2^2))</f>
        <v>#N/A</v>
      </c>
      <c r="AH950">
        <v>8.8389583720805796</v>
      </c>
      <c r="AI950" s="6" t="e">
        <f t="shared" si="57"/>
        <v>#DIV/0!</v>
      </c>
      <c r="AK950" s="47" t="e">
        <f>RATE(Table1[[#This Row],[Total No. of Coupons]],Table1[[#This Row],[Coupon Amount]],-Table1[[#This Row],[Ask Price]],Table1[[#This Row],[Face value]])</f>
        <v>#N/A</v>
      </c>
      <c r="AL950" s="27" t="e">
        <f>Table1[[#This Row],[IRR]]*Table1[[#This Row],[Coupon Frequency2]]</f>
        <v>#N/A</v>
      </c>
      <c r="AM950" s="5" t="e">
        <f t="shared" si="58"/>
        <v>#N/A</v>
      </c>
      <c r="AN950" t="s">
        <v>64</v>
      </c>
      <c r="AO950" t="s">
        <v>62</v>
      </c>
      <c r="AP950" t="str">
        <f t="shared" si="59"/>
        <v/>
      </c>
    </row>
    <row r="951" spans="4:42" x14ac:dyDescent="0.35">
      <c r="D951" s="21"/>
      <c r="E951" s="21"/>
      <c r="L951" s="22"/>
      <c r="S951">
        <f t="shared" si="56"/>
        <v>0</v>
      </c>
      <c r="T951" s="5" t="e" cm="1">
        <f t="array" ref="T9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1" t="e">
        <f>Table1[[#This Row],[Term to Maturity (Years)]]*Table1[[#This Row],[Coupon Frequency2]]</f>
        <v>#N/A</v>
      </c>
      <c r="V951">
        <f>Table1[[#This Row],[Face value]]*Table1[[#This Row],[Current coupon %]]</f>
        <v>0</v>
      </c>
      <c r="W951" s="36" t="e">
        <f>RATE(Table1[[#This Row],[Total No. of Coupons]],Table1[[#This Row],[Coupon Amount]],-Table1[[#This Row],[Ask Price]],Table1[[#This Row],[Face value]])</f>
        <v>#N/A</v>
      </c>
      <c r="X951" s="27" t="e">
        <f>Table1[[#This Row],[IRR]]*Table1[[#This Row],[Coupon Frequency2]]</f>
        <v>#N/A</v>
      </c>
      <c r="Y951" s="19" t="e" cm="1">
        <f t="array" ref="Y9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1" s="33" t="e">
        <f>DURATION(Table1[[#This Row],[Issue date]],Table1[[#This Row],[Maturity date]],Table1[[#This Row],[Current coupon %]],Table1[[#This Row],[Yield (Annualised)]],Table1[[#This Row],[Coupon Frequency2]])</f>
        <v>#N/A</v>
      </c>
      <c r="AA951" s="33" t="e">
        <f>Table1[[#This Row],[Macaulay Duration in Years]]/(1+Table1[[#This Row],[IRR]])</f>
        <v>#N/A</v>
      </c>
      <c r="AB951" s="58" t="e">
        <f>VLOOKUP(Table1[[#This Row],[Yield Cluster]],'Cluster Details'!$B$3:$C$16,2,0)</f>
        <v>#N/A</v>
      </c>
      <c r="AC95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1" s="58" t="e">
        <f>IF(Table1[[#This Row],[Ask Price]]&gt;Table1[[#This Row],[Calculated Bond Price]],"Rich","Cheap")</f>
        <v>#N/A</v>
      </c>
      <c r="AE95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1" s="78" t="e">
        <f>(Table1[[#This Row],[P (+ shock)]]+Table1[[#This Row],[P (-shock)]]-2*Table1[[#This Row],[Ask Price]])/(2*Table1[[#This Row],[Ask Price]]*($AF$2^2))</f>
        <v>#N/A</v>
      </c>
      <c r="AH951">
        <v>15.313775111389001</v>
      </c>
      <c r="AI951" s="6" t="e">
        <f t="shared" si="57"/>
        <v>#DIV/0!</v>
      </c>
      <c r="AK951" s="47" t="e">
        <f>RATE(Table1[[#This Row],[Total No. of Coupons]],Table1[[#This Row],[Coupon Amount]],-Table1[[#This Row],[Ask Price]],Table1[[#This Row],[Face value]])</f>
        <v>#N/A</v>
      </c>
      <c r="AL951" s="27" t="e">
        <f>Table1[[#This Row],[IRR]]*Table1[[#This Row],[Coupon Frequency2]]</f>
        <v>#N/A</v>
      </c>
      <c r="AM951" s="5" t="e">
        <f t="shared" si="58"/>
        <v>#N/A</v>
      </c>
      <c r="AN951" t="s">
        <v>64</v>
      </c>
      <c r="AO951" t="s">
        <v>62</v>
      </c>
      <c r="AP951" t="str">
        <f t="shared" si="59"/>
        <v/>
      </c>
    </row>
    <row r="952" spans="4:42" x14ac:dyDescent="0.35">
      <c r="D952" s="21"/>
      <c r="E952" s="21"/>
      <c r="L952" s="22"/>
      <c r="S952">
        <f t="shared" si="56"/>
        <v>0</v>
      </c>
      <c r="T952" s="5" t="e" cm="1">
        <f t="array" ref="T9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2" t="e">
        <f>Table1[[#This Row],[Term to Maturity (Years)]]*Table1[[#This Row],[Coupon Frequency2]]</f>
        <v>#N/A</v>
      </c>
      <c r="V952">
        <f>Table1[[#This Row],[Face value]]*Table1[[#This Row],[Current coupon %]]</f>
        <v>0</v>
      </c>
      <c r="W952" s="36" t="e">
        <f>RATE(Table1[[#This Row],[Total No. of Coupons]],Table1[[#This Row],[Coupon Amount]],-Table1[[#This Row],[Ask Price]],Table1[[#This Row],[Face value]])</f>
        <v>#N/A</v>
      </c>
      <c r="X952" s="27" t="e">
        <f>Table1[[#This Row],[IRR]]*Table1[[#This Row],[Coupon Frequency2]]</f>
        <v>#N/A</v>
      </c>
      <c r="Y952" s="19" t="e" cm="1">
        <f t="array" ref="Y9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2" s="33" t="e">
        <f>DURATION(Table1[[#This Row],[Issue date]],Table1[[#This Row],[Maturity date]],Table1[[#This Row],[Current coupon %]],Table1[[#This Row],[Yield (Annualised)]],Table1[[#This Row],[Coupon Frequency2]])</f>
        <v>#N/A</v>
      </c>
      <c r="AA952" s="33" t="e">
        <f>Table1[[#This Row],[Macaulay Duration in Years]]/(1+Table1[[#This Row],[IRR]])</f>
        <v>#N/A</v>
      </c>
      <c r="AB952" s="58" t="e">
        <f>VLOOKUP(Table1[[#This Row],[Yield Cluster]],'Cluster Details'!$B$3:$C$16,2,0)</f>
        <v>#N/A</v>
      </c>
      <c r="AC95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2" s="58" t="e">
        <f>IF(Table1[[#This Row],[Ask Price]]&gt;Table1[[#This Row],[Calculated Bond Price]],"Rich","Cheap")</f>
        <v>#N/A</v>
      </c>
      <c r="AE95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2" s="78" t="e">
        <f>(Table1[[#This Row],[P (+ shock)]]+Table1[[#This Row],[P (-shock)]]-2*Table1[[#This Row],[Ask Price]])/(2*Table1[[#This Row],[Ask Price]]*($AF$2^2))</f>
        <v>#N/A</v>
      </c>
      <c r="AH952">
        <v>18.905056406879599</v>
      </c>
      <c r="AI952" s="6" t="e">
        <f t="shared" si="57"/>
        <v>#DIV/0!</v>
      </c>
      <c r="AK952" s="47" t="e">
        <f>RATE(Table1[[#This Row],[Total No. of Coupons]],Table1[[#This Row],[Coupon Amount]],-Table1[[#This Row],[Ask Price]],Table1[[#This Row],[Face value]])</f>
        <v>#N/A</v>
      </c>
      <c r="AL952" s="27" t="e">
        <f>Table1[[#This Row],[IRR]]*Table1[[#This Row],[Coupon Frequency2]]</f>
        <v>#N/A</v>
      </c>
      <c r="AM952" s="5" t="e">
        <f t="shared" si="58"/>
        <v>#N/A</v>
      </c>
      <c r="AN952" t="s">
        <v>64</v>
      </c>
      <c r="AO952" t="s">
        <v>62</v>
      </c>
      <c r="AP952" t="str">
        <f t="shared" si="59"/>
        <v/>
      </c>
    </row>
    <row r="953" spans="4:42" x14ac:dyDescent="0.35">
      <c r="D953" s="21"/>
      <c r="E953" s="21"/>
      <c r="L953" s="22"/>
      <c r="S953">
        <f t="shared" si="56"/>
        <v>0</v>
      </c>
      <c r="T953" s="5" t="e" cm="1">
        <f t="array" ref="T9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3" t="e">
        <f>Table1[[#This Row],[Term to Maturity (Years)]]*Table1[[#This Row],[Coupon Frequency2]]</f>
        <v>#N/A</v>
      </c>
      <c r="V953">
        <f>Table1[[#This Row],[Face value]]*Table1[[#This Row],[Current coupon %]]</f>
        <v>0</v>
      </c>
      <c r="W953" s="36" t="e">
        <f>RATE(Table1[[#This Row],[Total No. of Coupons]],Table1[[#This Row],[Coupon Amount]],-Table1[[#This Row],[Ask Price]],Table1[[#This Row],[Face value]])</f>
        <v>#N/A</v>
      </c>
      <c r="X953" s="27" t="e">
        <f>Table1[[#This Row],[IRR]]*Table1[[#This Row],[Coupon Frequency2]]</f>
        <v>#N/A</v>
      </c>
      <c r="Y953" s="19" t="e" cm="1">
        <f t="array" ref="Y9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3" s="33" t="e">
        <f>DURATION(Table1[[#This Row],[Issue date]],Table1[[#This Row],[Maturity date]],Table1[[#This Row],[Current coupon %]],Table1[[#This Row],[Yield (Annualised)]],Table1[[#This Row],[Coupon Frequency2]])</f>
        <v>#N/A</v>
      </c>
      <c r="AA953" s="33" t="e">
        <f>Table1[[#This Row],[Macaulay Duration in Years]]/(1+Table1[[#This Row],[IRR]])</f>
        <v>#N/A</v>
      </c>
      <c r="AB953" s="58" t="e">
        <f>VLOOKUP(Table1[[#This Row],[Yield Cluster]],'Cluster Details'!$B$3:$C$16,2,0)</f>
        <v>#N/A</v>
      </c>
      <c r="AC95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3" s="58" t="e">
        <f>IF(Table1[[#This Row],[Ask Price]]&gt;Table1[[#This Row],[Calculated Bond Price]],"Rich","Cheap")</f>
        <v>#N/A</v>
      </c>
      <c r="AE95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3" s="78" t="e">
        <f>(Table1[[#This Row],[P (+ shock)]]+Table1[[#This Row],[P (-shock)]]-2*Table1[[#This Row],[Ask Price]])/(2*Table1[[#This Row],[Ask Price]]*($AF$2^2))</f>
        <v>#N/A</v>
      </c>
      <c r="AH953">
        <v>4.1176493031576999</v>
      </c>
      <c r="AI953" s="6" t="e">
        <f t="shared" si="57"/>
        <v>#DIV/0!</v>
      </c>
      <c r="AK953" s="47" t="e">
        <f>RATE(Table1[[#This Row],[Total No. of Coupons]],Table1[[#This Row],[Coupon Amount]],-Table1[[#This Row],[Ask Price]],Table1[[#This Row],[Face value]])</f>
        <v>#N/A</v>
      </c>
      <c r="AL953" s="27" t="e">
        <f>Table1[[#This Row],[IRR]]*Table1[[#This Row],[Coupon Frequency2]]</f>
        <v>#N/A</v>
      </c>
      <c r="AM953" s="5" t="e">
        <f t="shared" si="58"/>
        <v>#N/A</v>
      </c>
      <c r="AN953" t="s">
        <v>64</v>
      </c>
      <c r="AO953" t="s">
        <v>62</v>
      </c>
      <c r="AP953" t="str">
        <f t="shared" si="59"/>
        <v/>
      </c>
    </row>
    <row r="954" spans="4:42" x14ac:dyDescent="0.35">
      <c r="D954" s="21"/>
      <c r="E954" s="21"/>
      <c r="L954" s="22"/>
      <c r="S954">
        <f t="shared" si="56"/>
        <v>0</v>
      </c>
      <c r="T954" s="5" t="e" cm="1">
        <f t="array" ref="T9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4" t="e">
        <f>Table1[[#This Row],[Term to Maturity (Years)]]*Table1[[#This Row],[Coupon Frequency2]]</f>
        <v>#N/A</v>
      </c>
      <c r="V954">
        <f>Table1[[#This Row],[Face value]]*Table1[[#This Row],[Current coupon %]]</f>
        <v>0</v>
      </c>
      <c r="W954" s="36" t="e">
        <f>RATE(Table1[[#This Row],[Total No. of Coupons]],Table1[[#This Row],[Coupon Amount]],-Table1[[#This Row],[Ask Price]],Table1[[#This Row],[Face value]])</f>
        <v>#N/A</v>
      </c>
      <c r="X954" s="27" t="e">
        <f>Table1[[#This Row],[IRR]]*Table1[[#This Row],[Coupon Frequency2]]</f>
        <v>#N/A</v>
      </c>
      <c r="Y954" s="19" t="e" cm="1">
        <f t="array" ref="Y9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4" s="33" t="e">
        <f>DURATION(Table1[[#This Row],[Issue date]],Table1[[#This Row],[Maturity date]],Table1[[#This Row],[Current coupon %]],Table1[[#This Row],[Yield (Annualised)]],Table1[[#This Row],[Coupon Frequency2]])</f>
        <v>#N/A</v>
      </c>
      <c r="AA954" s="33" t="e">
        <f>Table1[[#This Row],[Macaulay Duration in Years]]/(1+Table1[[#This Row],[IRR]])</f>
        <v>#N/A</v>
      </c>
      <c r="AB954" s="58" t="e">
        <f>VLOOKUP(Table1[[#This Row],[Yield Cluster]],'Cluster Details'!$B$3:$C$16,2,0)</f>
        <v>#N/A</v>
      </c>
      <c r="AC95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4" s="58" t="e">
        <f>IF(Table1[[#This Row],[Ask Price]]&gt;Table1[[#This Row],[Calculated Bond Price]],"Rich","Cheap")</f>
        <v>#N/A</v>
      </c>
      <c r="AE95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4" s="78" t="e">
        <f>(Table1[[#This Row],[P (+ shock)]]+Table1[[#This Row],[P (-shock)]]-2*Table1[[#This Row],[Ask Price]])/(2*Table1[[#This Row],[Ask Price]]*($AF$2^2))</f>
        <v>#N/A</v>
      </c>
      <c r="AH954">
        <v>3.3868604913229601</v>
      </c>
      <c r="AI954" s="6" t="e">
        <f t="shared" si="57"/>
        <v>#DIV/0!</v>
      </c>
      <c r="AK954" s="47" t="e">
        <f>RATE(Table1[[#This Row],[Total No. of Coupons]],Table1[[#This Row],[Coupon Amount]],-Table1[[#This Row],[Ask Price]],Table1[[#This Row],[Face value]])</f>
        <v>#N/A</v>
      </c>
      <c r="AL954" s="27" t="e">
        <f>Table1[[#This Row],[IRR]]*Table1[[#This Row],[Coupon Frequency2]]</f>
        <v>#N/A</v>
      </c>
      <c r="AM954" s="5" t="e">
        <f t="shared" si="58"/>
        <v>#N/A</v>
      </c>
      <c r="AN954" t="s">
        <v>64</v>
      </c>
      <c r="AO954" t="s">
        <v>62</v>
      </c>
      <c r="AP954" t="str">
        <f t="shared" si="59"/>
        <v/>
      </c>
    </row>
    <row r="955" spans="4:42" x14ac:dyDescent="0.35">
      <c r="D955" s="21"/>
      <c r="E955" s="21"/>
      <c r="L955" s="22"/>
      <c r="S955">
        <f t="shared" si="56"/>
        <v>0</v>
      </c>
      <c r="T955" s="5" t="e" cm="1">
        <f t="array" ref="T9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5" t="e">
        <f>Table1[[#This Row],[Term to Maturity (Years)]]*Table1[[#This Row],[Coupon Frequency2]]</f>
        <v>#N/A</v>
      </c>
      <c r="V955">
        <f>Table1[[#This Row],[Face value]]*Table1[[#This Row],[Current coupon %]]</f>
        <v>0</v>
      </c>
      <c r="W955" s="36" t="e">
        <f>RATE(Table1[[#This Row],[Total No. of Coupons]],Table1[[#This Row],[Coupon Amount]],-Table1[[#This Row],[Ask Price]],Table1[[#This Row],[Face value]])</f>
        <v>#N/A</v>
      </c>
      <c r="X955" s="27" t="e">
        <f>Table1[[#This Row],[IRR]]*Table1[[#This Row],[Coupon Frequency2]]</f>
        <v>#N/A</v>
      </c>
      <c r="Y955" s="19" t="e" cm="1">
        <f t="array" ref="Y9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5" s="33" t="e">
        <f>DURATION(Table1[[#This Row],[Issue date]],Table1[[#This Row],[Maturity date]],Table1[[#This Row],[Current coupon %]],Table1[[#This Row],[Yield (Annualised)]],Table1[[#This Row],[Coupon Frequency2]])</f>
        <v>#N/A</v>
      </c>
      <c r="AA955" s="33" t="e">
        <f>Table1[[#This Row],[Macaulay Duration in Years]]/(1+Table1[[#This Row],[IRR]])</f>
        <v>#N/A</v>
      </c>
      <c r="AB955" s="58" t="e">
        <f>VLOOKUP(Table1[[#This Row],[Yield Cluster]],'Cluster Details'!$B$3:$C$16,2,0)</f>
        <v>#N/A</v>
      </c>
      <c r="AC95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5" s="58" t="e">
        <f>IF(Table1[[#This Row],[Ask Price]]&gt;Table1[[#This Row],[Calculated Bond Price]],"Rich","Cheap")</f>
        <v>#N/A</v>
      </c>
      <c r="AE95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5" s="78" t="e">
        <f>(Table1[[#This Row],[P (+ shock)]]+Table1[[#This Row],[P (-shock)]]-2*Table1[[#This Row],[Ask Price]])/(2*Table1[[#This Row],[Ask Price]]*($AF$2^2))</f>
        <v>#N/A</v>
      </c>
      <c r="AH955">
        <v>7.9013524651692597</v>
      </c>
      <c r="AI955" s="6" t="e">
        <f t="shared" si="57"/>
        <v>#DIV/0!</v>
      </c>
      <c r="AK955" s="47" t="e">
        <f>RATE(Table1[[#This Row],[Total No. of Coupons]],Table1[[#This Row],[Coupon Amount]],-Table1[[#This Row],[Ask Price]],Table1[[#This Row],[Face value]])</f>
        <v>#N/A</v>
      </c>
      <c r="AL955" s="27" t="e">
        <f>Table1[[#This Row],[IRR]]*Table1[[#This Row],[Coupon Frequency2]]</f>
        <v>#N/A</v>
      </c>
      <c r="AM955" s="5" t="e">
        <f t="shared" si="58"/>
        <v>#N/A</v>
      </c>
      <c r="AN955" t="s">
        <v>64</v>
      </c>
      <c r="AO955" t="s">
        <v>62</v>
      </c>
      <c r="AP955" t="str">
        <f t="shared" si="59"/>
        <v/>
      </c>
    </row>
    <row r="956" spans="4:42" x14ac:dyDescent="0.35">
      <c r="D956" s="21"/>
      <c r="E956" s="21"/>
      <c r="L956" s="22"/>
      <c r="S956">
        <f t="shared" si="56"/>
        <v>0</v>
      </c>
      <c r="T956" s="5" t="e" cm="1">
        <f t="array" ref="T9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6" t="e">
        <f>Table1[[#This Row],[Term to Maturity (Years)]]*Table1[[#This Row],[Coupon Frequency2]]</f>
        <v>#N/A</v>
      </c>
      <c r="V956">
        <f>Table1[[#This Row],[Face value]]*Table1[[#This Row],[Current coupon %]]</f>
        <v>0</v>
      </c>
      <c r="W956" s="36" t="e">
        <f>RATE(Table1[[#This Row],[Total No. of Coupons]],Table1[[#This Row],[Coupon Amount]],-Table1[[#This Row],[Ask Price]],Table1[[#This Row],[Face value]])</f>
        <v>#N/A</v>
      </c>
      <c r="X956" s="27" t="e">
        <f>Table1[[#This Row],[IRR]]*Table1[[#This Row],[Coupon Frequency2]]</f>
        <v>#N/A</v>
      </c>
      <c r="Y956" s="19" t="e" cm="1">
        <f t="array" ref="Y9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6" s="33" t="e">
        <f>DURATION(Table1[[#This Row],[Issue date]],Table1[[#This Row],[Maturity date]],Table1[[#This Row],[Current coupon %]],Table1[[#This Row],[Yield (Annualised)]],Table1[[#This Row],[Coupon Frequency2]])</f>
        <v>#N/A</v>
      </c>
      <c r="AA956" s="33" t="e">
        <f>Table1[[#This Row],[Macaulay Duration in Years]]/(1+Table1[[#This Row],[IRR]])</f>
        <v>#N/A</v>
      </c>
      <c r="AB956" s="58" t="e">
        <f>VLOOKUP(Table1[[#This Row],[Yield Cluster]],'Cluster Details'!$B$3:$C$16,2,0)</f>
        <v>#N/A</v>
      </c>
      <c r="AC95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6" s="58" t="e">
        <f>IF(Table1[[#This Row],[Ask Price]]&gt;Table1[[#This Row],[Calculated Bond Price]],"Rich","Cheap")</f>
        <v>#N/A</v>
      </c>
      <c r="AE95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6" s="78" t="e">
        <f>(Table1[[#This Row],[P (+ shock)]]+Table1[[#This Row],[P (-shock)]]-2*Table1[[#This Row],[Ask Price]])/(2*Table1[[#This Row],[Ask Price]]*($AF$2^2))</f>
        <v>#N/A</v>
      </c>
      <c r="AH956">
        <v>7.8026978709572496</v>
      </c>
      <c r="AI956" s="6" t="e">
        <f t="shared" si="57"/>
        <v>#DIV/0!</v>
      </c>
      <c r="AK956" s="47" t="e">
        <f>RATE(Table1[[#This Row],[Total No. of Coupons]],Table1[[#This Row],[Coupon Amount]],-Table1[[#This Row],[Ask Price]],Table1[[#This Row],[Face value]])</f>
        <v>#N/A</v>
      </c>
      <c r="AL956" s="27" t="e">
        <f>Table1[[#This Row],[IRR]]*Table1[[#This Row],[Coupon Frequency2]]</f>
        <v>#N/A</v>
      </c>
      <c r="AM956" s="5" t="e">
        <f t="shared" si="58"/>
        <v>#N/A</v>
      </c>
      <c r="AN956" t="s">
        <v>64</v>
      </c>
      <c r="AO956" t="s">
        <v>62</v>
      </c>
      <c r="AP956" t="str">
        <f t="shared" si="59"/>
        <v/>
      </c>
    </row>
    <row r="957" spans="4:42" x14ac:dyDescent="0.35">
      <c r="D957" s="21"/>
      <c r="E957" s="21"/>
      <c r="L957" s="22"/>
      <c r="S957">
        <f t="shared" si="56"/>
        <v>0</v>
      </c>
      <c r="T957" s="5" t="e" cm="1">
        <f t="array" ref="T9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7" t="e">
        <f>Table1[[#This Row],[Term to Maturity (Years)]]*Table1[[#This Row],[Coupon Frequency2]]</f>
        <v>#N/A</v>
      </c>
      <c r="V957">
        <f>Table1[[#This Row],[Face value]]*Table1[[#This Row],[Current coupon %]]</f>
        <v>0</v>
      </c>
      <c r="W957" s="36" t="e">
        <f>RATE(Table1[[#This Row],[Total No. of Coupons]],Table1[[#This Row],[Coupon Amount]],-Table1[[#This Row],[Ask Price]],Table1[[#This Row],[Face value]])</f>
        <v>#N/A</v>
      </c>
      <c r="X957" s="27" t="e">
        <f>Table1[[#This Row],[IRR]]*Table1[[#This Row],[Coupon Frequency2]]</f>
        <v>#N/A</v>
      </c>
      <c r="Y957" s="19" t="e" cm="1">
        <f t="array" ref="Y9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7" s="33" t="e">
        <f>DURATION(Table1[[#This Row],[Issue date]],Table1[[#This Row],[Maturity date]],Table1[[#This Row],[Current coupon %]],Table1[[#This Row],[Yield (Annualised)]],Table1[[#This Row],[Coupon Frequency2]])</f>
        <v>#N/A</v>
      </c>
      <c r="AA957" s="33" t="e">
        <f>Table1[[#This Row],[Macaulay Duration in Years]]/(1+Table1[[#This Row],[IRR]])</f>
        <v>#N/A</v>
      </c>
      <c r="AB957" s="58" t="e">
        <f>VLOOKUP(Table1[[#This Row],[Yield Cluster]],'Cluster Details'!$B$3:$C$16,2,0)</f>
        <v>#N/A</v>
      </c>
      <c r="AC95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7" s="58" t="e">
        <f>IF(Table1[[#This Row],[Ask Price]]&gt;Table1[[#This Row],[Calculated Bond Price]],"Rich","Cheap")</f>
        <v>#N/A</v>
      </c>
      <c r="AE95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7" s="78" t="e">
        <f>(Table1[[#This Row],[P (+ shock)]]+Table1[[#This Row],[P (-shock)]]-2*Table1[[#This Row],[Ask Price]])/(2*Table1[[#This Row],[Ask Price]]*($AF$2^2))</f>
        <v>#N/A</v>
      </c>
      <c r="AH957">
        <v>6.8683370401070096</v>
      </c>
      <c r="AI957" s="6" t="e">
        <f t="shared" si="57"/>
        <v>#DIV/0!</v>
      </c>
      <c r="AK957" s="47" t="e">
        <f>RATE(Table1[[#This Row],[Total No. of Coupons]],Table1[[#This Row],[Coupon Amount]],-Table1[[#This Row],[Ask Price]],Table1[[#This Row],[Face value]])</f>
        <v>#N/A</v>
      </c>
      <c r="AL957" s="27" t="e">
        <f>Table1[[#This Row],[IRR]]*Table1[[#This Row],[Coupon Frequency2]]</f>
        <v>#N/A</v>
      </c>
      <c r="AM957" s="5" t="e">
        <f t="shared" si="58"/>
        <v>#N/A</v>
      </c>
      <c r="AN957" t="s">
        <v>64</v>
      </c>
      <c r="AO957" t="s">
        <v>62</v>
      </c>
      <c r="AP957" t="str">
        <f t="shared" si="59"/>
        <v/>
      </c>
    </row>
    <row r="958" spans="4:42" x14ac:dyDescent="0.35">
      <c r="D958" s="21"/>
      <c r="E958" s="21"/>
      <c r="L958" s="22"/>
      <c r="S958">
        <f t="shared" si="56"/>
        <v>0</v>
      </c>
      <c r="T958" s="5" t="e" cm="1">
        <f t="array" ref="T9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8" t="e">
        <f>Table1[[#This Row],[Term to Maturity (Years)]]*Table1[[#This Row],[Coupon Frequency2]]</f>
        <v>#N/A</v>
      </c>
      <c r="V958">
        <f>Table1[[#This Row],[Face value]]*Table1[[#This Row],[Current coupon %]]</f>
        <v>0</v>
      </c>
      <c r="W958" s="36" t="e">
        <f>RATE(Table1[[#This Row],[Total No. of Coupons]],Table1[[#This Row],[Coupon Amount]],-Table1[[#This Row],[Ask Price]],Table1[[#This Row],[Face value]])</f>
        <v>#N/A</v>
      </c>
      <c r="X958" s="27" t="e">
        <f>Table1[[#This Row],[IRR]]*Table1[[#This Row],[Coupon Frequency2]]</f>
        <v>#N/A</v>
      </c>
      <c r="Y958" s="19" t="e" cm="1">
        <f t="array" ref="Y9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8" s="33" t="e">
        <f>DURATION(Table1[[#This Row],[Issue date]],Table1[[#This Row],[Maturity date]],Table1[[#This Row],[Current coupon %]],Table1[[#This Row],[Yield (Annualised)]],Table1[[#This Row],[Coupon Frequency2]])</f>
        <v>#N/A</v>
      </c>
      <c r="AA958" s="33" t="e">
        <f>Table1[[#This Row],[Macaulay Duration in Years]]/(1+Table1[[#This Row],[IRR]])</f>
        <v>#N/A</v>
      </c>
      <c r="AB958" s="58" t="e">
        <f>VLOOKUP(Table1[[#This Row],[Yield Cluster]],'Cluster Details'!$B$3:$C$16,2,0)</f>
        <v>#N/A</v>
      </c>
      <c r="AC95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8" s="58" t="e">
        <f>IF(Table1[[#This Row],[Ask Price]]&gt;Table1[[#This Row],[Calculated Bond Price]],"Rich","Cheap")</f>
        <v>#N/A</v>
      </c>
      <c r="AE95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8" s="78" t="e">
        <f>(Table1[[#This Row],[P (+ shock)]]+Table1[[#This Row],[P (-shock)]]-2*Table1[[#This Row],[Ask Price]])/(2*Table1[[#This Row],[Ask Price]]*($AF$2^2))</f>
        <v>#N/A</v>
      </c>
      <c r="AH958">
        <v>7.0060737280851102</v>
      </c>
      <c r="AI958" s="6" t="e">
        <f t="shared" si="57"/>
        <v>#DIV/0!</v>
      </c>
      <c r="AK958" s="47" t="e">
        <f>RATE(Table1[[#This Row],[Total No. of Coupons]],Table1[[#This Row],[Coupon Amount]],-Table1[[#This Row],[Ask Price]],Table1[[#This Row],[Face value]])</f>
        <v>#N/A</v>
      </c>
      <c r="AL958" s="27" t="e">
        <f>Table1[[#This Row],[IRR]]*Table1[[#This Row],[Coupon Frequency2]]</f>
        <v>#N/A</v>
      </c>
      <c r="AM958" s="5" t="e">
        <f t="shared" si="58"/>
        <v>#N/A</v>
      </c>
      <c r="AN958" t="s">
        <v>64</v>
      </c>
      <c r="AO958" t="s">
        <v>62</v>
      </c>
      <c r="AP958" t="str">
        <f t="shared" si="59"/>
        <v/>
      </c>
    </row>
    <row r="959" spans="4:42" x14ac:dyDescent="0.35">
      <c r="D959" s="21"/>
      <c r="E959" s="21"/>
      <c r="L959" s="22"/>
      <c r="S959">
        <f t="shared" si="56"/>
        <v>0</v>
      </c>
      <c r="T959" s="5" t="e" cm="1">
        <f t="array" ref="T9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59" t="e">
        <f>Table1[[#This Row],[Term to Maturity (Years)]]*Table1[[#This Row],[Coupon Frequency2]]</f>
        <v>#N/A</v>
      </c>
      <c r="V959">
        <f>Table1[[#This Row],[Face value]]*Table1[[#This Row],[Current coupon %]]</f>
        <v>0</v>
      </c>
      <c r="W959" s="36" t="e">
        <f>RATE(Table1[[#This Row],[Total No. of Coupons]],Table1[[#This Row],[Coupon Amount]],-Table1[[#This Row],[Ask Price]],Table1[[#This Row],[Face value]])</f>
        <v>#N/A</v>
      </c>
      <c r="X959" s="27" t="e">
        <f>Table1[[#This Row],[IRR]]*Table1[[#This Row],[Coupon Frequency2]]</f>
        <v>#N/A</v>
      </c>
      <c r="Y959" s="19" t="e" cm="1">
        <f t="array" ref="Y9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59" s="33" t="e">
        <f>DURATION(Table1[[#This Row],[Issue date]],Table1[[#This Row],[Maturity date]],Table1[[#This Row],[Current coupon %]],Table1[[#This Row],[Yield (Annualised)]],Table1[[#This Row],[Coupon Frequency2]])</f>
        <v>#N/A</v>
      </c>
      <c r="AA959" s="33" t="e">
        <f>Table1[[#This Row],[Macaulay Duration in Years]]/(1+Table1[[#This Row],[IRR]])</f>
        <v>#N/A</v>
      </c>
      <c r="AB959" s="58" t="e">
        <f>VLOOKUP(Table1[[#This Row],[Yield Cluster]],'Cluster Details'!$B$3:$C$16,2,0)</f>
        <v>#N/A</v>
      </c>
      <c r="AC95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59" s="58" t="e">
        <f>IF(Table1[[#This Row],[Ask Price]]&gt;Table1[[#This Row],[Calculated Bond Price]],"Rich","Cheap")</f>
        <v>#N/A</v>
      </c>
      <c r="AE95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5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59" s="78" t="e">
        <f>(Table1[[#This Row],[P (+ shock)]]+Table1[[#This Row],[P (-shock)]]-2*Table1[[#This Row],[Ask Price]])/(2*Table1[[#This Row],[Ask Price]]*($AF$2^2))</f>
        <v>#N/A</v>
      </c>
      <c r="AH959">
        <v>6.2823389440735804</v>
      </c>
      <c r="AI959" s="6" t="e">
        <f t="shared" si="57"/>
        <v>#DIV/0!</v>
      </c>
      <c r="AK959" s="47" t="e">
        <f>RATE(Table1[[#This Row],[Total No. of Coupons]],Table1[[#This Row],[Coupon Amount]],-Table1[[#This Row],[Ask Price]],Table1[[#This Row],[Face value]])</f>
        <v>#N/A</v>
      </c>
      <c r="AL959" s="27" t="e">
        <f>Table1[[#This Row],[IRR]]*Table1[[#This Row],[Coupon Frequency2]]</f>
        <v>#N/A</v>
      </c>
      <c r="AM959" s="5" t="e">
        <f t="shared" si="58"/>
        <v>#N/A</v>
      </c>
      <c r="AN959" t="s">
        <v>64</v>
      </c>
      <c r="AO959" t="s">
        <v>62</v>
      </c>
      <c r="AP959" t="str">
        <f t="shared" si="59"/>
        <v/>
      </c>
    </row>
    <row r="960" spans="4:42" x14ac:dyDescent="0.35">
      <c r="D960" s="21"/>
      <c r="E960" s="21"/>
      <c r="L960" s="22"/>
      <c r="S960">
        <f t="shared" si="56"/>
        <v>0</v>
      </c>
      <c r="T960" s="5" t="e" cm="1">
        <f t="array" ref="T9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0" t="e">
        <f>Table1[[#This Row],[Term to Maturity (Years)]]*Table1[[#This Row],[Coupon Frequency2]]</f>
        <v>#N/A</v>
      </c>
      <c r="V960">
        <f>Table1[[#This Row],[Face value]]*Table1[[#This Row],[Current coupon %]]</f>
        <v>0</v>
      </c>
      <c r="W960" s="36" t="e">
        <f>RATE(Table1[[#This Row],[Total No. of Coupons]],Table1[[#This Row],[Coupon Amount]],-Table1[[#This Row],[Ask Price]],Table1[[#This Row],[Face value]])</f>
        <v>#N/A</v>
      </c>
      <c r="X960" s="27" t="e">
        <f>Table1[[#This Row],[IRR]]*Table1[[#This Row],[Coupon Frequency2]]</f>
        <v>#N/A</v>
      </c>
      <c r="Y960" s="19" t="e" cm="1">
        <f t="array" ref="Y9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0" s="33" t="e">
        <f>DURATION(Table1[[#This Row],[Issue date]],Table1[[#This Row],[Maturity date]],Table1[[#This Row],[Current coupon %]],Table1[[#This Row],[Yield (Annualised)]],Table1[[#This Row],[Coupon Frequency2]])</f>
        <v>#N/A</v>
      </c>
      <c r="AA960" s="33" t="e">
        <f>Table1[[#This Row],[Macaulay Duration in Years]]/(1+Table1[[#This Row],[IRR]])</f>
        <v>#N/A</v>
      </c>
      <c r="AB960" s="58" t="e">
        <f>VLOOKUP(Table1[[#This Row],[Yield Cluster]],'Cluster Details'!$B$3:$C$16,2,0)</f>
        <v>#N/A</v>
      </c>
      <c r="AC96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0" s="58" t="e">
        <f>IF(Table1[[#This Row],[Ask Price]]&gt;Table1[[#This Row],[Calculated Bond Price]],"Rich","Cheap")</f>
        <v>#N/A</v>
      </c>
      <c r="AE96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0" s="78" t="e">
        <f>(Table1[[#This Row],[P (+ shock)]]+Table1[[#This Row],[P (-shock)]]-2*Table1[[#This Row],[Ask Price]])/(2*Table1[[#This Row],[Ask Price]]*($AF$2^2))</f>
        <v>#N/A</v>
      </c>
      <c r="AH960">
        <v>10.5461928766762</v>
      </c>
      <c r="AI960" s="6" t="e">
        <f t="shared" si="57"/>
        <v>#DIV/0!</v>
      </c>
      <c r="AK960" s="47" t="e">
        <f>RATE(Table1[[#This Row],[Total No. of Coupons]],Table1[[#This Row],[Coupon Amount]],-Table1[[#This Row],[Ask Price]],Table1[[#This Row],[Face value]])</f>
        <v>#N/A</v>
      </c>
      <c r="AL960" s="27" t="e">
        <f>Table1[[#This Row],[IRR]]*Table1[[#This Row],[Coupon Frequency2]]</f>
        <v>#N/A</v>
      </c>
      <c r="AM960" s="5" t="e">
        <f t="shared" si="58"/>
        <v>#N/A</v>
      </c>
      <c r="AN960" t="s">
        <v>64</v>
      </c>
      <c r="AO960" t="s">
        <v>62</v>
      </c>
      <c r="AP960" t="str">
        <f t="shared" si="59"/>
        <v/>
      </c>
    </row>
    <row r="961" spans="4:42" x14ac:dyDescent="0.35">
      <c r="D961" s="21"/>
      <c r="E961" s="21"/>
      <c r="L961" s="22"/>
      <c r="S961">
        <f t="shared" si="56"/>
        <v>0</v>
      </c>
      <c r="T961" s="5" t="e" cm="1">
        <f t="array" ref="T9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1" t="e">
        <f>Table1[[#This Row],[Term to Maturity (Years)]]*Table1[[#This Row],[Coupon Frequency2]]</f>
        <v>#N/A</v>
      </c>
      <c r="V961">
        <f>Table1[[#This Row],[Face value]]*Table1[[#This Row],[Current coupon %]]</f>
        <v>0</v>
      </c>
      <c r="W961" s="36" t="e">
        <f>RATE(Table1[[#This Row],[Total No. of Coupons]],Table1[[#This Row],[Coupon Amount]],-Table1[[#This Row],[Ask Price]],Table1[[#This Row],[Face value]])</f>
        <v>#N/A</v>
      </c>
      <c r="X961" s="27" t="e">
        <f>Table1[[#This Row],[IRR]]*Table1[[#This Row],[Coupon Frequency2]]</f>
        <v>#N/A</v>
      </c>
      <c r="Y961" s="19" t="e" cm="1">
        <f t="array" ref="Y9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1" s="33" t="e">
        <f>DURATION(Table1[[#This Row],[Issue date]],Table1[[#This Row],[Maturity date]],Table1[[#This Row],[Current coupon %]],Table1[[#This Row],[Yield (Annualised)]],Table1[[#This Row],[Coupon Frequency2]])</f>
        <v>#N/A</v>
      </c>
      <c r="AA961" s="33" t="e">
        <f>Table1[[#This Row],[Macaulay Duration in Years]]/(1+Table1[[#This Row],[IRR]])</f>
        <v>#N/A</v>
      </c>
      <c r="AB961" s="58" t="e">
        <f>VLOOKUP(Table1[[#This Row],[Yield Cluster]],'Cluster Details'!$B$3:$C$16,2,0)</f>
        <v>#N/A</v>
      </c>
      <c r="AC96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1" s="58" t="e">
        <f>IF(Table1[[#This Row],[Ask Price]]&gt;Table1[[#This Row],[Calculated Bond Price]],"Rich","Cheap")</f>
        <v>#N/A</v>
      </c>
      <c r="AE96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1" s="78" t="e">
        <f>(Table1[[#This Row],[P (+ shock)]]+Table1[[#This Row],[P (-shock)]]-2*Table1[[#This Row],[Ask Price]])/(2*Table1[[#This Row],[Ask Price]]*($AF$2^2))</f>
        <v>#N/A</v>
      </c>
      <c r="AH961">
        <v>3.6208687365791001</v>
      </c>
      <c r="AI961" s="6" t="e">
        <f t="shared" si="57"/>
        <v>#DIV/0!</v>
      </c>
      <c r="AK961" s="47" t="e">
        <f>RATE(Table1[[#This Row],[Total No. of Coupons]],Table1[[#This Row],[Coupon Amount]],-Table1[[#This Row],[Ask Price]],Table1[[#This Row],[Face value]])</f>
        <v>#N/A</v>
      </c>
      <c r="AL961" s="27" t="e">
        <f>Table1[[#This Row],[IRR]]*Table1[[#This Row],[Coupon Frequency2]]</f>
        <v>#N/A</v>
      </c>
      <c r="AM961" s="5" t="e">
        <f t="shared" si="58"/>
        <v>#N/A</v>
      </c>
      <c r="AN961" t="s">
        <v>64</v>
      </c>
      <c r="AO961" t="s">
        <v>62</v>
      </c>
      <c r="AP961" t="str">
        <f t="shared" si="59"/>
        <v/>
      </c>
    </row>
    <row r="962" spans="4:42" x14ac:dyDescent="0.35">
      <c r="D962" s="21"/>
      <c r="E962" s="21"/>
      <c r="L962" s="22"/>
      <c r="S962">
        <f t="shared" si="56"/>
        <v>0</v>
      </c>
      <c r="T962" s="5" t="e" cm="1">
        <f t="array" ref="T9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2" t="e">
        <f>Table1[[#This Row],[Term to Maturity (Years)]]*Table1[[#This Row],[Coupon Frequency2]]</f>
        <v>#N/A</v>
      </c>
      <c r="V962">
        <f>Table1[[#This Row],[Face value]]*Table1[[#This Row],[Current coupon %]]</f>
        <v>0</v>
      </c>
      <c r="W962" s="36" t="e">
        <f>RATE(Table1[[#This Row],[Total No. of Coupons]],Table1[[#This Row],[Coupon Amount]],-Table1[[#This Row],[Ask Price]],Table1[[#This Row],[Face value]])</f>
        <v>#N/A</v>
      </c>
      <c r="X962" s="27" t="e">
        <f>Table1[[#This Row],[IRR]]*Table1[[#This Row],[Coupon Frequency2]]</f>
        <v>#N/A</v>
      </c>
      <c r="Y962" s="19" t="e" cm="1">
        <f t="array" ref="Y9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2" s="33" t="e">
        <f>DURATION(Table1[[#This Row],[Issue date]],Table1[[#This Row],[Maturity date]],Table1[[#This Row],[Current coupon %]],Table1[[#This Row],[Yield (Annualised)]],Table1[[#This Row],[Coupon Frequency2]])</f>
        <v>#N/A</v>
      </c>
      <c r="AA962" s="33" t="e">
        <f>Table1[[#This Row],[Macaulay Duration in Years]]/(1+Table1[[#This Row],[IRR]])</f>
        <v>#N/A</v>
      </c>
      <c r="AB962" s="58" t="e">
        <f>VLOOKUP(Table1[[#This Row],[Yield Cluster]],'Cluster Details'!$B$3:$C$16,2,0)</f>
        <v>#N/A</v>
      </c>
      <c r="AC96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2" s="58" t="e">
        <f>IF(Table1[[#This Row],[Ask Price]]&gt;Table1[[#This Row],[Calculated Bond Price]],"Rich","Cheap")</f>
        <v>#N/A</v>
      </c>
      <c r="AE96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2" s="78" t="e">
        <f>(Table1[[#This Row],[P (+ shock)]]+Table1[[#This Row],[P (-shock)]]-2*Table1[[#This Row],[Ask Price]])/(2*Table1[[#This Row],[Ask Price]]*($AF$2^2))</f>
        <v>#N/A</v>
      </c>
      <c r="AH962">
        <v>9.5350249474789894</v>
      </c>
      <c r="AI962" s="6" t="e">
        <f t="shared" si="57"/>
        <v>#DIV/0!</v>
      </c>
      <c r="AK962" s="47" t="e">
        <f>RATE(Table1[[#This Row],[Total No. of Coupons]],Table1[[#This Row],[Coupon Amount]],-Table1[[#This Row],[Ask Price]],Table1[[#This Row],[Face value]])</f>
        <v>#N/A</v>
      </c>
      <c r="AL962" s="27" t="e">
        <f>Table1[[#This Row],[IRR]]*Table1[[#This Row],[Coupon Frequency2]]</f>
        <v>#N/A</v>
      </c>
      <c r="AM962" s="5" t="e">
        <f t="shared" si="58"/>
        <v>#N/A</v>
      </c>
      <c r="AN962" t="s">
        <v>64</v>
      </c>
      <c r="AO962" t="s">
        <v>62</v>
      </c>
      <c r="AP962" t="str">
        <f t="shared" si="59"/>
        <v/>
      </c>
    </row>
    <row r="963" spans="4:42" x14ac:dyDescent="0.35">
      <c r="D963" s="21"/>
      <c r="E963" s="21"/>
      <c r="L963" s="22"/>
      <c r="S963">
        <f t="shared" si="56"/>
        <v>0</v>
      </c>
      <c r="T963" s="5" t="e" cm="1">
        <f t="array" ref="T9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3" t="e">
        <f>Table1[[#This Row],[Term to Maturity (Years)]]*Table1[[#This Row],[Coupon Frequency2]]</f>
        <v>#N/A</v>
      </c>
      <c r="V963">
        <f>Table1[[#This Row],[Face value]]*Table1[[#This Row],[Current coupon %]]</f>
        <v>0</v>
      </c>
      <c r="W963" s="36" t="e">
        <f>RATE(Table1[[#This Row],[Total No. of Coupons]],Table1[[#This Row],[Coupon Amount]],-Table1[[#This Row],[Ask Price]],Table1[[#This Row],[Face value]])</f>
        <v>#N/A</v>
      </c>
      <c r="X963" s="27" t="e">
        <f>Table1[[#This Row],[IRR]]*Table1[[#This Row],[Coupon Frequency2]]</f>
        <v>#N/A</v>
      </c>
      <c r="Y963" s="19" t="e" cm="1">
        <f t="array" ref="Y9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3" s="33" t="e">
        <f>DURATION(Table1[[#This Row],[Issue date]],Table1[[#This Row],[Maturity date]],Table1[[#This Row],[Current coupon %]],Table1[[#This Row],[Yield (Annualised)]],Table1[[#This Row],[Coupon Frequency2]])</f>
        <v>#N/A</v>
      </c>
      <c r="AA963" s="33" t="e">
        <f>Table1[[#This Row],[Macaulay Duration in Years]]/(1+Table1[[#This Row],[IRR]])</f>
        <v>#N/A</v>
      </c>
      <c r="AB963" s="58" t="e">
        <f>VLOOKUP(Table1[[#This Row],[Yield Cluster]],'Cluster Details'!$B$3:$C$16,2,0)</f>
        <v>#N/A</v>
      </c>
      <c r="AC96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3" s="58" t="e">
        <f>IF(Table1[[#This Row],[Ask Price]]&gt;Table1[[#This Row],[Calculated Bond Price]],"Rich","Cheap")</f>
        <v>#N/A</v>
      </c>
      <c r="AE96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3" s="78" t="e">
        <f>(Table1[[#This Row],[P (+ shock)]]+Table1[[#This Row],[P (-shock)]]-2*Table1[[#This Row],[Ask Price]])/(2*Table1[[#This Row],[Ask Price]]*($AF$2^2))</f>
        <v>#N/A</v>
      </c>
      <c r="AH963">
        <v>10.9121515128026</v>
      </c>
      <c r="AI963" s="6" t="e">
        <f t="shared" si="57"/>
        <v>#DIV/0!</v>
      </c>
      <c r="AK963" s="47" t="e">
        <f>RATE(Table1[[#This Row],[Total No. of Coupons]],Table1[[#This Row],[Coupon Amount]],-Table1[[#This Row],[Ask Price]],Table1[[#This Row],[Face value]])</f>
        <v>#N/A</v>
      </c>
      <c r="AL963" s="27" t="e">
        <f>Table1[[#This Row],[IRR]]*Table1[[#This Row],[Coupon Frequency2]]</f>
        <v>#N/A</v>
      </c>
      <c r="AM963" s="5" t="e">
        <f t="shared" si="58"/>
        <v>#N/A</v>
      </c>
      <c r="AN963" t="s">
        <v>64</v>
      </c>
      <c r="AO963" t="s">
        <v>62</v>
      </c>
      <c r="AP963" t="str">
        <f t="shared" si="59"/>
        <v/>
      </c>
    </row>
    <row r="964" spans="4:42" x14ac:dyDescent="0.35">
      <c r="D964" s="21"/>
      <c r="E964" s="21"/>
      <c r="L964" s="22"/>
      <c r="S964">
        <f t="shared" ref="S964:S1027" si="60">ROUND(YEARFRAC(D964,E964),0)</f>
        <v>0</v>
      </c>
      <c r="T964" s="5" t="e" cm="1">
        <f t="array" ref="T9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4" t="e">
        <f>Table1[[#This Row],[Term to Maturity (Years)]]*Table1[[#This Row],[Coupon Frequency2]]</f>
        <v>#N/A</v>
      </c>
      <c r="V964">
        <f>Table1[[#This Row],[Face value]]*Table1[[#This Row],[Current coupon %]]</f>
        <v>0</v>
      </c>
      <c r="W964" s="36" t="e">
        <f>RATE(Table1[[#This Row],[Total No. of Coupons]],Table1[[#This Row],[Coupon Amount]],-Table1[[#This Row],[Ask Price]],Table1[[#This Row],[Face value]])</f>
        <v>#N/A</v>
      </c>
      <c r="X964" s="27" t="e">
        <f>Table1[[#This Row],[IRR]]*Table1[[#This Row],[Coupon Frequency2]]</f>
        <v>#N/A</v>
      </c>
      <c r="Y964" s="19" t="e" cm="1">
        <f t="array" ref="Y9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4" s="33" t="e">
        <f>DURATION(Table1[[#This Row],[Issue date]],Table1[[#This Row],[Maturity date]],Table1[[#This Row],[Current coupon %]],Table1[[#This Row],[Yield (Annualised)]],Table1[[#This Row],[Coupon Frequency2]])</f>
        <v>#N/A</v>
      </c>
      <c r="AA964" s="33" t="e">
        <f>Table1[[#This Row],[Macaulay Duration in Years]]/(1+Table1[[#This Row],[IRR]])</f>
        <v>#N/A</v>
      </c>
      <c r="AB964" s="58" t="e">
        <f>VLOOKUP(Table1[[#This Row],[Yield Cluster]],'Cluster Details'!$B$3:$C$16,2,0)</f>
        <v>#N/A</v>
      </c>
      <c r="AC96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4" s="58" t="e">
        <f>IF(Table1[[#This Row],[Ask Price]]&gt;Table1[[#This Row],[Calculated Bond Price]],"Rich","Cheap")</f>
        <v>#N/A</v>
      </c>
      <c r="AE96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4" s="78" t="e">
        <f>(Table1[[#This Row],[P (+ shock)]]+Table1[[#This Row],[P (-shock)]]-2*Table1[[#This Row],[Ask Price]])/(2*Table1[[#This Row],[Ask Price]]*($AF$2^2))</f>
        <v>#N/A</v>
      </c>
      <c r="AH964">
        <v>8.9158555151562808</v>
      </c>
      <c r="AI964" s="6" t="e">
        <f t="shared" ref="AI964:AI1027" si="61">(L964*F964)/H964</f>
        <v>#DIV/0!</v>
      </c>
      <c r="AK964" s="47" t="e">
        <f>RATE(Table1[[#This Row],[Total No. of Coupons]],Table1[[#This Row],[Coupon Amount]],-Table1[[#This Row],[Ask Price]],Table1[[#This Row],[Face value]])</f>
        <v>#N/A</v>
      </c>
      <c r="AL964" s="27" t="e">
        <f>Table1[[#This Row],[IRR]]*Table1[[#This Row],[Coupon Frequency2]]</f>
        <v>#N/A</v>
      </c>
      <c r="AM964" s="5" t="e">
        <f t="shared" ref="AM964:AM1027" si="62">-AA964*H964</f>
        <v>#N/A</v>
      </c>
      <c r="AN964" t="s">
        <v>64</v>
      </c>
      <c r="AO964" t="s">
        <v>62</v>
      </c>
      <c r="AP964" t="str">
        <f t="shared" ref="AP964:AP1027" si="63">_xlfn.SWITCH(PROPER(TRIM(M964)),
   "Annual",1,
   "Semi-Annual",2,
   "Quarterly",4,
   "Monthly",12,
   "")</f>
        <v/>
      </c>
    </row>
    <row r="965" spans="4:42" x14ac:dyDescent="0.35">
      <c r="D965" s="21"/>
      <c r="E965" s="21"/>
      <c r="L965" s="22"/>
      <c r="S965">
        <f t="shared" si="60"/>
        <v>0</v>
      </c>
      <c r="T965" s="5" t="e" cm="1">
        <f t="array" ref="T9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5" t="e">
        <f>Table1[[#This Row],[Term to Maturity (Years)]]*Table1[[#This Row],[Coupon Frequency2]]</f>
        <v>#N/A</v>
      </c>
      <c r="V965">
        <f>Table1[[#This Row],[Face value]]*Table1[[#This Row],[Current coupon %]]</f>
        <v>0</v>
      </c>
      <c r="W965" s="36" t="e">
        <f>RATE(Table1[[#This Row],[Total No. of Coupons]],Table1[[#This Row],[Coupon Amount]],-Table1[[#This Row],[Ask Price]],Table1[[#This Row],[Face value]])</f>
        <v>#N/A</v>
      </c>
      <c r="X965" s="27" t="e">
        <f>Table1[[#This Row],[IRR]]*Table1[[#This Row],[Coupon Frequency2]]</f>
        <v>#N/A</v>
      </c>
      <c r="Y965" s="19" t="e" cm="1">
        <f t="array" ref="Y9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5" s="33" t="e">
        <f>DURATION(Table1[[#This Row],[Issue date]],Table1[[#This Row],[Maturity date]],Table1[[#This Row],[Current coupon %]],Table1[[#This Row],[Yield (Annualised)]],Table1[[#This Row],[Coupon Frequency2]])</f>
        <v>#N/A</v>
      </c>
      <c r="AA965" s="33" t="e">
        <f>Table1[[#This Row],[Macaulay Duration in Years]]/(1+Table1[[#This Row],[IRR]])</f>
        <v>#N/A</v>
      </c>
      <c r="AB965" s="58" t="e">
        <f>VLOOKUP(Table1[[#This Row],[Yield Cluster]],'Cluster Details'!$B$3:$C$16,2,0)</f>
        <v>#N/A</v>
      </c>
      <c r="AC96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5" s="58" t="e">
        <f>IF(Table1[[#This Row],[Ask Price]]&gt;Table1[[#This Row],[Calculated Bond Price]],"Rich","Cheap")</f>
        <v>#N/A</v>
      </c>
      <c r="AE96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5" s="78" t="e">
        <f>(Table1[[#This Row],[P (+ shock)]]+Table1[[#This Row],[P (-shock)]]-2*Table1[[#This Row],[Ask Price]])/(2*Table1[[#This Row],[Ask Price]]*($AF$2^2))</f>
        <v>#N/A</v>
      </c>
      <c r="AH965">
        <v>10.873576770931599</v>
      </c>
      <c r="AI965" s="6" t="e">
        <f t="shared" si="61"/>
        <v>#DIV/0!</v>
      </c>
      <c r="AK965" s="47" t="e">
        <f>RATE(Table1[[#This Row],[Total No. of Coupons]],Table1[[#This Row],[Coupon Amount]],-Table1[[#This Row],[Ask Price]],Table1[[#This Row],[Face value]])</f>
        <v>#N/A</v>
      </c>
      <c r="AL965" s="27" t="e">
        <f>Table1[[#This Row],[IRR]]*Table1[[#This Row],[Coupon Frequency2]]</f>
        <v>#N/A</v>
      </c>
      <c r="AM965" s="5" t="e">
        <f t="shared" si="62"/>
        <v>#N/A</v>
      </c>
      <c r="AN965" t="s">
        <v>64</v>
      </c>
      <c r="AO965" t="s">
        <v>62</v>
      </c>
      <c r="AP965" t="str">
        <f t="shared" si="63"/>
        <v/>
      </c>
    </row>
    <row r="966" spans="4:42" x14ac:dyDescent="0.35">
      <c r="D966" s="21"/>
      <c r="E966" s="21"/>
      <c r="L966" s="22"/>
      <c r="S966">
        <f t="shared" si="60"/>
        <v>0</v>
      </c>
      <c r="T966" s="5" t="e" cm="1">
        <f t="array" ref="T9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6" t="e">
        <f>Table1[[#This Row],[Term to Maturity (Years)]]*Table1[[#This Row],[Coupon Frequency2]]</f>
        <v>#N/A</v>
      </c>
      <c r="V966">
        <f>Table1[[#This Row],[Face value]]*Table1[[#This Row],[Current coupon %]]</f>
        <v>0</v>
      </c>
      <c r="W966" s="36" t="e">
        <f>RATE(Table1[[#This Row],[Total No. of Coupons]],Table1[[#This Row],[Coupon Amount]],-Table1[[#This Row],[Ask Price]],Table1[[#This Row],[Face value]])</f>
        <v>#N/A</v>
      </c>
      <c r="X966" s="27" t="e">
        <f>Table1[[#This Row],[IRR]]*Table1[[#This Row],[Coupon Frequency2]]</f>
        <v>#N/A</v>
      </c>
      <c r="Y966" s="19" t="e" cm="1">
        <f t="array" ref="Y9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6" s="33" t="e">
        <f>DURATION(Table1[[#This Row],[Issue date]],Table1[[#This Row],[Maturity date]],Table1[[#This Row],[Current coupon %]],Table1[[#This Row],[Yield (Annualised)]],Table1[[#This Row],[Coupon Frequency2]])</f>
        <v>#N/A</v>
      </c>
      <c r="AA966" s="33" t="e">
        <f>Table1[[#This Row],[Macaulay Duration in Years]]/(1+Table1[[#This Row],[IRR]])</f>
        <v>#N/A</v>
      </c>
      <c r="AB966" s="58" t="e">
        <f>VLOOKUP(Table1[[#This Row],[Yield Cluster]],'Cluster Details'!$B$3:$C$16,2,0)</f>
        <v>#N/A</v>
      </c>
      <c r="AC96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6" s="58" t="e">
        <f>IF(Table1[[#This Row],[Ask Price]]&gt;Table1[[#This Row],[Calculated Bond Price]],"Rich","Cheap")</f>
        <v>#N/A</v>
      </c>
      <c r="AE96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6" s="78" t="e">
        <f>(Table1[[#This Row],[P (+ shock)]]+Table1[[#This Row],[P (-shock)]]-2*Table1[[#This Row],[Ask Price]])/(2*Table1[[#This Row],[Ask Price]]*($AF$2^2))</f>
        <v>#N/A</v>
      </c>
      <c r="AH966">
        <v>11.063275532079899</v>
      </c>
      <c r="AI966" s="6" t="e">
        <f t="shared" si="61"/>
        <v>#DIV/0!</v>
      </c>
      <c r="AK966" s="47" t="e">
        <f>RATE(Table1[[#This Row],[Total No. of Coupons]],Table1[[#This Row],[Coupon Amount]],-Table1[[#This Row],[Ask Price]],Table1[[#This Row],[Face value]])</f>
        <v>#N/A</v>
      </c>
      <c r="AL966" s="27" t="e">
        <f>Table1[[#This Row],[IRR]]*Table1[[#This Row],[Coupon Frequency2]]</f>
        <v>#N/A</v>
      </c>
      <c r="AM966" s="5" t="e">
        <f t="shared" si="62"/>
        <v>#N/A</v>
      </c>
      <c r="AN966" t="s">
        <v>64</v>
      </c>
      <c r="AO966" t="s">
        <v>62</v>
      </c>
      <c r="AP966" t="str">
        <f t="shared" si="63"/>
        <v/>
      </c>
    </row>
    <row r="967" spans="4:42" x14ac:dyDescent="0.35">
      <c r="D967" s="21"/>
      <c r="E967" s="21"/>
      <c r="L967" s="22"/>
      <c r="S967">
        <f t="shared" si="60"/>
        <v>0</v>
      </c>
      <c r="T967" s="5" t="e" cm="1">
        <f t="array" ref="T9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7" t="e">
        <f>Table1[[#This Row],[Term to Maturity (Years)]]*Table1[[#This Row],[Coupon Frequency2]]</f>
        <v>#N/A</v>
      </c>
      <c r="V967">
        <f>Table1[[#This Row],[Face value]]*Table1[[#This Row],[Current coupon %]]</f>
        <v>0</v>
      </c>
      <c r="W967" s="36" t="e">
        <f>RATE(Table1[[#This Row],[Total No. of Coupons]],Table1[[#This Row],[Coupon Amount]],-Table1[[#This Row],[Ask Price]],Table1[[#This Row],[Face value]])</f>
        <v>#N/A</v>
      </c>
      <c r="X967" s="27" t="e">
        <f>Table1[[#This Row],[IRR]]*Table1[[#This Row],[Coupon Frequency2]]</f>
        <v>#N/A</v>
      </c>
      <c r="Y967" s="19" t="e" cm="1">
        <f t="array" ref="Y9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7" s="33" t="e">
        <f>DURATION(Table1[[#This Row],[Issue date]],Table1[[#This Row],[Maturity date]],Table1[[#This Row],[Current coupon %]],Table1[[#This Row],[Yield (Annualised)]],Table1[[#This Row],[Coupon Frequency2]])</f>
        <v>#N/A</v>
      </c>
      <c r="AA967" s="33" t="e">
        <f>Table1[[#This Row],[Macaulay Duration in Years]]/(1+Table1[[#This Row],[IRR]])</f>
        <v>#N/A</v>
      </c>
      <c r="AB967" s="58" t="e">
        <f>VLOOKUP(Table1[[#This Row],[Yield Cluster]],'Cluster Details'!$B$3:$C$16,2,0)</f>
        <v>#N/A</v>
      </c>
      <c r="AC96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7" s="58" t="e">
        <f>IF(Table1[[#This Row],[Ask Price]]&gt;Table1[[#This Row],[Calculated Bond Price]],"Rich","Cheap")</f>
        <v>#N/A</v>
      </c>
      <c r="AE96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7" s="78" t="e">
        <f>(Table1[[#This Row],[P (+ shock)]]+Table1[[#This Row],[P (-shock)]]-2*Table1[[#This Row],[Ask Price]])/(2*Table1[[#This Row],[Ask Price]]*($AF$2^2))</f>
        <v>#N/A</v>
      </c>
      <c r="AH967">
        <v>7.8721355424116704</v>
      </c>
      <c r="AI967" s="6" t="e">
        <f t="shared" si="61"/>
        <v>#DIV/0!</v>
      </c>
      <c r="AK967" s="47" t="e">
        <f>RATE(Table1[[#This Row],[Total No. of Coupons]],Table1[[#This Row],[Coupon Amount]],-Table1[[#This Row],[Ask Price]],Table1[[#This Row],[Face value]])</f>
        <v>#N/A</v>
      </c>
      <c r="AL967" s="27" t="e">
        <f>Table1[[#This Row],[IRR]]*Table1[[#This Row],[Coupon Frequency2]]</f>
        <v>#N/A</v>
      </c>
      <c r="AM967" s="5" t="e">
        <f t="shared" si="62"/>
        <v>#N/A</v>
      </c>
      <c r="AN967" t="s">
        <v>64</v>
      </c>
      <c r="AO967" t="s">
        <v>62</v>
      </c>
      <c r="AP967" t="str">
        <f t="shared" si="63"/>
        <v/>
      </c>
    </row>
    <row r="968" spans="4:42" x14ac:dyDescent="0.35">
      <c r="D968" s="21"/>
      <c r="E968" s="21"/>
      <c r="L968" s="22"/>
      <c r="S968">
        <f t="shared" si="60"/>
        <v>0</v>
      </c>
      <c r="T968" s="5" t="e" cm="1">
        <f t="array" ref="T9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8" t="e">
        <f>Table1[[#This Row],[Term to Maturity (Years)]]*Table1[[#This Row],[Coupon Frequency2]]</f>
        <v>#N/A</v>
      </c>
      <c r="V968">
        <f>Table1[[#This Row],[Face value]]*Table1[[#This Row],[Current coupon %]]</f>
        <v>0</v>
      </c>
      <c r="W968" s="36" t="e">
        <f>RATE(Table1[[#This Row],[Total No. of Coupons]],Table1[[#This Row],[Coupon Amount]],-Table1[[#This Row],[Ask Price]],Table1[[#This Row],[Face value]])</f>
        <v>#N/A</v>
      </c>
      <c r="X968" s="27" t="e">
        <f>Table1[[#This Row],[IRR]]*Table1[[#This Row],[Coupon Frequency2]]</f>
        <v>#N/A</v>
      </c>
      <c r="Y968" s="19" t="e" cm="1">
        <f t="array" ref="Y9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8" s="33" t="e">
        <f>DURATION(Table1[[#This Row],[Issue date]],Table1[[#This Row],[Maturity date]],Table1[[#This Row],[Current coupon %]],Table1[[#This Row],[Yield (Annualised)]],Table1[[#This Row],[Coupon Frequency2]])</f>
        <v>#N/A</v>
      </c>
      <c r="AA968" s="33" t="e">
        <f>Table1[[#This Row],[Macaulay Duration in Years]]/(1+Table1[[#This Row],[IRR]])</f>
        <v>#N/A</v>
      </c>
      <c r="AB968" s="58" t="e">
        <f>VLOOKUP(Table1[[#This Row],[Yield Cluster]],'Cluster Details'!$B$3:$C$16,2,0)</f>
        <v>#N/A</v>
      </c>
      <c r="AC96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8" s="58" t="e">
        <f>IF(Table1[[#This Row],[Ask Price]]&gt;Table1[[#This Row],[Calculated Bond Price]],"Rich","Cheap")</f>
        <v>#N/A</v>
      </c>
      <c r="AE96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8" s="78" t="e">
        <f>(Table1[[#This Row],[P (+ shock)]]+Table1[[#This Row],[P (-shock)]]-2*Table1[[#This Row],[Ask Price]])/(2*Table1[[#This Row],[Ask Price]]*($AF$2^2))</f>
        <v>#N/A</v>
      </c>
      <c r="AH968">
        <v>5.1485068085354602</v>
      </c>
      <c r="AI968" s="6" t="e">
        <f t="shared" si="61"/>
        <v>#DIV/0!</v>
      </c>
      <c r="AK968" s="47" t="e">
        <f>RATE(Table1[[#This Row],[Total No. of Coupons]],Table1[[#This Row],[Coupon Amount]],-Table1[[#This Row],[Ask Price]],Table1[[#This Row],[Face value]])</f>
        <v>#N/A</v>
      </c>
      <c r="AL968" s="27" t="e">
        <f>Table1[[#This Row],[IRR]]*Table1[[#This Row],[Coupon Frequency2]]</f>
        <v>#N/A</v>
      </c>
      <c r="AM968" s="5" t="e">
        <f t="shared" si="62"/>
        <v>#N/A</v>
      </c>
      <c r="AN968" t="s">
        <v>64</v>
      </c>
      <c r="AO968" t="s">
        <v>62</v>
      </c>
      <c r="AP968" t="str">
        <f t="shared" si="63"/>
        <v/>
      </c>
    </row>
    <row r="969" spans="4:42" x14ac:dyDescent="0.35">
      <c r="D969" s="21"/>
      <c r="E969" s="21"/>
      <c r="L969" s="22"/>
      <c r="S969">
        <f t="shared" si="60"/>
        <v>0</v>
      </c>
      <c r="T969" s="5" t="e" cm="1">
        <f t="array" ref="T9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69" t="e">
        <f>Table1[[#This Row],[Term to Maturity (Years)]]*Table1[[#This Row],[Coupon Frequency2]]</f>
        <v>#N/A</v>
      </c>
      <c r="V969">
        <f>Table1[[#This Row],[Face value]]*Table1[[#This Row],[Current coupon %]]</f>
        <v>0</v>
      </c>
      <c r="W969" s="36" t="e">
        <f>RATE(Table1[[#This Row],[Total No. of Coupons]],Table1[[#This Row],[Coupon Amount]],-Table1[[#This Row],[Ask Price]],Table1[[#This Row],[Face value]])</f>
        <v>#N/A</v>
      </c>
      <c r="X969" s="27" t="e">
        <f>Table1[[#This Row],[IRR]]*Table1[[#This Row],[Coupon Frequency2]]</f>
        <v>#N/A</v>
      </c>
      <c r="Y969" s="19" t="e" cm="1">
        <f t="array" ref="Y9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69" s="33" t="e">
        <f>DURATION(Table1[[#This Row],[Issue date]],Table1[[#This Row],[Maturity date]],Table1[[#This Row],[Current coupon %]],Table1[[#This Row],[Yield (Annualised)]],Table1[[#This Row],[Coupon Frequency2]])</f>
        <v>#N/A</v>
      </c>
      <c r="AA969" s="33" t="e">
        <f>Table1[[#This Row],[Macaulay Duration in Years]]/(1+Table1[[#This Row],[IRR]])</f>
        <v>#N/A</v>
      </c>
      <c r="AB969" s="58" t="e">
        <f>VLOOKUP(Table1[[#This Row],[Yield Cluster]],'Cluster Details'!$B$3:$C$16,2,0)</f>
        <v>#N/A</v>
      </c>
      <c r="AC96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69" s="58" t="e">
        <f>IF(Table1[[#This Row],[Ask Price]]&gt;Table1[[#This Row],[Calculated Bond Price]],"Rich","Cheap")</f>
        <v>#N/A</v>
      </c>
      <c r="AE96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6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69" s="78" t="e">
        <f>(Table1[[#This Row],[P (+ shock)]]+Table1[[#This Row],[P (-shock)]]-2*Table1[[#This Row],[Ask Price]])/(2*Table1[[#This Row],[Ask Price]]*($AF$2^2))</f>
        <v>#N/A</v>
      </c>
      <c r="AH969">
        <v>4.2736566844445703</v>
      </c>
      <c r="AI969" s="6" t="e">
        <f t="shared" si="61"/>
        <v>#DIV/0!</v>
      </c>
      <c r="AK969" s="47" t="e">
        <f>RATE(Table1[[#This Row],[Total No. of Coupons]],Table1[[#This Row],[Coupon Amount]],-Table1[[#This Row],[Ask Price]],Table1[[#This Row],[Face value]])</f>
        <v>#N/A</v>
      </c>
      <c r="AL969" s="27" t="e">
        <f>Table1[[#This Row],[IRR]]*Table1[[#This Row],[Coupon Frequency2]]</f>
        <v>#N/A</v>
      </c>
      <c r="AM969" s="5" t="e">
        <f t="shared" si="62"/>
        <v>#N/A</v>
      </c>
      <c r="AN969" t="s">
        <v>64</v>
      </c>
      <c r="AO969" t="s">
        <v>62</v>
      </c>
      <c r="AP969" t="str">
        <f t="shared" si="63"/>
        <v/>
      </c>
    </row>
    <row r="970" spans="4:42" x14ac:dyDescent="0.35">
      <c r="D970" s="21"/>
      <c r="E970" s="21"/>
      <c r="L970" s="22"/>
      <c r="S970">
        <f t="shared" si="60"/>
        <v>0</v>
      </c>
      <c r="T970" s="5" t="e" cm="1">
        <f t="array" ref="T9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0" t="e">
        <f>Table1[[#This Row],[Term to Maturity (Years)]]*Table1[[#This Row],[Coupon Frequency2]]</f>
        <v>#N/A</v>
      </c>
      <c r="V970">
        <f>Table1[[#This Row],[Face value]]*Table1[[#This Row],[Current coupon %]]</f>
        <v>0</v>
      </c>
      <c r="W970" s="36" t="e">
        <f>RATE(Table1[[#This Row],[Total No. of Coupons]],Table1[[#This Row],[Coupon Amount]],-Table1[[#This Row],[Ask Price]],Table1[[#This Row],[Face value]])</f>
        <v>#N/A</v>
      </c>
      <c r="X970" s="27" t="e">
        <f>Table1[[#This Row],[IRR]]*Table1[[#This Row],[Coupon Frequency2]]</f>
        <v>#N/A</v>
      </c>
      <c r="Y970" s="19" t="e" cm="1">
        <f t="array" ref="Y9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0" s="33" t="e">
        <f>DURATION(Table1[[#This Row],[Issue date]],Table1[[#This Row],[Maturity date]],Table1[[#This Row],[Current coupon %]],Table1[[#This Row],[Yield (Annualised)]],Table1[[#This Row],[Coupon Frequency2]])</f>
        <v>#N/A</v>
      </c>
      <c r="AA970" s="33" t="e">
        <f>Table1[[#This Row],[Macaulay Duration in Years]]/(1+Table1[[#This Row],[IRR]])</f>
        <v>#N/A</v>
      </c>
      <c r="AB970" s="58" t="e">
        <f>VLOOKUP(Table1[[#This Row],[Yield Cluster]],'Cluster Details'!$B$3:$C$16,2,0)</f>
        <v>#N/A</v>
      </c>
      <c r="AC97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0" s="58" t="e">
        <f>IF(Table1[[#This Row],[Ask Price]]&gt;Table1[[#This Row],[Calculated Bond Price]],"Rich","Cheap")</f>
        <v>#N/A</v>
      </c>
      <c r="AE97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0" s="78" t="e">
        <f>(Table1[[#This Row],[P (+ shock)]]+Table1[[#This Row],[P (-shock)]]-2*Table1[[#This Row],[Ask Price]])/(2*Table1[[#This Row],[Ask Price]]*($AF$2^2))</f>
        <v>#N/A</v>
      </c>
      <c r="AH970">
        <v>11.5</v>
      </c>
      <c r="AI970" s="6" t="e">
        <f t="shared" si="61"/>
        <v>#DIV/0!</v>
      </c>
      <c r="AK970" s="47" t="e">
        <f>RATE(Table1[[#This Row],[Total No. of Coupons]],Table1[[#This Row],[Coupon Amount]],-Table1[[#This Row],[Ask Price]],Table1[[#This Row],[Face value]])</f>
        <v>#N/A</v>
      </c>
      <c r="AL970" s="27" t="e">
        <f>Table1[[#This Row],[IRR]]*Table1[[#This Row],[Coupon Frequency2]]</f>
        <v>#N/A</v>
      </c>
      <c r="AM970" s="5" t="e">
        <f t="shared" si="62"/>
        <v>#N/A</v>
      </c>
      <c r="AN970" t="s">
        <v>64</v>
      </c>
      <c r="AO970" t="s">
        <v>62</v>
      </c>
      <c r="AP970" t="str">
        <f t="shared" si="63"/>
        <v/>
      </c>
    </row>
    <row r="971" spans="4:42" x14ac:dyDescent="0.35">
      <c r="D971" s="21"/>
      <c r="E971" s="21"/>
      <c r="L971" s="22"/>
      <c r="S971">
        <f t="shared" si="60"/>
        <v>0</v>
      </c>
      <c r="T971" s="5" t="e" cm="1">
        <f t="array" ref="T9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1" t="e">
        <f>Table1[[#This Row],[Term to Maturity (Years)]]*Table1[[#This Row],[Coupon Frequency2]]</f>
        <v>#N/A</v>
      </c>
      <c r="V971">
        <f>Table1[[#This Row],[Face value]]*Table1[[#This Row],[Current coupon %]]</f>
        <v>0</v>
      </c>
      <c r="W971" s="36" t="e">
        <f>RATE(Table1[[#This Row],[Total No. of Coupons]],Table1[[#This Row],[Coupon Amount]],-Table1[[#This Row],[Ask Price]],Table1[[#This Row],[Face value]])</f>
        <v>#N/A</v>
      </c>
      <c r="X971" s="27" t="e">
        <f>Table1[[#This Row],[IRR]]*Table1[[#This Row],[Coupon Frequency2]]</f>
        <v>#N/A</v>
      </c>
      <c r="Y971" s="19" t="e" cm="1">
        <f t="array" ref="Y9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1" s="33" t="e">
        <f>DURATION(Table1[[#This Row],[Issue date]],Table1[[#This Row],[Maturity date]],Table1[[#This Row],[Current coupon %]],Table1[[#This Row],[Yield (Annualised)]],Table1[[#This Row],[Coupon Frequency2]])</f>
        <v>#N/A</v>
      </c>
      <c r="AA971" s="33" t="e">
        <f>Table1[[#This Row],[Macaulay Duration in Years]]/(1+Table1[[#This Row],[IRR]])</f>
        <v>#N/A</v>
      </c>
      <c r="AB971" s="58" t="e">
        <f>VLOOKUP(Table1[[#This Row],[Yield Cluster]],'Cluster Details'!$B$3:$C$16,2,0)</f>
        <v>#N/A</v>
      </c>
      <c r="AC97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1" s="58" t="e">
        <f>IF(Table1[[#This Row],[Ask Price]]&gt;Table1[[#This Row],[Calculated Bond Price]],"Rich","Cheap")</f>
        <v>#N/A</v>
      </c>
      <c r="AE97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1" s="78" t="e">
        <f>(Table1[[#This Row],[P (+ shock)]]+Table1[[#This Row],[P (-shock)]]-2*Table1[[#This Row],[Ask Price]])/(2*Table1[[#This Row],[Ask Price]]*($AF$2^2))</f>
        <v>#N/A</v>
      </c>
      <c r="AH971">
        <v>6.1852461025939096</v>
      </c>
      <c r="AI971" s="6" t="e">
        <f t="shared" si="61"/>
        <v>#DIV/0!</v>
      </c>
      <c r="AK971" s="47" t="e">
        <f>RATE(Table1[[#This Row],[Total No. of Coupons]],Table1[[#This Row],[Coupon Amount]],-Table1[[#This Row],[Ask Price]],Table1[[#This Row],[Face value]])</f>
        <v>#N/A</v>
      </c>
      <c r="AL971" s="27" t="e">
        <f>Table1[[#This Row],[IRR]]*Table1[[#This Row],[Coupon Frequency2]]</f>
        <v>#N/A</v>
      </c>
      <c r="AM971" s="5" t="e">
        <f t="shared" si="62"/>
        <v>#N/A</v>
      </c>
      <c r="AN971" t="s">
        <v>64</v>
      </c>
      <c r="AO971" t="s">
        <v>62</v>
      </c>
      <c r="AP971" t="str">
        <f t="shared" si="63"/>
        <v/>
      </c>
    </row>
    <row r="972" spans="4:42" x14ac:dyDescent="0.35">
      <c r="D972" s="21"/>
      <c r="E972" s="21"/>
      <c r="L972" s="22"/>
      <c r="S972">
        <f t="shared" si="60"/>
        <v>0</v>
      </c>
      <c r="T972" s="5" t="e" cm="1">
        <f t="array" ref="T9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2" t="e">
        <f>Table1[[#This Row],[Term to Maturity (Years)]]*Table1[[#This Row],[Coupon Frequency2]]</f>
        <v>#N/A</v>
      </c>
      <c r="V972">
        <f>Table1[[#This Row],[Face value]]*Table1[[#This Row],[Current coupon %]]</f>
        <v>0</v>
      </c>
      <c r="W972" s="36" t="e">
        <f>RATE(Table1[[#This Row],[Total No. of Coupons]],Table1[[#This Row],[Coupon Amount]],-Table1[[#This Row],[Ask Price]],Table1[[#This Row],[Face value]])</f>
        <v>#N/A</v>
      </c>
      <c r="X972" s="27" t="e">
        <f>Table1[[#This Row],[IRR]]*Table1[[#This Row],[Coupon Frequency2]]</f>
        <v>#N/A</v>
      </c>
      <c r="Y972" s="19" t="e" cm="1">
        <f t="array" ref="Y9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2" s="33" t="e">
        <f>DURATION(Table1[[#This Row],[Issue date]],Table1[[#This Row],[Maturity date]],Table1[[#This Row],[Current coupon %]],Table1[[#This Row],[Yield (Annualised)]],Table1[[#This Row],[Coupon Frequency2]])</f>
        <v>#N/A</v>
      </c>
      <c r="AA972" s="33" t="e">
        <f>Table1[[#This Row],[Macaulay Duration in Years]]/(1+Table1[[#This Row],[IRR]])</f>
        <v>#N/A</v>
      </c>
      <c r="AB972" s="58" t="e">
        <f>VLOOKUP(Table1[[#This Row],[Yield Cluster]],'Cluster Details'!$B$3:$C$16,2,0)</f>
        <v>#N/A</v>
      </c>
      <c r="AC97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2" s="58" t="e">
        <f>IF(Table1[[#This Row],[Ask Price]]&gt;Table1[[#This Row],[Calculated Bond Price]],"Rich","Cheap")</f>
        <v>#N/A</v>
      </c>
      <c r="AE97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2" s="78" t="e">
        <f>(Table1[[#This Row],[P (+ shock)]]+Table1[[#This Row],[P (-shock)]]-2*Table1[[#This Row],[Ask Price]])/(2*Table1[[#This Row],[Ask Price]]*($AF$2^2))</f>
        <v>#N/A</v>
      </c>
      <c r="AH972">
        <v>8.8689195252889892</v>
      </c>
      <c r="AI972" s="6" t="e">
        <f t="shared" si="61"/>
        <v>#DIV/0!</v>
      </c>
      <c r="AK972" s="47" t="e">
        <f>RATE(Table1[[#This Row],[Total No. of Coupons]],Table1[[#This Row],[Coupon Amount]],-Table1[[#This Row],[Ask Price]],Table1[[#This Row],[Face value]])</f>
        <v>#N/A</v>
      </c>
      <c r="AL972" s="27" t="e">
        <f>Table1[[#This Row],[IRR]]*Table1[[#This Row],[Coupon Frequency2]]</f>
        <v>#N/A</v>
      </c>
      <c r="AM972" s="5" t="e">
        <f t="shared" si="62"/>
        <v>#N/A</v>
      </c>
      <c r="AN972" t="s">
        <v>64</v>
      </c>
      <c r="AO972" t="s">
        <v>62</v>
      </c>
      <c r="AP972" t="str">
        <f t="shared" si="63"/>
        <v/>
      </c>
    </row>
    <row r="973" spans="4:42" x14ac:dyDescent="0.35">
      <c r="D973" s="21"/>
      <c r="E973" s="21"/>
      <c r="L973" s="22"/>
      <c r="S973">
        <f t="shared" si="60"/>
        <v>0</v>
      </c>
      <c r="T973" s="5" t="e" cm="1">
        <f t="array" ref="T9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3" t="e">
        <f>Table1[[#This Row],[Term to Maturity (Years)]]*Table1[[#This Row],[Coupon Frequency2]]</f>
        <v>#N/A</v>
      </c>
      <c r="V973">
        <f>Table1[[#This Row],[Face value]]*Table1[[#This Row],[Current coupon %]]</f>
        <v>0</v>
      </c>
      <c r="W973" s="36" t="e">
        <f>RATE(Table1[[#This Row],[Total No. of Coupons]],Table1[[#This Row],[Coupon Amount]],-Table1[[#This Row],[Ask Price]],Table1[[#This Row],[Face value]])</f>
        <v>#N/A</v>
      </c>
      <c r="X973" s="27" t="e">
        <f>Table1[[#This Row],[IRR]]*Table1[[#This Row],[Coupon Frequency2]]</f>
        <v>#N/A</v>
      </c>
      <c r="Y973" s="19" t="e" cm="1">
        <f t="array" ref="Y9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3" s="33" t="e">
        <f>DURATION(Table1[[#This Row],[Issue date]],Table1[[#This Row],[Maturity date]],Table1[[#This Row],[Current coupon %]],Table1[[#This Row],[Yield (Annualised)]],Table1[[#This Row],[Coupon Frequency2]])</f>
        <v>#N/A</v>
      </c>
      <c r="AA973" s="33" t="e">
        <f>Table1[[#This Row],[Macaulay Duration in Years]]/(1+Table1[[#This Row],[IRR]])</f>
        <v>#N/A</v>
      </c>
      <c r="AB973" s="58" t="e">
        <f>VLOOKUP(Table1[[#This Row],[Yield Cluster]],'Cluster Details'!$B$3:$C$16,2,0)</f>
        <v>#N/A</v>
      </c>
      <c r="AC9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3" s="58" t="e">
        <f>IF(Table1[[#This Row],[Ask Price]]&gt;Table1[[#This Row],[Calculated Bond Price]],"Rich","Cheap")</f>
        <v>#N/A</v>
      </c>
      <c r="AE9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3" s="78" t="e">
        <f>(Table1[[#This Row],[P (+ shock)]]+Table1[[#This Row],[P (-shock)]]-2*Table1[[#This Row],[Ask Price]])/(2*Table1[[#This Row],[Ask Price]]*($AF$2^2))</f>
        <v>#N/A</v>
      </c>
      <c r="AH973">
        <v>10.333968055524799</v>
      </c>
      <c r="AI973" s="6" t="e">
        <f t="shared" si="61"/>
        <v>#DIV/0!</v>
      </c>
      <c r="AK973" s="47" t="e">
        <f>RATE(Table1[[#This Row],[Total No. of Coupons]],Table1[[#This Row],[Coupon Amount]],-Table1[[#This Row],[Ask Price]],Table1[[#This Row],[Face value]])</f>
        <v>#N/A</v>
      </c>
      <c r="AL973" s="27" t="e">
        <f>Table1[[#This Row],[IRR]]*Table1[[#This Row],[Coupon Frequency2]]</f>
        <v>#N/A</v>
      </c>
      <c r="AM973" s="5" t="e">
        <f t="shared" si="62"/>
        <v>#N/A</v>
      </c>
      <c r="AN973" t="s">
        <v>64</v>
      </c>
      <c r="AO973" t="s">
        <v>62</v>
      </c>
      <c r="AP973" t="str">
        <f t="shared" si="63"/>
        <v/>
      </c>
    </row>
    <row r="974" spans="4:42" x14ac:dyDescent="0.35">
      <c r="D974" s="21"/>
      <c r="E974" s="21"/>
      <c r="L974" s="22"/>
      <c r="S974">
        <f t="shared" si="60"/>
        <v>0</v>
      </c>
      <c r="T974" s="5" t="e" cm="1">
        <f t="array" ref="T9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4" t="e">
        <f>Table1[[#This Row],[Term to Maturity (Years)]]*Table1[[#This Row],[Coupon Frequency2]]</f>
        <v>#N/A</v>
      </c>
      <c r="V974">
        <f>Table1[[#This Row],[Face value]]*Table1[[#This Row],[Current coupon %]]</f>
        <v>0</v>
      </c>
      <c r="W974" s="36" t="e">
        <f>RATE(Table1[[#This Row],[Total No. of Coupons]],Table1[[#This Row],[Coupon Amount]],-Table1[[#This Row],[Ask Price]],Table1[[#This Row],[Face value]])</f>
        <v>#N/A</v>
      </c>
      <c r="X974" s="27" t="e">
        <f>Table1[[#This Row],[IRR]]*Table1[[#This Row],[Coupon Frequency2]]</f>
        <v>#N/A</v>
      </c>
      <c r="Y974" s="19" t="e" cm="1">
        <f t="array" ref="Y9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4" s="33" t="e">
        <f>DURATION(Table1[[#This Row],[Issue date]],Table1[[#This Row],[Maturity date]],Table1[[#This Row],[Current coupon %]],Table1[[#This Row],[Yield (Annualised)]],Table1[[#This Row],[Coupon Frequency2]])</f>
        <v>#N/A</v>
      </c>
      <c r="AA974" s="33" t="e">
        <f>Table1[[#This Row],[Macaulay Duration in Years]]/(1+Table1[[#This Row],[IRR]])</f>
        <v>#N/A</v>
      </c>
      <c r="AB974" s="58" t="e">
        <f>VLOOKUP(Table1[[#This Row],[Yield Cluster]],'Cluster Details'!$B$3:$C$16,2,0)</f>
        <v>#N/A</v>
      </c>
      <c r="AC9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4" s="58" t="e">
        <f>IF(Table1[[#This Row],[Ask Price]]&gt;Table1[[#This Row],[Calculated Bond Price]],"Rich","Cheap")</f>
        <v>#N/A</v>
      </c>
      <c r="AE9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4" s="78" t="e">
        <f>(Table1[[#This Row],[P (+ shock)]]+Table1[[#This Row],[P (-shock)]]-2*Table1[[#This Row],[Ask Price]])/(2*Table1[[#This Row],[Ask Price]]*($AF$2^2))</f>
        <v>#N/A</v>
      </c>
      <c r="AH974">
        <v>10.8253476536569</v>
      </c>
      <c r="AI974" s="6" t="e">
        <f t="shared" si="61"/>
        <v>#DIV/0!</v>
      </c>
      <c r="AK974" s="47" t="e">
        <f>RATE(Table1[[#This Row],[Total No. of Coupons]],Table1[[#This Row],[Coupon Amount]],-Table1[[#This Row],[Ask Price]],Table1[[#This Row],[Face value]])</f>
        <v>#N/A</v>
      </c>
      <c r="AL974" s="27" t="e">
        <f>Table1[[#This Row],[IRR]]*Table1[[#This Row],[Coupon Frequency2]]</f>
        <v>#N/A</v>
      </c>
      <c r="AM974" s="5" t="e">
        <f t="shared" si="62"/>
        <v>#N/A</v>
      </c>
      <c r="AN974" t="s">
        <v>64</v>
      </c>
      <c r="AO974" t="s">
        <v>62</v>
      </c>
      <c r="AP974" t="str">
        <f t="shared" si="63"/>
        <v/>
      </c>
    </row>
    <row r="975" spans="4:42" x14ac:dyDescent="0.35">
      <c r="D975" s="21"/>
      <c r="E975" s="21"/>
      <c r="L975" s="22"/>
      <c r="S975">
        <f t="shared" si="60"/>
        <v>0</v>
      </c>
      <c r="T975" s="5" t="e" cm="1">
        <f t="array" ref="T9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5" t="e">
        <f>Table1[[#This Row],[Term to Maturity (Years)]]*Table1[[#This Row],[Coupon Frequency2]]</f>
        <v>#N/A</v>
      </c>
      <c r="V975">
        <f>Table1[[#This Row],[Face value]]*Table1[[#This Row],[Current coupon %]]</f>
        <v>0</v>
      </c>
      <c r="W975" s="36" t="e">
        <f>RATE(Table1[[#This Row],[Total No. of Coupons]],Table1[[#This Row],[Coupon Amount]],-Table1[[#This Row],[Ask Price]],Table1[[#This Row],[Face value]])</f>
        <v>#N/A</v>
      </c>
      <c r="X975" s="27" t="e">
        <f>Table1[[#This Row],[IRR]]*Table1[[#This Row],[Coupon Frequency2]]</f>
        <v>#N/A</v>
      </c>
      <c r="Y975" s="19" t="e" cm="1">
        <f t="array" ref="Y9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5" s="33" t="e">
        <f>DURATION(Table1[[#This Row],[Issue date]],Table1[[#This Row],[Maturity date]],Table1[[#This Row],[Current coupon %]],Table1[[#This Row],[Yield (Annualised)]],Table1[[#This Row],[Coupon Frequency2]])</f>
        <v>#N/A</v>
      </c>
      <c r="AA975" s="33" t="e">
        <f>Table1[[#This Row],[Macaulay Duration in Years]]/(1+Table1[[#This Row],[IRR]])</f>
        <v>#N/A</v>
      </c>
      <c r="AB975" s="58" t="e">
        <f>VLOOKUP(Table1[[#This Row],[Yield Cluster]],'Cluster Details'!$B$3:$C$16,2,0)</f>
        <v>#N/A</v>
      </c>
      <c r="AC9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5" s="58" t="e">
        <f>IF(Table1[[#This Row],[Ask Price]]&gt;Table1[[#This Row],[Calculated Bond Price]],"Rich","Cheap")</f>
        <v>#N/A</v>
      </c>
      <c r="AE9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5" s="78" t="e">
        <f>(Table1[[#This Row],[P (+ shock)]]+Table1[[#This Row],[P (-shock)]]-2*Table1[[#This Row],[Ask Price]])/(2*Table1[[#This Row],[Ask Price]]*($AF$2^2))</f>
        <v>#N/A</v>
      </c>
      <c r="AH975">
        <v>7.3511131725417398</v>
      </c>
      <c r="AI975" s="6" t="e">
        <f t="shared" si="61"/>
        <v>#DIV/0!</v>
      </c>
      <c r="AK975" s="47" t="e">
        <f>RATE(Table1[[#This Row],[Total No. of Coupons]],Table1[[#This Row],[Coupon Amount]],-Table1[[#This Row],[Ask Price]],Table1[[#This Row],[Face value]])</f>
        <v>#N/A</v>
      </c>
      <c r="AL975" s="27" t="e">
        <f>Table1[[#This Row],[IRR]]*Table1[[#This Row],[Coupon Frequency2]]</f>
        <v>#N/A</v>
      </c>
      <c r="AM975" s="5" t="e">
        <f t="shared" si="62"/>
        <v>#N/A</v>
      </c>
      <c r="AN975" t="s">
        <v>64</v>
      </c>
      <c r="AO975" t="s">
        <v>62</v>
      </c>
      <c r="AP975" t="str">
        <f t="shared" si="63"/>
        <v/>
      </c>
    </row>
    <row r="976" spans="4:42" x14ac:dyDescent="0.35">
      <c r="D976" s="21"/>
      <c r="E976" s="21"/>
      <c r="L976" s="22"/>
      <c r="S976">
        <f t="shared" si="60"/>
        <v>0</v>
      </c>
      <c r="T976" s="5" t="e" cm="1">
        <f t="array" ref="T9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6" t="e">
        <f>Table1[[#This Row],[Term to Maturity (Years)]]*Table1[[#This Row],[Coupon Frequency2]]</f>
        <v>#N/A</v>
      </c>
      <c r="V976">
        <f>Table1[[#This Row],[Face value]]*Table1[[#This Row],[Current coupon %]]</f>
        <v>0</v>
      </c>
      <c r="W976" s="36" t="e">
        <f>RATE(Table1[[#This Row],[Total No. of Coupons]],Table1[[#This Row],[Coupon Amount]],-Table1[[#This Row],[Ask Price]],Table1[[#This Row],[Face value]])</f>
        <v>#N/A</v>
      </c>
      <c r="X976" s="27" t="e">
        <f>Table1[[#This Row],[IRR]]*Table1[[#This Row],[Coupon Frequency2]]</f>
        <v>#N/A</v>
      </c>
      <c r="Y976" s="19" t="e" cm="1">
        <f t="array" ref="Y9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6" s="33" t="e">
        <f>DURATION(Table1[[#This Row],[Issue date]],Table1[[#This Row],[Maturity date]],Table1[[#This Row],[Current coupon %]],Table1[[#This Row],[Yield (Annualised)]],Table1[[#This Row],[Coupon Frequency2]])</f>
        <v>#N/A</v>
      </c>
      <c r="AA976" s="33" t="e">
        <f>Table1[[#This Row],[Macaulay Duration in Years]]/(1+Table1[[#This Row],[IRR]])</f>
        <v>#N/A</v>
      </c>
      <c r="AB976" s="58" t="e">
        <f>VLOOKUP(Table1[[#This Row],[Yield Cluster]],'Cluster Details'!$B$3:$C$16,2,0)</f>
        <v>#N/A</v>
      </c>
      <c r="AC9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6" s="58" t="e">
        <f>IF(Table1[[#This Row],[Ask Price]]&gt;Table1[[#This Row],[Calculated Bond Price]],"Rich","Cheap")</f>
        <v>#N/A</v>
      </c>
      <c r="AE9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6" s="78" t="e">
        <f>(Table1[[#This Row],[P (+ shock)]]+Table1[[#This Row],[P (-shock)]]-2*Table1[[#This Row],[Ask Price]])/(2*Table1[[#This Row],[Ask Price]]*($AF$2^2))</f>
        <v>#N/A</v>
      </c>
      <c r="AH976">
        <v>9.6845392873043501</v>
      </c>
      <c r="AI976" s="6" t="e">
        <f t="shared" si="61"/>
        <v>#DIV/0!</v>
      </c>
      <c r="AK976" s="47" t="e">
        <f>RATE(Table1[[#This Row],[Total No. of Coupons]],Table1[[#This Row],[Coupon Amount]],-Table1[[#This Row],[Ask Price]],Table1[[#This Row],[Face value]])</f>
        <v>#N/A</v>
      </c>
      <c r="AL976" s="27" t="e">
        <f>Table1[[#This Row],[IRR]]*Table1[[#This Row],[Coupon Frequency2]]</f>
        <v>#N/A</v>
      </c>
      <c r="AM976" s="5" t="e">
        <f t="shared" si="62"/>
        <v>#N/A</v>
      </c>
      <c r="AN976" t="s">
        <v>64</v>
      </c>
      <c r="AO976" t="s">
        <v>62</v>
      </c>
      <c r="AP976" t="str">
        <f t="shared" si="63"/>
        <v/>
      </c>
    </row>
    <row r="977" spans="4:42" x14ac:dyDescent="0.35">
      <c r="D977" s="21"/>
      <c r="E977" s="21"/>
      <c r="L977" s="22"/>
      <c r="S977">
        <f t="shared" si="60"/>
        <v>0</v>
      </c>
      <c r="T977" s="5" t="e" cm="1">
        <f t="array" ref="T9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7" t="e">
        <f>Table1[[#This Row],[Term to Maturity (Years)]]*Table1[[#This Row],[Coupon Frequency2]]</f>
        <v>#N/A</v>
      </c>
      <c r="V977">
        <f>Table1[[#This Row],[Face value]]*Table1[[#This Row],[Current coupon %]]</f>
        <v>0</v>
      </c>
      <c r="W977" s="36" t="e">
        <f>RATE(Table1[[#This Row],[Total No. of Coupons]],Table1[[#This Row],[Coupon Amount]],-Table1[[#This Row],[Ask Price]],Table1[[#This Row],[Face value]])</f>
        <v>#N/A</v>
      </c>
      <c r="X977" s="27" t="e">
        <f>Table1[[#This Row],[IRR]]*Table1[[#This Row],[Coupon Frequency2]]</f>
        <v>#N/A</v>
      </c>
      <c r="Y977" s="19" t="e" cm="1">
        <f t="array" ref="Y9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7" s="33" t="e">
        <f>DURATION(Table1[[#This Row],[Issue date]],Table1[[#This Row],[Maturity date]],Table1[[#This Row],[Current coupon %]],Table1[[#This Row],[Yield (Annualised)]],Table1[[#This Row],[Coupon Frequency2]])</f>
        <v>#N/A</v>
      </c>
      <c r="AA977" s="33" t="e">
        <f>Table1[[#This Row],[Macaulay Duration in Years]]/(1+Table1[[#This Row],[IRR]])</f>
        <v>#N/A</v>
      </c>
      <c r="AB977" s="58" t="e">
        <f>VLOOKUP(Table1[[#This Row],[Yield Cluster]],'Cluster Details'!$B$3:$C$16,2,0)</f>
        <v>#N/A</v>
      </c>
      <c r="AC9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7" s="58" t="e">
        <f>IF(Table1[[#This Row],[Ask Price]]&gt;Table1[[#This Row],[Calculated Bond Price]],"Rich","Cheap")</f>
        <v>#N/A</v>
      </c>
      <c r="AE9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7" s="78" t="e">
        <f>(Table1[[#This Row],[P (+ shock)]]+Table1[[#This Row],[P (-shock)]]-2*Table1[[#This Row],[Ask Price]])/(2*Table1[[#This Row],[Ask Price]]*($AF$2^2))</f>
        <v>#N/A</v>
      </c>
      <c r="AH977">
        <v>31.033291625599599</v>
      </c>
      <c r="AI977" s="6" t="e">
        <f t="shared" si="61"/>
        <v>#DIV/0!</v>
      </c>
      <c r="AK977" s="47" t="e">
        <f>RATE(Table1[[#This Row],[Total No. of Coupons]],Table1[[#This Row],[Coupon Amount]],-Table1[[#This Row],[Ask Price]],Table1[[#This Row],[Face value]])</f>
        <v>#N/A</v>
      </c>
      <c r="AL977" s="27" t="e">
        <f>Table1[[#This Row],[IRR]]*Table1[[#This Row],[Coupon Frequency2]]</f>
        <v>#N/A</v>
      </c>
      <c r="AM977" s="5" t="e">
        <f t="shared" si="62"/>
        <v>#N/A</v>
      </c>
      <c r="AN977" t="s">
        <v>64</v>
      </c>
      <c r="AO977" t="s">
        <v>62</v>
      </c>
      <c r="AP977" t="str">
        <f t="shared" si="63"/>
        <v/>
      </c>
    </row>
    <row r="978" spans="4:42" x14ac:dyDescent="0.35">
      <c r="D978" s="21"/>
      <c r="E978" s="21"/>
      <c r="L978" s="22"/>
      <c r="S978">
        <f t="shared" si="60"/>
        <v>0</v>
      </c>
      <c r="T978" s="5" t="e" cm="1">
        <f t="array" ref="T9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8" t="e">
        <f>Table1[[#This Row],[Term to Maturity (Years)]]*Table1[[#This Row],[Coupon Frequency2]]</f>
        <v>#N/A</v>
      </c>
      <c r="V978">
        <f>Table1[[#This Row],[Face value]]*Table1[[#This Row],[Current coupon %]]</f>
        <v>0</v>
      </c>
      <c r="W978" s="36" t="e">
        <f>RATE(Table1[[#This Row],[Total No. of Coupons]],Table1[[#This Row],[Coupon Amount]],-Table1[[#This Row],[Ask Price]],Table1[[#This Row],[Face value]])</f>
        <v>#N/A</v>
      </c>
      <c r="X978" s="27" t="e">
        <f>Table1[[#This Row],[IRR]]*Table1[[#This Row],[Coupon Frequency2]]</f>
        <v>#N/A</v>
      </c>
      <c r="Y978" s="19" t="e" cm="1">
        <f t="array" ref="Y9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8" s="33" t="e">
        <f>DURATION(Table1[[#This Row],[Issue date]],Table1[[#This Row],[Maturity date]],Table1[[#This Row],[Current coupon %]],Table1[[#This Row],[Yield (Annualised)]],Table1[[#This Row],[Coupon Frequency2]])</f>
        <v>#N/A</v>
      </c>
      <c r="AA978" s="33" t="e">
        <f>Table1[[#This Row],[Macaulay Duration in Years]]/(1+Table1[[#This Row],[IRR]])</f>
        <v>#N/A</v>
      </c>
      <c r="AB978" s="58" t="e">
        <f>VLOOKUP(Table1[[#This Row],[Yield Cluster]],'Cluster Details'!$B$3:$C$16,2,0)</f>
        <v>#N/A</v>
      </c>
      <c r="AC9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8" s="58" t="e">
        <f>IF(Table1[[#This Row],[Ask Price]]&gt;Table1[[#This Row],[Calculated Bond Price]],"Rich","Cheap")</f>
        <v>#N/A</v>
      </c>
      <c r="AE9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8" s="78" t="e">
        <f>(Table1[[#This Row],[P (+ shock)]]+Table1[[#This Row],[P (-shock)]]-2*Table1[[#This Row],[Ask Price]])/(2*Table1[[#This Row],[Ask Price]]*($AF$2^2))</f>
        <v>#N/A</v>
      </c>
      <c r="AH978">
        <v>4.1199051104867097</v>
      </c>
      <c r="AI978" s="6" t="e">
        <f t="shared" si="61"/>
        <v>#DIV/0!</v>
      </c>
      <c r="AK978" s="47" t="e">
        <f>RATE(Table1[[#This Row],[Total No. of Coupons]],Table1[[#This Row],[Coupon Amount]],-Table1[[#This Row],[Ask Price]],Table1[[#This Row],[Face value]])</f>
        <v>#N/A</v>
      </c>
      <c r="AL978" s="27" t="e">
        <f>Table1[[#This Row],[IRR]]*Table1[[#This Row],[Coupon Frequency2]]</f>
        <v>#N/A</v>
      </c>
      <c r="AM978" s="5" t="e">
        <f t="shared" si="62"/>
        <v>#N/A</v>
      </c>
      <c r="AN978" t="s">
        <v>64</v>
      </c>
      <c r="AO978" t="s">
        <v>62</v>
      </c>
      <c r="AP978" t="str">
        <f t="shared" si="63"/>
        <v/>
      </c>
    </row>
    <row r="979" spans="4:42" x14ac:dyDescent="0.35">
      <c r="D979" s="21"/>
      <c r="E979" s="21"/>
      <c r="L979" s="22"/>
      <c r="S979">
        <f t="shared" si="60"/>
        <v>0</v>
      </c>
      <c r="T979" s="5" t="e" cm="1">
        <f t="array" ref="T9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79" t="e">
        <f>Table1[[#This Row],[Term to Maturity (Years)]]*Table1[[#This Row],[Coupon Frequency2]]</f>
        <v>#N/A</v>
      </c>
      <c r="V979">
        <f>Table1[[#This Row],[Face value]]*Table1[[#This Row],[Current coupon %]]</f>
        <v>0</v>
      </c>
      <c r="W979" s="36" t="e">
        <f>RATE(Table1[[#This Row],[Total No. of Coupons]],Table1[[#This Row],[Coupon Amount]],-Table1[[#This Row],[Ask Price]],Table1[[#This Row],[Face value]])</f>
        <v>#N/A</v>
      </c>
      <c r="X979" s="27" t="e">
        <f>Table1[[#This Row],[IRR]]*Table1[[#This Row],[Coupon Frequency2]]</f>
        <v>#N/A</v>
      </c>
      <c r="Y979" s="19" t="e" cm="1">
        <f t="array" ref="Y9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79" s="33" t="e">
        <f>DURATION(Table1[[#This Row],[Issue date]],Table1[[#This Row],[Maturity date]],Table1[[#This Row],[Current coupon %]],Table1[[#This Row],[Yield (Annualised)]],Table1[[#This Row],[Coupon Frequency2]])</f>
        <v>#N/A</v>
      </c>
      <c r="AA979" s="33" t="e">
        <f>Table1[[#This Row],[Macaulay Duration in Years]]/(1+Table1[[#This Row],[IRR]])</f>
        <v>#N/A</v>
      </c>
      <c r="AB979" s="58" t="e">
        <f>VLOOKUP(Table1[[#This Row],[Yield Cluster]],'Cluster Details'!$B$3:$C$16,2,0)</f>
        <v>#N/A</v>
      </c>
      <c r="AC9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79" s="58" t="e">
        <f>IF(Table1[[#This Row],[Ask Price]]&gt;Table1[[#This Row],[Calculated Bond Price]],"Rich","Cheap")</f>
        <v>#N/A</v>
      </c>
      <c r="AE9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79" s="78" t="e">
        <f>(Table1[[#This Row],[P (+ shock)]]+Table1[[#This Row],[P (-shock)]]-2*Table1[[#This Row],[Ask Price]])/(2*Table1[[#This Row],[Ask Price]]*($AF$2^2))</f>
        <v>#N/A</v>
      </c>
      <c r="AH979">
        <v>4.3845769435629904</v>
      </c>
      <c r="AI979" s="6" t="e">
        <f t="shared" si="61"/>
        <v>#DIV/0!</v>
      </c>
      <c r="AK979" s="47" t="e">
        <f>RATE(Table1[[#This Row],[Total No. of Coupons]],Table1[[#This Row],[Coupon Amount]],-Table1[[#This Row],[Ask Price]],Table1[[#This Row],[Face value]])</f>
        <v>#N/A</v>
      </c>
      <c r="AL979" s="27" t="e">
        <f>Table1[[#This Row],[IRR]]*Table1[[#This Row],[Coupon Frequency2]]</f>
        <v>#N/A</v>
      </c>
      <c r="AM979" s="5" t="e">
        <f t="shared" si="62"/>
        <v>#N/A</v>
      </c>
      <c r="AN979" t="s">
        <v>64</v>
      </c>
      <c r="AO979" t="s">
        <v>62</v>
      </c>
      <c r="AP979" t="str">
        <f t="shared" si="63"/>
        <v/>
      </c>
    </row>
    <row r="980" spans="4:42" x14ac:dyDescent="0.35">
      <c r="D980" s="21"/>
      <c r="E980" s="21"/>
      <c r="L980" s="22"/>
      <c r="S980">
        <f t="shared" si="60"/>
        <v>0</v>
      </c>
      <c r="T980" s="5" t="e" cm="1">
        <f t="array" ref="T9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0" t="e">
        <f>Table1[[#This Row],[Term to Maturity (Years)]]*Table1[[#This Row],[Coupon Frequency2]]</f>
        <v>#N/A</v>
      </c>
      <c r="V980">
        <f>Table1[[#This Row],[Face value]]*Table1[[#This Row],[Current coupon %]]</f>
        <v>0</v>
      </c>
      <c r="W980" s="36" t="e">
        <f>RATE(Table1[[#This Row],[Total No. of Coupons]],Table1[[#This Row],[Coupon Amount]],-Table1[[#This Row],[Ask Price]],Table1[[#This Row],[Face value]])</f>
        <v>#N/A</v>
      </c>
      <c r="X980" s="27" t="e">
        <f>Table1[[#This Row],[IRR]]*Table1[[#This Row],[Coupon Frequency2]]</f>
        <v>#N/A</v>
      </c>
      <c r="Y980" s="19" t="e" cm="1">
        <f t="array" ref="Y9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0" s="33" t="e">
        <f>DURATION(Table1[[#This Row],[Issue date]],Table1[[#This Row],[Maturity date]],Table1[[#This Row],[Current coupon %]],Table1[[#This Row],[Yield (Annualised)]],Table1[[#This Row],[Coupon Frequency2]])</f>
        <v>#N/A</v>
      </c>
      <c r="AA980" s="33" t="e">
        <f>Table1[[#This Row],[Macaulay Duration in Years]]/(1+Table1[[#This Row],[IRR]])</f>
        <v>#N/A</v>
      </c>
      <c r="AB980" s="58" t="e">
        <f>VLOOKUP(Table1[[#This Row],[Yield Cluster]],'Cluster Details'!$B$3:$C$16,2,0)</f>
        <v>#N/A</v>
      </c>
      <c r="AC9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0" s="58" t="e">
        <f>IF(Table1[[#This Row],[Ask Price]]&gt;Table1[[#This Row],[Calculated Bond Price]],"Rich","Cheap")</f>
        <v>#N/A</v>
      </c>
      <c r="AE9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0" s="78" t="e">
        <f>(Table1[[#This Row],[P (+ shock)]]+Table1[[#This Row],[P (-shock)]]-2*Table1[[#This Row],[Ask Price]])/(2*Table1[[#This Row],[Ask Price]]*($AF$2^2))</f>
        <v>#N/A</v>
      </c>
      <c r="AH980">
        <v>8.3142907516094198</v>
      </c>
      <c r="AI980" s="6" t="e">
        <f t="shared" si="61"/>
        <v>#DIV/0!</v>
      </c>
      <c r="AK980" s="47" t="e">
        <f>RATE(Table1[[#This Row],[Total No. of Coupons]],Table1[[#This Row],[Coupon Amount]],-Table1[[#This Row],[Ask Price]],Table1[[#This Row],[Face value]])</f>
        <v>#N/A</v>
      </c>
      <c r="AL980" s="27" t="e">
        <f>Table1[[#This Row],[IRR]]*Table1[[#This Row],[Coupon Frequency2]]</f>
        <v>#N/A</v>
      </c>
      <c r="AM980" s="5" t="e">
        <f t="shared" si="62"/>
        <v>#N/A</v>
      </c>
      <c r="AN980" t="s">
        <v>64</v>
      </c>
      <c r="AO980" t="s">
        <v>62</v>
      </c>
      <c r="AP980" t="str">
        <f t="shared" si="63"/>
        <v/>
      </c>
    </row>
    <row r="981" spans="4:42" x14ac:dyDescent="0.35">
      <c r="D981" s="21"/>
      <c r="E981" s="21"/>
      <c r="L981" s="22"/>
      <c r="S981">
        <f t="shared" si="60"/>
        <v>0</v>
      </c>
      <c r="T981" s="5" t="e" cm="1">
        <f t="array" ref="T9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1" t="e">
        <f>Table1[[#This Row],[Term to Maturity (Years)]]*Table1[[#This Row],[Coupon Frequency2]]</f>
        <v>#N/A</v>
      </c>
      <c r="V981">
        <f>Table1[[#This Row],[Face value]]*Table1[[#This Row],[Current coupon %]]</f>
        <v>0</v>
      </c>
      <c r="W981" s="36" t="e">
        <f>RATE(Table1[[#This Row],[Total No. of Coupons]],Table1[[#This Row],[Coupon Amount]],-Table1[[#This Row],[Ask Price]],Table1[[#This Row],[Face value]])</f>
        <v>#N/A</v>
      </c>
      <c r="X981" s="27" t="e">
        <f>Table1[[#This Row],[IRR]]*Table1[[#This Row],[Coupon Frequency2]]</f>
        <v>#N/A</v>
      </c>
      <c r="Y981" s="19" t="e" cm="1">
        <f t="array" ref="Y9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1" s="33" t="e">
        <f>DURATION(Table1[[#This Row],[Issue date]],Table1[[#This Row],[Maturity date]],Table1[[#This Row],[Current coupon %]],Table1[[#This Row],[Yield (Annualised)]],Table1[[#This Row],[Coupon Frequency2]])</f>
        <v>#N/A</v>
      </c>
      <c r="AA981" s="33" t="e">
        <f>Table1[[#This Row],[Macaulay Duration in Years]]/(1+Table1[[#This Row],[IRR]])</f>
        <v>#N/A</v>
      </c>
      <c r="AB981" s="58" t="e">
        <f>VLOOKUP(Table1[[#This Row],[Yield Cluster]],'Cluster Details'!$B$3:$C$16,2,0)</f>
        <v>#N/A</v>
      </c>
      <c r="AC9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1" s="58" t="e">
        <f>IF(Table1[[#This Row],[Ask Price]]&gt;Table1[[#This Row],[Calculated Bond Price]],"Rich","Cheap")</f>
        <v>#N/A</v>
      </c>
      <c r="AE9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1" s="78" t="e">
        <f>(Table1[[#This Row],[P (+ shock)]]+Table1[[#This Row],[P (-shock)]]-2*Table1[[#This Row],[Ask Price]])/(2*Table1[[#This Row],[Ask Price]]*($AF$2^2))</f>
        <v>#N/A</v>
      </c>
      <c r="AI981" s="6" t="e">
        <f t="shared" si="61"/>
        <v>#DIV/0!</v>
      </c>
      <c r="AK981" s="47" t="e">
        <f>RATE(Table1[[#This Row],[Total No. of Coupons]],Table1[[#This Row],[Coupon Amount]],-Table1[[#This Row],[Ask Price]],Table1[[#This Row],[Face value]])</f>
        <v>#N/A</v>
      </c>
      <c r="AL981" s="27" t="e">
        <f>Table1[[#This Row],[IRR]]*Table1[[#This Row],[Coupon Frequency2]]</f>
        <v>#N/A</v>
      </c>
      <c r="AM981" s="5" t="e">
        <f t="shared" si="62"/>
        <v>#N/A</v>
      </c>
      <c r="AN981" t="s">
        <v>64</v>
      </c>
      <c r="AO981" t="s">
        <v>62</v>
      </c>
      <c r="AP981" t="str">
        <f t="shared" si="63"/>
        <v/>
      </c>
    </row>
    <row r="982" spans="4:42" x14ac:dyDescent="0.35">
      <c r="D982" s="21"/>
      <c r="E982" s="21"/>
      <c r="L982" s="22"/>
      <c r="S982">
        <f t="shared" si="60"/>
        <v>0</v>
      </c>
      <c r="T982" s="5" t="e" cm="1">
        <f t="array" ref="T9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2" t="e">
        <f>Table1[[#This Row],[Term to Maturity (Years)]]*Table1[[#This Row],[Coupon Frequency2]]</f>
        <v>#N/A</v>
      </c>
      <c r="V982">
        <f>Table1[[#This Row],[Face value]]*Table1[[#This Row],[Current coupon %]]</f>
        <v>0</v>
      </c>
      <c r="W982" s="36" t="e">
        <f>RATE(Table1[[#This Row],[Total No. of Coupons]],Table1[[#This Row],[Coupon Amount]],-Table1[[#This Row],[Ask Price]],Table1[[#This Row],[Face value]])</f>
        <v>#N/A</v>
      </c>
      <c r="X982" s="27" t="e">
        <f>Table1[[#This Row],[IRR]]*Table1[[#This Row],[Coupon Frequency2]]</f>
        <v>#N/A</v>
      </c>
      <c r="Y982" s="19" t="e" cm="1">
        <f t="array" ref="Y9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2" s="33" t="e">
        <f>DURATION(Table1[[#This Row],[Issue date]],Table1[[#This Row],[Maturity date]],Table1[[#This Row],[Current coupon %]],Table1[[#This Row],[Yield (Annualised)]],Table1[[#This Row],[Coupon Frequency2]])</f>
        <v>#N/A</v>
      </c>
      <c r="AA982" s="33" t="e">
        <f>Table1[[#This Row],[Macaulay Duration in Years]]/(1+Table1[[#This Row],[IRR]])</f>
        <v>#N/A</v>
      </c>
      <c r="AB982" s="58" t="e">
        <f>VLOOKUP(Table1[[#This Row],[Yield Cluster]],'Cluster Details'!$B$3:$C$16,2,0)</f>
        <v>#N/A</v>
      </c>
      <c r="AC9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2" s="58" t="e">
        <f>IF(Table1[[#This Row],[Ask Price]]&gt;Table1[[#This Row],[Calculated Bond Price]],"Rich","Cheap")</f>
        <v>#N/A</v>
      </c>
      <c r="AE9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2" s="78" t="e">
        <f>(Table1[[#This Row],[P (+ shock)]]+Table1[[#This Row],[P (-shock)]]-2*Table1[[#This Row],[Ask Price]])/(2*Table1[[#This Row],[Ask Price]]*($AF$2^2))</f>
        <v>#N/A</v>
      </c>
      <c r="AH982">
        <v>3.5341534888041002</v>
      </c>
      <c r="AI982" s="6" t="e">
        <f t="shared" si="61"/>
        <v>#DIV/0!</v>
      </c>
      <c r="AK982" s="47" t="e">
        <f>RATE(Table1[[#This Row],[Total No. of Coupons]],Table1[[#This Row],[Coupon Amount]],-Table1[[#This Row],[Ask Price]],Table1[[#This Row],[Face value]])</f>
        <v>#N/A</v>
      </c>
      <c r="AL982" s="27" t="e">
        <f>Table1[[#This Row],[IRR]]*Table1[[#This Row],[Coupon Frequency2]]</f>
        <v>#N/A</v>
      </c>
      <c r="AM982" s="5" t="e">
        <f t="shared" si="62"/>
        <v>#N/A</v>
      </c>
      <c r="AN982" t="s">
        <v>64</v>
      </c>
      <c r="AO982" t="s">
        <v>62</v>
      </c>
      <c r="AP982" t="str">
        <f t="shared" si="63"/>
        <v/>
      </c>
    </row>
    <row r="983" spans="4:42" x14ac:dyDescent="0.35">
      <c r="D983" s="21"/>
      <c r="E983" s="21"/>
      <c r="L983" s="22"/>
      <c r="S983">
        <f t="shared" si="60"/>
        <v>0</v>
      </c>
      <c r="T983" s="5" t="e" cm="1">
        <f t="array" ref="T9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3" t="e">
        <f>Table1[[#This Row],[Term to Maturity (Years)]]*Table1[[#This Row],[Coupon Frequency2]]</f>
        <v>#N/A</v>
      </c>
      <c r="V983">
        <f>Table1[[#This Row],[Face value]]*Table1[[#This Row],[Current coupon %]]</f>
        <v>0</v>
      </c>
      <c r="W983" s="36" t="e">
        <f>RATE(Table1[[#This Row],[Total No. of Coupons]],Table1[[#This Row],[Coupon Amount]],-Table1[[#This Row],[Ask Price]],Table1[[#This Row],[Face value]])</f>
        <v>#N/A</v>
      </c>
      <c r="X983" s="27" t="e">
        <f>Table1[[#This Row],[IRR]]*Table1[[#This Row],[Coupon Frequency2]]</f>
        <v>#N/A</v>
      </c>
      <c r="Y983" s="19" t="e" cm="1">
        <f t="array" ref="Y9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3" s="33" t="e">
        <f>DURATION(Table1[[#This Row],[Issue date]],Table1[[#This Row],[Maturity date]],Table1[[#This Row],[Current coupon %]],Table1[[#This Row],[Yield (Annualised)]],Table1[[#This Row],[Coupon Frequency2]])</f>
        <v>#N/A</v>
      </c>
      <c r="AA983" s="33" t="e">
        <f>Table1[[#This Row],[Macaulay Duration in Years]]/(1+Table1[[#This Row],[IRR]])</f>
        <v>#N/A</v>
      </c>
      <c r="AB983" s="58" t="e">
        <f>VLOOKUP(Table1[[#This Row],[Yield Cluster]],'Cluster Details'!$B$3:$C$16,2,0)</f>
        <v>#N/A</v>
      </c>
      <c r="AC9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3" s="58" t="e">
        <f>IF(Table1[[#This Row],[Ask Price]]&gt;Table1[[#This Row],[Calculated Bond Price]],"Rich","Cheap")</f>
        <v>#N/A</v>
      </c>
      <c r="AE9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3" s="78" t="e">
        <f>(Table1[[#This Row],[P (+ shock)]]+Table1[[#This Row],[P (-shock)]]-2*Table1[[#This Row],[Ask Price]])/(2*Table1[[#This Row],[Ask Price]]*($AF$2^2))</f>
        <v>#N/A</v>
      </c>
      <c r="AH983">
        <v>3.4486882422354999</v>
      </c>
      <c r="AI983" s="6" t="e">
        <f t="shared" si="61"/>
        <v>#DIV/0!</v>
      </c>
      <c r="AK983" s="47" t="e">
        <f>RATE(Table1[[#This Row],[Total No. of Coupons]],Table1[[#This Row],[Coupon Amount]],-Table1[[#This Row],[Ask Price]],Table1[[#This Row],[Face value]])</f>
        <v>#N/A</v>
      </c>
      <c r="AL983" s="27" t="e">
        <f>Table1[[#This Row],[IRR]]*Table1[[#This Row],[Coupon Frequency2]]</f>
        <v>#N/A</v>
      </c>
      <c r="AM983" s="5" t="e">
        <f t="shared" si="62"/>
        <v>#N/A</v>
      </c>
      <c r="AN983" t="s">
        <v>64</v>
      </c>
      <c r="AO983" t="s">
        <v>62</v>
      </c>
      <c r="AP983" t="str">
        <f t="shared" si="63"/>
        <v/>
      </c>
    </row>
    <row r="984" spans="4:42" x14ac:dyDescent="0.35">
      <c r="D984" s="21"/>
      <c r="E984" s="21"/>
      <c r="L984" s="22"/>
      <c r="S984">
        <f t="shared" si="60"/>
        <v>0</v>
      </c>
      <c r="T984" s="5" t="e" cm="1">
        <f t="array" ref="T9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4" t="e">
        <f>Table1[[#This Row],[Term to Maturity (Years)]]*Table1[[#This Row],[Coupon Frequency2]]</f>
        <v>#N/A</v>
      </c>
      <c r="V984">
        <f>Table1[[#This Row],[Face value]]*Table1[[#This Row],[Current coupon %]]</f>
        <v>0</v>
      </c>
      <c r="W984" s="36" t="e">
        <f>RATE(Table1[[#This Row],[Total No. of Coupons]],Table1[[#This Row],[Coupon Amount]],-Table1[[#This Row],[Ask Price]],Table1[[#This Row],[Face value]])</f>
        <v>#N/A</v>
      </c>
      <c r="X984" s="27" t="e">
        <f>Table1[[#This Row],[IRR]]*Table1[[#This Row],[Coupon Frequency2]]</f>
        <v>#N/A</v>
      </c>
      <c r="Y984" s="19" t="e" cm="1">
        <f t="array" ref="Y9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4" s="33" t="e">
        <f>DURATION(Table1[[#This Row],[Issue date]],Table1[[#This Row],[Maturity date]],Table1[[#This Row],[Current coupon %]],Table1[[#This Row],[Yield (Annualised)]],Table1[[#This Row],[Coupon Frequency2]])</f>
        <v>#N/A</v>
      </c>
      <c r="AA984" s="33" t="e">
        <f>Table1[[#This Row],[Macaulay Duration in Years]]/(1+Table1[[#This Row],[IRR]])</f>
        <v>#N/A</v>
      </c>
      <c r="AB984" s="58" t="e">
        <f>VLOOKUP(Table1[[#This Row],[Yield Cluster]],'Cluster Details'!$B$3:$C$16,2,0)</f>
        <v>#N/A</v>
      </c>
      <c r="AC9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4" s="58" t="e">
        <f>IF(Table1[[#This Row],[Ask Price]]&gt;Table1[[#This Row],[Calculated Bond Price]],"Rich","Cheap")</f>
        <v>#N/A</v>
      </c>
      <c r="AE9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4" s="78" t="e">
        <f>(Table1[[#This Row],[P (+ shock)]]+Table1[[#This Row],[P (-shock)]]-2*Table1[[#This Row],[Ask Price]])/(2*Table1[[#This Row],[Ask Price]]*($AF$2^2))</f>
        <v>#N/A</v>
      </c>
      <c r="AH984">
        <v>10</v>
      </c>
      <c r="AI984" s="6" t="e">
        <f t="shared" si="61"/>
        <v>#DIV/0!</v>
      </c>
      <c r="AK984" s="47" t="e">
        <f>RATE(Table1[[#This Row],[Total No. of Coupons]],Table1[[#This Row],[Coupon Amount]],-Table1[[#This Row],[Ask Price]],Table1[[#This Row],[Face value]])</f>
        <v>#N/A</v>
      </c>
      <c r="AL984" s="27" t="e">
        <f>Table1[[#This Row],[IRR]]*Table1[[#This Row],[Coupon Frequency2]]</f>
        <v>#N/A</v>
      </c>
      <c r="AM984" s="5" t="e">
        <f t="shared" si="62"/>
        <v>#N/A</v>
      </c>
      <c r="AN984" t="s">
        <v>64</v>
      </c>
      <c r="AO984" t="s">
        <v>62</v>
      </c>
      <c r="AP984" t="str">
        <f t="shared" si="63"/>
        <v/>
      </c>
    </row>
    <row r="985" spans="4:42" x14ac:dyDescent="0.35">
      <c r="D985" s="21"/>
      <c r="E985" s="21"/>
      <c r="L985" s="22"/>
      <c r="S985">
        <f t="shared" si="60"/>
        <v>0</v>
      </c>
      <c r="T985" s="5" t="e" cm="1">
        <f t="array" ref="T9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5" t="e">
        <f>Table1[[#This Row],[Term to Maturity (Years)]]*Table1[[#This Row],[Coupon Frequency2]]</f>
        <v>#N/A</v>
      </c>
      <c r="V985">
        <f>Table1[[#This Row],[Face value]]*Table1[[#This Row],[Current coupon %]]</f>
        <v>0</v>
      </c>
      <c r="W985" s="36" t="e">
        <f>RATE(Table1[[#This Row],[Total No. of Coupons]],Table1[[#This Row],[Coupon Amount]],-Table1[[#This Row],[Ask Price]],Table1[[#This Row],[Face value]])</f>
        <v>#N/A</v>
      </c>
      <c r="X985" s="27" t="e">
        <f>Table1[[#This Row],[IRR]]*Table1[[#This Row],[Coupon Frequency2]]</f>
        <v>#N/A</v>
      </c>
      <c r="Y985" s="19" t="e" cm="1">
        <f t="array" ref="Y9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5" s="33" t="e">
        <f>DURATION(Table1[[#This Row],[Issue date]],Table1[[#This Row],[Maturity date]],Table1[[#This Row],[Current coupon %]],Table1[[#This Row],[Yield (Annualised)]],Table1[[#This Row],[Coupon Frequency2]])</f>
        <v>#N/A</v>
      </c>
      <c r="AA985" s="33" t="e">
        <f>Table1[[#This Row],[Macaulay Duration in Years]]/(1+Table1[[#This Row],[IRR]])</f>
        <v>#N/A</v>
      </c>
      <c r="AB985" s="58" t="e">
        <f>VLOOKUP(Table1[[#This Row],[Yield Cluster]],'Cluster Details'!$B$3:$C$16,2,0)</f>
        <v>#N/A</v>
      </c>
      <c r="AC9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5" s="58" t="e">
        <f>IF(Table1[[#This Row],[Ask Price]]&gt;Table1[[#This Row],[Calculated Bond Price]],"Rich","Cheap")</f>
        <v>#N/A</v>
      </c>
      <c r="AE9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5" s="78" t="e">
        <f>(Table1[[#This Row],[P (+ shock)]]+Table1[[#This Row],[P (-shock)]]-2*Table1[[#This Row],[Ask Price]])/(2*Table1[[#This Row],[Ask Price]]*($AF$2^2))</f>
        <v>#N/A</v>
      </c>
      <c r="AH985">
        <v>4.0865844568351903</v>
      </c>
      <c r="AI985" s="6" t="e">
        <f t="shared" si="61"/>
        <v>#DIV/0!</v>
      </c>
      <c r="AK985" s="47" t="e">
        <f>RATE(Table1[[#This Row],[Total No. of Coupons]],Table1[[#This Row],[Coupon Amount]],-Table1[[#This Row],[Ask Price]],Table1[[#This Row],[Face value]])</f>
        <v>#N/A</v>
      </c>
      <c r="AL985" s="27" t="e">
        <f>Table1[[#This Row],[IRR]]*Table1[[#This Row],[Coupon Frequency2]]</f>
        <v>#N/A</v>
      </c>
      <c r="AM985" s="5" t="e">
        <f t="shared" si="62"/>
        <v>#N/A</v>
      </c>
      <c r="AN985" t="s">
        <v>64</v>
      </c>
      <c r="AO985" t="s">
        <v>62</v>
      </c>
      <c r="AP985" t="str">
        <f t="shared" si="63"/>
        <v/>
      </c>
    </row>
    <row r="986" spans="4:42" x14ac:dyDescent="0.35">
      <c r="D986" s="21"/>
      <c r="E986" s="21"/>
      <c r="L986" s="22"/>
      <c r="S986">
        <f t="shared" si="60"/>
        <v>0</v>
      </c>
      <c r="T986" s="5" t="e" cm="1">
        <f t="array" ref="T9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6" t="e">
        <f>Table1[[#This Row],[Term to Maturity (Years)]]*Table1[[#This Row],[Coupon Frequency2]]</f>
        <v>#N/A</v>
      </c>
      <c r="V986">
        <f>Table1[[#This Row],[Face value]]*Table1[[#This Row],[Current coupon %]]</f>
        <v>0</v>
      </c>
      <c r="W986" s="36" t="e">
        <f>RATE(Table1[[#This Row],[Total No. of Coupons]],Table1[[#This Row],[Coupon Amount]],-Table1[[#This Row],[Ask Price]],Table1[[#This Row],[Face value]])</f>
        <v>#N/A</v>
      </c>
      <c r="X986" s="27" t="e">
        <f>Table1[[#This Row],[IRR]]*Table1[[#This Row],[Coupon Frequency2]]</f>
        <v>#N/A</v>
      </c>
      <c r="Y986" s="19" t="e" cm="1">
        <f t="array" ref="Y9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6" s="33" t="e">
        <f>DURATION(Table1[[#This Row],[Issue date]],Table1[[#This Row],[Maturity date]],Table1[[#This Row],[Current coupon %]],Table1[[#This Row],[Yield (Annualised)]],Table1[[#This Row],[Coupon Frequency2]])</f>
        <v>#N/A</v>
      </c>
      <c r="AA986" s="33" t="e">
        <f>Table1[[#This Row],[Macaulay Duration in Years]]/(1+Table1[[#This Row],[IRR]])</f>
        <v>#N/A</v>
      </c>
      <c r="AB986" s="58" t="e">
        <f>VLOOKUP(Table1[[#This Row],[Yield Cluster]],'Cluster Details'!$B$3:$C$16,2,0)</f>
        <v>#N/A</v>
      </c>
      <c r="AC9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6" s="58" t="e">
        <f>IF(Table1[[#This Row],[Ask Price]]&gt;Table1[[#This Row],[Calculated Bond Price]],"Rich","Cheap")</f>
        <v>#N/A</v>
      </c>
      <c r="AE9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6" s="78" t="e">
        <f>(Table1[[#This Row],[P (+ shock)]]+Table1[[#This Row],[P (-shock)]]-2*Table1[[#This Row],[Ask Price]])/(2*Table1[[#This Row],[Ask Price]]*($AF$2^2))</f>
        <v>#N/A</v>
      </c>
      <c r="AI986" s="6" t="e">
        <f t="shared" si="61"/>
        <v>#DIV/0!</v>
      </c>
      <c r="AK986" s="47" t="e">
        <f>RATE(Table1[[#This Row],[Total No. of Coupons]],Table1[[#This Row],[Coupon Amount]],-Table1[[#This Row],[Ask Price]],Table1[[#This Row],[Face value]])</f>
        <v>#N/A</v>
      </c>
      <c r="AL986" s="27" t="e">
        <f>Table1[[#This Row],[IRR]]*Table1[[#This Row],[Coupon Frequency2]]</f>
        <v>#N/A</v>
      </c>
      <c r="AM986" s="5" t="e">
        <f t="shared" si="62"/>
        <v>#N/A</v>
      </c>
      <c r="AN986" t="s">
        <v>64</v>
      </c>
      <c r="AO986" t="s">
        <v>62</v>
      </c>
      <c r="AP986" t="str">
        <f t="shared" si="63"/>
        <v/>
      </c>
    </row>
    <row r="987" spans="4:42" x14ac:dyDescent="0.35">
      <c r="D987" s="21"/>
      <c r="E987" s="21"/>
      <c r="L987" s="22"/>
      <c r="S987">
        <f t="shared" si="60"/>
        <v>0</v>
      </c>
      <c r="T987" s="5" t="e" cm="1">
        <f t="array" ref="T9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7" t="e">
        <f>Table1[[#This Row],[Term to Maturity (Years)]]*Table1[[#This Row],[Coupon Frequency2]]</f>
        <v>#N/A</v>
      </c>
      <c r="V987">
        <f>Table1[[#This Row],[Face value]]*Table1[[#This Row],[Current coupon %]]</f>
        <v>0</v>
      </c>
      <c r="W987" s="36" t="e">
        <f>RATE(Table1[[#This Row],[Total No. of Coupons]],Table1[[#This Row],[Coupon Amount]],-Table1[[#This Row],[Ask Price]],Table1[[#This Row],[Face value]])</f>
        <v>#N/A</v>
      </c>
      <c r="X987" s="27" t="e">
        <f>Table1[[#This Row],[IRR]]*Table1[[#This Row],[Coupon Frequency2]]</f>
        <v>#N/A</v>
      </c>
      <c r="Y987" s="19" t="e" cm="1">
        <f t="array" ref="Y9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7" s="33" t="e">
        <f>DURATION(Table1[[#This Row],[Issue date]],Table1[[#This Row],[Maturity date]],Table1[[#This Row],[Current coupon %]],Table1[[#This Row],[Yield (Annualised)]],Table1[[#This Row],[Coupon Frequency2]])</f>
        <v>#N/A</v>
      </c>
      <c r="AA987" s="33" t="e">
        <f>Table1[[#This Row],[Macaulay Duration in Years]]/(1+Table1[[#This Row],[IRR]])</f>
        <v>#N/A</v>
      </c>
      <c r="AB987" s="58" t="e">
        <f>VLOOKUP(Table1[[#This Row],[Yield Cluster]],'Cluster Details'!$B$3:$C$16,2,0)</f>
        <v>#N/A</v>
      </c>
      <c r="AC9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7" s="58" t="e">
        <f>IF(Table1[[#This Row],[Ask Price]]&gt;Table1[[#This Row],[Calculated Bond Price]],"Rich","Cheap")</f>
        <v>#N/A</v>
      </c>
      <c r="AE9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7" s="78" t="e">
        <f>(Table1[[#This Row],[P (+ shock)]]+Table1[[#This Row],[P (-shock)]]-2*Table1[[#This Row],[Ask Price]])/(2*Table1[[#This Row],[Ask Price]]*($AF$2^2))</f>
        <v>#N/A</v>
      </c>
      <c r="AI987" s="6" t="e">
        <f t="shared" si="61"/>
        <v>#DIV/0!</v>
      </c>
      <c r="AK987" s="47" t="e">
        <f>RATE(Table1[[#This Row],[Total No. of Coupons]],Table1[[#This Row],[Coupon Amount]],-Table1[[#This Row],[Ask Price]],Table1[[#This Row],[Face value]])</f>
        <v>#N/A</v>
      </c>
      <c r="AL987" s="27" t="e">
        <f>Table1[[#This Row],[IRR]]*Table1[[#This Row],[Coupon Frequency2]]</f>
        <v>#N/A</v>
      </c>
      <c r="AM987" s="5" t="e">
        <f t="shared" si="62"/>
        <v>#N/A</v>
      </c>
      <c r="AN987" t="s">
        <v>64</v>
      </c>
      <c r="AO987" t="s">
        <v>62</v>
      </c>
      <c r="AP987" t="str">
        <f t="shared" si="63"/>
        <v/>
      </c>
    </row>
    <row r="988" spans="4:42" x14ac:dyDescent="0.35">
      <c r="D988" s="21"/>
      <c r="E988" s="21"/>
      <c r="L988" s="22"/>
      <c r="S988">
        <f t="shared" si="60"/>
        <v>0</v>
      </c>
      <c r="T988" s="5" t="e" cm="1">
        <f t="array" ref="T9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8" t="e">
        <f>Table1[[#This Row],[Term to Maturity (Years)]]*Table1[[#This Row],[Coupon Frequency2]]</f>
        <v>#N/A</v>
      </c>
      <c r="V988">
        <f>Table1[[#This Row],[Face value]]*Table1[[#This Row],[Current coupon %]]</f>
        <v>0</v>
      </c>
      <c r="W988" s="36" t="e">
        <f>RATE(Table1[[#This Row],[Total No. of Coupons]],Table1[[#This Row],[Coupon Amount]],-Table1[[#This Row],[Ask Price]],Table1[[#This Row],[Face value]])</f>
        <v>#N/A</v>
      </c>
      <c r="X988" s="27" t="e">
        <f>Table1[[#This Row],[IRR]]*Table1[[#This Row],[Coupon Frequency2]]</f>
        <v>#N/A</v>
      </c>
      <c r="Y988" s="19" t="e" cm="1">
        <f t="array" ref="Y9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8" s="33" t="e">
        <f>DURATION(Table1[[#This Row],[Issue date]],Table1[[#This Row],[Maturity date]],Table1[[#This Row],[Current coupon %]],Table1[[#This Row],[Yield (Annualised)]],Table1[[#This Row],[Coupon Frequency2]])</f>
        <v>#N/A</v>
      </c>
      <c r="AA988" s="33" t="e">
        <f>Table1[[#This Row],[Macaulay Duration in Years]]/(1+Table1[[#This Row],[IRR]])</f>
        <v>#N/A</v>
      </c>
      <c r="AB988" s="58" t="e">
        <f>VLOOKUP(Table1[[#This Row],[Yield Cluster]],'Cluster Details'!$B$3:$C$16,2,0)</f>
        <v>#N/A</v>
      </c>
      <c r="AC9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8" s="58" t="e">
        <f>IF(Table1[[#This Row],[Ask Price]]&gt;Table1[[#This Row],[Calculated Bond Price]],"Rich","Cheap")</f>
        <v>#N/A</v>
      </c>
      <c r="AE9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8" s="78" t="e">
        <f>(Table1[[#This Row],[P (+ shock)]]+Table1[[#This Row],[P (-shock)]]-2*Table1[[#This Row],[Ask Price]])/(2*Table1[[#This Row],[Ask Price]]*($AF$2^2))</f>
        <v>#N/A</v>
      </c>
      <c r="AI988" s="6" t="e">
        <f t="shared" si="61"/>
        <v>#DIV/0!</v>
      </c>
      <c r="AK988" s="47" t="e">
        <f>RATE(Table1[[#This Row],[Total No. of Coupons]],Table1[[#This Row],[Coupon Amount]],-Table1[[#This Row],[Ask Price]],Table1[[#This Row],[Face value]])</f>
        <v>#N/A</v>
      </c>
      <c r="AL988" s="27" t="e">
        <f>Table1[[#This Row],[IRR]]*Table1[[#This Row],[Coupon Frequency2]]</f>
        <v>#N/A</v>
      </c>
      <c r="AM988" s="5" t="e">
        <f t="shared" si="62"/>
        <v>#N/A</v>
      </c>
      <c r="AN988" t="s">
        <v>64</v>
      </c>
      <c r="AO988" t="s">
        <v>62</v>
      </c>
      <c r="AP988" t="str">
        <f t="shared" si="63"/>
        <v/>
      </c>
    </row>
    <row r="989" spans="4:42" x14ac:dyDescent="0.35">
      <c r="D989" s="21"/>
      <c r="E989" s="21"/>
      <c r="L989" s="22"/>
      <c r="S989">
        <f t="shared" si="60"/>
        <v>0</v>
      </c>
      <c r="T989" s="5" t="e" cm="1">
        <f t="array" ref="T9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89" t="e">
        <f>Table1[[#This Row],[Term to Maturity (Years)]]*Table1[[#This Row],[Coupon Frequency2]]</f>
        <v>#N/A</v>
      </c>
      <c r="V989">
        <f>Table1[[#This Row],[Face value]]*Table1[[#This Row],[Current coupon %]]</f>
        <v>0</v>
      </c>
      <c r="W989" s="36" t="e">
        <f>RATE(Table1[[#This Row],[Total No. of Coupons]],Table1[[#This Row],[Coupon Amount]],-Table1[[#This Row],[Ask Price]],Table1[[#This Row],[Face value]])</f>
        <v>#N/A</v>
      </c>
      <c r="X989" s="27" t="e">
        <f>Table1[[#This Row],[IRR]]*Table1[[#This Row],[Coupon Frequency2]]</f>
        <v>#N/A</v>
      </c>
      <c r="Y989" s="19" t="e" cm="1">
        <f t="array" ref="Y9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89" s="33" t="e">
        <f>DURATION(Table1[[#This Row],[Issue date]],Table1[[#This Row],[Maturity date]],Table1[[#This Row],[Current coupon %]],Table1[[#This Row],[Yield (Annualised)]],Table1[[#This Row],[Coupon Frequency2]])</f>
        <v>#N/A</v>
      </c>
      <c r="AA989" s="33" t="e">
        <f>Table1[[#This Row],[Macaulay Duration in Years]]/(1+Table1[[#This Row],[IRR]])</f>
        <v>#N/A</v>
      </c>
      <c r="AB989" s="58" t="e">
        <f>VLOOKUP(Table1[[#This Row],[Yield Cluster]],'Cluster Details'!$B$3:$C$16,2,0)</f>
        <v>#N/A</v>
      </c>
      <c r="AC9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89" s="58" t="e">
        <f>IF(Table1[[#This Row],[Ask Price]]&gt;Table1[[#This Row],[Calculated Bond Price]],"Rich","Cheap")</f>
        <v>#N/A</v>
      </c>
      <c r="AE9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89" s="78" t="e">
        <f>(Table1[[#This Row],[P (+ shock)]]+Table1[[#This Row],[P (-shock)]]-2*Table1[[#This Row],[Ask Price]])/(2*Table1[[#This Row],[Ask Price]]*($AF$2^2))</f>
        <v>#N/A</v>
      </c>
      <c r="AH989">
        <v>6.6108947176545003</v>
      </c>
      <c r="AI989" s="6" t="e">
        <f t="shared" si="61"/>
        <v>#DIV/0!</v>
      </c>
      <c r="AK989" s="47" t="e">
        <f>RATE(Table1[[#This Row],[Total No. of Coupons]],Table1[[#This Row],[Coupon Amount]],-Table1[[#This Row],[Ask Price]],Table1[[#This Row],[Face value]])</f>
        <v>#N/A</v>
      </c>
      <c r="AL989" s="27" t="e">
        <f>Table1[[#This Row],[IRR]]*Table1[[#This Row],[Coupon Frequency2]]</f>
        <v>#N/A</v>
      </c>
      <c r="AM989" s="5" t="e">
        <f t="shared" si="62"/>
        <v>#N/A</v>
      </c>
      <c r="AN989" t="s">
        <v>64</v>
      </c>
      <c r="AO989" t="s">
        <v>62</v>
      </c>
      <c r="AP989" t="str">
        <f t="shared" si="63"/>
        <v/>
      </c>
    </row>
    <row r="990" spans="4:42" x14ac:dyDescent="0.35">
      <c r="D990" s="21"/>
      <c r="E990" s="21"/>
      <c r="L990" s="22"/>
      <c r="S990">
        <f t="shared" si="60"/>
        <v>0</v>
      </c>
      <c r="T990" s="5" t="e" cm="1">
        <f t="array" ref="T9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0" t="e">
        <f>Table1[[#This Row],[Term to Maturity (Years)]]*Table1[[#This Row],[Coupon Frequency2]]</f>
        <v>#N/A</v>
      </c>
      <c r="V990">
        <f>Table1[[#This Row],[Face value]]*Table1[[#This Row],[Current coupon %]]</f>
        <v>0</v>
      </c>
      <c r="W990" s="36" t="e">
        <f>RATE(Table1[[#This Row],[Total No. of Coupons]],Table1[[#This Row],[Coupon Amount]],-Table1[[#This Row],[Ask Price]],Table1[[#This Row],[Face value]])</f>
        <v>#N/A</v>
      </c>
      <c r="X990" s="27" t="e">
        <f>Table1[[#This Row],[IRR]]*Table1[[#This Row],[Coupon Frequency2]]</f>
        <v>#N/A</v>
      </c>
      <c r="Y990" s="19" t="e" cm="1">
        <f t="array" ref="Y9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0" s="33" t="e">
        <f>DURATION(Table1[[#This Row],[Issue date]],Table1[[#This Row],[Maturity date]],Table1[[#This Row],[Current coupon %]],Table1[[#This Row],[Yield (Annualised)]],Table1[[#This Row],[Coupon Frequency2]])</f>
        <v>#N/A</v>
      </c>
      <c r="AA990" s="33" t="e">
        <f>Table1[[#This Row],[Macaulay Duration in Years]]/(1+Table1[[#This Row],[IRR]])</f>
        <v>#N/A</v>
      </c>
      <c r="AB990" s="58" t="e">
        <f>VLOOKUP(Table1[[#This Row],[Yield Cluster]],'Cluster Details'!$B$3:$C$16,2,0)</f>
        <v>#N/A</v>
      </c>
      <c r="AC9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0" s="58" t="e">
        <f>IF(Table1[[#This Row],[Ask Price]]&gt;Table1[[#This Row],[Calculated Bond Price]],"Rich","Cheap")</f>
        <v>#N/A</v>
      </c>
      <c r="AE9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0" s="78" t="e">
        <f>(Table1[[#This Row],[P (+ shock)]]+Table1[[#This Row],[P (-shock)]]-2*Table1[[#This Row],[Ask Price]])/(2*Table1[[#This Row],[Ask Price]]*($AF$2^2))</f>
        <v>#N/A</v>
      </c>
      <c r="AH990">
        <v>7.8926295146265701</v>
      </c>
      <c r="AI990" s="6" t="e">
        <f t="shared" si="61"/>
        <v>#DIV/0!</v>
      </c>
      <c r="AK990" s="47" t="e">
        <f>RATE(Table1[[#This Row],[Total No. of Coupons]],Table1[[#This Row],[Coupon Amount]],-Table1[[#This Row],[Ask Price]],Table1[[#This Row],[Face value]])</f>
        <v>#N/A</v>
      </c>
      <c r="AL990" s="27" t="e">
        <f>Table1[[#This Row],[IRR]]*Table1[[#This Row],[Coupon Frequency2]]</f>
        <v>#N/A</v>
      </c>
      <c r="AM990" s="5" t="e">
        <f t="shared" si="62"/>
        <v>#N/A</v>
      </c>
      <c r="AN990" t="s">
        <v>64</v>
      </c>
      <c r="AO990" t="s">
        <v>62</v>
      </c>
      <c r="AP990" t="str">
        <f t="shared" si="63"/>
        <v/>
      </c>
    </row>
    <row r="991" spans="4:42" x14ac:dyDescent="0.35">
      <c r="D991" s="21"/>
      <c r="E991" s="21"/>
      <c r="L991" s="22"/>
      <c r="S991">
        <f t="shared" si="60"/>
        <v>0</v>
      </c>
      <c r="T991" s="5" t="e" cm="1">
        <f t="array" ref="T9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1" t="e">
        <f>Table1[[#This Row],[Term to Maturity (Years)]]*Table1[[#This Row],[Coupon Frequency2]]</f>
        <v>#N/A</v>
      </c>
      <c r="V991">
        <f>Table1[[#This Row],[Face value]]*Table1[[#This Row],[Current coupon %]]</f>
        <v>0</v>
      </c>
      <c r="W991" s="36" t="e">
        <f>RATE(Table1[[#This Row],[Total No. of Coupons]],Table1[[#This Row],[Coupon Amount]],-Table1[[#This Row],[Ask Price]],Table1[[#This Row],[Face value]])</f>
        <v>#N/A</v>
      </c>
      <c r="X991" s="27" t="e">
        <f>Table1[[#This Row],[IRR]]*Table1[[#This Row],[Coupon Frequency2]]</f>
        <v>#N/A</v>
      </c>
      <c r="Y991" s="19" t="e" cm="1">
        <f t="array" ref="Y9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1" s="33" t="e">
        <f>DURATION(Table1[[#This Row],[Issue date]],Table1[[#This Row],[Maturity date]],Table1[[#This Row],[Current coupon %]],Table1[[#This Row],[Yield (Annualised)]],Table1[[#This Row],[Coupon Frequency2]])</f>
        <v>#N/A</v>
      </c>
      <c r="AA991" s="33" t="e">
        <f>Table1[[#This Row],[Macaulay Duration in Years]]/(1+Table1[[#This Row],[IRR]])</f>
        <v>#N/A</v>
      </c>
      <c r="AB991" s="58" t="e">
        <f>VLOOKUP(Table1[[#This Row],[Yield Cluster]],'Cluster Details'!$B$3:$C$16,2,0)</f>
        <v>#N/A</v>
      </c>
      <c r="AC9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1" s="58" t="e">
        <f>IF(Table1[[#This Row],[Ask Price]]&gt;Table1[[#This Row],[Calculated Bond Price]],"Rich","Cheap")</f>
        <v>#N/A</v>
      </c>
      <c r="AE9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1" s="78" t="e">
        <f>(Table1[[#This Row],[P (+ shock)]]+Table1[[#This Row],[P (-shock)]]-2*Table1[[#This Row],[Ask Price]])/(2*Table1[[#This Row],[Ask Price]]*($AF$2^2))</f>
        <v>#N/A</v>
      </c>
      <c r="AH991">
        <v>8.1559757755530793</v>
      </c>
      <c r="AI991" s="6" t="e">
        <f t="shared" si="61"/>
        <v>#DIV/0!</v>
      </c>
      <c r="AK991" s="47" t="e">
        <f>RATE(Table1[[#This Row],[Total No. of Coupons]],Table1[[#This Row],[Coupon Amount]],-Table1[[#This Row],[Ask Price]],Table1[[#This Row],[Face value]])</f>
        <v>#N/A</v>
      </c>
      <c r="AL991" s="27" t="e">
        <f>Table1[[#This Row],[IRR]]*Table1[[#This Row],[Coupon Frequency2]]</f>
        <v>#N/A</v>
      </c>
      <c r="AM991" s="5" t="e">
        <f t="shared" si="62"/>
        <v>#N/A</v>
      </c>
      <c r="AN991" t="s">
        <v>64</v>
      </c>
      <c r="AO991" t="s">
        <v>62</v>
      </c>
      <c r="AP991" t="str">
        <f t="shared" si="63"/>
        <v/>
      </c>
    </row>
    <row r="992" spans="4:42" x14ac:dyDescent="0.35">
      <c r="D992" s="21"/>
      <c r="E992" s="21"/>
      <c r="L992" s="22"/>
      <c r="S992">
        <f t="shared" si="60"/>
        <v>0</v>
      </c>
      <c r="T992" s="5" t="e" cm="1">
        <f t="array" ref="T9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2" t="e">
        <f>Table1[[#This Row],[Term to Maturity (Years)]]*Table1[[#This Row],[Coupon Frequency2]]</f>
        <v>#N/A</v>
      </c>
      <c r="V992">
        <f>Table1[[#This Row],[Face value]]*Table1[[#This Row],[Current coupon %]]</f>
        <v>0</v>
      </c>
      <c r="W992" s="36" t="e">
        <f>RATE(Table1[[#This Row],[Total No. of Coupons]],Table1[[#This Row],[Coupon Amount]],-Table1[[#This Row],[Ask Price]],Table1[[#This Row],[Face value]])</f>
        <v>#N/A</v>
      </c>
      <c r="X992" s="27" t="e">
        <f>Table1[[#This Row],[IRR]]*Table1[[#This Row],[Coupon Frequency2]]</f>
        <v>#N/A</v>
      </c>
      <c r="Y992" s="19" t="e" cm="1">
        <f t="array" ref="Y9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2" s="33" t="e">
        <f>DURATION(Table1[[#This Row],[Issue date]],Table1[[#This Row],[Maturity date]],Table1[[#This Row],[Current coupon %]],Table1[[#This Row],[Yield (Annualised)]],Table1[[#This Row],[Coupon Frequency2]])</f>
        <v>#N/A</v>
      </c>
      <c r="AA992" s="33" t="e">
        <f>Table1[[#This Row],[Macaulay Duration in Years]]/(1+Table1[[#This Row],[IRR]])</f>
        <v>#N/A</v>
      </c>
      <c r="AB992" s="58" t="e">
        <f>VLOOKUP(Table1[[#This Row],[Yield Cluster]],'Cluster Details'!$B$3:$C$16,2,0)</f>
        <v>#N/A</v>
      </c>
      <c r="AC9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2" s="58" t="e">
        <f>IF(Table1[[#This Row],[Ask Price]]&gt;Table1[[#This Row],[Calculated Bond Price]],"Rich","Cheap")</f>
        <v>#N/A</v>
      </c>
      <c r="AE9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2" s="78" t="e">
        <f>(Table1[[#This Row],[P (+ shock)]]+Table1[[#This Row],[P (-shock)]]-2*Table1[[#This Row],[Ask Price]])/(2*Table1[[#This Row],[Ask Price]]*($AF$2^2))</f>
        <v>#N/A</v>
      </c>
      <c r="AH992">
        <v>8.1860227671019903</v>
      </c>
      <c r="AI992" s="6" t="e">
        <f t="shared" si="61"/>
        <v>#DIV/0!</v>
      </c>
      <c r="AK992" s="47" t="e">
        <f>RATE(Table1[[#This Row],[Total No. of Coupons]],Table1[[#This Row],[Coupon Amount]],-Table1[[#This Row],[Ask Price]],Table1[[#This Row],[Face value]])</f>
        <v>#N/A</v>
      </c>
      <c r="AL992" s="27" t="e">
        <f>Table1[[#This Row],[IRR]]*Table1[[#This Row],[Coupon Frequency2]]</f>
        <v>#N/A</v>
      </c>
      <c r="AM992" s="5" t="e">
        <f t="shared" si="62"/>
        <v>#N/A</v>
      </c>
      <c r="AN992" t="s">
        <v>64</v>
      </c>
      <c r="AO992" t="s">
        <v>62</v>
      </c>
      <c r="AP992" t="str">
        <f t="shared" si="63"/>
        <v/>
      </c>
    </row>
    <row r="993" spans="4:42" x14ac:dyDescent="0.35">
      <c r="D993" s="21"/>
      <c r="E993" s="21"/>
      <c r="L993" s="22"/>
      <c r="S993">
        <f t="shared" si="60"/>
        <v>0</v>
      </c>
      <c r="T993" s="5" t="e" cm="1">
        <f t="array" ref="T9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3" t="e">
        <f>Table1[[#This Row],[Term to Maturity (Years)]]*Table1[[#This Row],[Coupon Frequency2]]</f>
        <v>#N/A</v>
      </c>
      <c r="V993">
        <f>Table1[[#This Row],[Face value]]*Table1[[#This Row],[Current coupon %]]</f>
        <v>0</v>
      </c>
      <c r="W993" s="36" t="e">
        <f>RATE(Table1[[#This Row],[Total No. of Coupons]],Table1[[#This Row],[Coupon Amount]],-Table1[[#This Row],[Ask Price]],Table1[[#This Row],[Face value]])</f>
        <v>#N/A</v>
      </c>
      <c r="X993" s="27" t="e">
        <f>Table1[[#This Row],[IRR]]*Table1[[#This Row],[Coupon Frequency2]]</f>
        <v>#N/A</v>
      </c>
      <c r="Y993" s="19" t="e" cm="1">
        <f t="array" ref="Y9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3" s="33" t="e">
        <f>DURATION(Table1[[#This Row],[Issue date]],Table1[[#This Row],[Maturity date]],Table1[[#This Row],[Current coupon %]],Table1[[#This Row],[Yield (Annualised)]],Table1[[#This Row],[Coupon Frequency2]])</f>
        <v>#N/A</v>
      </c>
      <c r="AA993" s="33" t="e">
        <f>Table1[[#This Row],[Macaulay Duration in Years]]/(1+Table1[[#This Row],[IRR]])</f>
        <v>#N/A</v>
      </c>
      <c r="AB993" s="58" t="e">
        <f>VLOOKUP(Table1[[#This Row],[Yield Cluster]],'Cluster Details'!$B$3:$C$16,2,0)</f>
        <v>#N/A</v>
      </c>
      <c r="AC9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3" s="58" t="e">
        <f>IF(Table1[[#This Row],[Ask Price]]&gt;Table1[[#This Row],[Calculated Bond Price]],"Rich","Cheap")</f>
        <v>#N/A</v>
      </c>
      <c r="AE9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3" s="78" t="e">
        <f>(Table1[[#This Row],[P (+ shock)]]+Table1[[#This Row],[P (-shock)]]-2*Table1[[#This Row],[Ask Price]])/(2*Table1[[#This Row],[Ask Price]]*($AF$2^2))</f>
        <v>#N/A</v>
      </c>
      <c r="AI993" s="6" t="e">
        <f t="shared" si="61"/>
        <v>#DIV/0!</v>
      </c>
      <c r="AK993" s="47" t="e">
        <f>RATE(Table1[[#This Row],[Total No. of Coupons]],Table1[[#This Row],[Coupon Amount]],-Table1[[#This Row],[Ask Price]],Table1[[#This Row],[Face value]])</f>
        <v>#N/A</v>
      </c>
      <c r="AL993" s="27" t="e">
        <f>Table1[[#This Row],[IRR]]*Table1[[#This Row],[Coupon Frequency2]]</f>
        <v>#N/A</v>
      </c>
      <c r="AM993" s="5" t="e">
        <f t="shared" si="62"/>
        <v>#N/A</v>
      </c>
      <c r="AN993" t="s">
        <v>69</v>
      </c>
      <c r="AO993" t="s">
        <v>62</v>
      </c>
      <c r="AP993" t="str">
        <f t="shared" si="63"/>
        <v/>
      </c>
    </row>
    <row r="994" spans="4:42" x14ac:dyDescent="0.35">
      <c r="D994" s="21"/>
      <c r="E994" s="21"/>
      <c r="L994" s="22"/>
      <c r="S994">
        <f t="shared" si="60"/>
        <v>0</v>
      </c>
      <c r="T994" s="5" t="e" cm="1">
        <f t="array" ref="T9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4" t="e">
        <f>Table1[[#This Row],[Term to Maturity (Years)]]*Table1[[#This Row],[Coupon Frequency2]]</f>
        <v>#N/A</v>
      </c>
      <c r="V994">
        <f>Table1[[#This Row],[Face value]]*Table1[[#This Row],[Current coupon %]]</f>
        <v>0</v>
      </c>
      <c r="W994" s="36" t="e">
        <f>RATE(Table1[[#This Row],[Total No. of Coupons]],Table1[[#This Row],[Coupon Amount]],-Table1[[#This Row],[Ask Price]],Table1[[#This Row],[Face value]])</f>
        <v>#N/A</v>
      </c>
      <c r="X994" s="27" t="e">
        <f>Table1[[#This Row],[IRR]]*Table1[[#This Row],[Coupon Frequency2]]</f>
        <v>#N/A</v>
      </c>
      <c r="Y994" s="19" t="e" cm="1">
        <f t="array" ref="Y9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4" s="33" t="e">
        <f>DURATION(Table1[[#This Row],[Issue date]],Table1[[#This Row],[Maturity date]],Table1[[#This Row],[Current coupon %]],Table1[[#This Row],[Yield (Annualised)]],Table1[[#This Row],[Coupon Frequency2]])</f>
        <v>#N/A</v>
      </c>
      <c r="AA994" s="33" t="e">
        <f>Table1[[#This Row],[Macaulay Duration in Years]]/(1+Table1[[#This Row],[IRR]])</f>
        <v>#N/A</v>
      </c>
      <c r="AB994" s="58" t="e">
        <f>VLOOKUP(Table1[[#This Row],[Yield Cluster]],'Cluster Details'!$B$3:$C$16,2,0)</f>
        <v>#N/A</v>
      </c>
      <c r="AC9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4" s="58" t="e">
        <f>IF(Table1[[#This Row],[Ask Price]]&gt;Table1[[#This Row],[Calculated Bond Price]],"Rich","Cheap")</f>
        <v>#N/A</v>
      </c>
      <c r="AE9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4" s="78" t="e">
        <f>(Table1[[#This Row],[P (+ shock)]]+Table1[[#This Row],[P (-shock)]]-2*Table1[[#This Row],[Ask Price]])/(2*Table1[[#This Row],[Ask Price]]*($AF$2^2))</f>
        <v>#N/A</v>
      </c>
      <c r="AH994">
        <v>11.6777356103731</v>
      </c>
      <c r="AI994" s="6" t="e">
        <f t="shared" si="61"/>
        <v>#DIV/0!</v>
      </c>
      <c r="AK994" s="47" t="e">
        <f>RATE(Table1[[#This Row],[Total No. of Coupons]],Table1[[#This Row],[Coupon Amount]],-Table1[[#This Row],[Ask Price]],Table1[[#This Row],[Face value]])</f>
        <v>#N/A</v>
      </c>
      <c r="AL994" s="27" t="e">
        <f>Table1[[#This Row],[IRR]]*Table1[[#This Row],[Coupon Frequency2]]</f>
        <v>#N/A</v>
      </c>
      <c r="AM994" s="5" t="e">
        <f t="shared" si="62"/>
        <v>#N/A</v>
      </c>
      <c r="AN994" t="s">
        <v>64</v>
      </c>
      <c r="AO994" t="s">
        <v>62</v>
      </c>
      <c r="AP994" t="str">
        <f t="shared" si="63"/>
        <v/>
      </c>
    </row>
    <row r="995" spans="4:42" x14ac:dyDescent="0.35">
      <c r="D995" s="21"/>
      <c r="E995" s="21"/>
      <c r="L995" s="22"/>
      <c r="S995">
        <f t="shared" si="60"/>
        <v>0</v>
      </c>
      <c r="T995" s="5" t="e" cm="1">
        <f t="array" ref="T9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5" t="e">
        <f>Table1[[#This Row],[Term to Maturity (Years)]]*Table1[[#This Row],[Coupon Frequency2]]</f>
        <v>#N/A</v>
      </c>
      <c r="V995">
        <f>Table1[[#This Row],[Face value]]*Table1[[#This Row],[Current coupon %]]</f>
        <v>0</v>
      </c>
      <c r="W995" s="36" t="e">
        <f>RATE(Table1[[#This Row],[Total No. of Coupons]],Table1[[#This Row],[Coupon Amount]],-Table1[[#This Row],[Ask Price]],Table1[[#This Row],[Face value]])</f>
        <v>#N/A</v>
      </c>
      <c r="X995" s="27" t="e">
        <f>Table1[[#This Row],[IRR]]*Table1[[#This Row],[Coupon Frequency2]]</f>
        <v>#N/A</v>
      </c>
      <c r="Y995" s="19" t="e" cm="1">
        <f t="array" ref="Y9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5" s="33" t="e">
        <f>DURATION(Table1[[#This Row],[Issue date]],Table1[[#This Row],[Maturity date]],Table1[[#This Row],[Current coupon %]],Table1[[#This Row],[Yield (Annualised)]],Table1[[#This Row],[Coupon Frequency2]])</f>
        <v>#N/A</v>
      </c>
      <c r="AA995" s="33" t="e">
        <f>Table1[[#This Row],[Macaulay Duration in Years]]/(1+Table1[[#This Row],[IRR]])</f>
        <v>#N/A</v>
      </c>
      <c r="AB995" s="58" t="e">
        <f>VLOOKUP(Table1[[#This Row],[Yield Cluster]],'Cluster Details'!$B$3:$C$16,2,0)</f>
        <v>#N/A</v>
      </c>
      <c r="AC9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5" s="58" t="e">
        <f>IF(Table1[[#This Row],[Ask Price]]&gt;Table1[[#This Row],[Calculated Bond Price]],"Rich","Cheap")</f>
        <v>#N/A</v>
      </c>
      <c r="AE9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5" s="78" t="e">
        <f>(Table1[[#This Row],[P (+ shock)]]+Table1[[#This Row],[P (-shock)]]-2*Table1[[#This Row],[Ask Price]])/(2*Table1[[#This Row],[Ask Price]]*($AF$2^2))</f>
        <v>#N/A</v>
      </c>
      <c r="AH995">
        <v>9.9634423359045901</v>
      </c>
      <c r="AI995" s="6" t="e">
        <f t="shared" si="61"/>
        <v>#DIV/0!</v>
      </c>
      <c r="AK995" s="47" t="e">
        <f>RATE(Table1[[#This Row],[Total No. of Coupons]],Table1[[#This Row],[Coupon Amount]],-Table1[[#This Row],[Ask Price]],Table1[[#This Row],[Face value]])</f>
        <v>#N/A</v>
      </c>
      <c r="AL995" s="27" t="e">
        <f>Table1[[#This Row],[IRR]]*Table1[[#This Row],[Coupon Frequency2]]</f>
        <v>#N/A</v>
      </c>
      <c r="AM995" s="5" t="e">
        <f t="shared" si="62"/>
        <v>#N/A</v>
      </c>
      <c r="AN995" t="s">
        <v>64</v>
      </c>
      <c r="AO995" t="s">
        <v>62</v>
      </c>
      <c r="AP995" t="str">
        <f t="shared" si="63"/>
        <v/>
      </c>
    </row>
    <row r="996" spans="4:42" x14ac:dyDescent="0.35">
      <c r="D996" s="21"/>
      <c r="E996" s="21"/>
      <c r="L996" s="22"/>
      <c r="S996">
        <f t="shared" si="60"/>
        <v>0</v>
      </c>
      <c r="T996" s="5" t="e" cm="1">
        <f t="array" ref="T9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6" t="e">
        <f>Table1[[#This Row],[Term to Maturity (Years)]]*Table1[[#This Row],[Coupon Frequency2]]</f>
        <v>#N/A</v>
      </c>
      <c r="V996">
        <f>Table1[[#This Row],[Face value]]*Table1[[#This Row],[Current coupon %]]</f>
        <v>0</v>
      </c>
      <c r="W996" s="36" t="e">
        <f>RATE(Table1[[#This Row],[Total No. of Coupons]],Table1[[#This Row],[Coupon Amount]],-Table1[[#This Row],[Ask Price]],Table1[[#This Row],[Face value]])</f>
        <v>#N/A</v>
      </c>
      <c r="X996" s="27" t="e">
        <f>Table1[[#This Row],[IRR]]*Table1[[#This Row],[Coupon Frequency2]]</f>
        <v>#N/A</v>
      </c>
      <c r="Y996" s="19" t="e" cm="1">
        <f t="array" ref="Y9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6" s="33" t="e">
        <f>DURATION(Table1[[#This Row],[Issue date]],Table1[[#This Row],[Maturity date]],Table1[[#This Row],[Current coupon %]],Table1[[#This Row],[Yield (Annualised)]],Table1[[#This Row],[Coupon Frequency2]])</f>
        <v>#N/A</v>
      </c>
      <c r="AA996" s="33" t="e">
        <f>Table1[[#This Row],[Macaulay Duration in Years]]/(1+Table1[[#This Row],[IRR]])</f>
        <v>#N/A</v>
      </c>
      <c r="AB996" s="58" t="e">
        <f>VLOOKUP(Table1[[#This Row],[Yield Cluster]],'Cluster Details'!$B$3:$C$16,2,0)</f>
        <v>#N/A</v>
      </c>
      <c r="AC9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6" s="58" t="e">
        <f>IF(Table1[[#This Row],[Ask Price]]&gt;Table1[[#This Row],[Calculated Bond Price]],"Rich","Cheap")</f>
        <v>#N/A</v>
      </c>
      <c r="AE9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6" s="78" t="e">
        <f>(Table1[[#This Row],[P (+ shock)]]+Table1[[#This Row],[P (-shock)]]-2*Table1[[#This Row],[Ask Price]])/(2*Table1[[#This Row],[Ask Price]]*($AF$2^2))</f>
        <v>#N/A</v>
      </c>
      <c r="AH996">
        <v>4.0302983003263</v>
      </c>
      <c r="AI996" s="6" t="e">
        <f t="shared" si="61"/>
        <v>#DIV/0!</v>
      </c>
      <c r="AK996" s="47" t="e">
        <f>RATE(Table1[[#This Row],[Total No. of Coupons]],Table1[[#This Row],[Coupon Amount]],-Table1[[#This Row],[Ask Price]],Table1[[#This Row],[Face value]])</f>
        <v>#N/A</v>
      </c>
      <c r="AL996" s="27" t="e">
        <f>Table1[[#This Row],[IRR]]*Table1[[#This Row],[Coupon Frequency2]]</f>
        <v>#N/A</v>
      </c>
      <c r="AM996" s="5" t="e">
        <f t="shared" si="62"/>
        <v>#N/A</v>
      </c>
      <c r="AN996" t="s">
        <v>64</v>
      </c>
      <c r="AO996" t="s">
        <v>62</v>
      </c>
      <c r="AP996" t="str">
        <f t="shared" si="63"/>
        <v/>
      </c>
    </row>
    <row r="997" spans="4:42" x14ac:dyDescent="0.35">
      <c r="D997" s="21"/>
      <c r="E997" s="21"/>
      <c r="L997" s="22"/>
      <c r="S997">
        <f t="shared" si="60"/>
        <v>0</v>
      </c>
      <c r="T997" s="5" t="e" cm="1">
        <f t="array" ref="T9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7" t="e">
        <f>Table1[[#This Row],[Term to Maturity (Years)]]*Table1[[#This Row],[Coupon Frequency2]]</f>
        <v>#N/A</v>
      </c>
      <c r="V997">
        <f>Table1[[#This Row],[Face value]]*Table1[[#This Row],[Current coupon %]]</f>
        <v>0</v>
      </c>
      <c r="W997" s="36" t="e">
        <f>RATE(Table1[[#This Row],[Total No. of Coupons]],Table1[[#This Row],[Coupon Amount]],-Table1[[#This Row],[Ask Price]],Table1[[#This Row],[Face value]])</f>
        <v>#N/A</v>
      </c>
      <c r="X997" s="27" t="e">
        <f>Table1[[#This Row],[IRR]]*Table1[[#This Row],[Coupon Frequency2]]</f>
        <v>#N/A</v>
      </c>
      <c r="Y997" s="19" t="e" cm="1">
        <f t="array" ref="Y9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7" s="33" t="e">
        <f>DURATION(Table1[[#This Row],[Issue date]],Table1[[#This Row],[Maturity date]],Table1[[#This Row],[Current coupon %]],Table1[[#This Row],[Yield (Annualised)]],Table1[[#This Row],[Coupon Frequency2]])</f>
        <v>#N/A</v>
      </c>
      <c r="AA997" s="33" t="e">
        <f>Table1[[#This Row],[Macaulay Duration in Years]]/(1+Table1[[#This Row],[IRR]])</f>
        <v>#N/A</v>
      </c>
      <c r="AB997" s="58" t="e">
        <f>VLOOKUP(Table1[[#This Row],[Yield Cluster]],'Cluster Details'!$B$3:$C$16,2,0)</f>
        <v>#N/A</v>
      </c>
      <c r="AC9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7" s="58" t="e">
        <f>IF(Table1[[#This Row],[Ask Price]]&gt;Table1[[#This Row],[Calculated Bond Price]],"Rich","Cheap")</f>
        <v>#N/A</v>
      </c>
      <c r="AE9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7" s="78" t="e">
        <f>(Table1[[#This Row],[P (+ shock)]]+Table1[[#This Row],[P (-shock)]]-2*Table1[[#This Row],[Ask Price]])/(2*Table1[[#This Row],[Ask Price]]*($AF$2^2))</f>
        <v>#N/A</v>
      </c>
      <c r="AH997">
        <v>3.61775901759811</v>
      </c>
      <c r="AI997" s="6" t="e">
        <f t="shared" si="61"/>
        <v>#DIV/0!</v>
      </c>
      <c r="AK997" s="47" t="e">
        <f>RATE(Table1[[#This Row],[Total No. of Coupons]],Table1[[#This Row],[Coupon Amount]],-Table1[[#This Row],[Ask Price]],Table1[[#This Row],[Face value]])</f>
        <v>#N/A</v>
      </c>
      <c r="AL997" s="27" t="e">
        <f>Table1[[#This Row],[IRR]]*Table1[[#This Row],[Coupon Frequency2]]</f>
        <v>#N/A</v>
      </c>
      <c r="AM997" s="5" t="e">
        <f t="shared" si="62"/>
        <v>#N/A</v>
      </c>
      <c r="AN997" t="s">
        <v>64</v>
      </c>
      <c r="AO997" t="s">
        <v>62</v>
      </c>
      <c r="AP997" t="str">
        <f t="shared" si="63"/>
        <v/>
      </c>
    </row>
    <row r="998" spans="4:42" x14ac:dyDescent="0.35">
      <c r="D998" s="21"/>
      <c r="E998" s="21"/>
      <c r="L998" s="22"/>
      <c r="S998">
        <f t="shared" si="60"/>
        <v>0</v>
      </c>
      <c r="T998" s="5" t="e" cm="1">
        <f t="array" ref="T9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8" t="e">
        <f>Table1[[#This Row],[Term to Maturity (Years)]]*Table1[[#This Row],[Coupon Frequency2]]</f>
        <v>#N/A</v>
      </c>
      <c r="V998">
        <f>Table1[[#This Row],[Face value]]*Table1[[#This Row],[Current coupon %]]</f>
        <v>0</v>
      </c>
      <c r="W998" s="36" t="e">
        <f>RATE(Table1[[#This Row],[Total No. of Coupons]],Table1[[#This Row],[Coupon Amount]],-Table1[[#This Row],[Ask Price]],Table1[[#This Row],[Face value]])</f>
        <v>#N/A</v>
      </c>
      <c r="X998" s="27" t="e">
        <f>Table1[[#This Row],[IRR]]*Table1[[#This Row],[Coupon Frequency2]]</f>
        <v>#N/A</v>
      </c>
      <c r="Y998" s="19" t="e" cm="1">
        <f t="array" ref="Y9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8" s="33" t="e">
        <f>DURATION(Table1[[#This Row],[Issue date]],Table1[[#This Row],[Maturity date]],Table1[[#This Row],[Current coupon %]],Table1[[#This Row],[Yield (Annualised)]],Table1[[#This Row],[Coupon Frequency2]])</f>
        <v>#N/A</v>
      </c>
      <c r="AA998" s="33" t="e">
        <f>Table1[[#This Row],[Macaulay Duration in Years]]/(1+Table1[[#This Row],[IRR]])</f>
        <v>#N/A</v>
      </c>
      <c r="AB998" s="58" t="e">
        <f>VLOOKUP(Table1[[#This Row],[Yield Cluster]],'Cluster Details'!$B$3:$C$16,2,0)</f>
        <v>#N/A</v>
      </c>
      <c r="AC9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8" s="58" t="e">
        <f>IF(Table1[[#This Row],[Ask Price]]&gt;Table1[[#This Row],[Calculated Bond Price]],"Rich","Cheap")</f>
        <v>#N/A</v>
      </c>
      <c r="AE9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8" s="78" t="e">
        <f>(Table1[[#This Row],[P (+ shock)]]+Table1[[#This Row],[P (-shock)]]-2*Table1[[#This Row],[Ask Price]])/(2*Table1[[#This Row],[Ask Price]]*($AF$2^2))</f>
        <v>#N/A</v>
      </c>
      <c r="AH998">
        <v>10.029999999999999</v>
      </c>
      <c r="AI998" s="6" t="e">
        <f t="shared" si="61"/>
        <v>#DIV/0!</v>
      </c>
      <c r="AK998" s="47" t="e">
        <f>RATE(Table1[[#This Row],[Total No. of Coupons]],Table1[[#This Row],[Coupon Amount]],-Table1[[#This Row],[Ask Price]],Table1[[#This Row],[Face value]])</f>
        <v>#N/A</v>
      </c>
      <c r="AL998" s="27" t="e">
        <f>Table1[[#This Row],[IRR]]*Table1[[#This Row],[Coupon Frequency2]]</f>
        <v>#N/A</v>
      </c>
      <c r="AM998" s="5" t="e">
        <f t="shared" si="62"/>
        <v>#N/A</v>
      </c>
      <c r="AN998" t="s">
        <v>64</v>
      </c>
      <c r="AO998" t="s">
        <v>62</v>
      </c>
      <c r="AP998" t="str">
        <f t="shared" si="63"/>
        <v/>
      </c>
    </row>
    <row r="999" spans="4:42" x14ac:dyDescent="0.35">
      <c r="D999" s="21"/>
      <c r="E999" s="21"/>
      <c r="L999" s="22"/>
      <c r="S999">
        <f t="shared" si="60"/>
        <v>0</v>
      </c>
      <c r="T999" s="5" t="e" cm="1">
        <f t="array" ref="T9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999" t="e">
        <f>Table1[[#This Row],[Term to Maturity (Years)]]*Table1[[#This Row],[Coupon Frequency2]]</f>
        <v>#N/A</v>
      </c>
      <c r="V999">
        <f>Table1[[#This Row],[Face value]]*Table1[[#This Row],[Current coupon %]]</f>
        <v>0</v>
      </c>
      <c r="W999" s="36" t="e">
        <f>RATE(Table1[[#This Row],[Total No. of Coupons]],Table1[[#This Row],[Coupon Amount]],-Table1[[#This Row],[Ask Price]],Table1[[#This Row],[Face value]])</f>
        <v>#N/A</v>
      </c>
      <c r="X999" s="27" t="e">
        <f>Table1[[#This Row],[IRR]]*Table1[[#This Row],[Coupon Frequency2]]</f>
        <v>#N/A</v>
      </c>
      <c r="Y999" s="19" t="e" cm="1">
        <f t="array" ref="Y9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999" s="33" t="e">
        <f>DURATION(Table1[[#This Row],[Issue date]],Table1[[#This Row],[Maturity date]],Table1[[#This Row],[Current coupon %]],Table1[[#This Row],[Yield (Annualised)]],Table1[[#This Row],[Coupon Frequency2]])</f>
        <v>#N/A</v>
      </c>
      <c r="AA999" s="33" t="e">
        <f>Table1[[#This Row],[Macaulay Duration in Years]]/(1+Table1[[#This Row],[IRR]])</f>
        <v>#N/A</v>
      </c>
      <c r="AB999" s="58" t="e">
        <f>VLOOKUP(Table1[[#This Row],[Yield Cluster]],'Cluster Details'!$B$3:$C$16,2,0)</f>
        <v>#N/A</v>
      </c>
      <c r="AC9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999" s="58" t="e">
        <f>IF(Table1[[#This Row],[Ask Price]]&gt;Table1[[#This Row],[Calculated Bond Price]],"Rich","Cheap")</f>
        <v>#N/A</v>
      </c>
      <c r="AE9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9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999" s="78" t="e">
        <f>(Table1[[#This Row],[P (+ shock)]]+Table1[[#This Row],[P (-shock)]]-2*Table1[[#This Row],[Ask Price]])/(2*Table1[[#This Row],[Ask Price]]*($AF$2^2))</f>
        <v>#N/A</v>
      </c>
      <c r="AH999">
        <v>11</v>
      </c>
      <c r="AI999" s="6" t="e">
        <f t="shared" si="61"/>
        <v>#DIV/0!</v>
      </c>
      <c r="AK999" s="47" t="e">
        <f>RATE(Table1[[#This Row],[Total No. of Coupons]],Table1[[#This Row],[Coupon Amount]],-Table1[[#This Row],[Ask Price]],Table1[[#This Row],[Face value]])</f>
        <v>#N/A</v>
      </c>
      <c r="AL999" s="27" t="e">
        <f>Table1[[#This Row],[IRR]]*Table1[[#This Row],[Coupon Frequency2]]</f>
        <v>#N/A</v>
      </c>
      <c r="AM999" s="5" t="e">
        <f t="shared" si="62"/>
        <v>#N/A</v>
      </c>
      <c r="AN999" t="s">
        <v>64</v>
      </c>
      <c r="AO999" t="s">
        <v>62</v>
      </c>
      <c r="AP999" t="str">
        <f t="shared" si="63"/>
        <v/>
      </c>
    </row>
    <row r="1000" spans="4:42" x14ac:dyDescent="0.35">
      <c r="D1000" s="21"/>
      <c r="E1000" s="21"/>
      <c r="L1000" s="22"/>
      <c r="S1000">
        <f t="shared" si="60"/>
        <v>0</v>
      </c>
      <c r="T1000" s="5" t="e" cm="1">
        <f t="array" ref="T10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0" t="e">
        <f>Table1[[#This Row],[Term to Maturity (Years)]]*Table1[[#This Row],[Coupon Frequency2]]</f>
        <v>#N/A</v>
      </c>
      <c r="V1000">
        <f>Table1[[#This Row],[Face value]]*Table1[[#This Row],[Current coupon %]]</f>
        <v>0</v>
      </c>
      <c r="W1000" s="36" t="e">
        <f>RATE(Table1[[#This Row],[Total No. of Coupons]],Table1[[#This Row],[Coupon Amount]],-Table1[[#This Row],[Ask Price]],Table1[[#This Row],[Face value]])</f>
        <v>#N/A</v>
      </c>
      <c r="X1000" s="27" t="e">
        <f>Table1[[#This Row],[IRR]]*Table1[[#This Row],[Coupon Frequency2]]</f>
        <v>#N/A</v>
      </c>
      <c r="Y1000" s="19" t="e" cm="1">
        <f t="array" ref="Y10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0" s="33" t="e">
        <f>DURATION(Table1[[#This Row],[Issue date]],Table1[[#This Row],[Maturity date]],Table1[[#This Row],[Current coupon %]],Table1[[#This Row],[Yield (Annualised)]],Table1[[#This Row],[Coupon Frequency2]])</f>
        <v>#N/A</v>
      </c>
      <c r="AA1000" s="33" t="e">
        <f>Table1[[#This Row],[Macaulay Duration in Years]]/(1+Table1[[#This Row],[IRR]])</f>
        <v>#N/A</v>
      </c>
      <c r="AB1000" s="58" t="e">
        <f>VLOOKUP(Table1[[#This Row],[Yield Cluster]],'Cluster Details'!$B$3:$C$16,2,0)</f>
        <v>#N/A</v>
      </c>
      <c r="AC10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0" s="58" t="e">
        <f>IF(Table1[[#This Row],[Ask Price]]&gt;Table1[[#This Row],[Calculated Bond Price]],"Rich","Cheap")</f>
        <v>#N/A</v>
      </c>
      <c r="AE10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0" s="78" t="e">
        <f>(Table1[[#This Row],[P (+ shock)]]+Table1[[#This Row],[P (-shock)]]-2*Table1[[#This Row],[Ask Price]])/(2*Table1[[#This Row],[Ask Price]]*($AF$2^2))</f>
        <v>#N/A</v>
      </c>
      <c r="AH1000">
        <v>9.9090995779580897</v>
      </c>
      <c r="AI1000" s="6" t="e">
        <f t="shared" si="61"/>
        <v>#DIV/0!</v>
      </c>
      <c r="AK1000" s="47" t="e">
        <f>RATE(Table1[[#This Row],[Total No. of Coupons]],Table1[[#This Row],[Coupon Amount]],-Table1[[#This Row],[Ask Price]],Table1[[#This Row],[Face value]])</f>
        <v>#N/A</v>
      </c>
      <c r="AL1000" s="27" t="e">
        <f>Table1[[#This Row],[IRR]]*Table1[[#This Row],[Coupon Frequency2]]</f>
        <v>#N/A</v>
      </c>
      <c r="AM1000" s="5" t="e">
        <f t="shared" si="62"/>
        <v>#N/A</v>
      </c>
      <c r="AN1000" t="s">
        <v>64</v>
      </c>
      <c r="AO1000" t="s">
        <v>62</v>
      </c>
      <c r="AP1000" t="str">
        <f t="shared" si="63"/>
        <v/>
      </c>
    </row>
    <row r="1001" spans="4:42" x14ac:dyDescent="0.35">
      <c r="D1001" s="21"/>
      <c r="E1001" s="21"/>
      <c r="L1001" s="22"/>
      <c r="S1001">
        <f t="shared" si="60"/>
        <v>0</v>
      </c>
      <c r="T1001" s="5" t="e" cm="1">
        <f t="array" ref="T10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1" t="e">
        <f>Table1[[#This Row],[Term to Maturity (Years)]]*Table1[[#This Row],[Coupon Frequency2]]</f>
        <v>#N/A</v>
      </c>
      <c r="V1001">
        <f>Table1[[#This Row],[Face value]]*Table1[[#This Row],[Current coupon %]]</f>
        <v>0</v>
      </c>
      <c r="W1001" s="36" t="e">
        <f>RATE(Table1[[#This Row],[Total No. of Coupons]],Table1[[#This Row],[Coupon Amount]],-Table1[[#This Row],[Ask Price]],Table1[[#This Row],[Face value]])</f>
        <v>#N/A</v>
      </c>
      <c r="X1001" s="27" t="e">
        <f>Table1[[#This Row],[IRR]]*Table1[[#This Row],[Coupon Frequency2]]</f>
        <v>#N/A</v>
      </c>
      <c r="Y1001" s="19" t="e" cm="1">
        <f t="array" ref="Y10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1" s="33" t="e">
        <f>DURATION(Table1[[#This Row],[Issue date]],Table1[[#This Row],[Maturity date]],Table1[[#This Row],[Current coupon %]],Table1[[#This Row],[Yield (Annualised)]],Table1[[#This Row],[Coupon Frequency2]])</f>
        <v>#N/A</v>
      </c>
      <c r="AA1001" s="33" t="e">
        <f>Table1[[#This Row],[Macaulay Duration in Years]]/(1+Table1[[#This Row],[IRR]])</f>
        <v>#N/A</v>
      </c>
      <c r="AB1001" s="58" t="e">
        <f>VLOOKUP(Table1[[#This Row],[Yield Cluster]],'Cluster Details'!$B$3:$C$16,2,0)</f>
        <v>#N/A</v>
      </c>
      <c r="AC10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1" s="58" t="e">
        <f>IF(Table1[[#This Row],[Ask Price]]&gt;Table1[[#This Row],[Calculated Bond Price]],"Rich","Cheap")</f>
        <v>#N/A</v>
      </c>
      <c r="AE10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1" s="78" t="e">
        <f>(Table1[[#This Row],[P (+ shock)]]+Table1[[#This Row],[P (-shock)]]-2*Table1[[#This Row],[Ask Price]])/(2*Table1[[#This Row],[Ask Price]]*($AF$2^2))</f>
        <v>#N/A</v>
      </c>
      <c r="AH1001">
        <v>10.897052609759699</v>
      </c>
      <c r="AI1001" s="6" t="e">
        <f t="shared" si="61"/>
        <v>#DIV/0!</v>
      </c>
      <c r="AK1001" s="47" t="e">
        <f>RATE(Table1[[#This Row],[Total No. of Coupons]],Table1[[#This Row],[Coupon Amount]],-Table1[[#This Row],[Ask Price]],Table1[[#This Row],[Face value]])</f>
        <v>#N/A</v>
      </c>
      <c r="AL1001" s="27" t="e">
        <f>Table1[[#This Row],[IRR]]*Table1[[#This Row],[Coupon Frequency2]]</f>
        <v>#N/A</v>
      </c>
      <c r="AM1001" s="5" t="e">
        <f t="shared" si="62"/>
        <v>#N/A</v>
      </c>
      <c r="AN1001" t="s">
        <v>64</v>
      </c>
      <c r="AO1001" t="s">
        <v>62</v>
      </c>
      <c r="AP1001" t="str">
        <f t="shared" si="63"/>
        <v/>
      </c>
    </row>
    <row r="1002" spans="4:42" x14ac:dyDescent="0.35">
      <c r="D1002" s="21"/>
      <c r="E1002" s="21"/>
      <c r="L1002" s="22"/>
      <c r="S1002">
        <f t="shared" si="60"/>
        <v>0</v>
      </c>
      <c r="T1002" s="5" t="e" cm="1">
        <f t="array" ref="T10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2" t="e">
        <f>Table1[[#This Row],[Term to Maturity (Years)]]*Table1[[#This Row],[Coupon Frequency2]]</f>
        <v>#N/A</v>
      </c>
      <c r="V1002">
        <f>Table1[[#This Row],[Face value]]*Table1[[#This Row],[Current coupon %]]</f>
        <v>0</v>
      </c>
      <c r="W1002" s="36" t="e">
        <f>RATE(Table1[[#This Row],[Total No. of Coupons]],Table1[[#This Row],[Coupon Amount]],-Table1[[#This Row],[Ask Price]],Table1[[#This Row],[Face value]])</f>
        <v>#N/A</v>
      </c>
      <c r="X1002" s="27" t="e">
        <f>Table1[[#This Row],[IRR]]*Table1[[#This Row],[Coupon Frequency2]]</f>
        <v>#N/A</v>
      </c>
      <c r="Y1002" s="19" t="e" cm="1">
        <f t="array" ref="Y10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2" s="33" t="e">
        <f>DURATION(Table1[[#This Row],[Issue date]],Table1[[#This Row],[Maturity date]],Table1[[#This Row],[Current coupon %]],Table1[[#This Row],[Yield (Annualised)]],Table1[[#This Row],[Coupon Frequency2]])</f>
        <v>#N/A</v>
      </c>
      <c r="AA1002" s="33" t="e">
        <f>Table1[[#This Row],[Macaulay Duration in Years]]/(1+Table1[[#This Row],[IRR]])</f>
        <v>#N/A</v>
      </c>
      <c r="AB1002" s="58" t="e">
        <f>VLOOKUP(Table1[[#This Row],[Yield Cluster]],'Cluster Details'!$B$3:$C$16,2,0)</f>
        <v>#N/A</v>
      </c>
      <c r="AC10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2" s="58" t="e">
        <f>IF(Table1[[#This Row],[Ask Price]]&gt;Table1[[#This Row],[Calculated Bond Price]],"Rich","Cheap")</f>
        <v>#N/A</v>
      </c>
      <c r="AE10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2" s="78" t="e">
        <f>(Table1[[#This Row],[P (+ shock)]]+Table1[[#This Row],[P (-shock)]]-2*Table1[[#This Row],[Ask Price]])/(2*Table1[[#This Row],[Ask Price]]*($AF$2^2))</f>
        <v>#N/A</v>
      </c>
      <c r="AH1002">
        <v>9.41493774889679</v>
      </c>
      <c r="AI1002" s="6" t="e">
        <f t="shared" si="61"/>
        <v>#DIV/0!</v>
      </c>
      <c r="AK1002" s="47" t="e">
        <f>RATE(Table1[[#This Row],[Total No. of Coupons]],Table1[[#This Row],[Coupon Amount]],-Table1[[#This Row],[Ask Price]],Table1[[#This Row],[Face value]])</f>
        <v>#N/A</v>
      </c>
      <c r="AL1002" s="27" t="e">
        <f>Table1[[#This Row],[IRR]]*Table1[[#This Row],[Coupon Frequency2]]</f>
        <v>#N/A</v>
      </c>
      <c r="AM1002" s="5" t="e">
        <f t="shared" si="62"/>
        <v>#N/A</v>
      </c>
      <c r="AN1002" t="s">
        <v>64</v>
      </c>
      <c r="AO1002" t="s">
        <v>62</v>
      </c>
      <c r="AP1002" t="str">
        <f t="shared" si="63"/>
        <v/>
      </c>
    </row>
    <row r="1003" spans="4:42" x14ac:dyDescent="0.35">
      <c r="D1003" s="21"/>
      <c r="E1003" s="21"/>
      <c r="L1003" s="22"/>
      <c r="S1003">
        <f t="shared" si="60"/>
        <v>0</v>
      </c>
      <c r="T1003" s="5" t="e" cm="1">
        <f t="array" ref="T10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3" t="e">
        <f>Table1[[#This Row],[Term to Maturity (Years)]]*Table1[[#This Row],[Coupon Frequency2]]</f>
        <v>#N/A</v>
      </c>
      <c r="V1003">
        <f>Table1[[#This Row],[Face value]]*Table1[[#This Row],[Current coupon %]]</f>
        <v>0</v>
      </c>
      <c r="W1003" s="36" t="e">
        <f>RATE(Table1[[#This Row],[Total No. of Coupons]],Table1[[#This Row],[Coupon Amount]],-Table1[[#This Row],[Ask Price]],Table1[[#This Row],[Face value]])</f>
        <v>#N/A</v>
      </c>
      <c r="X1003" s="27" t="e">
        <f>Table1[[#This Row],[IRR]]*Table1[[#This Row],[Coupon Frequency2]]</f>
        <v>#N/A</v>
      </c>
      <c r="Y1003" s="19" t="e" cm="1">
        <f t="array" ref="Y10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3" s="33" t="e">
        <f>DURATION(Table1[[#This Row],[Issue date]],Table1[[#This Row],[Maturity date]],Table1[[#This Row],[Current coupon %]],Table1[[#This Row],[Yield (Annualised)]],Table1[[#This Row],[Coupon Frequency2]])</f>
        <v>#N/A</v>
      </c>
      <c r="AA1003" s="33" t="e">
        <f>Table1[[#This Row],[Macaulay Duration in Years]]/(1+Table1[[#This Row],[IRR]])</f>
        <v>#N/A</v>
      </c>
      <c r="AB1003" s="58" t="e">
        <f>VLOOKUP(Table1[[#This Row],[Yield Cluster]],'Cluster Details'!$B$3:$C$16,2,0)</f>
        <v>#N/A</v>
      </c>
      <c r="AC10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3" s="58" t="e">
        <f>IF(Table1[[#This Row],[Ask Price]]&gt;Table1[[#This Row],[Calculated Bond Price]],"Rich","Cheap")</f>
        <v>#N/A</v>
      </c>
      <c r="AE10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3" s="78" t="e">
        <f>(Table1[[#This Row],[P (+ shock)]]+Table1[[#This Row],[P (-shock)]]-2*Table1[[#This Row],[Ask Price]])/(2*Table1[[#This Row],[Ask Price]]*($AF$2^2))</f>
        <v>#N/A</v>
      </c>
      <c r="AH1003">
        <v>11.364333972808399</v>
      </c>
      <c r="AI1003" s="6" t="e">
        <f t="shared" si="61"/>
        <v>#DIV/0!</v>
      </c>
      <c r="AK1003" s="47" t="e">
        <f>RATE(Table1[[#This Row],[Total No. of Coupons]],Table1[[#This Row],[Coupon Amount]],-Table1[[#This Row],[Ask Price]],Table1[[#This Row],[Face value]])</f>
        <v>#N/A</v>
      </c>
      <c r="AL1003" s="27" t="e">
        <f>Table1[[#This Row],[IRR]]*Table1[[#This Row],[Coupon Frequency2]]</f>
        <v>#N/A</v>
      </c>
      <c r="AM1003" s="5" t="e">
        <f t="shared" si="62"/>
        <v>#N/A</v>
      </c>
      <c r="AN1003" t="s">
        <v>64</v>
      </c>
      <c r="AO1003" t="s">
        <v>62</v>
      </c>
      <c r="AP1003" t="str">
        <f t="shared" si="63"/>
        <v/>
      </c>
    </row>
    <row r="1004" spans="4:42" x14ac:dyDescent="0.35">
      <c r="D1004" s="21"/>
      <c r="E1004" s="21"/>
      <c r="L1004" s="22"/>
      <c r="S1004">
        <f t="shared" si="60"/>
        <v>0</v>
      </c>
      <c r="T1004" s="5" t="e" cm="1">
        <f t="array" ref="T10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4" t="e">
        <f>Table1[[#This Row],[Term to Maturity (Years)]]*Table1[[#This Row],[Coupon Frequency2]]</f>
        <v>#N/A</v>
      </c>
      <c r="V1004">
        <f>Table1[[#This Row],[Face value]]*Table1[[#This Row],[Current coupon %]]</f>
        <v>0</v>
      </c>
      <c r="W1004" s="36" t="e">
        <f>RATE(Table1[[#This Row],[Total No. of Coupons]],Table1[[#This Row],[Coupon Amount]],-Table1[[#This Row],[Ask Price]],Table1[[#This Row],[Face value]])</f>
        <v>#N/A</v>
      </c>
      <c r="X1004" s="27" t="e">
        <f>Table1[[#This Row],[IRR]]*Table1[[#This Row],[Coupon Frequency2]]</f>
        <v>#N/A</v>
      </c>
      <c r="Y1004" s="19" t="e" cm="1">
        <f t="array" ref="Y10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4" s="33" t="e">
        <f>DURATION(Table1[[#This Row],[Issue date]],Table1[[#This Row],[Maturity date]],Table1[[#This Row],[Current coupon %]],Table1[[#This Row],[Yield (Annualised)]],Table1[[#This Row],[Coupon Frequency2]])</f>
        <v>#N/A</v>
      </c>
      <c r="AA1004" s="33" t="e">
        <f>Table1[[#This Row],[Macaulay Duration in Years]]/(1+Table1[[#This Row],[IRR]])</f>
        <v>#N/A</v>
      </c>
      <c r="AB1004" s="58" t="e">
        <f>VLOOKUP(Table1[[#This Row],[Yield Cluster]],'Cluster Details'!$B$3:$C$16,2,0)</f>
        <v>#N/A</v>
      </c>
      <c r="AC10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4" s="58" t="e">
        <f>IF(Table1[[#This Row],[Ask Price]]&gt;Table1[[#This Row],[Calculated Bond Price]],"Rich","Cheap")</f>
        <v>#N/A</v>
      </c>
      <c r="AE10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4" s="78" t="e">
        <f>(Table1[[#This Row],[P (+ shock)]]+Table1[[#This Row],[P (-shock)]]-2*Table1[[#This Row],[Ask Price]])/(2*Table1[[#This Row],[Ask Price]]*($AF$2^2))</f>
        <v>#N/A</v>
      </c>
      <c r="AH1004">
        <v>11.729190981678</v>
      </c>
      <c r="AI1004" s="6" t="e">
        <f t="shared" si="61"/>
        <v>#DIV/0!</v>
      </c>
      <c r="AK1004" s="47" t="e">
        <f>RATE(Table1[[#This Row],[Total No. of Coupons]],Table1[[#This Row],[Coupon Amount]],-Table1[[#This Row],[Ask Price]],Table1[[#This Row],[Face value]])</f>
        <v>#N/A</v>
      </c>
      <c r="AL1004" s="27" t="e">
        <f>Table1[[#This Row],[IRR]]*Table1[[#This Row],[Coupon Frequency2]]</f>
        <v>#N/A</v>
      </c>
      <c r="AM1004" s="5" t="e">
        <f t="shared" si="62"/>
        <v>#N/A</v>
      </c>
      <c r="AN1004" t="s">
        <v>64</v>
      </c>
      <c r="AO1004" t="s">
        <v>62</v>
      </c>
      <c r="AP1004" t="str">
        <f t="shared" si="63"/>
        <v/>
      </c>
    </row>
    <row r="1005" spans="4:42" x14ac:dyDescent="0.35">
      <c r="D1005" s="21"/>
      <c r="E1005" s="21"/>
      <c r="L1005" s="22"/>
      <c r="S1005">
        <f t="shared" si="60"/>
        <v>0</v>
      </c>
      <c r="T1005" s="5" t="e" cm="1">
        <f t="array" ref="T10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5" t="e">
        <f>Table1[[#This Row],[Term to Maturity (Years)]]*Table1[[#This Row],[Coupon Frequency2]]</f>
        <v>#N/A</v>
      </c>
      <c r="V1005">
        <f>Table1[[#This Row],[Face value]]*Table1[[#This Row],[Current coupon %]]</f>
        <v>0</v>
      </c>
      <c r="W1005" s="36" t="e">
        <f>RATE(Table1[[#This Row],[Total No. of Coupons]],Table1[[#This Row],[Coupon Amount]],-Table1[[#This Row],[Ask Price]],Table1[[#This Row],[Face value]])</f>
        <v>#N/A</v>
      </c>
      <c r="X1005" s="27" t="e">
        <f>Table1[[#This Row],[IRR]]*Table1[[#This Row],[Coupon Frequency2]]</f>
        <v>#N/A</v>
      </c>
      <c r="Y1005" s="19" t="e" cm="1">
        <f t="array" ref="Y10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5" s="33" t="e">
        <f>DURATION(Table1[[#This Row],[Issue date]],Table1[[#This Row],[Maturity date]],Table1[[#This Row],[Current coupon %]],Table1[[#This Row],[Yield (Annualised)]],Table1[[#This Row],[Coupon Frequency2]])</f>
        <v>#N/A</v>
      </c>
      <c r="AA1005" s="33" t="e">
        <f>Table1[[#This Row],[Macaulay Duration in Years]]/(1+Table1[[#This Row],[IRR]])</f>
        <v>#N/A</v>
      </c>
      <c r="AB1005" s="58" t="e">
        <f>VLOOKUP(Table1[[#This Row],[Yield Cluster]],'Cluster Details'!$B$3:$C$16,2,0)</f>
        <v>#N/A</v>
      </c>
      <c r="AC10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5" s="58" t="e">
        <f>IF(Table1[[#This Row],[Ask Price]]&gt;Table1[[#This Row],[Calculated Bond Price]],"Rich","Cheap")</f>
        <v>#N/A</v>
      </c>
      <c r="AE10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5" s="78" t="e">
        <f>(Table1[[#This Row],[P (+ shock)]]+Table1[[#This Row],[P (-shock)]]-2*Table1[[#This Row],[Ask Price]])/(2*Table1[[#This Row],[Ask Price]]*($AF$2^2))</f>
        <v>#N/A</v>
      </c>
      <c r="AH1005">
        <v>9.3918504901960702</v>
      </c>
      <c r="AI1005" s="6" t="e">
        <f t="shared" si="61"/>
        <v>#DIV/0!</v>
      </c>
      <c r="AK1005" s="47" t="e">
        <f>RATE(Table1[[#This Row],[Total No. of Coupons]],Table1[[#This Row],[Coupon Amount]],-Table1[[#This Row],[Ask Price]],Table1[[#This Row],[Face value]])</f>
        <v>#N/A</v>
      </c>
      <c r="AL1005" s="27" t="e">
        <f>Table1[[#This Row],[IRR]]*Table1[[#This Row],[Coupon Frequency2]]</f>
        <v>#N/A</v>
      </c>
      <c r="AM1005" s="5" t="e">
        <f t="shared" si="62"/>
        <v>#N/A</v>
      </c>
      <c r="AN1005" t="s">
        <v>64</v>
      </c>
      <c r="AO1005" t="s">
        <v>62</v>
      </c>
      <c r="AP1005" t="str">
        <f t="shared" si="63"/>
        <v/>
      </c>
    </row>
    <row r="1006" spans="4:42" x14ac:dyDescent="0.35">
      <c r="D1006" s="21"/>
      <c r="E1006" s="21"/>
      <c r="L1006" s="22"/>
      <c r="S1006">
        <f t="shared" si="60"/>
        <v>0</v>
      </c>
      <c r="T1006" s="5" t="e" cm="1">
        <f t="array" ref="T10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6" t="e">
        <f>Table1[[#This Row],[Term to Maturity (Years)]]*Table1[[#This Row],[Coupon Frequency2]]</f>
        <v>#N/A</v>
      </c>
      <c r="V1006">
        <f>Table1[[#This Row],[Face value]]*Table1[[#This Row],[Current coupon %]]</f>
        <v>0</v>
      </c>
      <c r="W1006" s="36" t="e">
        <f>RATE(Table1[[#This Row],[Total No. of Coupons]],Table1[[#This Row],[Coupon Amount]],-Table1[[#This Row],[Ask Price]],Table1[[#This Row],[Face value]])</f>
        <v>#N/A</v>
      </c>
      <c r="X1006" s="27" t="e">
        <f>Table1[[#This Row],[IRR]]*Table1[[#This Row],[Coupon Frequency2]]</f>
        <v>#N/A</v>
      </c>
      <c r="Y1006" s="19" t="e" cm="1">
        <f t="array" ref="Y10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6" s="33" t="e">
        <f>DURATION(Table1[[#This Row],[Issue date]],Table1[[#This Row],[Maturity date]],Table1[[#This Row],[Current coupon %]],Table1[[#This Row],[Yield (Annualised)]],Table1[[#This Row],[Coupon Frequency2]])</f>
        <v>#N/A</v>
      </c>
      <c r="AA1006" s="33" t="e">
        <f>Table1[[#This Row],[Macaulay Duration in Years]]/(1+Table1[[#This Row],[IRR]])</f>
        <v>#N/A</v>
      </c>
      <c r="AB1006" s="58" t="e">
        <f>VLOOKUP(Table1[[#This Row],[Yield Cluster]],'Cluster Details'!$B$3:$C$16,2,0)</f>
        <v>#N/A</v>
      </c>
      <c r="AC10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6" s="58" t="e">
        <f>IF(Table1[[#This Row],[Ask Price]]&gt;Table1[[#This Row],[Calculated Bond Price]],"Rich","Cheap")</f>
        <v>#N/A</v>
      </c>
      <c r="AE10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6" s="78" t="e">
        <f>(Table1[[#This Row],[P (+ shock)]]+Table1[[#This Row],[P (-shock)]]-2*Table1[[#This Row],[Ask Price]])/(2*Table1[[#This Row],[Ask Price]]*($AF$2^2))</f>
        <v>#N/A</v>
      </c>
      <c r="AH1006">
        <v>7.4400877147183202</v>
      </c>
      <c r="AI1006" s="6" t="e">
        <f t="shared" si="61"/>
        <v>#DIV/0!</v>
      </c>
      <c r="AK1006" s="47" t="e">
        <f>RATE(Table1[[#This Row],[Total No. of Coupons]],Table1[[#This Row],[Coupon Amount]],-Table1[[#This Row],[Ask Price]],Table1[[#This Row],[Face value]])</f>
        <v>#N/A</v>
      </c>
      <c r="AL1006" s="27" t="e">
        <f>Table1[[#This Row],[IRR]]*Table1[[#This Row],[Coupon Frequency2]]</f>
        <v>#N/A</v>
      </c>
      <c r="AM1006" s="5" t="e">
        <f t="shared" si="62"/>
        <v>#N/A</v>
      </c>
      <c r="AN1006" t="s">
        <v>64</v>
      </c>
      <c r="AO1006" t="s">
        <v>62</v>
      </c>
      <c r="AP1006" t="str">
        <f t="shared" si="63"/>
        <v/>
      </c>
    </row>
    <row r="1007" spans="4:42" x14ac:dyDescent="0.35">
      <c r="D1007" s="21"/>
      <c r="E1007" s="21"/>
      <c r="L1007" s="22"/>
      <c r="S1007">
        <f t="shared" si="60"/>
        <v>0</v>
      </c>
      <c r="T1007" s="5" t="e" cm="1">
        <f t="array" ref="T10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7" t="e">
        <f>Table1[[#This Row],[Term to Maturity (Years)]]*Table1[[#This Row],[Coupon Frequency2]]</f>
        <v>#N/A</v>
      </c>
      <c r="V1007">
        <f>Table1[[#This Row],[Face value]]*Table1[[#This Row],[Current coupon %]]</f>
        <v>0</v>
      </c>
      <c r="W1007" s="36" t="e">
        <f>RATE(Table1[[#This Row],[Total No. of Coupons]],Table1[[#This Row],[Coupon Amount]],-Table1[[#This Row],[Ask Price]],Table1[[#This Row],[Face value]])</f>
        <v>#N/A</v>
      </c>
      <c r="X1007" s="27" t="e">
        <f>Table1[[#This Row],[IRR]]*Table1[[#This Row],[Coupon Frequency2]]</f>
        <v>#N/A</v>
      </c>
      <c r="Y1007" s="19" t="e" cm="1">
        <f t="array" ref="Y10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7" s="33" t="e">
        <f>DURATION(Table1[[#This Row],[Issue date]],Table1[[#This Row],[Maturity date]],Table1[[#This Row],[Current coupon %]],Table1[[#This Row],[Yield (Annualised)]],Table1[[#This Row],[Coupon Frequency2]])</f>
        <v>#N/A</v>
      </c>
      <c r="AA1007" s="33" t="e">
        <f>Table1[[#This Row],[Macaulay Duration in Years]]/(1+Table1[[#This Row],[IRR]])</f>
        <v>#N/A</v>
      </c>
      <c r="AB1007" s="58" t="e">
        <f>VLOOKUP(Table1[[#This Row],[Yield Cluster]],'Cluster Details'!$B$3:$C$16,2,0)</f>
        <v>#N/A</v>
      </c>
      <c r="AC10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7" s="58" t="e">
        <f>IF(Table1[[#This Row],[Ask Price]]&gt;Table1[[#This Row],[Calculated Bond Price]],"Rich","Cheap")</f>
        <v>#N/A</v>
      </c>
      <c r="AE10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7" s="78" t="e">
        <f>(Table1[[#This Row],[P (+ shock)]]+Table1[[#This Row],[P (-shock)]]-2*Table1[[#This Row],[Ask Price]])/(2*Table1[[#This Row],[Ask Price]]*($AF$2^2))</f>
        <v>#N/A</v>
      </c>
      <c r="AH1007">
        <v>13.6075696463899</v>
      </c>
      <c r="AI1007" s="6" t="e">
        <f t="shared" si="61"/>
        <v>#DIV/0!</v>
      </c>
      <c r="AK1007" s="47" t="e">
        <f>RATE(Table1[[#This Row],[Total No. of Coupons]],Table1[[#This Row],[Coupon Amount]],-Table1[[#This Row],[Ask Price]],Table1[[#This Row],[Face value]])</f>
        <v>#N/A</v>
      </c>
      <c r="AL1007" s="27" t="e">
        <f>Table1[[#This Row],[IRR]]*Table1[[#This Row],[Coupon Frequency2]]</f>
        <v>#N/A</v>
      </c>
      <c r="AM1007" s="5" t="e">
        <f t="shared" si="62"/>
        <v>#N/A</v>
      </c>
      <c r="AN1007" t="s">
        <v>64</v>
      </c>
      <c r="AO1007" t="s">
        <v>62</v>
      </c>
      <c r="AP1007" t="str">
        <f t="shared" si="63"/>
        <v/>
      </c>
    </row>
    <row r="1008" spans="4:42" x14ac:dyDescent="0.35">
      <c r="D1008" s="21"/>
      <c r="E1008" s="21"/>
      <c r="L1008" s="22"/>
      <c r="S1008">
        <f t="shared" si="60"/>
        <v>0</v>
      </c>
      <c r="T1008" s="5" t="e" cm="1">
        <f t="array" ref="T10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8" t="e">
        <f>Table1[[#This Row],[Term to Maturity (Years)]]*Table1[[#This Row],[Coupon Frequency2]]</f>
        <v>#N/A</v>
      </c>
      <c r="V1008">
        <f>Table1[[#This Row],[Face value]]*Table1[[#This Row],[Current coupon %]]</f>
        <v>0</v>
      </c>
      <c r="W1008" s="36" t="e">
        <f>RATE(Table1[[#This Row],[Total No. of Coupons]],Table1[[#This Row],[Coupon Amount]],-Table1[[#This Row],[Ask Price]],Table1[[#This Row],[Face value]])</f>
        <v>#N/A</v>
      </c>
      <c r="X1008" s="27" t="e">
        <f>Table1[[#This Row],[IRR]]*Table1[[#This Row],[Coupon Frequency2]]</f>
        <v>#N/A</v>
      </c>
      <c r="Y1008" s="19" t="e" cm="1">
        <f t="array" ref="Y10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8" s="33" t="e">
        <f>DURATION(Table1[[#This Row],[Issue date]],Table1[[#This Row],[Maturity date]],Table1[[#This Row],[Current coupon %]],Table1[[#This Row],[Yield (Annualised)]],Table1[[#This Row],[Coupon Frequency2]])</f>
        <v>#N/A</v>
      </c>
      <c r="AA1008" s="33" t="e">
        <f>Table1[[#This Row],[Macaulay Duration in Years]]/(1+Table1[[#This Row],[IRR]])</f>
        <v>#N/A</v>
      </c>
      <c r="AB1008" s="58" t="e">
        <f>VLOOKUP(Table1[[#This Row],[Yield Cluster]],'Cluster Details'!$B$3:$C$16,2,0)</f>
        <v>#N/A</v>
      </c>
      <c r="AC10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8" s="58" t="e">
        <f>IF(Table1[[#This Row],[Ask Price]]&gt;Table1[[#This Row],[Calculated Bond Price]],"Rich","Cheap")</f>
        <v>#N/A</v>
      </c>
      <c r="AE10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8" s="78" t="e">
        <f>(Table1[[#This Row],[P (+ shock)]]+Table1[[#This Row],[P (-shock)]]-2*Table1[[#This Row],[Ask Price]])/(2*Table1[[#This Row],[Ask Price]]*($AF$2^2))</f>
        <v>#N/A</v>
      </c>
      <c r="AH1008">
        <v>9.25</v>
      </c>
      <c r="AI1008" s="6" t="e">
        <f t="shared" si="61"/>
        <v>#DIV/0!</v>
      </c>
      <c r="AK1008" s="47" t="e">
        <f>RATE(Table1[[#This Row],[Total No. of Coupons]],Table1[[#This Row],[Coupon Amount]],-Table1[[#This Row],[Ask Price]],Table1[[#This Row],[Face value]])</f>
        <v>#N/A</v>
      </c>
      <c r="AL1008" s="27" t="e">
        <f>Table1[[#This Row],[IRR]]*Table1[[#This Row],[Coupon Frequency2]]</f>
        <v>#N/A</v>
      </c>
      <c r="AM1008" s="5" t="e">
        <f t="shared" si="62"/>
        <v>#N/A</v>
      </c>
      <c r="AN1008" t="s">
        <v>64</v>
      </c>
      <c r="AO1008" t="s">
        <v>62</v>
      </c>
      <c r="AP1008" t="str">
        <f t="shared" si="63"/>
        <v/>
      </c>
    </row>
    <row r="1009" spans="4:42" x14ac:dyDescent="0.35">
      <c r="D1009" s="21"/>
      <c r="E1009" s="21"/>
      <c r="L1009" s="22"/>
      <c r="S1009">
        <f t="shared" si="60"/>
        <v>0</v>
      </c>
      <c r="T1009" s="5" t="e" cm="1">
        <f t="array" ref="T10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09" t="e">
        <f>Table1[[#This Row],[Term to Maturity (Years)]]*Table1[[#This Row],[Coupon Frequency2]]</f>
        <v>#N/A</v>
      </c>
      <c r="V1009">
        <f>Table1[[#This Row],[Face value]]*Table1[[#This Row],[Current coupon %]]</f>
        <v>0</v>
      </c>
      <c r="W1009" s="36" t="e">
        <f>RATE(Table1[[#This Row],[Total No. of Coupons]],Table1[[#This Row],[Coupon Amount]],-Table1[[#This Row],[Ask Price]],Table1[[#This Row],[Face value]])</f>
        <v>#N/A</v>
      </c>
      <c r="X1009" s="27" t="e">
        <f>Table1[[#This Row],[IRR]]*Table1[[#This Row],[Coupon Frequency2]]</f>
        <v>#N/A</v>
      </c>
      <c r="Y1009" s="19" t="e" cm="1">
        <f t="array" ref="Y10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09" s="33" t="e">
        <f>DURATION(Table1[[#This Row],[Issue date]],Table1[[#This Row],[Maturity date]],Table1[[#This Row],[Current coupon %]],Table1[[#This Row],[Yield (Annualised)]],Table1[[#This Row],[Coupon Frequency2]])</f>
        <v>#N/A</v>
      </c>
      <c r="AA1009" s="33" t="e">
        <f>Table1[[#This Row],[Macaulay Duration in Years]]/(1+Table1[[#This Row],[IRR]])</f>
        <v>#N/A</v>
      </c>
      <c r="AB1009" s="58" t="e">
        <f>VLOOKUP(Table1[[#This Row],[Yield Cluster]],'Cluster Details'!$B$3:$C$16,2,0)</f>
        <v>#N/A</v>
      </c>
      <c r="AC10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09" s="58" t="e">
        <f>IF(Table1[[#This Row],[Ask Price]]&gt;Table1[[#This Row],[Calculated Bond Price]],"Rich","Cheap")</f>
        <v>#N/A</v>
      </c>
      <c r="AE10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09" s="78" t="e">
        <f>(Table1[[#This Row],[P (+ shock)]]+Table1[[#This Row],[P (-shock)]]-2*Table1[[#This Row],[Ask Price]])/(2*Table1[[#This Row],[Ask Price]]*($AF$2^2))</f>
        <v>#N/A</v>
      </c>
      <c r="AI1009" s="6" t="e">
        <f t="shared" si="61"/>
        <v>#DIV/0!</v>
      </c>
      <c r="AK1009" s="47" t="e">
        <f>RATE(Table1[[#This Row],[Total No. of Coupons]],Table1[[#This Row],[Coupon Amount]],-Table1[[#This Row],[Ask Price]],Table1[[#This Row],[Face value]])</f>
        <v>#N/A</v>
      </c>
      <c r="AL1009" s="27" t="e">
        <f>Table1[[#This Row],[IRR]]*Table1[[#This Row],[Coupon Frequency2]]</f>
        <v>#N/A</v>
      </c>
      <c r="AM1009" s="5" t="e">
        <f t="shared" si="62"/>
        <v>#N/A</v>
      </c>
      <c r="AN1009" t="s">
        <v>64</v>
      </c>
      <c r="AO1009" t="s">
        <v>62</v>
      </c>
      <c r="AP1009" t="str">
        <f t="shared" si="63"/>
        <v/>
      </c>
    </row>
    <row r="1010" spans="4:42" x14ac:dyDescent="0.35">
      <c r="D1010" s="21"/>
      <c r="E1010" s="21"/>
      <c r="L1010" s="22"/>
      <c r="S1010">
        <f t="shared" si="60"/>
        <v>0</v>
      </c>
      <c r="T1010" s="5" t="e" cm="1">
        <f t="array" ref="T10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0" t="e">
        <f>Table1[[#This Row],[Term to Maturity (Years)]]*Table1[[#This Row],[Coupon Frequency2]]</f>
        <v>#N/A</v>
      </c>
      <c r="V1010">
        <f>Table1[[#This Row],[Face value]]*Table1[[#This Row],[Current coupon %]]</f>
        <v>0</v>
      </c>
      <c r="W1010" s="36" t="e">
        <f>RATE(Table1[[#This Row],[Total No. of Coupons]],Table1[[#This Row],[Coupon Amount]],-Table1[[#This Row],[Ask Price]],Table1[[#This Row],[Face value]])</f>
        <v>#N/A</v>
      </c>
      <c r="X1010" s="27" t="e">
        <f>Table1[[#This Row],[IRR]]*Table1[[#This Row],[Coupon Frequency2]]</f>
        <v>#N/A</v>
      </c>
      <c r="Y1010" s="19" t="e" cm="1">
        <f t="array" ref="Y10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0" s="33" t="e">
        <f>DURATION(Table1[[#This Row],[Issue date]],Table1[[#This Row],[Maturity date]],Table1[[#This Row],[Current coupon %]],Table1[[#This Row],[Yield (Annualised)]],Table1[[#This Row],[Coupon Frequency2]])</f>
        <v>#N/A</v>
      </c>
      <c r="AA1010" s="33" t="e">
        <f>Table1[[#This Row],[Macaulay Duration in Years]]/(1+Table1[[#This Row],[IRR]])</f>
        <v>#N/A</v>
      </c>
      <c r="AB1010" s="58" t="e">
        <f>VLOOKUP(Table1[[#This Row],[Yield Cluster]],'Cluster Details'!$B$3:$C$16,2,0)</f>
        <v>#N/A</v>
      </c>
      <c r="AC10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0" s="58" t="e">
        <f>IF(Table1[[#This Row],[Ask Price]]&gt;Table1[[#This Row],[Calculated Bond Price]],"Rich","Cheap")</f>
        <v>#N/A</v>
      </c>
      <c r="AE10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0" s="78" t="e">
        <f>(Table1[[#This Row],[P (+ shock)]]+Table1[[#This Row],[P (-shock)]]-2*Table1[[#This Row],[Ask Price]])/(2*Table1[[#This Row],[Ask Price]]*($AF$2^2))</f>
        <v>#N/A</v>
      </c>
      <c r="AH1010">
        <v>10.6976463683646</v>
      </c>
      <c r="AI1010" s="6" t="e">
        <f t="shared" si="61"/>
        <v>#DIV/0!</v>
      </c>
      <c r="AK1010" s="47" t="e">
        <f>RATE(Table1[[#This Row],[Total No. of Coupons]],Table1[[#This Row],[Coupon Amount]],-Table1[[#This Row],[Ask Price]],Table1[[#This Row],[Face value]])</f>
        <v>#N/A</v>
      </c>
      <c r="AL1010" s="27" t="e">
        <f>Table1[[#This Row],[IRR]]*Table1[[#This Row],[Coupon Frequency2]]</f>
        <v>#N/A</v>
      </c>
      <c r="AM1010" s="5" t="e">
        <f t="shared" si="62"/>
        <v>#N/A</v>
      </c>
      <c r="AN1010" t="s">
        <v>64</v>
      </c>
      <c r="AO1010" t="s">
        <v>62</v>
      </c>
      <c r="AP1010" t="str">
        <f t="shared" si="63"/>
        <v/>
      </c>
    </row>
    <row r="1011" spans="4:42" x14ac:dyDescent="0.35">
      <c r="D1011" s="21"/>
      <c r="E1011" s="21"/>
      <c r="L1011" s="22"/>
      <c r="S1011">
        <f t="shared" si="60"/>
        <v>0</v>
      </c>
      <c r="T1011" s="5" t="e" cm="1">
        <f t="array" ref="T10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1" t="e">
        <f>Table1[[#This Row],[Term to Maturity (Years)]]*Table1[[#This Row],[Coupon Frequency2]]</f>
        <v>#N/A</v>
      </c>
      <c r="V1011">
        <f>Table1[[#This Row],[Face value]]*Table1[[#This Row],[Current coupon %]]</f>
        <v>0</v>
      </c>
      <c r="W1011" s="36" t="e">
        <f>RATE(Table1[[#This Row],[Total No. of Coupons]],Table1[[#This Row],[Coupon Amount]],-Table1[[#This Row],[Ask Price]],Table1[[#This Row],[Face value]])</f>
        <v>#N/A</v>
      </c>
      <c r="X1011" s="27" t="e">
        <f>Table1[[#This Row],[IRR]]*Table1[[#This Row],[Coupon Frequency2]]</f>
        <v>#N/A</v>
      </c>
      <c r="Y1011" s="19" t="e" cm="1">
        <f t="array" ref="Y10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1" s="33" t="e">
        <f>DURATION(Table1[[#This Row],[Issue date]],Table1[[#This Row],[Maturity date]],Table1[[#This Row],[Current coupon %]],Table1[[#This Row],[Yield (Annualised)]],Table1[[#This Row],[Coupon Frequency2]])</f>
        <v>#N/A</v>
      </c>
      <c r="AA1011" s="33" t="e">
        <f>Table1[[#This Row],[Macaulay Duration in Years]]/(1+Table1[[#This Row],[IRR]])</f>
        <v>#N/A</v>
      </c>
      <c r="AB1011" s="58" t="e">
        <f>VLOOKUP(Table1[[#This Row],[Yield Cluster]],'Cluster Details'!$B$3:$C$16,2,0)</f>
        <v>#N/A</v>
      </c>
      <c r="AC10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1" s="58" t="e">
        <f>IF(Table1[[#This Row],[Ask Price]]&gt;Table1[[#This Row],[Calculated Bond Price]],"Rich","Cheap")</f>
        <v>#N/A</v>
      </c>
      <c r="AE10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1" s="78" t="e">
        <f>(Table1[[#This Row],[P (+ shock)]]+Table1[[#This Row],[P (-shock)]]-2*Table1[[#This Row],[Ask Price]])/(2*Table1[[#This Row],[Ask Price]]*($AF$2^2))</f>
        <v>#N/A</v>
      </c>
      <c r="AH1011">
        <v>9.2666479733007101</v>
      </c>
      <c r="AI1011" s="6" t="e">
        <f t="shared" si="61"/>
        <v>#DIV/0!</v>
      </c>
      <c r="AK1011" s="47" t="e">
        <f>RATE(Table1[[#This Row],[Total No. of Coupons]],Table1[[#This Row],[Coupon Amount]],-Table1[[#This Row],[Ask Price]],Table1[[#This Row],[Face value]])</f>
        <v>#N/A</v>
      </c>
      <c r="AL1011" s="27" t="e">
        <f>Table1[[#This Row],[IRR]]*Table1[[#This Row],[Coupon Frequency2]]</f>
        <v>#N/A</v>
      </c>
      <c r="AM1011" s="5" t="e">
        <f t="shared" si="62"/>
        <v>#N/A</v>
      </c>
      <c r="AN1011" t="s">
        <v>64</v>
      </c>
      <c r="AO1011" t="s">
        <v>62</v>
      </c>
      <c r="AP1011" t="str">
        <f t="shared" si="63"/>
        <v/>
      </c>
    </row>
    <row r="1012" spans="4:42" x14ac:dyDescent="0.35">
      <c r="D1012" s="21"/>
      <c r="E1012" s="21"/>
      <c r="L1012" s="22"/>
      <c r="S1012">
        <f t="shared" si="60"/>
        <v>0</v>
      </c>
      <c r="T1012" s="5" t="e" cm="1">
        <f t="array" ref="T10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2" t="e">
        <f>Table1[[#This Row],[Term to Maturity (Years)]]*Table1[[#This Row],[Coupon Frequency2]]</f>
        <v>#N/A</v>
      </c>
      <c r="V1012">
        <f>Table1[[#This Row],[Face value]]*Table1[[#This Row],[Current coupon %]]</f>
        <v>0</v>
      </c>
      <c r="W1012" s="36" t="e">
        <f>RATE(Table1[[#This Row],[Total No. of Coupons]],Table1[[#This Row],[Coupon Amount]],-Table1[[#This Row],[Ask Price]],Table1[[#This Row],[Face value]])</f>
        <v>#N/A</v>
      </c>
      <c r="X1012" s="27" t="e">
        <f>Table1[[#This Row],[IRR]]*Table1[[#This Row],[Coupon Frequency2]]</f>
        <v>#N/A</v>
      </c>
      <c r="Y1012" s="19" t="e" cm="1">
        <f t="array" ref="Y10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2" s="33" t="e">
        <f>DURATION(Table1[[#This Row],[Issue date]],Table1[[#This Row],[Maturity date]],Table1[[#This Row],[Current coupon %]],Table1[[#This Row],[Yield (Annualised)]],Table1[[#This Row],[Coupon Frequency2]])</f>
        <v>#N/A</v>
      </c>
      <c r="AA1012" s="33" t="e">
        <f>Table1[[#This Row],[Macaulay Duration in Years]]/(1+Table1[[#This Row],[IRR]])</f>
        <v>#N/A</v>
      </c>
      <c r="AB1012" s="58" t="e">
        <f>VLOOKUP(Table1[[#This Row],[Yield Cluster]],'Cluster Details'!$B$3:$C$16,2,0)</f>
        <v>#N/A</v>
      </c>
      <c r="AC10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2" s="58" t="e">
        <f>IF(Table1[[#This Row],[Ask Price]]&gt;Table1[[#This Row],[Calculated Bond Price]],"Rich","Cheap")</f>
        <v>#N/A</v>
      </c>
      <c r="AE10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2" s="78" t="e">
        <f>(Table1[[#This Row],[P (+ shock)]]+Table1[[#This Row],[P (-shock)]]-2*Table1[[#This Row],[Ask Price]])/(2*Table1[[#This Row],[Ask Price]]*($AF$2^2))</f>
        <v>#N/A</v>
      </c>
      <c r="AH1012">
        <v>10.2502389342556</v>
      </c>
      <c r="AI1012" s="6" t="e">
        <f t="shared" si="61"/>
        <v>#DIV/0!</v>
      </c>
      <c r="AK1012" s="47" t="e">
        <f>RATE(Table1[[#This Row],[Total No. of Coupons]],Table1[[#This Row],[Coupon Amount]],-Table1[[#This Row],[Ask Price]],Table1[[#This Row],[Face value]])</f>
        <v>#N/A</v>
      </c>
      <c r="AL1012" s="27" t="e">
        <f>Table1[[#This Row],[IRR]]*Table1[[#This Row],[Coupon Frequency2]]</f>
        <v>#N/A</v>
      </c>
      <c r="AM1012" s="5" t="e">
        <f t="shared" si="62"/>
        <v>#N/A</v>
      </c>
      <c r="AN1012" t="s">
        <v>64</v>
      </c>
      <c r="AO1012" t="s">
        <v>62</v>
      </c>
      <c r="AP1012" t="str">
        <f t="shared" si="63"/>
        <v/>
      </c>
    </row>
    <row r="1013" spans="4:42" x14ac:dyDescent="0.35">
      <c r="D1013" s="21"/>
      <c r="E1013" s="21"/>
      <c r="L1013" s="22"/>
      <c r="S1013">
        <f t="shared" si="60"/>
        <v>0</v>
      </c>
      <c r="T1013" s="5" t="e" cm="1">
        <f t="array" ref="T10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3" t="e">
        <f>Table1[[#This Row],[Term to Maturity (Years)]]*Table1[[#This Row],[Coupon Frequency2]]</f>
        <v>#N/A</v>
      </c>
      <c r="V1013">
        <f>Table1[[#This Row],[Face value]]*Table1[[#This Row],[Current coupon %]]</f>
        <v>0</v>
      </c>
      <c r="W1013" s="36" t="e">
        <f>RATE(Table1[[#This Row],[Total No. of Coupons]],Table1[[#This Row],[Coupon Amount]],-Table1[[#This Row],[Ask Price]],Table1[[#This Row],[Face value]])</f>
        <v>#N/A</v>
      </c>
      <c r="X1013" s="27" t="e">
        <f>Table1[[#This Row],[IRR]]*Table1[[#This Row],[Coupon Frequency2]]</f>
        <v>#N/A</v>
      </c>
      <c r="Y1013" s="19" t="e" cm="1">
        <f t="array" ref="Y10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3" s="33" t="e">
        <f>DURATION(Table1[[#This Row],[Issue date]],Table1[[#This Row],[Maturity date]],Table1[[#This Row],[Current coupon %]],Table1[[#This Row],[Yield (Annualised)]],Table1[[#This Row],[Coupon Frequency2]])</f>
        <v>#N/A</v>
      </c>
      <c r="AA1013" s="33" t="e">
        <f>Table1[[#This Row],[Macaulay Duration in Years]]/(1+Table1[[#This Row],[IRR]])</f>
        <v>#N/A</v>
      </c>
      <c r="AB1013" s="58" t="e">
        <f>VLOOKUP(Table1[[#This Row],[Yield Cluster]],'Cluster Details'!$B$3:$C$16,2,0)</f>
        <v>#N/A</v>
      </c>
      <c r="AC10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3" s="58" t="e">
        <f>IF(Table1[[#This Row],[Ask Price]]&gt;Table1[[#This Row],[Calculated Bond Price]],"Rich","Cheap")</f>
        <v>#N/A</v>
      </c>
      <c r="AE10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3" s="78" t="e">
        <f>(Table1[[#This Row],[P (+ shock)]]+Table1[[#This Row],[P (-shock)]]-2*Table1[[#This Row],[Ask Price]])/(2*Table1[[#This Row],[Ask Price]]*($AF$2^2))</f>
        <v>#N/A</v>
      </c>
      <c r="AH1013">
        <v>9.9556102214758209</v>
      </c>
      <c r="AI1013" s="6" t="e">
        <f t="shared" si="61"/>
        <v>#DIV/0!</v>
      </c>
      <c r="AK1013" s="47" t="e">
        <f>RATE(Table1[[#This Row],[Total No. of Coupons]],Table1[[#This Row],[Coupon Amount]],-Table1[[#This Row],[Ask Price]],Table1[[#This Row],[Face value]])</f>
        <v>#N/A</v>
      </c>
      <c r="AL1013" s="27" t="e">
        <f>Table1[[#This Row],[IRR]]*Table1[[#This Row],[Coupon Frequency2]]</f>
        <v>#N/A</v>
      </c>
      <c r="AM1013" s="5" t="e">
        <f t="shared" si="62"/>
        <v>#N/A</v>
      </c>
      <c r="AN1013" t="s">
        <v>64</v>
      </c>
      <c r="AO1013" t="s">
        <v>62</v>
      </c>
      <c r="AP1013" t="str">
        <f t="shared" si="63"/>
        <v/>
      </c>
    </row>
    <row r="1014" spans="4:42" x14ac:dyDescent="0.35">
      <c r="D1014" s="21"/>
      <c r="E1014" s="21"/>
      <c r="L1014" s="22"/>
      <c r="S1014">
        <f t="shared" si="60"/>
        <v>0</v>
      </c>
      <c r="T1014" s="5" t="e" cm="1">
        <f t="array" ref="T10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4" t="e">
        <f>Table1[[#This Row],[Term to Maturity (Years)]]*Table1[[#This Row],[Coupon Frequency2]]</f>
        <v>#N/A</v>
      </c>
      <c r="V1014">
        <f>Table1[[#This Row],[Face value]]*Table1[[#This Row],[Current coupon %]]</f>
        <v>0</v>
      </c>
      <c r="W1014" s="36" t="e">
        <f>RATE(Table1[[#This Row],[Total No. of Coupons]],Table1[[#This Row],[Coupon Amount]],-Table1[[#This Row],[Ask Price]],Table1[[#This Row],[Face value]])</f>
        <v>#N/A</v>
      </c>
      <c r="X1014" s="27" t="e">
        <f>Table1[[#This Row],[IRR]]*Table1[[#This Row],[Coupon Frequency2]]</f>
        <v>#N/A</v>
      </c>
      <c r="Y1014" s="19" t="e" cm="1">
        <f t="array" ref="Y10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4" s="33" t="e">
        <f>DURATION(Table1[[#This Row],[Issue date]],Table1[[#This Row],[Maturity date]],Table1[[#This Row],[Current coupon %]],Table1[[#This Row],[Yield (Annualised)]],Table1[[#This Row],[Coupon Frequency2]])</f>
        <v>#N/A</v>
      </c>
      <c r="AA1014" s="33" t="e">
        <f>Table1[[#This Row],[Macaulay Duration in Years]]/(1+Table1[[#This Row],[IRR]])</f>
        <v>#N/A</v>
      </c>
      <c r="AB1014" s="58" t="e">
        <f>VLOOKUP(Table1[[#This Row],[Yield Cluster]],'Cluster Details'!$B$3:$C$16,2,0)</f>
        <v>#N/A</v>
      </c>
      <c r="AC10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4" s="58" t="e">
        <f>IF(Table1[[#This Row],[Ask Price]]&gt;Table1[[#This Row],[Calculated Bond Price]],"Rich","Cheap")</f>
        <v>#N/A</v>
      </c>
      <c r="AE10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4" s="78" t="e">
        <f>(Table1[[#This Row],[P (+ shock)]]+Table1[[#This Row],[P (-shock)]]-2*Table1[[#This Row],[Ask Price]])/(2*Table1[[#This Row],[Ask Price]]*($AF$2^2))</f>
        <v>#N/A</v>
      </c>
      <c r="AH1014">
        <v>-1.3000295221627001</v>
      </c>
      <c r="AI1014" s="6" t="e">
        <f t="shared" si="61"/>
        <v>#DIV/0!</v>
      </c>
      <c r="AK1014" s="47" t="e">
        <f>RATE(Table1[[#This Row],[Total No. of Coupons]],Table1[[#This Row],[Coupon Amount]],-Table1[[#This Row],[Ask Price]],Table1[[#This Row],[Face value]])</f>
        <v>#N/A</v>
      </c>
      <c r="AL1014" s="27" t="e">
        <f>Table1[[#This Row],[IRR]]*Table1[[#This Row],[Coupon Frequency2]]</f>
        <v>#N/A</v>
      </c>
      <c r="AM1014" s="5" t="e">
        <f t="shared" si="62"/>
        <v>#N/A</v>
      </c>
      <c r="AN1014" t="s">
        <v>64</v>
      </c>
      <c r="AO1014" t="s">
        <v>62</v>
      </c>
      <c r="AP1014" t="str">
        <f t="shared" si="63"/>
        <v/>
      </c>
    </row>
    <row r="1015" spans="4:42" x14ac:dyDescent="0.35">
      <c r="D1015" s="21"/>
      <c r="E1015" s="21"/>
      <c r="L1015" s="22"/>
      <c r="S1015">
        <f t="shared" si="60"/>
        <v>0</v>
      </c>
      <c r="T1015" s="5" t="e" cm="1">
        <f t="array" ref="T10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5" t="e">
        <f>Table1[[#This Row],[Term to Maturity (Years)]]*Table1[[#This Row],[Coupon Frequency2]]</f>
        <v>#N/A</v>
      </c>
      <c r="V1015">
        <f>Table1[[#This Row],[Face value]]*Table1[[#This Row],[Current coupon %]]</f>
        <v>0</v>
      </c>
      <c r="W1015" s="36" t="e">
        <f>RATE(Table1[[#This Row],[Total No. of Coupons]],Table1[[#This Row],[Coupon Amount]],-Table1[[#This Row],[Ask Price]],Table1[[#This Row],[Face value]])</f>
        <v>#N/A</v>
      </c>
      <c r="X1015" s="27" t="e">
        <f>Table1[[#This Row],[IRR]]*Table1[[#This Row],[Coupon Frequency2]]</f>
        <v>#N/A</v>
      </c>
      <c r="Y1015" s="19" t="e" cm="1">
        <f t="array" ref="Y10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5" s="33" t="e">
        <f>DURATION(Table1[[#This Row],[Issue date]],Table1[[#This Row],[Maturity date]],Table1[[#This Row],[Current coupon %]],Table1[[#This Row],[Yield (Annualised)]],Table1[[#This Row],[Coupon Frequency2]])</f>
        <v>#N/A</v>
      </c>
      <c r="AA1015" s="33" t="e">
        <f>Table1[[#This Row],[Macaulay Duration in Years]]/(1+Table1[[#This Row],[IRR]])</f>
        <v>#N/A</v>
      </c>
      <c r="AB1015" s="58" t="e">
        <f>VLOOKUP(Table1[[#This Row],[Yield Cluster]],'Cluster Details'!$B$3:$C$16,2,0)</f>
        <v>#N/A</v>
      </c>
      <c r="AC10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5" s="58" t="e">
        <f>IF(Table1[[#This Row],[Ask Price]]&gt;Table1[[#This Row],[Calculated Bond Price]],"Rich","Cheap")</f>
        <v>#N/A</v>
      </c>
      <c r="AE10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5" s="78" t="e">
        <f>(Table1[[#This Row],[P (+ shock)]]+Table1[[#This Row],[P (-shock)]]-2*Table1[[#This Row],[Ask Price]])/(2*Table1[[#This Row],[Ask Price]]*($AF$2^2))</f>
        <v>#N/A</v>
      </c>
      <c r="AH1015">
        <v>8.4392540936838003</v>
      </c>
      <c r="AI1015" s="6" t="e">
        <f t="shared" si="61"/>
        <v>#DIV/0!</v>
      </c>
      <c r="AK1015" s="47" t="e">
        <f>RATE(Table1[[#This Row],[Total No. of Coupons]],Table1[[#This Row],[Coupon Amount]],-Table1[[#This Row],[Ask Price]],Table1[[#This Row],[Face value]])</f>
        <v>#N/A</v>
      </c>
      <c r="AL1015" s="27" t="e">
        <f>Table1[[#This Row],[IRR]]*Table1[[#This Row],[Coupon Frequency2]]</f>
        <v>#N/A</v>
      </c>
      <c r="AM1015" s="5" t="e">
        <f t="shared" si="62"/>
        <v>#N/A</v>
      </c>
      <c r="AN1015" t="s">
        <v>64</v>
      </c>
      <c r="AO1015" t="s">
        <v>62</v>
      </c>
      <c r="AP1015" t="str">
        <f t="shared" si="63"/>
        <v/>
      </c>
    </row>
    <row r="1016" spans="4:42" x14ac:dyDescent="0.35">
      <c r="D1016" s="21"/>
      <c r="E1016" s="21"/>
      <c r="L1016" s="22"/>
      <c r="S1016">
        <f t="shared" si="60"/>
        <v>0</v>
      </c>
      <c r="T1016" s="5" t="e" cm="1">
        <f t="array" ref="T10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6" t="e">
        <f>Table1[[#This Row],[Term to Maturity (Years)]]*Table1[[#This Row],[Coupon Frequency2]]</f>
        <v>#N/A</v>
      </c>
      <c r="V1016">
        <f>Table1[[#This Row],[Face value]]*Table1[[#This Row],[Current coupon %]]</f>
        <v>0</v>
      </c>
      <c r="W1016" s="36" t="e">
        <f>RATE(Table1[[#This Row],[Total No. of Coupons]],Table1[[#This Row],[Coupon Amount]],-Table1[[#This Row],[Ask Price]],Table1[[#This Row],[Face value]])</f>
        <v>#N/A</v>
      </c>
      <c r="X1016" s="27" t="e">
        <f>Table1[[#This Row],[IRR]]*Table1[[#This Row],[Coupon Frequency2]]</f>
        <v>#N/A</v>
      </c>
      <c r="Y1016" s="19" t="e" cm="1">
        <f t="array" ref="Y10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6" s="33" t="e">
        <f>DURATION(Table1[[#This Row],[Issue date]],Table1[[#This Row],[Maturity date]],Table1[[#This Row],[Current coupon %]],Table1[[#This Row],[Yield (Annualised)]],Table1[[#This Row],[Coupon Frequency2]])</f>
        <v>#N/A</v>
      </c>
      <c r="AA1016" s="33" t="e">
        <f>Table1[[#This Row],[Macaulay Duration in Years]]/(1+Table1[[#This Row],[IRR]])</f>
        <v>#N/A</v>
      </c>
      <c r="AB1016" s="58" t="e">
        <f>VLOOKUP(Table1[[#This Row],[Yield Cluster]],'Cluster Details'!$B$3:$C$16,2,0)</f>
        <v>#N/A</v>
      </c>
      <c r="AC10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6" s="58" t="e">
        <f>IF(Table1[[#This Row],[Ask Price]]&gt;Table1[[#This Row],[Calculated Bond Price]],"Rich","Cheap")</f>
        <v>#N/A</v>
      </c>
      <c r="AE10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6" s="78" t="e">
        <f>(Table1[[#This Row],[P (+ shock)]]+Table1[[#This Row],[P (-shock)]]-2*Table1[[#This Row],[Ask Price]])/(2*Table1[[#This Row],[Ask Price]]*($AF$2^2))</f>
        <v>#N/A</v>
      </c>
      <c r="AH1016">
        <v>14.5044830758044</v>
      </c>
      <c r="AI1016" s="6" t="e">
        <f t="shared" si="61"/>
        <v>#DIV/0!</v>
      </c>
      <c r="AK1016" s="47" t="e">
        <f>RATE(Table1[[#This Row],[Total No. of Coupons]],Table1[[#This Row],[Coupon Amount]],-Table1[[#This Row],[Ask Price]],Table1[[#This Row],[Face value]])</f>
        <v>#N/A</v>
      </c>
      <c r="AL1016" s="27" t="e">
        <f>Table1[[#This Row],[IRR]]*Table1[[#This Row],[Coupon Frequency2]]</f>
        <v>#N/A</v>
      </c>
      <c r="AM1016" s="5" t="e">
        <f t="shared" si="62"/>
        <v>#N/A</v>
      </c>
      <c r="AN1016" t="s">
        <v>64</v>
      </c>
      <c r="AO1016" t="s">
        <v>62</v>
      </c>
      <c r="AP1016" t="str">
        <f t="shared" si="63"/>
        <v/>
      </c>
    </row>
    <row r="1017" spans="4:42" x14ac:dyDescent="0.35">
      <c r="D1017" s="21"/>
      <c r="E1017" s="21"/>
      <c r="L1017" s="22"/>
      <c r="S1017">
        <f t="shared" si="60"/>
        <v>0</v>
      </c>
      <c r="T1017" s="5" t="e" cm="1">
        <f t="array" ref="T10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7" t="e">
        <f>Table1[[#This Row],[Term to Maturity (Years)]]*Table1[[#This Row],[Coupon Frequency2]]</f>
        <v>#N/A</v>
      </c>
      <c r="V1017">
        <f>Table1[[#This Row],[Face value]]*Table1[[#This Row],[Current coupon %]]</f>
        <v>0</v>
      </c>
      <c r="W1017" s="36" t="e">
        <f>RATE(Table1[[#This Row],[Total No. of Coupons]],Table1[[#This Row],[Coupon Amount]],-Table1[[#This Row],[Ask Price]],Table1[[#This Row],[Face value]])</f>
        <v>#N/A</v>
      </c>
      <c r="X1017" s="27" t="e">
        <f>Table1[[#This Row],[IRR]]*Table1[[#This Row],[Coupon Frequency2]]</f>
        <v>#N/A</v>
      </c>
      <c r="Y1017" s="19" t="e" cm="1">
        <f t="array" ref="Y10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7" s="33" t="e">
        <f>DURATION(Table1[[#This Row],[Issue date]],Table1[[#This Row],[Maturity date]],Table1[[#This Row],[Current coupon %]],Table1[[#This Row],[Yield (Annualised)]],Table1[[#This Row],[Coupon Frequency2]])</f>
        <v>#N/A</v>
      </c>
      <c r="AA1017" s="33" t="e">
        <f>Table1[[#This Row],[Macaulay Duration in Years]]/(1+Table1[[#This Row],[IRR]])</f>
        <v>#N/A</v>
      </c>
      <c r="AB1017" s="58" t="e">
        <f>VLOOKUP(Table1[[#This Row],[Yield Cluster]],'Cluster Details'!$B$3:$C$16,2,0)</f>
        <v>#N/A</v>
      </c>
      <c r="AC10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7" s="58" t="e">
        <f>IF(Table1[[#This Row],[Ask Price]]&gt;Table1[[#This Row],[Calculated Bond Price]],"Rich","Cheap")</f>
        <v>#N/A</v>
      </c>
      <c r="AE10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7" s="78" t="e">
        <f>(Table1[[#This Row],[P (+ shock)]]+Table1[[#This Row],[P (-shock)]]-2*Table1[[#This Row],[Ask Price]])/(2*Table1[[#This Row],[Ask Price]]*($AF$2^2))</f>
        <v>#N/A</v>
      </c>
      <c r="AH1017">
        <v>10.197781094189899</v>
      </c>
      <c r="AI1017" s="6" t="e">
        <f t="shared" si="61"/>
        <v>#DIV/0!</v>
      </c>
      <c r="AK1017" s="47" t="e">
        <f>RATE(Table1[[#This Row],[Total No. of Coupons]],Table1[[#This Row],[Coupon Amount]],-Table1[[#This Row],[Ask Price]],Table1[[#This Row],[Face value]])</f>
        <v>#N/A</v>
      </c>
      <c r="AL1017" s="27" t="e">
        <f>Table1[[#This Row],[IRR]]*Table1[[#This Row],[Coupon Frequency2]]</f>
        <v>#N/A</v>
      </c>
      <c r="AM1017" s="5" t="e">
        <f t="shared" si="62"/>
        <v>#N/A</v>
      </c>
      <c r="AN1017" t="s">
        <v>64</v>
      </c>
      <c r="AO1017" t="s">
        <v>62</v>
      </c>
      <c r="AP1017" t="str">
        <f t="shared" si="63"/>
        <v/>
      </c>
    </row>
    <row r="1018" spans="4:42" x14ac:dyDescent="0.35">
      <c r="D1018" s="21"/>
      <c r="E1018" s="21"/>
      <c r="L1018" s="22"/>
      <c r="S1018">
        <f t="shared" si="60"/>
        <v>0</v>
      </c>
      <c r="T1018" s="5" t="e" cm="1">
        <f t="array" ref="T10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8" t="e">
        <f>Table1[[#This Row],[Term to Maturity (Years)]]*Table1[[#This Row],[Coupon Frequency2]]</f>
        <v>#N/A</v>
      </c>
      <c r="V1018">
        <f>Table1[[#This Row],[Face value]]*Table1[[#This Row],[Current coupon %]]</f>
        <v>0</v>
      </c>
      <c r="W1018" s="36" t="e">
        <f>RATE(Table1[[#This Row],[Total No. of Coupons]],Table1[[#This Row],[Coupon Amount]],-Table1[[#This Row],[Ask Price]],Table1[[#This Row],[Face value]])</f>
        <v>#N/A</v>
      </c>
      <c r="X1018" s="27" t="e">
        <f>Table1[[#This Row],[IRR]]*Table1[[#This Row],[Coupon Frequency2]]</f>
        <v>#N/A</v>
      </c>
      <c r="Y1018" s="19" t="e" cm="1">
        <f t="array" ref="Y10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8" s="33" t="e">
        <f>DURATION(Table1[[#This Row],[Issue date]],Table1[[#This Row],[Maturity date]],Table1[[#This Row],[Current coupon %]],Table1[[#This Row],[Yield (Annualised)]],Table1[[#This Row],[Coupon Frequency2]])</f>
        <v>#N/A</v>
      </c>
      <c r="AA1018" s="33" t="e">
        <f>Table1[[#This Row],[Macaulay Duration in Years]]/(1+Table1[[#This Row],[IRR]])</f>
        <v>#N/A</v>
      </c>
      <c r="AB1018" s="58" t="e">
        <f>VLOOKUP(Table1[[#This Row],[Yield Cluster]],'Cluster Details'!$B$3:$C$16,2,0)</f>
        <v>#N/A</v>
      </c>
      <c r="AC10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8" s="58" t="e">
        <f>IF(Table1[[#This Row],[Ask Price]]&gt;Table1[[#This Row],[Calculated Bond Price]],"Rich","Cheap")</f>
        <v>#N/A</v>
      </c>
      <c r="AE10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8" s="78" t="e">
        <f>(Table1[[#This Row],[P (+ shock)]]+Table1[[#This Row],[P (-shock)]]-2*Table1[[#This Row],[Ask Price]])/(2*Table1[[#This Row],[Ask Price]]*($AF$2^2))</f>
        <v>#N/A</v>
      </c>
      <c r="AI1018" s="6" t="e">
        <f t="shared" si="61"/>
        <v>#DIV/0!</v>
      </c>
      <c r="AK1018" s="47" t="e">
        <f>RATE(Table1[[#This Row],[Total No. of Coupons]],Table1[[#This Row],[Coupon Amount]],-Table1[[#This Row],[Ask Price]],Table1[[#This Row],[Face value]])</f>
        <v>#N/A</v>
      </c>
      <c r="AL1018" s="27" t="e">
        <f>Table1[[#This Row],[IRR]]*Table1[[#This Row],[Coupon Frequency2]]</f>
        <v>#N/A</v>
      </c>
      <c r="AM1018" s="5" t="e">
        <f t="shared" si="62"/>
        <v>#N/A</v>
      </c>
      <c r="AN1018" t="s">
        <v>64</v>
      </c>
      <c r="AO1018" t="s">
        <v>62</v>
      </c>
      <c r="AP1018" t="str">
        <f t="shared" si="63"/>
        <v/>
      </c>
    </row>
    <row r="1019" spans="4:42" x14ac:dyDescent="0.35">
      <c r="D1019" s="21"/>
      <c r="E1019" s="21"/>
      <c r="L1019" s="22"/>
      <c r="S1019">
        <f t="shared" si="60"/>
        <v>0</v>
      </c>
      <c r="T1019" s="5" t="e" cm="1">
        <f t="array" ref="T10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19" t="e">
        <f>Table1[[#This Row],[Term to Maturity (Years)]]*Table1[[#This Row],[Coupon Frequency2]]</f>
        <v>#N/A</v>
      </c>
      <c r="V1019">
        <f>Table1[[#This Row],[Face value]]*Table1[[#This Row],[Current coupon %]]</f>
        <v>0</v>
      </c>
      <c r="W1019" s="36" t="e">
        <f>RATE(Table1[[#This Row],[Total No. of Coupons]],Table1[[#This Row],[Coupon Amount]],-Table1[[#This Row],[Ask Price]],Table1[[#This Row],[Face value]])</f>
        <v>#N/A</v>
      </c>
      <c r="X1019" s="27" t="e">
        <f>Table1[[#This Row],[IRR]]*Table1[[#This Row],[Coupon Frequency2]]</f>
        <v>#N/A</v>
      </c>
      <c r="Y1019" s="19" t="e" cm="1">
        <f t="array" ref="Y10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19" s="33" t="e">
        <f>DURATION(Table1[[#This Row],[Issue date]],Table1[[#This Row],[Maturity date]],Table1[[#This Row],[Current coupon %]],Table1[[#This Row],[Yield (Annualised)]],Table1[[#This Row],[Coupon Frequency2]])</f>
        <v>#N/A</v>
      </c>
      <c r="AA1019" s="33" t="e">
        <f>Table1[[#This Row],[Macaulay Duration in Years]]/(1+Table1[[#This Row],[IRR]])</f>
        <v>#N/A</v>
      </c>
      <c r="AB1019" s="58" t="e">
        <f>VLOOKUP(Table1[[#This Row],[Yield Cluster]],'Cluster Details'!$B$3:$C$16,2,0)</f>
        <v>#N/A</v>
      </c>
      <c r="AC10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19" s="58" t="e">
        <f>IF(Table1[[#This Row],[Ask Price]]&gt;Table1[[#This Row],[Calculated Bond Price]],"Rich","Cheap")</f>
        <v>#N/A</v>
      </c>
      <c r="AE10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19" s="78" t="e">
        <f>(Table1[[#This Row],[P (+ shock)]]+Table1[[#This Row],[P (-shock)]]-2*Table1[[#This Row],[Ask Price]])/(2*Table1[[#This Row],[Ask Price]]*($AF$2^2))</f>
        <v>#N/A</v>
      </c>
      <c r="AH1019">
        <v>9.26</v>
      </c>
      <c r="AI1019" s="6" t="e">
        <f t="shared" si="61"/>
        <v>#DIV/0!</v>
      </c>
      <c r="AK1019" s="47" t="e">
        <f>RATE(Table1[[#This Row],[Total No. of Coupons]],Table1[[#This Row],[Coupon Amount]],-Table1[[#This Row],[Ask Price]],Table1[[#This Row],[Face value]])</f>
        <v>#N/A</v>
      </c>
      <c r="AL1019" s="27" t="e">
        <f>Table1[[#This Row],[IRR]]*Table1[[#This Row],[Coupon Frequency2]]</f>
        <v>#N/A</v>
      </c>
      <c r="AM1019" s="5" t="e">
        <f t="shared" si="62"/>
        <v>#N/A</v>
      </c>
      <c r="AN1019" t="s">
        <v>64</v>
      </c>
      <c r="AO1019" t="s">
        <v>62</v>
      </c>
      <c r="AP1019" t="str">
        <f t="shared" si="63"/>
        <v/>
      </c>
    </row>
    <row r="1020" spans="4:42" x14ac:dyDescent="0.35">
      <c r="D1020" s="21"/>
      <c r="E1020" s="21"/>
      <c r="L1020" s="22"/>
      <c r="S1020">
        <f t="shared" si="60"/>
        <v>0</v>
      </c>
      <c r="T1020" s="5" t="e" cm="1">
        <f t="array" ref="T10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0" t="e">
        <f>Table1[[#This Row],[Term to Maturity (Years)]]*Table1[[#This Row],[Coupon Frequency2]]</f>
        <v>#N/A</v>
      </c>
      <c r="V1020">
        <f>Table1[[#This Row],[Face value]]*Table1[[#This Row],[Current coupon %]]</f>
        <v>0</v>
      </c>
      <c r="W1020" s="36" t="e">
        <f>RATE(Table1[[#This Row],[Total No. of Coupons]],Table1[[#This Row],[Coupon Amount]],-Table1[[#This Row],[Ask Price]],Table1[[#This Row],[Face value]])</f>
        <v>#N/A</v>
      </c>
      <c r="X1020" s="27" t="e">
        <f>Table1[[#This Row],[IRR]]*Table1[[#This Row],[Coupon Frequency2]]</f>
        <v>#N/A</v>
      </c>
      <c r="Y1020" s="19" t="e" cm="1">
        <f t="array" ref="Y10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0" s="33" t="e">
        <f>DURATION(Table1[[#This Row],[Issue date]],Table1[[#This Row],[Maturity date]],Table1[[#This Row],[Current coupon %]],Table1[[#This Row],[Yield (Annualised)]],Table1[[#This Row],[Coupon Frequency2]])</f>
        <v>#N/A</v>
      </c>
      <c r="AA1020" s="33" t="e">
        <f>Table1[[#This Row],[Macaulay Duration in Years]]/(1+Table1[[#This Row],[IRR]])</f>
        <v>#N/A</v>
      </c>
      <c r="AB1020" s="58" t="e">
        <f>VLOOKUP(Table1[[#This Row],[Yield Cluster]],'Cluster Details'!$B$3:$C$16,2,0)</f>
        <v>#N/A</v>
      </c>
      <c r="AC10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0" s="58" t="e">
        <f>IF(Table1[[#This Row],[Ask Price]]&gt;Table1[[#This Row],[Calculated Bond Price]],"Rich","Cheap")</f>
        <v>#N/A</v>
      </c>
      <c r="AE10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0" s="78" t="e">
        <f>(Table1[[#This Row],[P (+ shock)]]+Table1[[#This Row],[P (-shock)]]-2*Table1[[#This Row],[Ask Price]])/(2*Table1[[#This Row],[Ask Price]]*($AF$2^2))</f>
        <v>#N/A</v>
      </c>
      <c r="AH1020">
        <v>14.051251270211001</v>
      </c>
      <c r="AI1020" s="6" t="e">
        <f t="shared" si="61"/>
        <v>#DIV/0!</v>
      </c>
      <c r="AK1020" s="47" t="e">
        <f>RATE(Table1[[#This Row],[Total No. of Coupons]],Table1[[#This Row],[Coupon Amount]],-Table1[[#This Row],[Ask Price]],Table1[[#This Row],[Face value]])</f>
        <v>#N/A</v>
      </c>
      <c r="AL1020" s="27" t="e">
        <f>Table1[[#This Row],[IRR]]*Table1[[#This Row],[Coupon Frequency2]]</f>
        <v>#N/A</v>
      </c>
      <c r="AM1020" s="5" t="e">
        <f t="shared" si="62"/>
        <v>#N/A</v>
      </c>
      <c r="AN1020" t="s">
        <v>64</v>
      </c>
      <c r="AO1020" t="s">
        <v>62</v>
      </c>
      <c r="AP1020" t="str">
        <f t="shared" si="63"/>
        <v/>
      </c>
    </row>
    <row r="1021" spans="4:42" x14ac:dyDescent="0.35">
      <c r="D1021" s="21"/>
      <c r="E1021" s="21"/>
      <c r="L1021" s="22"/>
      <c r="S1021">
        <f t="shared" si="60"/>
        <v>0</v>
      </c>
      <c r="T1021" s="5" t="e" cm="1">
        <f t="array" ref="T10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1" t="e">
        <f>Table1[[#This Row],[Term to Maturity (Years)]]*Table1[[#This Row],[Coupon Frequency2]]</f>
        <v>#N/A</v>
      </c>
      <c r="V1021">
        <f>Table1[[#This Row],[Face value]]*Table1[[#This Row],[Current coupon %]]</f>
        <v>0</v>
      </c>
      <c r="W1021" s="36" t="e">
        <f>RATE(Table1[[#This Row],[Total No. of Coupons]],Table1[[#This Row],[Coupon Amount]],-Table1[[#This Row],[Ask Price]],Table1[[#This Row],[Face value]])</f>
        <v>#N/A</v>
      </c>
      <c r="X1021" s="27" t="e">
        <f>Table1[[#This Row],[IRR]]*Table1[[#This Row],[Coupon Frequency2]]</f>
        <v>#N/A</v>
      </c>
      <c r="Y1021" s="19" t="e" cm="1">
        <f t="array" ref="Y10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1" s="33" t="e">
        <f>DURATION(Table1[[#This Row],[Issue date]],Table1[[#This Row],[Maturity date]],Table1[[#This Row],[Current coupon %]],Table1[[#This Row],[Yield (Annualised)]],Table1[[#This Row],[Coupon Frequency2]])</f>
        <v>#N/A</v>
      </c>
      <c r="AA1021" s="33" t="e">
        <f>Table1[[#This Row],[Macaulay Duration in Years]]/(1+Table1[[#This Row],[IRR]])</f>
        <v>#N/A</v>
      </c>
      <c r="AB1021" s="58" t="e">
        <f>VLOOKUP(Table1[[#This Row],[Yield Cluster]],'Cluster Details'!$B$3:$C$16,2,0)</f>
        <v>#N/A</v>
      </c>
      <c r="AC10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1" s="58" t="e">
        <f>IF(Table1[[#This Row],[Ask Price]]&gt;Table1[[#This Row],[Calculated Bond Price]],"Rich","Cheap")</f>
        <v>#N/A</v>
      </c>
      <c r="AE10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1" s="78" t="e">
        <f>(Table1[[#This Row],[P (+ shock)]]+Table1[[#This Row],[P (-shock)]]-2*Table1[[#This Row],[Ask Price]])/(2*Table1[[#This Row],[Ask Price]]*($AF$2^2))</f>
        <v>#N/A</v>
      </c>
      <c r="AH1021">
        <v>9.66</v>
      </c>
      <c r="AI1021" s="6" t="e">
        <f t="shared" si="61"/>
        <v>#DIV/0!</v>
      </c>
      <c r="AK1021" s="47" t="e">
        <f>RATE(Table1[[#This Row],[Total No. of Coupons]],Table1[[#This Row],[Coupon Amount]],-Table1[[#This Row],[Ask Price]],Table1[[#This Row],[Face value]])</f>
        <v>#N/A</v>
      </c>
      <c r="AL1021" s="27" t="e">
        <f>Table1[[#This Row],[IRR]]*Table1[[#This Row],[Coupon Frequency2]]</f>
        <v>#N/A</v>
      </c>
      <c r="AM1021" s="5" t="e">
        <f t="shared" si="62"/>
        <v>#N/A</v>
      </c>
      <c r="AN1021" t="s">
        <v>64</v>
      </c>
      <c r="AO1021" t="s">
        <v>62</v>
      </c>
      <c r="AP1021" t="str">
        <f t="shared" si="63"/>
        <v/>
      </c>
    </row>
    <row r="1022" spans="4:42" x14ac:dyDescent="0.35">
      <c r="D1022" s="21"/>
      <c r="E1022" s="21"/>
      <c r="L1022" s="22"/>
      <c r="S1022">
        <f t="shared" si="60"/>
        <v>0</v>
      </c>
      <c r="T1022" s="5" t="e" cm="1">
        <f t="array" ref="T10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2" t="e">
        <f>Table1[[#This Row],[Term to Maturity (Years)]]*Table1[[#This Row],[Coupon Frequency2]]</f>
        <v>#N/A</v>
      </c>
      <c r="V1022">
        <f>Table1[[#This Row],[Face value]]*Table1[[#This Row],[Current coupon %]]</f>
        <v>0</v>
      </c>
      <c r="W1022" s="36" t="e">
        <f>RATE(Table1[[#This Row],[Total No. of Coupons]],Table1[[#This Row],[Coupon Amount]],-Table1[[#This Row],[Ask Price]],Table1[[#This Row],[Face value]])</f>
        <v>#N/A</v>
      </c>
      <c r="X1022" s="27" t="e">
        <f>Table1[[#This Row],[IRR]]*Table1[[#This Row],[Coupon Frequency2]]</f>
        <v>#N/A</v>
      </c>
      <c r="Y1022" s="19" t="e" cm="1">
        <f t="array" ref="Y10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2" s="33" t="e">
        <f>DURATION(Table1[[#This Row],[Issue date]],Table1[[#This Row],[Maturity date]],Table1[[#This Row],[Current coupon %]],Table1[[#This Row],[Yield (Annualised)]],Table1[[#This Row],[Coupon Frequency2]])</f>
        <v>#N/A</v>
      </c>
      <c r="AA1022" s="33" t="e">
        <f>Table1[[#This Row],[Macaulay Duration in Years]]/(1+Table1[[#This Row],[IRR]])</f>
        <v>#N/A</v>
      </c>
      <c r="AB1022" s="58" t="e">
        <f>VLOOKUP(Table1[[#This Row],[Yield Cluster]],'Cluster Details'!$B$3:$C$16,2,0)</f>
        <v>#N/A</v>
      </c>
      <c r="AC102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2" s="58" t="e">
        <f>IF(Table1[[#This Row],[Ask Price]]&gt;Table1[[#This Row],[Calculated Bond Price]],"Rich","Cheap")</f>
        <v>#N/A</v>
      </c>
      <c r="AE102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2" s="78" t="e">
        <f>(Table1[[#This Row],[P (+ shock)]]+Table1[[#This Row],[P (-shock)]]-2*Table1[[#This Row],[Ask Price]])/(2*Table1[[#This Row],[Ask Price]]*($AF$2^2))</f>
        <v>#N/A</v>
      </c>
      <c r="AH1022">
        <v>6.6786865499503199</v>
      </c>
      <c r="AI1022" s="6" t="e">
        <f t="shared" si="61"/>
        <v>#DIV/0!</v>
      </c>
      <c r="AK1022" s="47" t="e">
        <f>RATE(Table1[[#This Row],[Total No. of Coupons]],Table1[[#This Row],[Coupon Amount]],-Table1[[#This Row],[Ask Price]],Table1[[#This Row],[Face value]])</f>
        <v>#N/A</v>
      </c>
      <c r="AL1022" s="27" t="e">
        <f>Table1[[#This Row],[IRR]]*Table1[[#This Row],[Coupon Frequency2]]</f>
        <v>#N/A</v>
      </c>
      <c r="AM1022" s="5" t="e">
        <f t="shared" si="62"/>
        <v>#N/A</v>
      </c>
      <c r="AN1022" t="s">
        <v>64</v>
      </c>
      <c r="AO1022" t="s">
        <v>62</v>
      </c>
      <c r="AP1022" t="str">
        <f t="shared" si="63"/>
        <v/>
      </c>
    </row>
    <row r="1023" spans="4:42" x14ac:dyDescent="0.35">
      <c r="D1023" s="21"/>
      <c r="E1023" s="21"/>
      <c r="L1023" s="22"/>
      <c r="S1023">
        <f t="shared" si="60"/>
        <v>0</v>
      </c>
      <c r="T1023" s="5" t="e" cm="1">
        <f t="array" ref="T10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3" t="e">
        <f>Table1[[#This Row],[Term to Maturity (Years)]]*Table1[[#This Row],[Coupon Frequency2]]</f>
        <v>#N/A</v>
      </c>
      <c r="V1023">
        <f>Table1[[#This Row],[Face value]]*Table1[[#This Row],[Current coupon %]]</f>
        <v>0</v>
      </c>
      <c r="W1023" s="36" t="e">
        <f>RATE(Table1[[#This Row],[Total No. of Coupons]],Table1[[#This Row],[Coupon Amount]],-Table1[[#This Row],[Ask Price]],Table1[[#This Row],[Face value]])</f>
        <v>#N/A</v>
      </c>
      <c r="X1023" s="27" t="e">
        <f>Table1[[#This Row],[IRR]]*Table1[[#This Row],[Coupon Frequency2]]</f>
        <v>#N/A</v>
      </c>
      <c r="Y1023" s="19" t="e" cm="1">
        <f t="array" ref="Y10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3" s="33" t="e">
        <f>DURATION(Table1[[#This Row],[Issue date]],Table1[[#This Row],[Maturity date]],Table1[[#This Row],[Current coupon %]],Table1[[#This Row],[Yield (Annualised)]],Table1[[#This Row],[Coupon Frequency2]])</f>
        <v>#N/A</v>
      </c>
      <c r="AA1023" s="33" t="e">
        <f>Table1[[#This Row],[Macaulay Duration in Years]]/(1+Table1[[#This Row],[IRR]])</f>
        <v>#N/A</v>
      </c>
      <c r="AB1023" s="58" t="e">
        <f>VLOOKUP(Table1[[#This Row],[Yield Cluster]],'Cluster Details'!$B$3:$C$16,2,0)</f>
        <v>#N/A</v>
      </c>
      <c r="AC102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3" s="58" t="e">
        <f>IF(Table1[[#This Row],[Ask Price]]&gt;Table1[[#This Row],[Calculated Bond Price]],"Rich","Cheap")</f>
        <v>#N/A</v>
      </c>
      <c r="AE102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3" s="78" t="e">
        <f>(Table1[[#This Row],[P (+ shock)]]+Table1[[#This Row],[P (-shock)]]-2*Table1[[#This Row],[Ask Price]])/(2*Table1[[#This Row],[Ask Price]]*($AF$2^2))</f>
        <v>#N/A</v>
      </c>
      <c r="AI1023" s="6" t="e">
        <f t="shared" si="61"/>
        <v>#DIV/0!</v>
      </c>
      <c r="AK1023" s="47" t="e">
        <f>RATE(Table1[[#This Row],[Total No. of Coupons]],Table1[[#This Row],[Coupon Amount]],-Table1[[#This Row],[Ask Price]],Table1[[#This Row],[Face value]])</f>
        <v>#N/A</v>
      </c>
      <c r="AL1023" s="27" t="e">
        <f>Table1[[#This Row],[IRR]]*Table1[[#This Row],[Coupon Frequency2]]</f>
        <v>#N/A</v>
      </c>
      <c r="AM1023" s="5" t="e">
        <f t="shared" si="62"/>
        <v>#N/A</v>
      </c>
      <c r="AN1023" t="s">
        <v>69</v>
      </c>
      <c r="AO1023" t="s">
        <v>62</v>
      </c>
      <c r="AP1023" t="str">
        <f t="shared" si="63"/>
        <v/>
      </c>
    </row>
    <row r="1024" spans="4:42" x14ac:dyDescent="0.35">
      <c r="D1024" s="21"/>
      <c r="E1024" s="21"/>
      <c r="L1024" s="22"/>
      <c r="S1024">
        <f t="shared" si="60"/>
        <v>0</v>
      </c>
      <c r="T1024" s="5" t="e" cm="1">
        <f t="array" ref="T10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4" t="e">
        <f>Table1[[#This Row],[Term to Maturity (Years)]]*Table1[[#This Row],[Coupon Frequency2]]</f>
        <v>#N/A</v>
      </c>
      <c r="V1024">
        <f>Table1[[#This Row],[Face value]]*Table1[[#This Row],[Current coupon %]]</f>
        <v>0</v>
      </c>
      <c r="W1024" s="36" t="e">
        <f>RATE(Table1[[#This Row],[Total No. of Coupons]],Table1[[#This Row],[Coupon Amount]],-Table1[[#This Row],[Ask Price]],Table1[[#This Row],[Face value]])</f>
        <v>#N/A</v>
      </c>
      <c r="X1024" s="27" t="e">
        <f>Table1[[#This Row],[IRR]]*Table1[[#This Row],[Coupon Frequency2]]</f>
        <v>#N/A</v>
      </c>
      <c r="Y1024" s="19" t="e" cm="1">
        <f t="array" ref="Y10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4" s="33" t="e">
        <f>DURATION(Table1[[#This Row],[Issue date]],Table1[[#This Row],[Maturity date]],Table1[[#This Row],[Current coupon %]],Table1[[#This Row],[Yield (Annualised)]],Table1[[#This Row],[Coupon Frequency2]])</f>
        <v>#N/A</v>
      </c>
      <c r="AA1024" s="33" t="e">
        <f>Table1[[#This Row],[Macaulay Duration in Years]]/(1+Table1[[#This Row],[IRR]])</f>
        <v>#N/A</v>
      </c>
      <c r="AB1024" s="58" t="e">
        <f>VLOOKUP(Table1[[#This Row],[Yield Cluster]],'Cluster Details'!$B$3:$C$16,2,0)</f>
        <v>#N/A</v>
      </c>
      <c r="AC102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4" s="58" t="e">
        <f>IF(Table1[[#This Row],[Ask Price]]&gt;Table1[[#This Row],[Calculated Bond Price]],"Rich","Cheap")</f>
        <v>#N/A</v>
      </c>
      <c r="AE102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4" s="78" t="e">
        <f>(Table1[[#This Row],[P (+ shock)]]+Table1[[#This Row],[P (-shock)]]-2*Table1[[#This Row],[Ask Price]])/(2*Table1[[#This Row],[Ask Price]]*($AF$2^2))</f>
        <v>#N/A</v>
      </c>
      <c r="AH1024">
        <v>5.3131113506607504</v>
      </c>
      <c r="AI1024" s="6" t="e">
        <f t="shared" si="61"/>
        <v>#DIV/0!</v>
      </c>
      <c r="AK1024" s="47" t="e">
        <f>RATE(Table1[[#This Row],[Total No. of Coupons]],Table1[[#This Row],[Coupon Amount]],-Table1[[#This Row],[Ask Price]],Table1[[#This Row],[Face value]])</f>
        <v>#N/A</v>
      </c>
      <c r="AL1024" s="27" t="e">
        <f>Table1[[#This Row],[IRR]]*Table1[[#This Row],[Coupon Frequency2]]</f>
        <v>#N/A</v>
      </c>
      <c r="AM1024" s="5" t="e">
        <f t="shared" si="62"/>
        <v>#N/A</v>
      </c>
      <c r="AN1024" t="s">
        <v>64</v>
      </c>
      <c r="AO1024" t="s">
        <v>62</v>
      </c>
      <c r="AP1024" t="str">
        <f t="shared" si="63"/>
        <v/>
      </c>
    </row>
    <row r="1025" spans="4:42" x14ac:dyDescent="0.35">
      <c r="D1025" s="21"/>
      <c r="E1025" s="21"/>
      <c r="L1025" s="22"/>
      <c r="S1025">
        <f t="shared" si="60"/>
        <v>0</v>
      </c>
      <c r="T1025" s="5" t="e" cm="1">
        <f t="array" ref="T10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5" t="e">
        <f>Table1[[#This Row],[Term to Maturity (Years)]]*Table1[[#This Row],[Coupon Frequency2]]</f>
        <v>#N/A</v>
      </c>
      <c r="V1025">
        <f>Table1[[#This Row],[Face value]]*Table1[[#This Row],[Current coupon %]]</f>
        <v>0</v>
      </c>
      <c r="W1025" s="36" t="e">
        <f>RATE(Table1[[#This Row],[Total No. of Coupons]],Table1[[#This Row],[Coupon Amount]],-Table1[[#This Row],[Ask Price]],Table1[[#This Row],[Face value]])</f>
        <v>#N/A</v>
      </c>
      <c r="X1025" s="27" t="e">
        <f>Table1[[#This Row],[IRR]]*Table1[[#This Row],[Coupon Frequency2]]</f>
        <v>#N/A</v>
      </c>
      <c r="Y1025" s="19" t="e" cm="1">
        <f t="array" ref="Y10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5" s="33" t="e">
        <f>DURATION(Table1[[#This Row],[Issue date]],Table1[[#This Row],[Maturity date]],Table1[[#This Row],[Current coupon %]],Table1[[#This Row],[Yield (Annualised)]],Table1[[#This Row],[Coupon Frequency2]])</f>
        <v>#N/A</v>
      </c>
      <c r="AA1025" s="33" t="e">
        <f>Table1[[#This Row],[Macaulay Duration in Years]]/(1+Table1[[#This Row],[IRR]])</f>
        <v>#N/A</v>
      </c>
      <c r="AB1025" s="58" t="e">
        <f>VLOOKUP(Table1[[#This Row],[Yield Cluster]],'Cluster Details'!$B$3:$C$16,2,0)</f>
        <v>#N/A</v>
      </c>
      <c r="AC102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5" s="58" t="e">
        <f>IF(Table1[[#This Row],[Ask Price]]&gt;Table1[[#This Row],[Calculated Bond Price]],"Rich","Cheap")</f>
        <v>#N/A</v>
      </c>
      <c r="AE102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5" s="78" t="e">
        <f>(Table1[[#This Row],[P (+ shock)]]+Table1[[#This Row],[P (-shock)]]-2*Table1[[#This Row],[Ask Price]])/(2*Table1[[#This Row],[Ask Price]]*($AF$2^2))</f>
        <v>#N/A</v>
      </c>
      <c r="AH1025">
        <v>3.9162424076359699</v>
      </c>
      <c r="AI1025" s="6" t="e">
        <f t="shared" si="61"/>
        <v>#DIV/0!</v>
      </c>
      <c r="AK1025" s="47" t="e">
        <f>RATE(Table1[[#This Row],[Total No. of Coupons]],Table1[[#This Row],[Coupon Amount]],-Table1[[#This Row],[Ask Price]],Table1[[#This Row],[Face value]])</f>
        <v>#N/A</v>
      </c>
      <c r="AL1025" s="27" t="e">
        <f>Table1[[#This Row],[IRR]]*Table1[[#This Row],[Coupon Frequency2]]</f>
        <v>#N/A</v>
      </c>
      <c r="AM1025" s="5" t="e">
        <f t="shared" si="62"/>
        <v>#N/A</v>
      </c>
      <c r="AN1025" t="s">
        <v>64</v>
      </c>
      <c r="AO1025" t="s">
        <v>62</v>
      </c>
      <c r="AP1025" t="str">
        <f t="shared" si="63"/>
        <v/>
      </c>
    </row>
    <row r="1026" spans="4:42" x14ac:dyDescent="0.35">
      <c r="D1026" s="21"/>
      <c r="E1026" s="21"/>
      <c r="L1026" s="22"/>
      <c r="S1026">
        <f t="shared" si="60"/>
        <v>0</v>
      </c>
      <c r="T1026" s="5" t="e" cm="1">
        <f t="array" ref="T10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6" t="e">
        <f>Table1[[#This Row],[Term to Maturity (Years)]]*Table1[[#This Row],[Coupon Frequency2]]</f>
        <v>#N/A</v>
      </c>
      <c r="V1026">
        <f>Table1[[#This Row],[Face value]]*Table1[[#This Row],[Current coupon %]]</f>
        <v>0</v>
      </c>
      <c r="W1026" s="36" t="e">
        <f>RATE(Table1[[#This Row],[Total No. of Coupons]],Table1[[#This Row],[Coupon Amount]],-Table1[[#This Row],[Ask Price]],Table1[[#This Row],[Face value]])</f>
        <v>#N/A</v>
      </c>
      <c r="X1026" s="27" t="e">
        <f>Table1[[#This Row],[IRR]]*Table1[[#This Row],[Coupon Frequency2]]</f>
        <v>#N/A</v>
      </c>
      <c r="Y1026" s="19" t="e" cm="1">
        <f t="array" ref="Y10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6" s="33" t="e">
        <f>DURATION(Table1[[#This Row],[Issue date]],Table1[[#This Row],[Maturity date]],Table1[[#This Row],[Current coupon %]],Table1[[#This Row],[Yield (Annualised)]],Table1[[#This Row],[Coupon Frequency2]])</f>
        <v>#N/A</v>
      </c>
      <c r="AA1026" s="33" t="e">
        <f>Table1[[#This Row],[Macaulay Duration in Years]]/(1+Table1[[#This Row],[IRR]])</f>
        <v>#N/A</v>
      </c>
      <c r="AB1026" s="58" t="e">
        <f>VLOOKUP(Table1[[#This Row],[Yield Cluster]],'Cluster Details'!$B$3:$C$16,2,0)</f>
        <v>#N/A</v>
      </c>
      <c r="AC102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6" s="58" t="e">
        <f>IF(Table1[[#This Row],[Ask Price]]&gt;Table1[[#This Row],[Calculated Bond Price]],"Rich","Cheap")</f>
        <v>#N/A</v>
      </c>
      <c r="AE102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6" s="78" t="e">
        <f>(Table1[[#This Row],[P (+ shock)]]+Table1[[#This Row],[P (-shock)]]-2*Table1[[#This Row],[Ask Price]])/(2*Table1[[#This Row],[Ask Price]]*($AF$2^2))</f>
        <v>#N/A</v>
      </c>
      <c r="AH1026">
        <v>7.0814459238170198</v>
      </c>
      <c r="AI1026" s="6" t="e">
        <f t="shared" si="61"/>
        <v>#DIV/0!</v>
      </c>
      <c r="AK1026" s="47" t="e">
        <f>RATE(Table1[[#This Row],[Total No. of Coupons]],Table1[[#This Row],[Coupon Amount]],-Table1[[#This Row],[Ask Price]],Table1[[#This Row],[Face value]])</f>
        <v>#N/A</v>
      </c>
      <c r="AL1026" s="27" t="e">
        <f>Table1[[#This Row],[IRR]]*Table1[[#This Row],[Coupon Frequency2]]</f>
        <v>#N/A</v>
      </c>
      <c r="AM1026" s="5" t="e">
        <f t="shared" si="62"/>
        <v>#N/A</v>
      </c>
      <c r="AN1026" t="s">
        <v>64</v>
      </c>
      <c r="AO1026" t="s">
        <v>62</v>
      </c>
      <c r="AP1026" t="str">
        <f t="shared" si="63"/>
        <v/>
      </c>
    </row>
    <row r="1027" spans="4:42" x14ac:dyDescent="0.35">
      <c r="D1027" s="21"/>
      <c r="E1027" s="21"/>
      <c r="L1027" s="22"/>
      <c r="S1027">
        <f t="shared" si="60"/>
        <v>0</v>
      </c>
      <c r="T1027" s="5" t="e" cm="1">
        <f t="array" ref="T10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7" t="e">
        <f>Table1[[#This Row],[Term to Maturity (Years)]]*Table1[[#This Row],[Coupon Frequency2]]</f>
        <v>#N/A</v>
      </c>
      <c r="V1027">
        <f>Table1[[#This Row],[Face value]]*Table1[[#This Row],[Current coupon %]]</f>
        <v>0</v>
      </c>
      <c r="W1027" s="36" t="e">
        <f>RATE(Table1[[#This Row],[Total No. of Coupons]],Table1[[#This Row],[Coupon Amount]],-Table1[[#This Row],[Ask Price]],Table1[[#This Row],[Face value]])</f>
        <v>#N/A</v>
      </c>
      <c r="X1027" s="27" t="e">
        <f>Table1[[#This Row],[IRR]]*Table1[[#This Row],[Coupon Frequency2]]</f>
        <v>#N/A</v>
      </c>
      <c r="Y1027" s="19" t="e" cm="1">
        <f t="array" ref="Y10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7" s="33" t="e">
        <f>DURATION(Table1[[#This Row],[Issue date]],Table1[[#This Row],[Maturity date]],Table1[[#This Row],[Current coupon %]],Table1[[#This Row],[Yield (Annualised)]],Table1[[#This Row],[Coupon Frequency2]])</f>
        <v>#N/A</v>
      </c>
      <c r="AA1027" s="33" t="e">
        <f>Table1[[#This Row],[Macaulay Duration in Years]]/(1+Table1[[#This Row],[IRR]])</f>
        <v>#N/A</v>
      </c>
      <c r="AB1027" s="58" t="e">
        <f>VLOOKUP(Table1[[#This Row],[Yield Cluster]],'Cluster Details'!$B$3:$C$16,2,0)</f>
        <v>#N/A</v>
      </c>
      <c r="AC102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7" s="58" t="e">
        <f>IF(Table1[[#This Row],[Ask Price]]&gt;Table1[[#This Row],[Calculated Bond Price]],"Rich","Cheap")</f>
        <v>#N/A</v>
      </c>
      <c r="AE102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7" s="78" t="e">
        <f>(Table1[[#This Row],[P (+ shock)]]+Table1[[#This Row],[P (-shock)]]-2*Table1[[#This Row],[Ask Price]])/(2*Table1[[#This Row],[Ask Price]]*($AF$2^2))</f>
        <v>#N/A</v>
      </c>
      <c r="AH1027">
        <v>8.6209205943995304</v>
      </c>
      <c r="AI1027" s="6" t="e">
        <f t="shared" si="61"/>
        <v>#DIV/0!</v>
      </c>
      <c r="AK1027" s="47" t="e">
        <f>RATE(Table1[[#This Row],[Total No. of Coupons]],Table1[[#This Row],[Coupon Amount]],-Table1[[#This Row],[Ask Price]],Table1[[#This Row],[Face value]])</f>
        <v>#N/A</v>
      </c>
      <c r="AL1027" s="27" t="e">
        <f>Table1[[#This Row],[IRR]]*Table1[[#This Row],[Coupon Frequency2]]</f>
        <v>#N/A</v>
      </c>
      <c r="AM1027" s="5" t="e">
        <f t="shared" si="62"/>
        <v>#N/A</v>
      </c>
      <c r="AN1027" t="s">
        <v>64</v>
      </c>
      <c r="AO1027" t="s">
        <v>62</v>
      </c>
      <c r="AP1027" t="str">
        <f t="shared" si="63"/>
        <v/>
      </c>
    </row>
    <row r="1028" spans="4:42" x14ac:dyDescent="0.35">
      <c r="D1028" s="21"/>
      <c r="E1028" s="21"/>
      <c r="L1028" s="22"/>
      <c r="S1028">
        <f t="shared" ref="S1028:S1091" si="64">ROUND(YEARFRAC(D1028,E1028),0)</f>
        <v>0</v>
      </c>
      <c r="T1028" s="5" t="e" cm="1">
        <f t="array" ref="T10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8" t="e">
        <f>Table1[[#This Row],[Term to Maturity (Years)]]*Table1[[#This Row],[Coupon Frequency2]]</f>
        <v>#N/A</v>
      </c>
      <c r="V1028">
        <f>Table1[[#This Row],[Face value]]*Table1[[#This Row],[Current coupon %]]</f>
        <v>0</v>
      </c>
      <c r="W1028" s="36" t="e">
        <f>RATE(Table1[[#This Row],[Total No. of Coupons]],Table1[[#This Row],[Coupon Amount]],-Table1[[#This Row],[Ask Price]],Table1[[#This Row],[Face value]])</f>
        <v>#N/A</v>
      </c>
      <c r="X1028" s="27" t="e">
        <f>Table1[[#This Row],[IRR]]*Table1[[#This Row],[Coupon Frequency2]]</f>
        <v>#N/A</v>
      </c>
      <c r="Y1028" s="19" t="e" cm="1">
        <f t="array" ref="Y10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8" s="33" t="e">
        <f>DURATION(Table1[[#This Row],[Issue date]],Table1[[#This Row],[Maturity date]],Table1[[#This Row],[Current coupon %]],Table1[[#This Row],[Yield (Annualised)]],Table1[[#This Row],[Coupon Frequency2]])</f>
        <v>#N/A</v>
      </c>
      <c r="AA1028" s="33" t="e">
        <f>Table1[[#This Row],[Macaulay Duration in Years]]/(1+Table1[[#This Row],[IRR]])</f>
        <v>#N/A</v>
      </c>
      <c r="AB1028" s="58" t="e">
        <f>VLOOKUP(Table1[[#This Row],[Yield Cluster]],'Cluster Details'!$B$3:$C$16,2,0)</f>
        <v>#N/A</v>
      </c>
      <c r="AC102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8" s="58" t="e">
        <f>IF(Table1[[#This Row],[Ask Price]]&gt;Table1[[#This Row],[Calculated Bond Price]],"Rich","Cheap")</f>
        <v>#N/A</v>
      </c>
      <c r="AE102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8" s="78" t="e">
        <f>(Table1[[#This Row],[P (+ shock)]]+Table1[[#This Row],[P (-shock)]]-2*Table1[[#This Row],[Ask Price]])/(2*Table1[[#This Row],[Ask Price]]*($AF$2^2))</f>
        <v>#N/A</v>
      </c>
      <c r="AH1028">
        <v>9.8263738043297106</v>
      </c>
      <c r="AI1028" s="6" t="e">
        <f t="shared" ref="AI1028:AI1091" si="65">(L1028*F1028)/H1028</f>
        <v>#DIV/0!</v>
      </c>
      <c r="AK1028" s="47" t="e">
        <f>RATE(Table1[[#This Row],[Total No. of Coupons]],Table1[[#This Row],[Coupon Amount]],-Table1[[#This Row],[Ask Price]],Table1[[#This Row],[Face value]])</f>
        <v>#N/A</v>
      </c>
      <c r="AL1028" s="27" t="e">
        <f>Table1[[#This Row],[IRR]]*Table1[[#This Row],[Coupon Frequency2]]</f>
        <v>#N/A</v>
      </c>
      <c r="AM1028" s="5" t="e">
        <f t="shared" ref="AM1028:AM1091" si="66">-AA1028*H1028</f>
        <v>#N/A</v>
      </c>
      <c r="AN1028" t="s">
        <v>64</v>
      </c>
      <c r="AO1028" t="s">
        <v>62</v>
      </c>
      <c r="AP1028" t="str">
        <f t="shared" ref="AP1028:AP1091" si="67">_xlfn.SWITCH(PROPER(TRIM(M1028)),
   "Annual",1,
   "Semi-Annual",2,
   "Quarterly",4,
   "Monthly",12,
   "")</f>
        <v/>
      </c>
    </row>
    <row r="1029" spans="4:42" x14ac:dyDescent="0.35">
      <c r="D1029" s="21"/>
      <c r="E1029" s="21"/>
      <c r="L1029" s="22"/>
      <c r="S1029">
        <f t="shared" si="64"/>
        <v>0</v>
      </c>
      <c r="T1029" s="5" t="e" cm="1">
        <f t="array" ref="T10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29" t="e">
        <f>Table1[[#This Row],[Term to Maturity (Years)]]*Table1[[#This Row],[Coupon Frequency2]]</f>
        <v>#N/A</v>
      </c>
      <c r="V1029">
        <f>Table1[[#This Row],[Face value]]*Table1[[#This Row],[Current coupon %]]</f>
        <v>0</v>
      </c>
      <c r="W1029" s="36" t="e">
        <f>RATE(Table1[[#This Row],[Total No. of Coupons]],Table1[[#This Row],[Coupon Amount]],-Table1[[#This Row],[Ask Price]],Table1[[#This Row],[Face value]])</f>
        <v>#N/A</v>
      </c>
      <c r="X1029" s="27" t="e">
        <f>Table1[[#This Row],[IRR]]*Table1[[#This Row],[Coupon Frequency2]]</f>
        <v>#N/A</v>
      </c>
      <c r="Y1029" s="19" t="e" cm="1">
        <f t="array" ref="Y10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29" s="33" t="e">
        <f>DURATION(Table1[[#This Row],[Issue date]],Table1[[#This Row],[Maturity date]],Table1[[#This Row],[Current coupon %]],Table1[[#This Row],[Yield (Annualised)]],Table1[[#This Row],[Coupon Frequency2]])</f>
        <v>#N/A</v>
      </c>
      <c r="AA1029" s="33" t="e">
        <f>Table1[[#This Row],[Macaulay Duration in Years]]/(1+Table1[[#This Row],[IRR]])</f>
        <v>#N/A</v>
      </c>
      <c r="AB1029" s="58" t="e">
        <f>VLOOKUP(Table1[[#This Row],[Yield Cluster]],'Cluster Details'!$B$3:$C$16,2,0)</f>
        <v>#N/A</v>
      </c>
      <c r="AC102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29" s="58" t="e">
        <f>IF(Table1[[#This Row],[Ask Price]]&gt;Table1[[#This Row],[Calculated Bond Price]],"Rich","Cheap")</f>
        <v>#N/A</v>
      </c>
      <c r="AE102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2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29" s="78" t="e">
        <f>(Table1[[#This Row],[P (+ shock)]]+Table1[[#This Row],[P (-shock)]]-2*Table1[[#This Row],[Ask Price]])/(2*Table1[[#This Row],[Ask Price]]*($AF$2^2))</f>
        <v>#N/A</v>
      </c>
      <c r="AH1029">
        <v>9.9092001293840397</v>
      </c>
      <c r="AI1029" s="6" t="e">
        <f t="shared" si="65"/>
        <v>#DIV/0!</v>
      </c>
      <c r="AK1029" s="47" t="e">
        <f>RATE(Table1[[#This Row],[Total No. of Coupons]],Table1[[#This Row],[Coupon Amount]],-Table1[[#This Row],[Ask Price]],Table1[[#This Row],[Face value]])</f>
        <v>#N/A</v>
      </c>
      <c r="AL1029" s="27" t="e">
        <f>Table1[[#This Row],[IRR]]*Table1[[#This Row],[Coupon Frequency2]]</f>
        <v>#N/A</v>
      </c>
      <c r="AM1029" s="5" t="e">
        <f t="shared" si="66"/>
        <v>#N/A</v>
      </c>
      <c r="AN1029" t="s">
        <v>64</v>
      </c>
      <c r="AO1029" t="s">
        <v>62</v>
      </c>
      <c r="AP1029" t="str">
        <f t="shared" si="67"/>
        <v/>
      </c>
    </row>
    <row r="1030" spans="4:42" x14ac:dyDescent="0.35">
      <c r="D1030" s="21"/>
      <c r="E1030" s="21"/>
      <c r="L1030" s="22"/>
      <c r="S1030">
        <f t="shared" si="64"/>
        <v>0</v>
      </c>
      <c r="T1030" s="5" t="e" cm="1">
        <f t="array" ref="T10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0" t="e">
        <f>Table1[[#This Row],[Term to Maturity (Years)]]*Table1[[#This Row],[Coupon Frequency2]]</f>
        <v>#N/A</v>
      </c>
      <c r="V1030">
        <f>Table1[[#This Row],[Face value]]*Table1[[#This Row],[Current coupon %]]</f>
        <v>0</v>
      </c>
      <c r="W1030" s="36" t="e">
        <f>RATE(Table1[[#This Row],[Total No. of Coupons]],Table1[[#This Row],[Coupon Amount]],-Table1[[#This Row],[Ask Price]],Table1[[#This Row],[Face value]])</f>
        <v>#N/A</v>
      </c>
      <c r="X1030" s="27" t="e">
        <f>Table1[[#This Row],[IRR]]*Table1[[#This Row],[Coupon Frequency2]]</f>
        <v>#N/A</v>
      </c>
      <c r="Y1030" s="19" t="e" cm="1">
        <f t="array" ref="Y10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0" s="33" t="e">
        <f>DURATION(Table1[[#This Row],[Issue date]],Table1[[#This Row],[Maturity date]],Table1[[#This Row],[Current coupon %]],Table1[[#This Row],[Yield (Annualised)]],Table1[[#This Row],[Coupon Frequency2]])</f>
        <v>#N/A</v>
      </c>
      <c r="AA1030" s="33" t="e">
        <f>Table1[[#This Row],[Macaulay Duration in Years]]/(1+Table1[[#This Row],[IRR]])</f>
        <v>#N/A</v>
      </c>
      <c r="AB1030" s="58" t="e">
        <f>VLOOKUP(Table1[[#This Row],[Yield Cluster]],'Cluster Details'!$B$3:$C$16,2,0)</f>
        <v>#N/A</v>
      </c>
      <c r="AC103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0" s="58" t="e">
        <f>IF(Table1[[#This Row],[Ask Price]]&gt;Table1[[#This Row],[Calculated Bond Price]],"Rich","Cheap")</f>
        <v>#N/A</v>
      </c>
      <c r="AE103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0" s="78" t="e">
        <f>(Table1[[#This Row],[P (+ shock)]]+Table1[[#This Row],[P (-shock)]]-2*Table1[[#This Row],[Ask Price]])/(2*Table1[[#This Row],[Ask Price]]*($AF$2^2))</f>
        <v>#N/A</v>
      </c>
      <c r="AH1030">
        <v>10.8873684531519</v>
      </c>
      <c r="AI1030" s="6" t="e">
        <f t="shared" si="65"/>
        <v>#DIV/0!</v>
      </c>
      <c r="AK1030" s="47" t="e">
        <f>RATE(Table1[[#This Row],[Total No. of Coupons]],Table1[[#This Row],[Coupon Amount]],-Table1[[#This Row],[Ask Price]],Table1[[#This Row],[Face value]])</f>
        <v>#N/A</v>
      </c>
      <c r="AL1030" s="27" t="e">
        <f>Table1[[#This Row],[IRR]]*Table1[[#This Row],[Coupon Frequency2]]</f>
        <v>#N/A</v>
      </c>
      <c r="AM1030" s="5" t="e">
        <f t="shared" si="66"/>
        <v>#N/A</v>
      </c>
      <c r="AN1030" t="s">
        <v>64</v>
      </c>
      <c r="AO1030" t="s">
        <v>62</v>
      </c>
      <c r="AP1030" t="str">
        <f t="shared" si="67"/>
        <v/>
      </c>
    </row>
    <row r="1031" spans="4:42" x14ac:dyDescent="0.35">
      <c r="D1031" s="21"/>
      <c r="E1031" s="21"/>
      <c r="L1031" s="22"/>
      <c r="S1031">
        <f t="shared" si="64"/>
        <v>0</v>
      </c>
      <c r="T1031" s="5" t="e" cm="1">
        <f t="array" ref="T10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1" t="e">
        <f>Table1[[#This Row],[Term to Maturity (Years)]]*Table1[[#This Row],[Coupon Frequency2]]</f>
        <v>#N/A</v>
      </c>
      <c r="V1031">
        <f>Table1[[#This Row],[Face value]]*Table1[[#This Row],[Current coupon %]]</f>
        <v>0</v>
      </c>
      <c r="W1031" s="36" t="e">
        <f>RATE(Table1[[#This Row],[Total No. of Coupons]],Table1[[#This Row],[Coupon Amount]],-Table1[[#This Row],[Ask Price]],Table1[[#This Row],[Face value]])</f>
        <v>#N/A</v>
      </c>
      <c r="X1031" s="27" t="e">
        <f>Table1[[#This Row],[IRR]]*Table1[[#This Row],[Coupon Frequency2]]</f>
        <v>#N/A</v>
      </c>
      <c r="Y1031" s="19" t="e" cm="1">
        <f t="array" ref="Y10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1" s="33" t="e">
        <f>DURATION(Table1[[#This Row],[Issue date]],Table1[[#This Row],[Maturity date]],Table1[[#This Row],[Current coupon %]],Table1[[#This Row],[Yield (Annualised)]],Table1[[#This Row],[Coupon Frequency2]])</f>
        <v>#N/A</v>
      </c>
      <c r="AA1031" s="33" t="e">
        <f>Table1[[#This Row],[Macaulay Duration in Years]]/(1+Table1[[#This Row],[IRR]])</f>
        <v>#N/A</v>
      </c>
      <c r="AB1031" s="58" t="e">
        <f>VLOOKUP(Table1[[#This Row],[Yield Cluster]],'Cluster Details'!$B$3:$C$16,2,0)</f>
        <v>#N/A</v>
      </c>
      <c r="AC103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1" s="58" t="e">
        <f>IF(Table1[[#This Row],[Ask Price]]&gt;Table1[[#This Row],[Calculated Bond Price]],"Rich","Cheap")</f>
        <v>#N/A</v>
      </c>
      <c r="AE103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1" s="78" t="e">
        <f>(Table1[[#This Row],[P (+ shock)]]+Table1[[#This Row],[P (-shock)]]-2*Table1[[#This Row],[Ask Price]])/(2*Table1[[#This Row],[Ask Price]]*($AF$2^2))</f>
        <v>#N/A</v>
      </c>
      <c r="AH1031">
        <v>6.5910624034224297</v>
      </c>
      <c r="AI1031" s="6" t="e">
        <f t="shared" si="65"/>
        <v>#DIV/0!</v>
      </c>
      <c r="AK1031" s="47" t="e">
        <f>RATE(Table1[[#This Row],[Total No. of Coupons]],Table1[[#This Row],[Coupon Amount]],-Table1[[#This Row],[Ask Price]],Table1[[#This Row],[Face value]])</f>
        <v>#N/A</v>
      </c>
      <c r="AL1031" s="27" t="e">
        <f>Table1[[#This Row],[IRR]]*Table1[[#This Row],[Coupon Frequency2]]</f>
        <v>#N/A</v>
      </c>
      <c r="AM1031" s="5" t="e">
        <f t="shared" si="66"/>
        <v>#N/A</v>
      </c>
      <c r="AN1031" t="s">
        <v>64</v>
      </c>
      <c r="AO1031" t="s">
        <v>62</v>
      </c>
      <c r="AP1031" t="str">
        <f t="shared" si="67"/>
        <v/>
      </c>
    </row>
    <row r="1032" spans="4:42" x14ac:dyDescent="0.35">
      <c r="D1032" s="21"/>
      <c r="E1032" s="21"/>
      <c r="L1032" s="22"/>
      <c r="S1032">
        <f t="shared" si="64"/>
        <v>0</v>
      </c>
      <c r="T1032" s="5" t="e" cm="1">
        <f t="array" ref="T10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2" t="e">
        <f>Table1[[#This Row],[Term to Maturity (Years)]]*Table1[[#This Row],[Coupon Frequency2]]</f>
        <v>#N/A</v>
      </c>
      <c r="V1032">
        <f>Table1[[#This Row],[Face value]]*Table1[[#This Row],[Current coupon %]]</f>
        <v>0</v>
      </c>
      <c r="W1032" s="36" t="e">
        <f>RATE(Table1[[#This Row],[Total No. of Coupons]],Table1[[#This Row],[Coupon Amount]],-Table1[[#This Row],[Ask Price]],Table1[[#This Row],[Face value]])</f>
        <v>#N/A</v>
      </c>
      <c r="X1032" s="27" t="e">
        <f>Table1[[#This Row],[IRR]]*Table1[[#This Row],[Coupon Frequency2]]</f>
        <v>#N/A</v>
      </c>
      <c r="Y1032" s="19" t="e" cm="1">
        <f t="array" ref="Y10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2" s="33" t="e">
        <f>DURATION(Table1[[#This Row],[Issue date]],Table1[[#This Row],[Maturity date]],Table1[[#This Row],[Current coupon %]],Table1[[#This Row],[Yield (Annualised)]],Table1[[#This Row],[Coupon Frequency2]])</f>
        <v>#N/A</v>
      </c>
      <c r="AA1032" s="33" t="e">
        <f>Table1[[#This Row],[Macaulay Duration in Years]]/(1+Table1[[#This Row],[IRR]])</f>
        <v>#N/A</v>
      </c>
      <c r="AB1032" s="58" t="e">
        <f>VLOOKUP(Table1[[#This Row],[Yield Cluster]],'Cluster Details'!$B$3:$C$16,2,0)</f>
        <v>#N/A</v>
      </c>
      <c r="AC103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2" s="58" t="e">
        <f>IF(Table1[[#This Row],[Ask Price]]&gt;Table1[[#This Row],[Calculated Bond Price]],"Rich","Cheap")</f>
        <v>#N/A</v>
      </c>
      <c r="AE103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2" s="78" t="e">
        <f>(Table1[[#This Row],[P (+ shock)]]+Table1[[#This Row],[P (-shock)]]-2*Table1[[#This Row],[Ask Price]])/(2*Table1[[#This Row],[Ask Price]]*($AF$2^2))</f>
        <v>#N/A</v>
      </c>
      <c r="AI1032" s="6" t="e">
        <f t="shared" si="65"/>
        <v>#DIV/0!</v>
      </c>
      <c r="AK1032" s="47" t="e">
        <f>RATE(Table1[[#This Row],[Total No. of Coupons]],Table1[[#This Row],[Coupon Amount]],-Table1[[#This Row],[Ask Price]],Table1[[#This Row],[Face value]])</f>
        <v>#N/A</v>
      </c>
      <c r="AL1032" s="27" t="e">
        <f>Table1[[#This Row],[IRR]]*Table1[[#This Row],[Coupon Frequency2]]</f>
        <v>#N/A</v>
      </c>
      <c r="AM1032" s="5" t="e">
        <f t="shared" si="66"/>
        <v>#N/A</v>
      </c>
      <c r="AN1032" t="s">
        <v>64</v>
      </c>
      <c r="AO1032" t="s">
        <v>62</v>
      </c>
      <c r="AP1032" t="str">
        <f t="shared" si="67"/>
        <v/>
      </c>
    </row>
    <row r="1033" spans="4:42" x14ac:dyDescent="0.35">
      <c r="D1033" s="21"/>
      <c r="E1033" s="21"/>
      <c r="L1033" s="22"/>
      <c r="S1033">
        <f t="shared" si="64"/>
        <v>0</v>
      </c>
      <c r="T1033" s="5" t="e" cm="1">
        <f t="array" ref="T10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3" t="e">
        <f>Table1[[#This Row],[Term to Maturity (Years)]]*Table1[[#This Row],[Coupon Frequency2]]</f>
        <v>#N/A</v>
      </c>
      <c r="V1033">
        <f>Table1[[#This Row],[Face value]]*Table1[[#This Row],[Current coupon %]]</f>
        <v>0</v>
      </c>
      <c r="W1033" s="36" t="e">
        <f>RATE(Table1[[#This Row],[Total No. of Coupons]],Table1[[#This Row],[Coupon Amount]],-Table1[[#This Row],[Ask Price]],Table1[[#This Row],[Face value]])</f>
        <v>#N/A</v>
      </c>
      <c r="X1033" s="27" t="e">
        <f>Table1[[#This Row],[IRR]]*Table1[[#This Row],[Coupon Frequency2]]</f>
        <v>#N/A</v>
      </c>
      <c r="Y1033" s="19" t="e" cm="1">
        <f t="array" ref="Y10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3" s="33" t="e">
        <f>DURATION(Table1[[#This Row],[Issue date]],Table1[[#This Row],[Maturity date]],Table1[[#This Row],[Current coupon %]],Table1[[#This Row],[Yield (Annualised)]],Table1[[#This Row],[Coupon Frequency2]])</f>
        <v>#N/A</v>
      </c>
      <c r="AA1033" s="33" t="e">
        <f>Table1[[#This Row],[Macaulay Duration in Years]]/(1+Table1[[#This Row],[IRR]])</f>
        <v>#N/A</v>
      </c>
      <c r="AB1033" s="58" t="e">
        <f>VLOOKUP(Table1[[#This Row],[Yield Cluster]],'Cluster Details'!$B$3:$C$16,2,0)</f>
        <v>#N/A</v>
      </c>
      <c r="AC103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3" s="58" t="e">
        <f>IF(Table1[[#This Row],[Ask Price]]&gt;Table1[[#This Row],[Calculated Bond Price]],"Rich","Cheap")</f>
        <v>#N/A</v>
      </c>
      <c r="AE103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3" s="78" t="e">
        <f>(Table1[[#This Row],[P (+ shock)]]+Table1[[#This Row],[P (-shock)]]-2*Table1[[#This Row],[Ask Price]])/(2*Table1[[#This Row],[Ask Price]]*($AF$2^2))</f>
        <v>#N/A</v>
      </c>
      <c r="AH1033">
        <v>10.3160861456787</v>
      </c>
      <c r="AI1033" s="6" t="e">
        <f t="shared" si="65"/>
        <v>#DIV/0!</v>
      </c>
      <c r="AK1033" s="47" t="e">
        <f>RATE(Table1[[#This Row],[Total No. of Coupons]],Table1[[#This Row],[Coupon Amount]],-Table1[[#This Row],[Ask Price]],Table1[[#This Row],[Face value]])</f>
        <v>#N/A</v>
      </c>
      <c r="AL1033" s="27" t="e">
        <f>Table1[[#This Row],[IRR]]*Table1[[#This Row],[Coupon Frequency2]]</f>
        <v>#N/A</v>
      </c>
      <c r="AM1033" s="5" t="e">
        <f t="shared" si="66"/>
        <v>#N/A</v>
      </c>
      <c r="AN1033" t="s">
        <v>64</v>
      </c>
      <c r="AO1033" t="s">
        <v>62</v>
      </c>
      <c r="AP1033" t="str">
        <f t="shared" si="67"/>
        <v/>
      </c>
    </row>
    <row r="1034" spans="4:42" x14ac:dyDescent="0.35">
      <c r="D1034" s="21"/>
      <c r="E1034" s="21"/>
      <c r="L1034" s="22"/>
      <c r="S1034">
        <f t="shared" si="64"/>
        <v>0</v>
      </c>
      <c r="T1034" s="5" t="e" cm="1">
        <f t="array" ref="T10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4" t="e">
        <f>Table1[[#This Row],[Term to Maturity (Years)]]*Table1[[#This Row],[Coupon Frequency2]]</f>
        <v>#N/A</v>
      </c>
      <c r="V1034">
        <f>Table1[[#This Row],[Face value]]*Table1[[#This Row],[Current coupon %]]</f>
        <v>0</v>
      </c>
      <c r="W1034" s="36" t="e">
        <f>RATE(Table1[[#This Row],[Total No. of Coupons]],Table1[[#This Row],[Coupon Amount]],-Table1[[#This Row],[Ask Price]],Table1[[#This Row],[Face value]])</f>
        <v>#N/A</v>
      </c>
      <c r="X1034" s="27" t="e">
        <f>Table1[[#This Row],[IRR]]*Table1[[#This Row],[Coupon Frequency2]]</f>
        <v>#N/A</v>
      </c>
      <c r="Y1034" s="19" t="e" cm="1">
        <f t="array" ref="Y10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4" s="33" t="e">
        <f>DURATION(Table1[[#This Row],[Issue date]],Table1[[#This Row],[Maturity date]],Table1[[#This Row],[Current coupon %]],Table1[[#This Row],[Yield (Annualised)]],Table1[[#This Row],[Coupon Frequency2]])</f>
        <v>#N/A</v>
      </c>
      <c r="AA1034" s="33" t="e">
        <f>Table1[[#This Row],[Macaulay Duration in Years]]/(1+Table1[[#This Row],[IRR]])</f>
        <v>#N/A</v>
      </c>
      <c r="AB1034" s="58" t="e">
        <f>VLOOKUP(Table1[[#This Row],[Yield Cluster]],'Cluster Details'!$B$3:$C$16,2,0)</f>
        <v>#N/A</v>
      </c>
      <c r="AC103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4" s="58" t="e">
        <f>IF(Table1[[#This Row],[Ask Price]]&gt;Table1[[#This Row],[Calculated Bond Price]],"Rich","Cheap")</f>
        <v>#N/A</v>
      </c>
      <c r="AE103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4" s="78" t="e">
        <f>(Table1[[#This Row],[P (+ shock)]]+Table1[[#This Row],[P (-shock)]]-2*Table1[[#This Row],[Ask Price]])/(2*Table1[[#This Row],[Ask Price]]*($AF$2^2))</f>
        <v>#N/A</v>
      </c>
      <c r="AH1034">
        <v>13.7586533437826</v>
      </c>
      <c r="AI1034" s="6" t="e">
        <f t="shared" si="65"/>
        <v>#DIV/0!</v>
      </c>
      <c r="AK1034" s="47" t="e">
        <f>RATE(Table1[[#This Row],[Total No. of Coupons]],Table1[[#This Row],[Coupon Amount]],-Table1[[#This Row],[Ask Price]],Table1[[#This Row],[Face value]])</f>
        <v>#N/A</v>
      </c>
      <c r="AL1034" s="27" t="e">
        <f>Table1[[#This Row],[IRR]]*Table1[[#This Row],[Coupon Frequency2]]</f>
        <v>#N/A</v>
      </c>
      <c r="AM1034" s="5" t="e">
        <f t="shared" si="66"/>
        <v>#N/A</v>
      </c>
      <c r="AN1034" t="s">
        <v>64</v>
      </c>
      <c r="AO1034" t="s">
        <v>62</v>
      </c>
      <c r="AP1034" t="str">
        <f t="shared" si="67"/>
        <v/>
      </c>
    </row>
    <row r="1035" spans="4:42" x14ac:dyDescent="0.35">
      <c r="D1035" s="21"/>
      <c r="E1035" s="21"/>
      <c r="L1035" s="22"/>
      <c r="S1035">
        <f t="shared" si="64"/>
        <v>0</v>
      </c>
      <c r="T1035" s="5" t="e" cm="1">
        <f t="array" ref="T10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5" t="e">
        <f>Table1[[#This Row],[Term to Maturity (Years)]]*Table1[[#This Row],[Coupon Frequency2]]</f>
        <v>#N/A</v>
      </c>
      <c r="V1035">
        <f>Table1[[#This Row],[Face value]]*Table1[[#This Row],[Current coupon %]]</f>
        <v>0</v>
      </c>
      <c r="W1035" s="36" t="e">
        <f>RATE(Table1[[#This Row],[Total No. of Coupons]],Table1[[#This Row],[Coupon Amount]],-Table1[[#This Row],[Ask Price]],Table1[[#This Row],[Face value]])</f>
        <v>#N/A</v>
      </c>
      <c r="X1035" s="27" t="e">
        <f>Table1[[#This Row],[IRR]]*Table1[[#This Row],[Coupon Frequency2]]</f>
        <v>#N/A</v>
      </c>
      <c r="Y1035" s="19" t="e" cm="1">
        <f t="array" ref="Y10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5" s="33" t="e">
        <f>DURATION(Table1[[#This Row],[Issue date]],Table1[[#This Row],[Maturity date]],Table1[[#This Row],[Current coupon %]],Table1[[#This Row],[Yield (Annualised)]],Table1[[#This Row],[Coupon Frequency2]])</f>
        <v>#N/A</v>
      </c>
      <c r="AA1035" s="33" t="e">
        <f>Table1[[#This Row],[Macaulay Duration in Years]]/(1+Table1[[#This Row],[IRR]])</f>
        <v>#N/A</v>
      </c>
      <c r="AB1035" s="58" t="e">
        <f>VLOOKUP(Table1[[#This Row],[Yield Cluster]],'Cluster Details'!$B$3:$C$16,2,0)</f>
        <v>#N/A</v>
      </c>
      <c r="AC103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5" s="58" t="e">
        <f>IF(Table1[[#This Row],[Ask Price]]&gt;Table1[[#This Row],[Calculated Bond Price]],"Rich","Cheap")</f>
        <v>#N/A</v>
      </c>
      <c r="AE103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5" s="78" t="e">
        <f>(Table1[[#This Row],[P (+ shock)]]+Table1[[#This Row],[P (-shock)]]-2*Table1[[#This Row],[Ask Price]])/(2*Table1[[#This Row],[Ask Price]]*($AF$2^2))</f>
        <v>#N/A</v>
      </c>
      <c r="AH1035">
        <v>9.3877262355523197</v>
      </c>
      <c r="AI1035" s="6" t="e">
        <f t="shared" si="65"/>
        <v>#DIV/0!</v>
      </c>
      <c r="AK1035" s="47" t="e">
        <f>RATE(Table1[[#This Row],[Total No. of Coupons]],Table1[[#This Row],[Coupon Amount]],-Table1[[#This Row],[Ask Price]],Table1[[#This Row],[Face value]])</f>
        <v>#N/A</v>
      </c>
      <c r="AL1035" s="27" t="e">
        <f>Table1[[#This Row],[IRR]]*Table1[[#This Row],[Coupon Frequency2]]</f>
        <v>#N/A</v>
      </c>
      <c r="AM1035" s="5" t="e">
        <f t="shared" si="66"/>
        <v>#N/A</v>
      </c>
      <c r="AN1035" t="s">
        <v>64</v>
      </c>
      <c r="AO1035" t="s">
        <v>62</v>
      </c>
      <c r="AP1035" t="str">
        <f t="shared" si="67"/>
        <v/>
      </c>
    </row>
    <row r="1036" spans="4:42" x14ac:dyDescent="0.35">
      <c r="D1036" s="21"/>
      <c r="E1036" s="21"/>
      <c r="L1036" s="22"/>
      <c r="S1036">
        <f t="shared" si="64"/>
        <v>0</v>
      </c>
      <c r="T1036" s="5" t="e" cm="1">
        <f t="array" ref="T10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6" t="e">
        <f>Table1[[#This Row],[Term to Maturity (Years)]]*Table1[[#This Row],[Coupon Frequency2]]</f>
        <v>#N/A</v>
      </c>
      <c r="V1036">
        <f>Table1[[#This Row],[Face value]]*Table1[[#This Row],[Current coupon %]]</f>
        <v>0</v>
      </c>
      <c r="W1036" s="36" t="e">
        <f>RATE(Table1[[#This Row],[Total No. of Coupons]],Table1[[#This Row],[Coupon Amount]],-Table1[[#This Row],[Ask Price]],Table1[[#This Row],[Face value]])</f>
        <v>#N/A</v>
      </c>
      <c r="X1036" s="27" t="e">
        <f>Table1[[#This Row],[IRR]]*Table1[[#This Row],[Coupon Frequency2]]</f>
        <v>#N/A</v>
      </c>
      <c r="Y1036" s="19" t="e" cm="1">
        <f t="array" ref="Y10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6" s="33" t="e">
        <f>DURATION(Table1[[#This Row],[Issue date]],Table1[[#This Row],[Maturity date]],Table1[[#This Row],[Current coupon %]],Table1[[#This Row],[Yield (Annualised)]],Table1[[#This Row],[Coupon Frequency2]])</f>
        <v>#N/A</v>
      </c>
      <c r="AA1036" s="33" t="e">
        <f>Table1[[#This Row],[Macaulay Duration in Years]]/(1+Table1[[#This Row],[IRR]])</f>
        <v>#N/A</v>
      </c>
      <c r="AB1036" s="58" t="e">
        <f>VLOOKUP(Table1[[#This Row],[Yield Cluster]],'Cluster Details'!$B$3:$C$16,2,0)</f>
        <v>#N/A</v>
      </c>
      <c r="AC103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6" s="58" t="e">
        <f>IF(Table1[[#This Row],[Ask Price]]&gt;Table1[[#This Row],[Calculated Bond Price]],"Rich","Cheap")</f>
        <v>#N/A</v>
      </c>
      <c r="AE103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6" s="78" t="e">
        <f>(Table1[[#This Row],[P (+ shock)]]+Table1[[#This Row],[P (-shock)]]-2*Table1[[#This Row],[Ask Price]])/(2*Table1[[#This Row],[Ask Price]]*($AF$2^2))</f>
        <v>#N/A</v>
      </c>
      <c r="AI1036" s="6" t="e">
        <f t="shared" si="65"/>
        <v>#DIV/0!</v>
      </c>
      <c r="AK1036" s="47" t="e">
        <f>RATE(Table1[[#This Row],[Total No. of Coupons]],Table1[[#This Row],[Coupon Amount]],-Table1[[#This Row],[Ask Price]],Table1[[#This Row],[Face value]])</f>
        <v>#N/A</v>
      </c>
      <c r="AL1036" s="27" t="e">
        <f>Table1[[#This Row],[IRR]]*Table1[[#This Row],[Coupon Frequency2]]</f>
        <v>#N/A</v>
      </c>
      <c r="AM1036" s="5" t="e">
        <f t="shared" si="66"/>
        <v>#N/A</v>
      </c>
      <c r="AN1036" t="s">
        <v>64</v>
      </c>
      <c r="AO1036" t="s">
        <v>62</v>
      </c>
      <c r="AP1036" t="str">
        <f t="shared" si="67"/>
        <v/>
      </c>
    </row>
    <row r="1037" spans="4:42" x14ac:dyDescent="0.35">
      <c r="D1037" s="21"/>
      <c r="E1037" s="21"/>
      <c r="L1037" s="22"/>
      <c r="S1037">
        <f t="shared" si="64"/>
        <v>0</v>
      </c>
      <c r="T1037" s="5" t="e" cm="1">
        <f t="array" ref="T10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7" t="e">
        <f>Table1[[#This Row],[Term to Maturity (Years)]]*Table1[[#This Row],[Coupon Frequency2]]</f>
        <v>#N/A</v>
      </c>
      <c r="V1037">
        <f>Table1[[#This Row],[Face value]]*Table1[[#This Row],[Current coupon %]]</f>
        <v>0</v>
      </c>
      <c r="W1037" s="36" t="e">
        <f>RATE(Table1[[#This Row],[Total No. of Coupons]],Table1[[#This Row],[Coupon Amount]],-Table1[[#This Row],[Ask Price]],Table1[[#This Row],[Face value]])</f>
        <v>#N/A</v>
      </c>
      <c r="X1037" s="27" t="e">
        <f>Table1[[#This Row],[IRR]]*Table1[[#This Row],[Coupon Frequency2]]</f>
        <v>#N/A</v>
      </c>
      <c r="Y1037" s="19" t="e" cm="1">
        <f t="array" ref="Y10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7" s="33" t="e">
        <f>DURATION(Table1[[#This Row],[Issue date]],Table1[[#This Row],[Maturity date]],Table1[[#This Row],[Current coupon %]],Table1[[#This Row],[Yield (Annualised)]],Table1[[#This Row],[Coupon Frequency2]])</f>
        <v>#N/A</v>
      </c>
      <c r="AA1037" s="33" t="e">
        <f>Table1[[#This Row],[Macaulay Duration in Years]]/(1+Table1[[#This Row],[IRR]])</f>
        <v>#N/A</v>
      </c>
      <c r="AB1037" s="58" t="e">
        <f>VLOOKUP(Table1[[#This Row],[Yield Cluster]],'Cluster Details'!$B$3:$C$16,2,0)</f>
        <v>#N/A</v>
      </c>
      <c r="AC103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7" s="58" t="e">
        <f>IF(Table1[[#This Row],[Ask Price]]&gt;Table1[[#This Row],[Calculated Bond Price]],"Rich","Cheap")</f>
        <v>#N/A</v>
      </c>
      <c r="AE103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7" s="78" t="e">
        <f>(Table1[[#This Row],[P (+ shock)]]+Table1[[#This Row],[P (-shock)]]-2*Table1[[#This Row],[Ask Price]])/(2*Table1[[#This Row],[Ask Price]]*($AF$2^2))</f>
        <v>#N/A</v>
      </c>
      <c r="AI1037" s="6" t="e">
        <f t="shared" si="65"/>
        <v>#DIV/0!</v>
      </c>
      <c r="AK1037" s="47" t="e">
        <f>RATE(Table1[[#This Row],[Total No. of Coupons]],Table1[[#This Row],[Coupon Amount]],-Table1[[#This Row],[Ask Price]],Table1[[#This Row],[Face value]])</f>
        <v>#N/A</v>
      </c>
      <c r="AL1037" s="27" t="e">
        <f>Table1[[#This Row],[IRR]]*Table1[[#This Row],[Coupon Frequency2]]</f>
        <v>#N/A</v>
      </c>
      <c r="AM1037" s="5" t="e">
        <f t="shared" si="66"/>
        <v>#N/A</v>
      </c>
      <c r="AN1037" t="s">
        <v>64</v>
      </c>
      <c r="AO1037" t="s">
        <v>62</v>
      </c>
      <c r="AP1037" t="str">
        <f t="shared" si="67"/>
        <v/>
      </c>
    </row>
    <row r="1038" spans="4:42" x14ac:dyDescent="0.35">
      <c r="D1038" s="21"/>
      <c r="E1038" s="21"/>
      <c r="L1038" s="22"/>
      <c r="S1038">
        <f t="shared" si="64"/>
        <v>0</v>
      </c>
      <c r="T1038" s="5" t="e" cm="1">
        <f t="array" ref="T10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8" t="e">
        <f>Table1[[#This Row],[Term to Maturity (Years)]]*Table1[[#This Row],[Coupon Frequency2]]</f>
        <v>#N/A</v>
      </c>
      <c r="V1038">
        <f>Table1[[#This Row],[Face value]]*Table1[[#This Row],[Current coupon %]]</f>
        <v>0</v>
      </c>
      <c r="W1038" s="36" t="e">
        <f>RATE(Table1[[#This Row],[Total No. of Coupons]],Table1[[#This Row],[Coupon Amount]],-Table1[[#This Row],[Ask Price]],Table1[[#This Row],[Face value]])</f>
        <v>#N/A</v>
      </c>
      <c r="X1038" s="27" t="e">
        <f>Table1[[#This Row],[IRR]]*Table1[[#This Row],[Coupon Frequency2]]</f>
        <v>#N/A</v>
      </c>
      <c r="Y1038" s="19" t="e" cm="1">
        <f t="array" ref="Y10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8" s="33" t="e">
        <f>DURATION(Table1[[#This Row],[Issue date]],Table1[[#This Row],[Maturity date]],Table1[[#This Row],[Current coupon %]],Table1[[#This Row],[Yield (Annualised)]],Table1[[#This Row],[Coupon Frequency2]])</f>
        <v>#N/A</v>
      </c>
      <c r="AA1038" s="33" t="e">
        <f>Table1[[#This Row],[Macaulay Duration in Years]]/(1+Table1[[#This Row],[IRR]])</f>
        <v>#N/A</v>
      </c>
      <c r="AB1038" s="58" t="e">
        <f>VLOOKUP(Table1[[#This Row],[Yield Cluster]],'Cluster Details'!$B$3:$C$16,2,0)</f>
        <v>#N/A</v>
      </c>
      <c r="AC103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8" s="58" t="e">
        <f>IF(Table1[[#This Row],[Ask Price]]&gt;Table1[[#This Row],[Calculated Bond Price]],"Rich","Cheap")</f>
        <v>#N/A</v>
      </c>
      <c r="AE103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8" s="78" t="e">
        <f>(Table1[[#This Row],[P (+ shock)]]+Table1[[#This Row],[P (-shock)]]-2*Table1[[#This Row],[Ask Price]])/(2*Table1[[#This Row],[Ask Price]]*($AF$2^2))</f>
        <v>#N/A</v>
      </c>
      <c r="AI1038" s="6" t="e">
        <f t="shared" si="65"/>
        <v>#DIV/0!</v>
      </c>
      <c r="AK1038" s="47" t="e">
        <f>RATE(Table1[[#This Row],[Total No. of Coupons]],Table1[[#This Row],[Coupon Amount]],-Table1[[#This Row],[Ask Price]],Table1[[#This Row],[Face value]])</f>
        <v>#N/A</v>
      </c>
      <c r="AL1038" s="27" t="e">
        <f>Table1[[#This Row],[IRR]]*Table1[[#This Row],[Coupon Frequency2]]</f>
        <v>#N/A</v>
      </c>
      <c r="AM1038" s="5" t="e">
        <f t="shared" si="66"/>
        <v>#N/A</v>
      </c>
      <c r="AN1038" t="s">
        <v>64</v>
      </c>
      <c r="AO1038" t="s">
        <v>62</v>
      </c>
      <c r="AP1038" t="str">
        <f t="shared" si="67"/>
        <v/>
      </c>
    </row>
    <row r="1039" spans="4:42" x14ac:dyDescent="0.35">
      <c r="D1039" s="21"/>
      <c r="E1039" s="21"/>
      <c r="L1039" s="22"/>
      <c r="S1039">
        <f t="shared" si="64"/>
        <v>0</v>
      </c>
      <c r="T1039" s="5" t="e" cm="1">
        <f t="array" ref="T10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39" t="e">
        <f>Table1[[#This Row],[Term to Maturity (Years)]]*Table1[[#This Row],[Coupon Frequency2]]</f>
        <v>#N/A</v>
      </c>
      <c r="V1039">
        <f>Table1[[#This Row],[Face value]]*Table1[[#This Row],[Current coupon %]]</f>
        <v>0</v>
      </c>
      <c r="W1039" s="36" t="e">
        <f>RATE(Table1[[#This Row],[Total No. of Coupons]],Table1[[#This Row],[Coupon Amount]],-Table1[[#This Row],[Ask Price]],Table1[[#This Row],[Face value]])</f>
        <v>#N/A</v>
      </c>
      <c r="X1039" s="27" t="e">
        <f>Table1[[#This Row],[IRR]]*Table1[[#This Row],[Coupon Frequency2]]</f>
        <v>#N/A</v>
      </c>
      <c r="Y1039" s="19" t="e" cm="1">
        <f t="array" ref="Y10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39" s="33" t="e">
        <f>DURATION(Table1[[#This Row],[Issue date]],Table1[[#This Row],[Maturity date]],Table1[[#This Row],[Current coupon %]],Table1[[#This Row],[Yield (Annualised)]],Table1[[#This Row],[Coupon Frequency2]])</f>
        <v>#N/A</v>
      </c>
      <c r="AA1039" s="33" t="e">
        <f>Table1[[#This Row],[Macaulay Duration in Years]]/(1+Table1[[#This Row],[IRR]])</f>
        <v>#N/A</v>
      </c>
      <c r="AB1039" s="58" t="e">
        <f>VLOOKUP(Table1[[#This Row],[Yield Cluster]],'Cluster Details'!$B$3:$C$16,2,0)</f>
        <v>#N/A</v>
      </c>
      <c r="AC103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39" s="58" t="e">
        <f>IF(Table1[[#This Row],[Ask Price]]&gt;Table1[[#This Row],[Calculated Bond Price]],"Rich","Cheap")</f>
        <v>#N/A</v>
      </c>
      <c r="AE103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3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39" s="78" t="e">
        <f>(Table1[[#This Row],[P (+ shock)]]+Table1[[#This Row],[P (-shock)]]-2*Table1[[#This Row],[Ask Price]])/(2*Table1[[#This Row],[Ask Price]]*($AF$2^2))</f>
        <v>#N/A</v>
      </c>
      <c r="AH1039">
        <v>8.1726386308871</v>
      </c>
      <c r="AI1039" s="6" t="e">
        <f t="shared" si="65"/>
        <v>#DIV/0!</v>
      </c>
      <c r="AK1039" s="47" t="e">
        <f>RATE(Table1[[#This Row],[Total No. of Coupons]],Table1[[#This Row],[Coupon Amount]],-Table1[[#This Row],[Ask Price]],Table1[[#This Row],[Face value]])</f>
        <v>#N/A</v>
      </c>
      <c r="AL1039" s="27" t="e">
        <f>Table1[[#This Row],[IRR]]*Table1[[#This Row],[Coupon Frequency2]]</f>
        <v>#N/A</v>
      </c>
      <c r="AM1039" s="5" t="e">
        <f t="shared" si="66"/>
        <v>#N/A</v>
      </c>
      <c r="AN1039" t="s">
        <v>64</v>
      </c>
      <c r="AO1039" t="s">
        <v>62</v>
      </c>
      <c r="AP1039" t="str">
        <f t="shared" si="67"/>
        <v/>
      </c>
    </row>
    <row r="1040" spans="4:42" x14ac:dyDescent="0.35">
      <c r="D1040" s="21"/>
      <c r="E1040" s="21"/>
      <c r="L1040" s="22"/>
      <c r="S1040">
        <f t="shared" si="64"/>
        <v>0</v>
      </c>
      <c r="T1040" s="5" t="e" cm="1">
        <f t="array" ref="T10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0" t="e">
        <f>Table1[[#This Row],[Term to Maturity (Years)]]*Table1[[#This Row],[Coupon Frequency2]]</f>
        <v>#N/A</v>
      </c>
      <c r="V1040">
        <f>Table1[[#This Row],[Face value]]*Table1[[#This Row],[Current coupon %]]</f>
        <v>0</v>
      </c>
      <c r="W1040" s="36" t="e">
        <f>RATE(Table1[[#This Row],[Total No. of Coupons]],Table1[[#This Row],[Coupon Amount]],-Table1[[#This Row],[Ask Price]],Table1[[#This Row],[Face value]])</f>
        <v>#N/A</v>
      </c>
      <c r="X1040" s="27" t="e">
        <f>Table1[[#This Row],[IRR]]*Table1[[#This Row],[Coupon Frequency2]]</f>
        <v>#N/A</v>
      </c>
      <c r="Y1040" s="19" t="e" cm="1">
        <f t="array" ref="Y10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0" s="33" t="e">
        <f>DURATION(Table1[[#This Row],[Issue date]],Table1[[#This Row],[Maturity date]],Table1[[#This Row],[Current coupon %]],Table1[[#This Row],[Yield (Annualised)]],Table1[[#This Row],[Coupon Frequency2]])</f>
        <v>#N/A</v>
      </c>
      <c r="AA1040" s="33" t="e">
        <f>Table1[[#This Row],[Macaulay Duration in Years]]/(1+Table1[[#This Row],[IRR]])</f>
        <v>#N/A</v>
      </c>
      <c r="AB1040" s="58" t="e">
        <f>VLOOKUP(Table1[[#This Row],[Yield Cluster]],'Cluster Details'!$B$3:$C$16,2,0)</f>
        <v>#N/A</v>
      </c>
      <c r="AC104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0" s="58" t="e">
        <f>IF(Table1[[#This Row],[Ask Price]]&gt;Table1[[#This Row],[Calculated Bond Price]],"Rich","Cheap")</f>
        <v>#N/A</v>
      </c>
      <c r="AE104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0" s="78" t="e">
        <f>(Table1[[#This Row],[P (+ shock)]]+Table1[[#This Row],[P (-shock)]]-2*Table1[[#This Row],[Ask Price]])/(2*Table1[[#This Row],[Ask Price]]*($AF$2^2))</f>
        <v>#N/A</v>
      </c>
      <c r="AH1040">
        <v>9.5497518750783392</v>
      </c>
      <c r="AI1040" s="6" t="e">
        <f t="shared" si="65"/>
        <v>#DIV/0!</v>
      </c>
      <c r="AK1040" s="47" t="e">
        <f>RATE(Table1[[#This Row],[Total No. of Coupons]],Table1[[#This Row],[Coupon Amount]],-Table1[[#This Row],[Ask Price]],Table1[[#This Row],[Face value]])</f>
        <v>#N/A</v>
      </c>
      <c r="AL1040" s="27" t="e">
        <f>Table1[[#This Row],[IRR]]*Table1[[#This Row],[Coupon Frequency2]]</f>
        <v>#N/A</v>
      </c>
      <c r="AM1040" s="5" t="e">
        <f t="shared" si="66"/>
        <v>#N/A</v>
      </c>
      <c r="AN1040" t="s">
        <v>64</v>
      </c>
      <c r="AO1040" t="s">
        <v>62</v>
      </c>
      <c r="AP1040" t="str">
        <f t="shared" si="67"/>
        <v/>
      </c>
    </row>
    <row r="1041" spans="4:42" x14ac:dyDescent="0.35">
      <c r="D1041" s="21"/>
      <c r="E1041" s="21"/>
      <c r="L1041" s="22"/>
      <c r="S1041">
        <f t="shared" si="64"/>
        <v>0</v>
      </c>
      <c r="T1041" s="5" t="e" cm="1">
        <f t="array" ref="T10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1" t="e">
        <f>Table1[[#This Row],[Term to Maturity (Years)]]*Table1[[#This Row],[Coupon Frequency2]]</f>
        <v>#N/A</v>
      </c>
      <c r="V1041">
        <f>Table1[[#This Row],[Face value]]*Table1[[#This Row],[Current coupon %]]</f>
        <v>0</v>
      </c>
      <c r="W1041" s="36" t="e">
        <f>RATE(Table1[[#This Row],[Total No. of Coupons]],Table1[[#This Row],[Coupon Amount]],-Table1[[#This Row],[Ask Price]],Table1[[#This Row],[Face value]])</f>
        <v>#N/A</v>
      </c>
      <c r="X1041" s="27" t="e">
        <f>Table1[[#This Row],[IRR]]*Table1[[#This Row],[Coupon Frequency2]]</f>
        <v>#N/A</v>
      </c>
      <c r="Y1041" s="19" t="e" cm="1">
        <f t="array" ref="Y10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1" s="33" t="e">
        <f>DURATION(Table1[[#This Row],[Issue date]],Table1[[#This Row],[Maturity date]],Table1[[#This Row],[Current coupon %]],Table1[[#This Row],[Yield (Annualised)]],Table1[[#This Row],[Coupon Frequency2]])</f>
        <v>#N/A</v>
      </c>
      <c r="AA1041" s="33" t="e">
        <f>Table1[[#This Row],[Macaulay Duration in Years]]/(1+Table1[[#This Row],[IRR]])</f>
        <v>#N/A</v>
      </c>
      <c r="AB1041" s="58" t="e">
        <f>VLOOKUP(Table1[[#This Row],[Yield Cluster]],'Cluster Details'!$B$3:$C$16,2,0)</f>
        <v>#N/A</v>
      </c>
      <c r="AC104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1" s="58" t="e">
        <f>IF(Table1[[#This Row],[Ask Price]]&gt;Table1[[#This Row],[Calculated Bond Price]],"Rich","Cheap")</f>
        <v>#N/A</v>
      </c>
      <c r="AE104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1" s="78" t="e">
        <f>(Table1[[#This Row],[P (+ shock)]]+Table1[[#This Row],[P (-shock)]]-2*Table1[[#This Row],[Ask Price]])/(2*Table1[[#This Row],[Ask Price]]*($AF$2^2))</f>
        <v>#N/A</v>
      </c>
      <c r="AH1041">
        <v>8.8959650841720794</v>
      </c>
      <c r="AI1041" s="6" t="e">
        <f t="shared" si="65"/>
        <v>#DIV/0!</v>
      </c>
      <c r="AK1041" s="47" t="e">
        <f>RATE(Table1[[#This Row],[Total No. of Coupons]],Table1[[#This Row],[Coupon Amount]],-Table1[[#This Row],[Ask Price]],Table1[[#This Row],[Face value]])</f>
        <v>#N/A</v>
      </c>
      <c r="AL1041" s="27" t="e">
        <f>Table1[[#This Row],[IRR]]*Table1[[#This Row],[Coupon Frequency2]]</f>
        <v>#N/A</v>
      </c>
      <c r="AM1041" s="5" t="e">
        <f t="shared" si="66"/>
        <v>#N/A</v>
      </c>
      <c r="AN1041" t="s">
        <v>69</v>
      </c>
      <c r="AO1041" t="s">
        <v>62</v>
      </c>
      <c r="AP1041" t="str">
        <f t="shared" si="67"/>
        <v/>
      </c>
    </row>
    <row r="1042" spans="4:42" x14ac:dyDescent="0.35">
      <c r="D1042" s="21"/>
      <c r="E1042" s="21"/>
      <c r="L1042" s="22"/>
      <c r="S1042">
        <f t="shared" si="64"/>
        <v>0</v>
      </c>
      <c r="T1042" s="5" t="e" cm="1">
        <f t="array" ref="T10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2" t="e">
        <f>Table1[[#This Row],[Term to Maturity (Years)]]*Table1[[#This Row],[Coupon Frequency2]]</f>
        <v>#N/A</v>
      </c>
      <c r="V1042">
        <f>Table1[[#This Row],[Face value]]*Table1[[#This Row],[Current coupon %]]</f>
        <v>0</v>
      </c>
      <c r="W1042" s="36" t="e">
        <f>RATE(Table1[[#This Row],[Total No. of Coupons]],Table1[[#This Row],[Coupon Amount]],-Table1[[#This Row],[Ask Price]],Table1[[#This Row],[Face value]])</f>
        <v>#N/A</v>
      </c>
      <c r="X1042" s="27" t="e">
        <f>Table1[[#This Row],[IRR]]*Table1[[#This Row],[Coupon Frequency2]]</f>
        <v>#N/A</v>
      </c>
      <c r="Y1042" s="19" t="e" cm="1">
        <f t="array" ref="Y10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2" s="33" t="e">
        <f>DURATION(Table1[[#This Row],[Issue date]],Table1[[#This Row],[Maturity date]],Table1[[#This Row],[Current coupon %]],Table1[[#This Row],[Yield (Annualised)]],Table1[[#This Row],[Coupon Frequency2]])</f>
        <v>#N/A</v>
      </c>
      <c r="AA1042" s="33" t="e">
        <f>Table1[[#This Row],[Macaulay Duration in Years]]/(1+Table1[[#This Row],[IRR]])</f>
        <v>#N/A</v>
      </c>
      <c r="AB1042" s="58" t="e">
        <f>VLOOKUP(Table1[[#This Row],[Yield Cluster]],'Cluster Details'!$B$3:$C$16,2,0)</f>
        <v>#N/A</v>
      </c>
      <c r="AC104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2" s="58" t="e">
        <f>IF(Table1[[#This Row],[Ask Price]]&gt;Table1[[#This Row],[Calculated Bond Price]],"Rich","Cheap")</f>
        <v>#N/A</v>
      </c>
      <c r="AE104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2" s="78" t="e">
        <f>(Table1[[#This Row],[P (+ shock)]]+Table1[[#This Row],[P (-shock)]]-2*Table1[[#This Row],[Ask Price]])/(2*Table1[[#This Row],[Ask Price]]*($AF$2^2))</f>
        <v>#N/A</v>
      </c>
      <c r="AH1042">
        <v>10.4422536065233</v>
      </c>
      <c r="AI1042" s="6" t="e">
        <f t="shared" si="65"/>
        <v>#DIV/0!</v>
      </c>
      <c r="AK1042" s="47" t="e">
        <f>RATE(Table1[[#This Row],[Total No. of Coupons]],Table1[[#This Row],[Coupon Amount]],-Table1[[#This Row],[Ask Price]],Table1[[#This Row],[Face value]])</f>
        <v>#N/A</v>
      </c>
      <c r="AL1042" s="27" t="e">
        <f>Table1[[#This Row],[IRR]]*Table1[[#This Row],[Coupon Frequency2]]</f>
        <v>#N/A</v>
      </c>
      <c r="AM1042" s="5" t="e">
        <f t="shared" si="66"/>
        <v>#N/A</v>
      </c>
      <c r="AN1042" t="s">
        <v>69</v>
      </c>
      <c r="AO1042" t="s">
        <v>62</v>
      </c>
      <c r="AP1042" t="str">
        <f t="shared" si="67"/>
        <v/>
      </c>
    </row>
    <row r="1043" spans="4:42" x14ac:dyDescent="0.35">
      <c r="D1043" s="21"/>
      <c r="E1043" s="21"/>
      <c r="L1043" s="22"/>
      <c r="S1043">
        <f t="shared" si="64"/>
        <v>0</v>
      </c>
      <c r="T1043" s="5" t="e" cm="1">
        <f t="array" ref="T10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3" t="e">
        <f>Table1[[#This Row],[Term to Maturity (Years)]]*Table1[[#This Row],[Coupon Frequency2]]</f>
        <v>#N/A</v>
      </c>
      <c r="V1043">
        <f>Table1[[#This Row],[Face value]]*Table1[[#This Row],[Current coupon %]]</f>
        <v>0</v>
      </c>
      <c r="W1043" s="36" t="e">
        <f>RATE(Table1[[#This Row],[Total No. of Coupons]],Table1[[#This Row],[Coupon Amount]],-Table1[[#This Row],[Ask Price]],Table1[[#This Row],[Face value]])</f>
        <v>#N/A</v>
      </c>
      <c r="X1043" s="27" t="e">
        <f>Table1[[#This Row],[IRR]]*Table1[[#This Row],[Coupon Frequency2]]</f>
        <v>#N/A</v>
      </c>
      <c r="Y1043" s="19" t="e" cm="1">
        <f t="array" ref="Y10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3" s="33" t="e">
        <f>DURATION(Table1[[#This Row],[Issue date]],Table1[[#This Row],[Maturity date]],Table1[[#This Row],[Current coupon %]],Table1[[#This Row],[Yield (Annualised)]],Table1[[#This Row],[Coupon Frequency2]])</f>
        <v>#N/A</v>
      </c>
      <c r="AA1043" s="33" t="e">
        <f>Table1[[#This Row],[Macaulay Duration in Years]]/(1+Table1[[#This Row],[IRR]])</f>
        <v>#N/A</v>
      </c>
      <c r="AB1043" s="58" t="e">
        <f>VLOOKUP(Table1[[#This Row],[Yield Cluster]],'Cluster Details'!$B$3:$C$16,2,0)</f>
        <v>#N/A</v>
      </c>
      <c r="AC104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3" s="58" t="e">
        <f>IF(Table1[[#This Row],[Ask Price]]&gt;Table1[[#This Row],[Calculated Bond Price]],"Rich","Cheap")</f>
        <v>#N/A</v>
      </c>
      <c r="AE104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3" s="78" t="e">
        <f>(Table1[[#This Row],[P (+ shock)]]+Table1[[#This Row],[P (-shock)]]-2*Table1[[#This Row],[Ask Price]])/(2*Table1[[#This Row],[Ask Price]]*($AF$2^2))</f>
        <v>#N/A</v>
      </c>
      <c r="AH1043">
        <v>8.7388380391467209</v>
      </c>
      <c r="AI1043" s="6" t="e">
        <f t="shared" si="65"/>
        <v>#DIV/0!</v>
      </c>
      <c r="AK1043" s="47" t="e">
        <f>RATE(Table1[[#This Row],[Total No. of Coupons]],Table1[[#This Row],[Coupon Amount]],-Table1[[#This Row],[Ask Price]],Table1[[#This Row],[Face value]])</f>
        <v>#N/A</v>
      </c>
      <c r="AL1043" s="27" t="e">
        <f>Table1[[#This Row],[IRR]]*Table1[[#This Row],[Coupon Frequency2]]</f>
        <v>#N/A</v>
      </c>
      <c r="AM1043" s="5" t="e">
        <f t="shared" si="66"/>
        <v>#N/A</v>
      </c>
      <c r="AN1043" t="s">
        <v>64</v>
      </c>
      <c r="AO1043" t="s">
        <v>62</v>
      </c>
      <c r="AP1043" t="str">
        <f t="shared" si="67"/>
        <v/>
      </c>
    </row>
    <row r="1044" spans="4:42" x14ac:dyDescent="0.35">
      <c r="D1044" s="21"/>
      <c r="E1044" s="21"/>
      <c r="L1044" s="22"/>
      <c r="S1044">
        <f t="shared" si="64"/>
        <v>0</v>
      </c>
      <c r="T1044" s="5" t="e" cm="1">
        <f t="array" ref="T10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4" t="e">
        <f>Table1[[#This Row],[Term to Maturity (Years)]]*Table1[[#This Row],[Coupon Frequency2]]</f>
        <v>#N/A</v>
      </c>
      <c r="V1044">
        <f>Table1[[#This Row],[Face value]]*Table1[[#This Row],[Current coupon %]]</f>
        <v>0</v>
      </c>
      <c r="W1044" s="36" t="e">
        <f>RATE(Table1[[#This Row],[Total No. of Coupons]],Table1[[#This Row],[Coupon Amount]],-Table1[[#This Row],[Ask Price]],Table1[[#This Row],[Face value]])</f>
        <v>#N/A</v>
      </c>
      <c r="X1044" s="27" t="e">
        <f>Table1[[#This Row],[IRR]]*Table1[[#This Row],[Coupon Frequency2]]</f>
        <v>#N/A</v>
      </c>
      <c r="Y1044" s="19" t="e" cm="1">
        <f t="array" ref="Y10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4" s="33" t="e">
        <f>DURATION(Table1[[#This Row],[Issue date]],Table1[[#This Row],[Maturity date]],Table1[[#This Row],[Current coupon %]],Table1[[#This Row],[Yield (Annualised)]],Table1[[#This Row],[Coupon Frequency2]])</f>
        <v>#N/A</v>
      </c>
      <c r="AA1044" s="33" t="e">
        <f>Table1[[#This Row],[Macaulay Duration in Years]]/(1+Table1[[#This Row],[IRR]])</f>
        <v>#N/A</v>
      </c>
      <c r="AB1044" s="58" t="e">
        <f>VLOOKUP(Table1[[#This Row],[Yield Cluster]],'Cluster Details'!$B$3:$C$16,2,0)</f>
        <v>#N/A</v>
      </c>
      <c r="AC104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4" s="58" t="e">
        <f>IF(Table1[[#This Row],[Ask Price]]&gt;Table1[[#This Row],[Calculated Bond Price]],"Rich","Cheap")</f>
        <v>#N/A</v>
      </c>
      <c r="AE104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4" s="78" t="e">
        <f>(Table1[[#This Row],[P (+ shock)]]+Table1[[#This Row],[P (-shock)]]-2*Table1[[#This Row],[Ask Price]])/(2*Table1[[#This Row],[Ask Price]]*($AF$2^2))</f>
        <v>#N/A</v>
      </c>
      <c r="AI1044" s="6" t="e">
        <f t="shared" si="65"/>
        <v>#DIV/0!</v>
      </c>
      <c r="AK1044" s="47" t="e">
        <f>RATE(Table1[[#This Row],[Total No. of Coupons]],Table1[[#This Row],[Coupon Amount]],-Table1[[#This Row],[Ask Price]],Table1[[#This Row],[Face value]])</f>
        <v>#N/A</v>
      </c>
      <c r="AL1044" s="27" t="e">
        <f>Table1[[#This Row],[IRR]]*Table1[[#This Row],[Coupon Frequency2]]</f>
        <v>#N/A</v>
      </c>
      <c r="AM1044" s="5" t="e">
        <f t="shared" si="66"/>
        <v>#N/A</v>
      </c>
      <c r="AN1044" t="s">
        <v>64</v>
      </c>
      <c r="AO1044" t="s">
        <v>62</v>
      </c>
      <c r="AP1044" t="str">
        <f t="shared" si="67"/>
        <v/>
      </c>
    </row>
    <row r="1045" spans="4:42" x14ac:dyDescent="0.35">
      <c r="D1045" s="21"/>
      <c r="E1045" s="21"/>
      <c r="L1045" s="22"/>
      <c r="S1045">
        <f t="shared" si="64"/>
        <v>0</v>
      </c>
      <c r="T1045" s="5" t="e" cm="1">
        <f t="array" ref="T10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5" t="e">
        <f>Table1[[#This Row],[Term to Maturity (Years)]]*Table1[[#This Row],[Coupon Frequency2]]</f>
        <v>#N/A</v>
      </c>
      <c r="V1045">
        <f>Table1[[#This Row],[Face value]]*Table1[[#This Row],[Current coupon %]]</f>
        <v>0</v>
      </c>
      <c r="W1045" s="36" t="e">
        <f>RATE(Table1[[#This Row],[Total No. of Coupons]],Table1[[#This Row],[Coupon Amount]],-Table1[[#This Row],[Ask Price]],Table1[[#This Row],[Face value]])</f>
        <v>#N/A</v>
      </c>
      <c r="X1045" s="27" t="e">
        <f>Table1[[#This Row],[IRR]]*Table1[[#This Row],[Coupon Frequency2]]</f>
        <v>#N/A</v>
      </c>
      <c r="Y1045" s="19" t="e" cm="1">
        <f t="array" ref="Y10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5" s="33" t="e">
        <f>DURATION(Table1[[#This Row],[Issue date]],Table1[[#This Row],[Maturity date]],Table1[[#This Row],[Current coupon %]],Table1[[#This Row],[Yield (Annualised)]],Table1[[#This Row],[Coupon Frequency2]])</f>
        <v>#N/A</v>
      </c>
      <c r="AA1045" s="33" t="e">
        <f>Table1[[#This Row],[Macaulay Duration in Years]]/(1+Table1[[#This Row],[IRR]])</f>
        <v>#N/A</v>
      </c>
      <c r="AB1045" s="58" t="e">
        <f>VLOOKUP(Table1[[#This Row],[Yield Cluster]],'Cluster Details'!$B$3:$C$16,2,0)</f>
        <v>#N/A</v>
      </c>
      <c r="AC104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5" s="58" t="e">
        <f>IF(Table1[[#This Row],[Ask Price]]&gt;Table1[[#This Row],[Calculated Bond Price]],"Rich","Cheap")</f>
        <v>#N/A</v>
      </c>
      <c r="AE104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5" s="78" t="e">
        <f>(Table1[[#This Row],[P (+ shock)]]+Table1[[#This Row],[P (-shock)]]-2*Table1[[#This Row],[Ask Price]])/(2*Table1[[#This Row],[Ask Price]]*($AF$2^2))</f>
        <v>#N/A</v>
      </c>
      <c r="AH1045">
        <v>10.9202257528469</v>
      </c>
      <c r="AI1045" s="6" t="e">
        <f t="shared" si="65"/>
        <v>#DIV/0!</v>
      </c>
      <c r="AK1045" s="47" t="e">
        <f>RATE(Table1[[#This Row],[Total No. of Coupons]],Table1[[#This Row],[Coupon Amount]],-Table1[[#This Row],[Ask Price]],Table1[[#This Row],[Face value]])</f>
        <v>#N/A</v>
      </c>
      <c r="AL1045" s="27" t="e">
        <f>Table1[[#This Row],[IRR]]*Table1[[#This Row],[Coupon Frequency2]]</f>
        <v>#N/A</v>
      </c>
      <c r="AM1045" s="5" t="e">
        <f t="shared" si="66"/>
        <v>#N/A</v>
      </c>
      <c r="AN1045" t="s">
        <v>64</v>
      </c>
      <c r="AO1045" t="s">
        <v>62</v>
      </c>
      <c r="AP1045" t="str">
        <f t="shared" si="67"/>
        <v/>
      </c>
    </row>
    <row r="1046" spans="4:42" x14ac:dyDescent="0.35">
      <c r="D1046" s="21"/>
      <c r="E1046" s="21"/>
      <c r="L1046" s="22"/>
      <c r="S1046">
        <f t="shared" si="64"/>
        <v>0</v>
      </c>
      <c r="T1046" s="5" t="e" cm="1">
        <f t="array" ref="T10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6" t="e">
        <f>Table1[[#This Row],[Term to Maturity (Years)]]*Table1[[#This Row],[Coupon Frequency2]]</f>
        <v>#N/A</v>
      </c>
      <c r="V1046">
        <f>Table1[[#This Row],[Face value]]*Table1[[#This Row],[Current coupon %]]</f>
        <v>0</v>
      </c>
      <c r="W1046" s="36" t="e">
        <f>RATE(Table1[[#This Row],[Total No. of Coupons]],Table1[[#This Row],[Coupon Amount]],-Table1[[#This Row],[Ask Price]],Table1[[#This Row],[Face value]])</f>
        <v>#N/A</v>
      </c>
      <c r="X1046" s="27" t="e">
        <f>Table1[[#This Row],[IRR]]*Table1[[#This Row],[Coupon Frequency2]]</f>
        <v>#N/A</v>
      </c>
      <c r="Y1046" s="19" t="e" cm="1">
        <f t="array" ref="Y10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6" s="33" t="e">
        <f>DURATION(Table1[[#This Row],[Issue date]],Table1[[#This Row],[Maturity date]],Table1[[#This Row],[Current coupon %]],Table1[[#This Row],[Yield (Annualised)]],Table1[[#This Row],[Coupon Frequency2]])</f>
        <v>#N/A</v>
      </c>
      <c r="AA1046" s="33" t="e">
        <f>Table1[[#This Row],[Macaulay Duration in Years]]/(1+Table1[[#This Row],[IRR]])</f>
        <v>#N/A</v>
      </c>
      <c r="AB1046" s="58" t="e">
        <f>VLOOKUP(Table1[[#This Row],[Yield Cluster]],'Cluster Details'!$B$3:$C$16,2,0)</f>
        <v>#N/A</v>
      </c>
      <c r="AC104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6" s="58" t="e">
        <f>IF(Table1[[#This Row],[Ask Price]]&gt;Table1[[#This Row],[Calculated Bond Price]],"Rich","Cheap")</f>
        <v>#N/A</v>
      </c>
      <c r="AE104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6" s="78" t="e">
        <f>(Table1[[#This Row],[P (+ shock)]]+Table1[[#This Row],[P (-shock)]]-2*Table1[[#This Row],[Ask Price]])/(2*Table1[[#This Row],[Ask Price]]*($AF$2^2))</f>
        <v>#N/A</v>
      </c>
      <c r="AH1046">
        <v>-0.30156067409949999</v>
      </c>
      <c r="AI1046" s="6" t="e">
        <f t="shared" si="65"/>
        <v>#DIV/0!</v>
      </c>
      <c r="AK1046" s="47" t="e">
        <f>RATE(Table1[[#This Row],[Total No. of Coupons]],Table1[[#This Row],[Coupon Amount]],-Table1[[#This Row],[Ask Price]],Table1[[#This Row],[Face value]])</f>
        <v>#N/A</v>
      </c>
      <c r="AL1046" s="27" t="e">
        <f>Table1[[#This Row],[IRR]]*Table1[[#This Row],[Coupon Frequency2]]</f>
        <v>#N/A</v>
      </c>
      <c r="AM1046" s="5" t="e">
        <f t="shared" si="66"/>
        <v>#N/A</v>
      </c>
      <c r="AN1046" t="s">
        <v>64</v>
      </c>
      <c r="AO1046" t="s">
        <v>62</v>
      </c>
      <c r="AP1046" t="str">
        <f t="shared" si="67"/>
        <v/>
      </c>
    </row>
    <row r="1047" spans="4:42" x14ac:dyDescent="0.35">
      <c r="D1047" s="21"/>
      <c r="E1047" s="21"/>
      <c r="L1047" s="22"/>
      <c r="S1047">
        <f t="shared" si="64"/>
        <v>0</v>
      </c>
      <c r="T1047" s="5" t="e" cm="1">
        <f t="array" ref="T10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7" t="e">
        <f>Table1[[#This Row],[Term to Maturity (Years)]]*Table1[[#This Row],[Coupon Frequency2]]</f>
        <v>#N/A</v>
      </c>
      <c r="V1047">
        <f>Table1[[#This Row],[Face value]]*Table1[[#This Row],[Current coupon %]]</f>
        <v>0</v>
      </c>
      <c r="W1047" s="36" t="e">
        <f>RATE(Table1[[#This Row],[Total No. of Coupons]],Table1[[#This Row],[Coupon Amount]],-Table1[[#This Row],[Ask Price]],Table1[[#This Row],[Face value]])</f>
        <v>#N/A</v>
      </c>
      <c r="X1047" s="27" t="e">
        <f>Table1[[#This Row],[IRR]]*Table1[[#This Row],[Coupon Frequency2]]</f>
        <v>#N/A</v>
      </c>
      <c r="Y1047" s="19" t="e" cm="1">
        <f t="array" ref="Y10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7" s="33" t="e">
        <f>DURATION(Table1[[#This Row],[Issue date]],Table1[[#This Row],[Maturity date]],Table1[[#This Row],[Current coupon %]],Table1[[#This Row],[Yield (Annualised)]],Table1[[#This Row],[Coupon Frequency2]])</f>
        <v>#N/A</v>
      </c>
      <c r="AA1047" s="33" t="e">
        <f>Table1[[#This Row],[Macaulay Duration in Years]]/(1+Table1[[#This Row],[IRR]])</f>
        <v>#N/A</v>
      </c>
      <c r="AB1047" s="58" t="e">
        <f>VLOOKUP(Table1[[#This Row],[Yield Cluster]],'Cluster Details'!$B$3:$C$16,2,0)</f>
        <v>#N/A</v>
      </c>
      <c r="AC104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7" s="58" t="e">
        <f>IF(Table1[[#This Row],[Ask Price]]&gt;Table1[[#This Row],[Calculated Bond Price]],"Rich","Cheap")</f>
        <v>#N/A</v>
      </c>
      <c r="AE104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7" s="78" t="e">
        <f>(Table1[[#This Row],[P (+ shock)]]+Table1[[#This Row],[P (-shock)]]-2*Table1[[#This Row],[Ask Price]])/(2*Table1[[#This Row],[Ask Price]]*($AF$2^2))</f>
        <v>#N/A</v>
      </c>
      <c r="AH1047">
        <v>3.1465818790468001</v>
      </c>
      <c r="AI1047" s="6" t="e">
        <f t="shared" si="65"/>
        <v>#DIV/0!</v>
      </c>
      <c r="AK1047" s="47" t="e">
        <f>RATE(Table1[[#This Row],[Total No. of Coupons]],Table1[[#This Row],[Coupon Amount]],-Table1[[#This Row],[Ask Price]],Table1[[#This Row],[Face value]])</f>
        <v>#N/A</v>
      </c>
      <c r="AL1047" s="27" t="e">
        <f>Table1[[#This Row],[IRR]]*Table1[[#This Row],[Coupon Frequency2]]</f>
        <v>#N/A</v>
      </c>
      <c r="AM1047" s="5" t="e">
        <f t="shared" si="66"/>
        <v>#N/A</v>
      </c>
      <c r="AN1047" t="s">
        <v>64</v>
      </c>
      <c r="AO1047" t="s">
        <v>62</v>
      </c>
      <c r="AP1047" t="str">
        <f t="shared" si="67"/>
        <v/>
      </c>
    </row>
    <row r="1048" spans="4:42" x14ac:dyDescent="0.35">
      <c r="D1048" s="21"/>
      <c r="E1048" s="21"/>
      <c r="L1048" s="22"/>
      <c r="S1048">
        <f t="shared" si="64"/>
        <v>0</v>
      </c>
      <c r="T1048" s="5" t="e" cm="1">
        <f t="array" ref="T10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8" t="e">
        <f>Table1[[#This Row],[Term to Maturity (Years)]]*Table1[[#This Row],[Coupon Frequency2]]</f>
        <v>#N/A</v>
      </c>
      <c r="V1048">
        <f>Table1[[#This Row],[Face value]]*Table1[[#This Row],[Current coupon %]]</f>
        <v>0</v>
      </c>
      <c r="W1048" s="36" t="e">
        <f>RATE(Table1[[#This Row],[Total No. of Coupons]],Table1[[#This Row],[Coupon Amount]],-Table1[[#This Row],[Ask Price]],Table1[[#This Row],[Face value]])</f>
        <v>#N/A</v>
      </c>
      <c r="X1048" s="27" t="e">
        <f>Table1[[#This Row],[IRR]]*Table1[[#This Row],[Coupon Frequency2]]</f>
        <v>#N/A</v>
      </c>
      <c r="Y1048" s="19" t="e" cm="1">
        <f t="array" ref="Y10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8" s="33" t="e">
        <f>DURATION(Table1[[#This Row],[Issue date]],Table1[[#This Row],[Maturity date]],Table1[[#This Row],[Current coupon %]],Table1[[#This Row],[Yield (Annualised)]],Table1[[#This Row],[Coupon Frequency2]])</f>
        <v>#N/A</v>
      </c>
      <c r="AA1048" s="33" t="e">
        <f>Table1[[#This Row],[Macaulay Duration in Years]]/(1+Table1[[#This Row],[IRR]])</f>
        <v>#N/A</v>
      </c>
      <c r="AB1048" s="58" t="e">
        <f>VLOOKUP(Table1[[#This Row],[Yield Cluster]],'Cluster Details'!$B$3:$C$16,2,0)</f>
        <v>#N/A</v>
      </c>
      <c r="AC104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8" s="58" t="e">
        <f>IF(Table1[[#This Row],[Ask Price]]&gt;Table1[[#This Row],[Calculated Bond Price]],"Rich","Cheap")</f>
        <v>#N/A</v>
      </c>
      <c r="AE104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8" s="78" t="e">
        <f>(Table1[[#This Row],[P (+ shock)]]+Table1[[#This Row],[P (-shock)]]-2*Table1[[#This Row],[Ask Price]])/(2*Table1[[#This Row],[Ask Price]]*($AF$2^2))</f>
        <v>#N/A</v>
      </c>
      <c r="AH1048">
        <v>5.0232405844835304</v>
      </c>
      <c r="AI1048" s="6" t="e">
        <f t="shared" si="65"/>
        <v>#DIV/0!</v>
      </c>
      <c r="AK1048" s="47" t="e">
        <f>RATE(Table1[[#This Row],[Total No. of Coupons]],Table1[[#This Row],[Coupon Amount]],-Table1[[#This Row],[Ask Price]],Table1[[#This Row],[Face value]])</f>
        <v>#N/A</v>
      </c>
      <c r="AL1048" s="27" t="e">
        <f>Table1[[#This Row],[IRR]]*Table1[[#This Row],[Coupon Frequency2]]</f>
        <v>#N/A</v>
      </c>
      <c r="AM1048" s="5" t="e">
        <f t="shared" si="66"/>
        <v>#N/A</v>
      </c>
      <c r="AN1048" t="s">
        <v>64</v>
      </c>
      <c r="AO1048" t="s">
        <v>62</v>
      </c>
      <c r="AP1048" t="str">
        <f t="shared" si="67"/>
        <v/>
      </c>
    </row>
    <row r="1049" spans="4:42" x14ac:dyDescent="0.35">
      <c r="D1049" s="21"/>
      <c r="E1049" s="21"/>
      <c r="L1049" s="22"/>
      <c r="S1049">
        <f t="shared" si="64"/>
        <v>0</v>
      </c>
      <c r="T1049" s="5" t="e" cm="1">
        <f t="array" ref="T10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49" t="e">
        <f>Table1[[#This Row],[Term to Maturity (Years)]]*Table1[[#This Row],[Coupon Frequency2]]</f>
        <v>#N/A</v>
      </c>
      <c r="V1049">
        <f>Table1[[#This Row],[Face value]]*Table1[[#This Row],[Current coupon %]]</f>
        <v>0</v>
      </c>
      <c r="W1049" s="36" t="e">
        <f>RATE(Table1[[#This Row],[Total No. of Coupons]],Table1[[#This Row],[Coupon Amount]],-Table1[[#This Row],[Ask Price]],Table1[[#This Row],[Face value]])</f>
        <v>#N/A</v>
      </c>
      <c r="X1049" s="27" t="e">
        <f>Table1[[#This Row],[IRR]]*Table1[[#This Row],[Coupon Frequency2]]</f>
        <v>#N/A</v>
      </c>
      <c r="Y1049" s="19" t="e" cm="1">
        <f t="array" ref="Y10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49" s="33" t="e">
        <f>DURATION(Table1[[#This Row],[Issue date]],Table1[[#This Row],[Maturity date]],Table1[[#This Row],[Current coupon %]],Table1[[#This Row],[Yield (Annualised)]],Table1[[#This Row],[Coupon Frequency2]])</f>
        <v>#N/A</v>
      </c>
      <c r="AA1049" s="33" t="e">
        <f>Table1[[#This Row],[Macaulay Duration in Years]]/(1+Table1[[#This Row],[IRR]])</f>
        <v>#N/A</v>
      </c>
      <c r="AB1049" s="58" t="e">
        <f>VLOOKUP(Table1[[#This Row],[Yield Cluster]],'Cluster Details'!$B$3:$C$16,2,0)</f>
        <v>#N/A</v>
      </c>
      <c r="AC104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49" s="58" t="e">
        <f>IF(Table1[[#This Row],[Ask Price]]&gt;Table1[[#This Row],[Calculated Bond Price]],"Rich","Cheap")</f>
        <v>#N/A</v>
      </c>
      <c r="AE104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4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49" s="78" t="e">
        <f>(Table1[[#This Row],[P (+ shock)]]+Table1[[#This Row],[P (-shock)]]-2*Table1[[#This Row],[Ask Price]])/(2*Table1[[#This Row],[Ask Price]]*($AF$2^2))</f>
        <v>#N/A</v>
      </c>
      <c r="AH1049">
        <v>10.093382707524601</v>
      </c>
      <c r="AI1049" s="6" t="e">
        <f t="shared" si="65"/>
        <v>#DIV/0!</v>
      </c>
      <c r="AK1049" s="47" t="e">
        <f>RATE(Table1[[#This Row],[Total No. of Coupons]],Table1[[#This Row],[Coupon Amount]],-Table1[[#This Row],[Ask Price]],Table1[[#This Row],[Face value]])</f>
        <v>#N/A</v>
      </c>
      <c r="AL1049" s="27" t="e">
        <f>Table1[[#This Row],[IRR]]*Table1[[#This Row],[Coupon Frequency2]]</f>
        <v>#N/A</v>
      </c>
      <c r="AM1049" s="5" t="e">
        <f t="shared" si="66"/>
        <v>#N/A</v>
      </c>
      <c r="AN1049" t="s">
        <v>64</v>
      </c>
      <c r="AO1049" t="s">
        <v>62</v>
      </c>
      <c r="AP1049" t="str">
        <f t="shared" si="67"/>
        <v/>
      </c>
    </row>
    <row r="1050" spans="4:42" x14ac:dyDescent="0.35">
      <c r="D1050" s="21"/>
      <c r="E1050" s="21"/>
      <c r="L1050" s="22"/>
      <c r="S1050">
        <f t="shared" si="64"/>
        <v>0</v>
      </c>
      <c r="T1050" s="5" t="e" cm="1">
        <f t="array" ref="T10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0" t="e">
        <f>Table1[[#This Row],[Term to Maturity (Years)]]*Table1[[#This Row],[Coupon Frequency2]]</f>
        <v>#N/A</v>
      </c>
      <c r="V1050">
        <f>Table1[[#This Row],[Face value]]*Table1[[#This Row],[Current coupon %]]</f>
        <v>0</v>
      </c>
      <c r="W1050" s="36" t="e">
        <f>RATE(Table1[[#This Row],[Total No. of Coupons]],Table1[[#This Row],[Coupon Amount]],-Table1[[#This Row],[Ask Price]],Table1[[#This Row],[Face value]])</f>
        <v>#N/A</v>
      </c>
      <c r="X1050" s="27" t="e">
        <f>Table1[[#This Row],[IRR]]*Table1[[#This Row],[Coupon Frequency2]]</f>
        <v>#N/A</v>
      </c>
      <c r="Y1050" s="19" t="e" cm="1">
        <f t="array" ref="Y10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0" s="33" t="e">
        <f>DURATION(Table1[[#This Row],[Issue date]],Table1[[#This Row],[Maturity date]],Table1[[#This Row],[Current coupon %]],Table1[[#This Row],[Yield (Annualised)]],Table1[[#This Row],[Coupon Frequency2]])</f>
        <v>#N/A</v>
      </c>
      <c r="AA1050" s="33" t="e">
        <f>Table1[[#This Row],[Macaulay Duration in Years]]/(1+Table1[[#This Row],[IRR]])</f>
        <v>#N/A</v>
      </c>
      <c r="AB1050" s="58" t="e">
        <f>VLOOKUP(Table1[[#This Row],[Yield Cluster]],'Cluster Details'!$B$3:$C$16,2,0)</f>
        <v>#N/A</v>
      </c>
      <c r="AC105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0" s="58" t="e">
        <f>IF(Table1[[#This Row],[Ask Price]]&gt;Table1[[#This Row],[Calculated Bond Price]],"Rich","Cheap")</f>
        <v>#N/A</v>
      </c>
      <c r="AE105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0" s="78" t="e">
        <f>(Table1[[#This Row],[P (+ shock)]]+Table1[[#This Row],[P (-shock)]]-2*Table1[[#This Row],[Ask Price]])/(2*Table1[[#This Row],[Ask Price]]*($AF$2^2))</f>
        <v>#N/A</v>
      </c>
      <c r="AH1050">
        <v>10.25</v>
      </c>
      <c r="AI1050" s="6" t="e">
        <f t="shared" si="65"/>
        <v>#DIV/0!</v>
      </c>
      <c r="AK1050" s="47" t="e">
        <f>RATE(Table1[[#This Row],[Total No. of Coupons]],Table1[[#This Row],[Coupon Amount]],-Table1[[#This Row],[Ask Price]],Table1[[#This Row],[Face value]])</f>
        <v>#N/A</v>
      </c>
      <c r="AL1050" s="27" t="e">
        <f>Table1[[#This Row],[IRR]]*Table1[[#This Row],[Coupon Frequency2]]</f>
        <v>#N/A</v>
      </c>
      <c r="AM1050" s="5" t="e">
        <f t="shared" si="66"/>
        <v>#N/A</v>
      </c>
      <c r="AN1050" t="s">
        <v>64</v>
      </c>
      <c r="AO1050" t="s">
        <v>62</v>
      </c>
      <c r="AP1050" t="str">
        <f t="shared" si="67"/>
        <v/>
      </c>
    </row>
    <row r="1051" spans="4:42" x14ac:dyDescent="0.35">
      <c r="D1051" s="21"/>
      <c r="E1051" s="21"/>
      <c r="L1051" s="22"/>
      <c r="S1051">
        <f t="shared" si="64"/>
        <v>0</v>
      </c>
      <c r="T1051" s="5" t="e" cm="1">
        <f t="array" ref="T10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1" t="e">
        <f>Table1[[#This Row],[Term to Maturity (Years)]]*Table1[[#This Row],[Coupon Frequency2]]</f>
        <v>#N/A</v>
      </c>
      <c r="V1051">
        <f>Table1[[#This Row],[Face value]]*Table1[[#This Row],[Current coupon %]]</f>
        <v>0</v>
      </c>
      <c r="W1051" s="36" t="e">
        <f>RATE(Table1[[#This Row],[Total No. of Coupons]],Table1[[#This Row],[Coupon Amount]],-Table1[[#This Row],[Ask Price]],Table1[[#This Row],[Face value]])</f>
        <v>#N/A</v>
      </c>
      <c r="X1051" s="27" t="e">
        <f>Table1[[#This Row],[IRR]]*Table1[[#This Row],[Coupon Frequency2]]</f>
        <v>#N/A</v>
      </c>
      <c r="Y1051" s="19" t="e" cm="1">
        <f t="array" ref="Y10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1" s="33" t="e">
        <f>DURATION(Table1[[#This Row],[Issue date]],Table1[[#This Row],[Maturity date]],Table1[[#This Row],[Current coupon %]],Table1[[#This Row],[Yield (Annualised)]],Table1[[#This Row],[Coupon Frequency2]])</f>
        <v>#N/A</v>
      </c>
      <c r="AA1051" s="33" t="e">
        <f>Table1[[#This Row],[Macaulay Duration in Years]]/(1+Table1[[#This Row],[IRR]])</f>
        <v>#N/A</v>
      </c>
      <c r="AB1051" s="58" t="e">
        <f>VLOOKUP(Table1[[#This Row],[Yield Cluster]],'Cluster Details'!$B$3:$C$16,2,0)</f>
        <v>#N/A</v>
      </c>
      <c r="AC105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1" s="58" t="e">
        <f>IF(Table1[[#This Row],[Ask Price]]&gt;Table1[[#This Row],[Calculated Bond Price]],"Rich","Cheap")</f>
        <v>#N/A</v>
      </c>
      <c r="AE105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1" s="78" t="e">
        <f>(Table1[[#This Row],[P (+ shock)]]+Table1[[#This Row],[P (-shock)]]-2*Table1[[#This Row],[Ask Price]])/(2*Table1[[#This Row],[Ask Price]]*($AF$2^2))</f>
        <v>#N/A</v>
      </c>
      <c r="AH1051">
        <v>9.5169282523582908</v>
      </c>
      <c r="AI1051" s="6" t="e">
        <f t="shared" si="65"/>
        <v>#DIV/0!</v>
      </c>
      <c r="AK1051" s="47" t="e">
        <f>RATE(Table1[[#This Row],[Total No. of Coupons]],Table1[[#This Row],[Coupon Amount]],-Table1[[#This Row],[Ask Price]],Table1[[#This Row],[Face value]])</f>
        <v>#N/A</v>
      </c>
      <c r="AL1051" s="27" t="e">
        <f>Table1[[#This Row],[IRR]]*Table1[[#This Row],[Coupon Frequency2]]</f>
        <v>#N/A</v>
      </c>
      <c r="AM1051" s="5" t="e">
        <f t="shared" si="66"/>
        <v>#N/A</v>
      </c>
      <c r="AN1051" t="s">
        <v>64</v>
      </c>
      <c r="AO1051" t="s">
        <v>62</v>
      </c>
      <c r="AP1051" t="str">
        <f t="shared" si="67"/>
        <v/>
      </c>
    </row>
    <row r="1052" spans="4:42" x14ac:dyDescent="0.35">
      <c r="D1052" s="21"/>
      <c r="E1052" s="21"/>
      <c r="L1052" s="22"/>
      <c r="S1052">
        <f t="shared" si="64"/>
        <v>0</v>
      </c>
      <c r="T1052" s="5" t="e" cm="1">
        <f t="array" ref="T10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2" t="e">
        <f>Table1[[#This Row],[Term to Maturity (Years)]]*Table1[[#This Row],[Coupon Frequency2]]</f>
        <v>#N/A</v>
      </c>
      <c r="V1052">
        <f>Table1[[#This Row],[Face value]]*Table1[[#This Row],[Current coupon %]]</f>
        <v>0</v>
      </c>
      <c r="W1052" s="36" t="e">
        <f>RATE(Table1[[#This Row],[Total No. of Coupons]],Table1[[#This Row],[Coupon Amount]],-Table1[[#This Row],[Ask Price]],Table1[[#This Row],[Face value]])</f>
        <v>#N/A</v>
      </c>
      <c r="X1052" s="27" t="e">
        <f>Table1[[#This Row],[IRR]]*Table1[[#This Row],[Coupon Frequency2]]</f>
        <v>#N/A</v>
      </c>
      <c r="Y1052" s="19" t="e" cm="1">
        <f t="array" ref="Y10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2" s="33" t="e">
        <f>DURATION(Table1[[#This Row],[Issue date]],Table1[[#This Row],[Maturity date]],Table1[[#This Row],[Current coupon %]],Table1[[#This Row],[Yield (Annualised)]],Table1[[#This Row],[Coupon Frequency2]])</f>
        <v>#N/A</v>
      </c>
      <c r="AA1052" s="33" t="e">
        <f>Table1[[#This Row],[Macaulay Duration in Years]]/(1+Table1[[#This Row],[IRR]])</f>
        <v>#N/A</v>
      </c>
      <c r="AB1052" s="58" t="e">
        <f>VLOOKUP(Table1[[#This Row],[Yield Cluster]],'Cluster Details'!$B$3:$C$16,2,0)</f>
        <v>#N/A</v>
      </c>
      <c r="AC105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2" s="58" t="e">
        <f>IF(Table1[[#This Row],[Ask Price]]&gt;Table1[[#This Row],[Calculated Bond Price]],"Rich","Cheap")</f>
        <v>#N/A</v>
      </c>
      <c r="AE105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2" s="78" t="e">
        <f>(Table1[[#This Row],[P (+ shock)]]+Table1[[#This Row],[P (-shock)]]-2*Table1[[#This Row],[Ask Price]])/(2*Table1[[#This Row],[Ask Price]]*($AF$2^2))</f>
        <v>#N/A</v>
      </c>
      <c r="AH1052">
        <v>10.029999999999999</v>
      </c>
      <c r="AI1052" s="6" t="e">
        <f t="shared" si="65"/>
        <v>#DIV/0!</v>
      </c>
      <c r="AK1052" s="47" t="e">
        <f>RATE(Table1[[#This Row],[Total No. of Coupons]],Table1[[#This Row],[Coupon Amount]],-Table1[[#This Row],[Ask Price]],Table1[[#This Row],[Face value]])</f>
        <v>#N/A</v>
      </c>
      <c r="AL1052" s="27" t="e">
        <f>Table1[[#This Row],[IRR]]*Table1[[#This Row],[Coupon Frequency2]]</f>
        <v>#N/A</v>
      </c>
      <c r="AM1052" s="5" t="e">
        <f t="shared" si="66"/>
        <v>#N/A</v>
      </c>
      <c r="AN1052" t="s">
        <v>64</v>
      </c>
      <c r="AO1052" t="s">
        <v>62</v>
      </c>
      <c r="AP1052" t="str">
        <f t="shared" si="67"/>
        <v/>
      </c>
    </row>
    <row r="1053" spans="4:42" x14ac:dyDescent="0.35">
      <c r="D1053" s="21"/>
      <c r="E1053" s="21"/>
      <c r="L1053" s="22"/>
      <c r="S1053">
        <f t="shared" si="64"/>
        <v>0</v>
      </c>
      <c r="T1053" s="5" t="e" cm="1">
        <f t="array" ref="T10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3" t="e">
        <f>Table1[[#This Row],[Term to Maturity (Years)]]*Table1[[#This Row],[Coupon Frequency2]]</f>
        <v>#N/A</v>
      </c>
      <c r="V1053">
        <f>Table1[[#This Row],[Face value]]*Table1[[#This Row],[Current coupon %]]</f>
        <v>0</v>
      </c>
      <c r="W1053" s="36" t="e">
        <f>RATE(Table1[[#This Row],[Total No. of Coupons]],Table1[[#This Row],[Coupon Amount]],-Table1[[#This Row],[Ask Price]],Table1[[#This Row],[Face value]])</f>
        <v>#N/A</v>
      </c>
      <c r="X1053" s="27" t="e">
        <f>Table1[[#This Row],[IRR]]*Table1[[#This Row],[Coupon Frequency2]]</f>
        <v>#N/A</v>
      </c>
      <c r="Y1053" s="19" t="e" cm="1">
        <f t="array" ref="Y10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3" s="33" t="e">
        <f>DURATION(Table1[[#This Row],[Issue date]],Table1[[#This Row],[Maturity date]],Table1[[#This Row],[Current coupon %]],Table1[[#This Row],[Yield (Annualised)]],Table1[[#This Row],[Coupon Frequency2]])</f>
        <v>#N/A</v>
      </c>
      <c r="AA1053" s="33" t="e">
        <f>Table1[[#This Row],[Macaulay Duration in Years]]/(1+Table1[[#This Row],[IRR]])</f>
        <v>#N/A</v>
      </c>
      <c r="AB1053" s="58" t="e">
        <f>VLOOKUP(Table1[[#This Row],[Yield Cluster]],'Cluster Details'!$B$3:$C$16,2,0)</f>
        <v>#N/A</v>
      </c>
      <c r="AC105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3" s="58" t="e">
        <f>IF(Table1[[#This Row],[Ask Price]]&gt;Table1[[#This Row],[Calculated Bond Price]],"Rich","Cheap")</f>
        <v>#N/A</v>
      </c>
      <c r="AE105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3" s="78" t="e">
        <f>(Table1[[#This Row],[P (+ shock)]]+Table1[[#This Row],[P (-shock)]]-2*Table1[[#This Row],[Ask Price]])/(2*Table1[[#This Row],[Ask Price]]*($AF$2^2))</f>
        <v>#N/A</v>
      </c>
      <c r="AH1053">
        <v>10.0084799356099</v>
      </c>
      <c r="AI1053" s="6" t="e">
        <f t="shared" si="65"/>
        <v>#DIV/0!</v>
      </c>
      <c r="AK1053" s="47" t="e">
        <f>RATE(Table1[[#This Row],[Total No. of Coupons]],Table1[[#This Row],[Coupon Amount]],-Table1[[#This Row],[Ask Price]],Table1[[#This Row],[Face value]])</f>
        <v>#N/A</v>
      </c>
      <c r="AL1053" s="27" t="e">
        <f>Table1[[#This Row],[IRR]]*Table1[[#This Row],[Coupon Frequency2]]</f>
        <v>#N/A</v>
      </c>
      <c r="AM1053" s="5" t="e">
        <f t="shared" si="66"/>
        <v>#N/A</v>
      </c>
      <c r="AN1053" t="s">
        <v>64</v>
      </c>
      <c r="AO1053" t="s">
        <v>62</v>
      </c>
      <c r="AP1053" t="str">
        <f t="shared" si="67"/>
        <v/>
      </c>
    </row>
    <row r="1054" spans="4:42" x14ac:dyDescent="0.35">
      <c r="D1054" s="21"/>
      <c r="E1054" s="21"/>
      <c r="L1054" s="22"/>
      <c r="S1054">
        <f t="shared" si="64"/>
        <v>0</v>
      </c>
      <c r="T1054" s="5" t="e" cm="1">
        <f t="array" ref="T10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4" t="e">
        <f>Table1[[#This Row],[Term to Maturity (Years)]]*Table1[[#This Row],[Coupon Frequency2]]</f>
        <v>#N/A</v>
      </c>
      <c r="V1054">
        <f>Table1[[#This Row],[Face value]]*Table1[[#This Row],[Current coupon %]]</f>
        <v>0</v>
      </c>
      <c r="W1054" s="36" t="e">
        <f>RATE(Table1[[#This Row],[Total No. of Coupons]],Table1[[#This Row],[Coupon Amount]],-Table1[[#This Row],[Ask Price]],Table1[[#This Row],[Face value]])</f>
        <v>#N/A</v>
      </c>
      <c r="X1054" s="27" t="e">
        <f>Table1[[#This Row],[IRR]]*Table1[[#This Row],[Coupon Frequency2]]</f>
        <v>#N/A</v>
      </c>
      <c r="Y1054" s="19" t="e" cm="1">
        <f t="array" ref="Y10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4" s="33" t="e">
        <f>DURATION(Table1[[#This Row],[Issue date]],Table1[[#This Row],[Maturity date]],Table1[[#This Row],[Current coupon %]],Table1[[#This Row],[Yield (Annualised)]],Table1[[#This Row],[Coupon Frequency2]])</f>
        <v>#N/A</v>
      </c>
      <c r="AA1054" s="33" t="e">
        <f>Table1[[#This Row],[Macaulay Duration in Years]]/(1+Table1[[#This Row],[IRR]])</f>
        <v>#N/A</v>
      </c>
      <c r="AB1054" s="58" t="e">
        <f>VLOOKUP(Table1[[#This Row],[Yield Cluster]],'Cluster Details'!$B$3:$C$16,2,0)</f>
        <v>#N/A</v>
      </c>
      <c r="AC105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4" s="58" t="e">
        <f>IF(Table1[[#This Row],[Ask Price]]&gt;Table1[[#This Row],[Calculated Bond Price]],"Rich","Cheap")</f>
        <v>#N/A</v>
      </c>
      <c r="AE105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4" s="78" t="e">
        <f>(Table1[[#This Row],[P (+ shock)]]+Table1[[#This Row],[P (-shock)]]-2*Table1[[#This Row],[Ask Price]])/(2*Table1[[#This Row],[Ask Price]]*($AF$2^2))</f>
        <v>#N/A</v>
      </c>
      <c r="AH1054">
        <v>9.1273686968128001</v>
      </c>
      <c r="AI1054" s="6" t="e">
        <f t="shared" si="65"/>
        <v>#DIV/0!</v>
      </c>
      <c r="AK1054" s="47" t="e">
        <f>RATE(Table1[[#This Row],[Total No. of Coupons]],Table1[[#This Row],[Coupon Amount]],-Table1[[#This Row],[Ask Price]],Table1[[#This Row],[Face value]])</f>
        <v>#N/A</v>
      </c>
      <c r="AL1054" s="27" t="e">
        <f>Table1[[#This Row],[IRR]]*Table1[[#This Row],[Coupon Frequency2]]</f>
        <v>#N/A</v>
      </c>
      <c r="AM1054" s="5" t="e">
        <f t="shared" si="66"/>
        <v>#N/A</v>
      </c>
      <c r="AN1054" t="s">
        <v>64</v>
      </c>
      <c r="AO1054" t="s">
        <v>62</v>
      </c>
      <c r="AP1054" t="str">
        <f t="shared" si="67"/>
        <v/>
      </c>
    </row>
    <row r="1055" spans="4:42" x14ac:dyDescent="0.35">
      <c r="D1055" s="21"/>
      <c r="E1055" s="21"/>
      <c r="L1055" s="22"/>
      <c r="S1055">
        <f t="shared" si="64"/>
        <v>0</v>
      </c>
      <c r="T1055" s="5" t="e" cm="1">
        <f t="array" ref="T10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5" t="e">
        <f>Table1[[#This Row],[Term to Maturity (Years)]]*Table1[[#This Row],[Coupon Frequency2]]</f>
        <v>#N/A</v>
      </c>
      <c r="V1055">
        <f>Table1[[#This Row],[Face value]]*Table1[[#This Row],[Current coupon %]]</f>
        <v>0</v>
      </c>
      <c r="W1055" s="36" t="e">
        <f>RATE(Table1[[#This Row],[Total No. of Coupons]],Table1[[#This Row],[Coupon Amount]],-Table1[[#This Row],[Ask Price]],Table1[[#This Row],[Face value]])</f>
        <v>#N/A</v>
      </c>
      <c r="X1055" s="27" t="e">
        <f>Table1[[#This Row],[IRR]]*Table1[[#This Row],[Coupon Frequency2]]</f>
        <v>#N/A</v>
      </c>
      <c r="Y1055" s="19" t="e" cm="1">
        <f t="array" ref="Y10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5" s="33" t="e">
        <f>DURATION(Table1[[#This Row],[Issue date]],Table1[[#This Row],[Maturity date]],Table1[[#This Row],[Current coupon %]],Table1[[#This Row],[Yield (Annualised)]],Table1[[#This Row],[Coupon Frequency2]])</f>
        <v>#N/A</v>
      </c>
      <c r="AA1055" s="33" t="e">
        <f>Table1[[#This Row],[Macaulay Duration in Years]]/(1+Table1[[#This Row],[IRR]])</f>
        <v>#N/A</v>
      </c>
      <c r="AB1055" s="58" t="e">
        <f>VLOOKUP(Table1[[#This Row],[Yield Cluster]],'Cluster Details'!$B$3:$C$16,2,0)</f>
        <v>#N/A</v>
      </c>
      <c r="AC105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5" s="58" t="e">
        <f>IF(Table1[[#This Row],[Ask Price]]&gt;Table1[[#This Row],[Calculated Bond Price]],"Rich","Cheap")</f>
        <v>#N/A</v>
      </c>
      <c r="AE105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5" s="78" t="e">
        <f>(Table1[[#This Row],[P (+ shock)]]+Table1[[#This Row],[P (-shock)]]-2*Table1[[#This Row],[Ask Price]])/(2*Table1[[#This Row],[Ask Price]]*($AF$2^2))</f>
        <v>#N/A</v>
      </c>
      <c r="AH1055">
        <v>7.1950323581677598</v>
      </c>
      <c r="AI1055" s="6" t="e">
        <f t="shared" si="65"/>
        <v>#DIV/0!</v>
      </c>
      <c r="AK1055" s="47" t="e">
        <f>RATE(Table1[[#This Row],[Total No. of Coupons]],Table1[[#This Row],[Coupon Amount]],-Table1[[#This Row],[Ask Price]],Table1[[#This Row],[Face value]])</f>
        <v>#N/A</v>
      </c>
      <c r="AL1055" s="27" t="e">
        <f>Table1[[#This Row],[IRR]]*Table1[[#This Row],[Coupon Frequency2]]</f>
        <v>#N/A</v>
      </c>
      <c r="AM1055" s="5" t="e">
        <f t="shared" si="66"/>
        <v>#N/A</v>
      </c>
      <c r="AN1055" t="s">
        <v>64</v>
      </c>
      <c r="AO1055" t="s">
        <v>62</v>
      </c>
      <c r="AP1055" t="str">
        <f t="shared" si="67"/>
        <v/>
      </c>
    </row>
    <row r="1056" spans="4:42" x14ac:dyDescent="0.35">
      <c r="D1056" s="21"/>
      <c r="E1056" s="21"/>
      <c r="L1056" s="22"/>
      <c r="S1056">
        <f t="shared" si="64"/>
        <v>0</v>
      </c>
      <c r="T1056" s="5" t="e" cm="1">
        <f t="array" ref="T10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6" t="e">
        <f>Table1[[#This Row],[Term to Maturity (Years)]]*Table1[[#This Row],[Coupon Frequency2]]</f>
        <v>#N/A</v>
      </c>
      <c r="V1056">
        <f>Table1[[#This Row],[Face value]]*Table1[[#This Row],[Current coupon %]]</f>
        <v>0</v>
      </c>
      <c r="W1056" s="36" t="e">
        <f>RATE(Table1[[#This Row],[Total No. of Coupons]],Table1[[#This Row],[Coupon Amount]],-Table1[[#This Row],[Ask Price]],Table1[[#This Row],[Face value]])</f>
        <v>#N/A</v>
      </c>
      <c r="X1056" s="27" t="e">
        <f>Table1[[#This Row],[IRR]]*Table1[[#This Row],[Coupon Frequency2]]</f>
        <v>#N/A</v>
      </c>
      <c r="Y1056" s="19" t="e" cm="1">
        <f t="array" ref="Y10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6" s="33" t="e">
        <f>DURATION(Table1[[#This Row],[Issue date]],Table1[[#This Row],[Maturity date]],Table1[[#This Row],[Current coupon %]],Table1[[#This Row],[Yield (Annualised)]],Table1[[#This Row],[Coupon Frequency2]])</f>
        <v>#N/A</v>
      </c>
      <c r="AA1056" s="33" t="e">
        <f>Table1[[#This Row],[Macaulay Duration in Years]]/(1+Table1[[#This Row],[IRR]])</f>
        <v>#N/A</v>
      </c>
      <c r="AB1056" s="58" t="e">
        <f>VLOOKUP(Table1[[#This Row],[Yield Cluster]],'Cluster Details'!$B$3:$C$16,2,0)</f>
        <v>#N/A</v>
      </c>
      <c r="AC105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6" s="58" t="e">
        <f>IF(Table1[[#This Row],[Ask Price]]&gt;Table1[[#This Row],[Calculated Bond Price]],"Rich","Cheap")</f>
        <v>#N/A</v>
      </c>
      <c r="AE105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6" s="78" t="e">
        <f>(Table1[[#This Row],[P (+ shock)]]+Table1[[#This Row],[P (-shock)]]-2*Table1[[#This Row],[Ask Price]])/(2*Table1[[#This Row],[Ask Price]]*($AF$2^2))</f>
        <v>#N/A</v>
      </c>
      <c r="AH1056">
        <v>6.4388179751704797</v>
      </c>
      <c r="AI1056" s="6" t="e">
        <f t="shared" si="65"/>
        <v>#DIV/0!</v>
      </c>
      <c r="AK1056" s="47" t="e">
        <f>RATE(Table1[[#This Row],[Total No. of Coupons]],Table1[[#This Row],[Coupon Amount]],-Table1[[#This Row],[Ask Price]],Table1[[#This Row],[Face value]])</f>
        <v>#N/A</v>
      </c>
      <c r="AL1056" s="27" t="e">
        <f>Table1[[#This Row],[IRR]]*Table1[[#This Row],[Coupon Frequency2]]</f>
        <v>#N/A</v>
      </c>
      <c r="AM1056" s="5" t="e">
        <f t="shared" si="66"/>
        <v>#N/A</v>
      </c>
      <c r="AN1056" t="s">
        <v>64</v>
      </c>
      <c r="AO1056" t="s">
        <v>62</v>
      </c>
      <c r="AP1056" t="str">
        <f t="shared" si="67"/>
        <v/>
      </c>
    </row>
    <row r="1057" spans="4:42" x14ac:dyDescent="0.35">
      <c r="D1057" s="21"/>
      <c r="E1057" s="21"/>
      <c r="L1057" s="22"/>
      <c r="S1057">
        <f t="shared" si="64"/>
        <v>0</v>
      </c>
      <c r="T1057" s="5" t="e" cm="1">
        <f t="array" ref="T10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7" t="e">
        <f>Table1[[#This Row],[Term to Maturity (Years)]]*Table1[[#This Row],[Coupon Frequency2]]</f>
        <v>#N/A</v>
      </c>
      <c r="V1057">
        <f>Table1[[#This Row],[Face value]]*Table1[[#This Row],[Current coupon %]]</f>
        <v>0</v>
      </c>
      <c r="W1057" s="36" t="e">
        <f>RATE(Table1[[#This Row],[Total No. of Coupons]],Table1[[#This Row],[Coupon Amount]],-Table1[[#This Row],[Ask Price]],Table1[[#This Row],[Face value]])</f>
        <v>#N/A</v>
      </c>
      <c r="X1057" s="27" t="e">
        <f>Table1[[#This Row],[IRR]]*Table1[[#This Row],[Coupon Frequency2]]</f>
        <v>#N/A</v>
      </c>
      <c r="Y1057" s="19" t="e" cm="1">
        <f t="array" ref="Y10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7" s="33" t="e">
        <f>DURATION(Table1[[#This Row],[Issue date]],Table1[[#This Row],[Maturity date]],Table1[[#This Row],[Current coupon %]],Table1[[#This Row],[Yield (Annualised)]],Table1[[#This Row],[Coupon Frequency2]])</f>
        <v>#N/A</v>
      </c>
      <c r="AA1057" s="33" t="e">
        <f>Table1[[#This Row],[Macaulay Duration in Years]]/(1+Table1[[#This Row],[IRR]])</f>
        <v>#N/A</v>
      </c>
      <c r="AB1057" s="58" t="e">
        <f>VLOOKUP(Table1[[#This Row],[Yield Cluster]],'Cluster Details'!$B$3:$C$16,2,0)</f>
        <v>#N/A</v>
      </c>
      <c r="AC105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7" s="58" t="e">
        <f>IF(Table1[[#This Row],[Ask Price]]&gt;Table1[[#This Row],[Calculated Bond Price]],"Rich","Cheap")</f>
        <v>#N/A</v>
      </c>
      <c r="AE105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7" s="78" t="e">
        <f>(Table1[[#This Row],[P (+ shock)]]+Table1[[#This Row],[P (-shock)]]-2*Table1[[#This Row],[Ask Price]])/(2*Table1[[#This Row],[Ask Price]]*($AF$2^2))</f>
        <v>#N/A</v>
      </c>
      <c r="AH1057">
        <v>6.5285932744021897</v>
      </c>
      <c r="AI1057" s="6" t="e">
        <f t="shared" si="65"/>
        <v>#DIV/0!</v>
      </c>
      <c r="AK1057" s="47" t="e">
        <f>RATE(Table1[[#This Row],[Total No. of Coupons]],Table1[[#This Row],[Coupon Amount]],-Table1[[#This Row],[Ask Price]],Table1[[#This Row],[Face value]])</f>
        <v>#N/A</v>
      </c>
      <c r="AL1057" s="27" t="e">
        <f>Table1[[#This Row],[IRR]]*Table1[[#This Row],[Coupon Frequency2]]</f>
        <v>#N/A</v>
      </c>
      <c r="AM1057" s="5" t="e">
        <f t="shared" si="66"/>
        <v>#N/A</v>
      </c>
      <c r="AN1057" t="s">
        <v>64</v>
      </c>
      <c r="AO1057" t="s">
        <v>62</v>
      </c>
      <c r="AP1057" t="str">
        <f t="shared" si="67"/>
        <v/>
      </c>
    </row>
    <row r="1058" spans="4:42" x14ac:dyDescent="0.35">
      <c r="D1058" s="21"/>
      <c r="E1058" s="21"/>
      <c r="L1058" s="22"/>
      <c r="S1058">
        <f t="shared" si="64"/>
        <v>0</v>
      </c>
      <c r="T1058" s="5" t="e" cm="1">
        <f t="array" ref="T10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8" t="e">
        <f>Table1[[#This Row],[Term to Maturity (Years)]]*Table1[[#This Row],[Coupon Frequency2]]</f>
        <v>#N/A</v>
      </c>
      <c r="V1058">
        <f>Table1[[#This Row],[Face value]]*Table1[[#This Row],[Current coupon %]]</f>
        <v>0</v>
      </c>
      <c r="W1058" s="36" t="e">
        <f>RATE(Table1[[#This Row],[Total No. of Coupons]],Table1[[#This Row],[Coupon Amount]],-Table1[[#This Row],[Ask Price]],Table1[[#This Row],[Face value]])</f>
        <v>#N/A</v>
      </c>
      <c r="X1058" s="27" t="e">
        <f>Table1[[#This Row],[IRR]]*Table1[[#This Row],[Coupon Frequency2]]</f>
        <v>#N/A</v>
      </c>
      <c r="Y1058" s="19" t="e" cm="1">
        <f t="array" ref="Y10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8" s="33" t="e">
        <f>DURATION(Table1[[#This Row],[Issue date]],Table1[[#This Row],[Maturity date]],Table1[[#This Row],[Current coupon %]],Table1[[#This Row],[Yield (Annualised)]],Table1[[#This Row],[Coupon Frequency2]])</f>
        <v>#N/A</v>
      </c>
      <c r="AA1058" s="33" t="e">
        <f>Table1[[#This Row],[Macaulay Duration in Years]]/(1+Table1[[#This Row],[IRR]])</f>
        <v>#N/A</v>
      </c>
      <c r="AB1058" s="58" t="e">
        <f>VLOOKUP(Table1[[#This Row],[Yield Cluster]],'Cluster Details'!$B$3:$C$16,2,0)</f>
        <v>#N/A</v>
      </c>
      <c r="AC105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8" s="58" t="e">
        <f>IF(Table1[[#This Row],[Ask Price]]&gt;Table1[[#This Row],[Calculated Bond Price]],"Rich","Cheap")</f>
        <v>#N/A</v>
      </c>
      <c r="AE105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8" s="78" t="e">
        <f>(Table1[[#This Row],[P (+ shock)]]+Table1[[#This Row],[P (-shock)]]-2*Table1[[#This Row],[Ask Price]])/(2*Table1[[#This Row],[Ask Price]]*($AF$2^2))</f>
        <v>#N/A</v>
      </c>
      <c r="AH1058">
        <v>10.019901346940999</v>
      </c>
      <c r="AI1058" s="6" t="e">
        <f t="shared" si="65"/>
        <v>#DIV/0!</v>
      </c>
      <c r="AK1058" s="47" t="e">
        <f>RATE(Table1[[#This Row],[Total No. of Coupons]],Table1[[#This Row],[Coupon Amount]],-Table1[[#This Row],[Ask Price]],Table1[[#This Row],[Face value]])</f>
        <v>#N/A</v>
      </c>
      <c r="AL1058" s="27" t="e">
        <f>Table1[[#This Row],[IRR]]*Table1[[#This Row],[Coupon Frequency2]]</f>
        <v>#N/A</v>
      </c>
      <c r="AM1058" s="5" t="e">
        <f t="shared" si="66"/>
        <v>#N/A</v>
      </c>
      <c r="AN1058" t="s">
        <v>64</v>
      </c>
      <c r="AO1058" t="s">
        <v>62</v>
      </c>
      <c r="AP1058" t="str">
        <f t="shared" si="67"/>
        <v/>
      </c>
    </row>
    <row r="1059" spans="4:42" x14ac:dyDescent="0.35">
      <c r="D1059" s="21"/>
      <c r="E1059" s="21"/>
      <c r="L1059" s="22"/>
      <c r="S1059">
        <f t="shared" si="64"/>
        <v>0</v>
      </c>
      <c r="T1059" s="5" t="e" cm="1">
        <f t="array" ref="T10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59" t="e">
        <f>Table1[[#This Row],[Term to Maturity (Years)]]*Table1[[#This Row],[Coupon Frequency2]]</f>
        <v>#N/A</v>
      </c>
      <c r="V1059">
        <f>Table1[[#This Row],[Face value]]*Table1[[#This Row],[Current coupon %]]</f>
        <v>0</v>
      </c>
      <c r="W1059" s="36" t="e">
        <f>RATE(Table1[[#This Row],[Total No. of Coupons]],Table1[[#This Row],[Coupon Amount]],-Table1[[#This Row],[Ask Price]],Table1[[#This Row],[Face value]])</f>
        <v>#N/A</v>
      </c>
      <c r="X1059" s="27" t="e">
        <f>Table1[[#This Row],[IRR]]*Table1[[#This Row],[Coupon Frequency2]]</f>
        <v>#N/A</v>
      </c>
      <c r="Y1059" s="19" t="e" cm="1">
        <f t="array" ref="Y10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59" s="33" t="e">
        <f>DURATION(Table1[[#This Row],[Issue date]],Table1[[#This Row],[Maturity date]],Table1[[#This Row],[Current coupon %]],Table1[[#This Row],[Yield (Annualised)]],Table1[[#This Row],[Coupon Frequency2]])</f>
        <v>#N/A</v>
      </c>
      <c r="AA1059" s="33" t="e">
        <f>Table1[[#This Row],[Macaulay Duration in Years]]/(1+Table1[[#This Row],[IRR]])</f>
        <v>#N/A</v>
      </c>
      <c r="AB1059" s="58" t="e">
        <f>VLOOKUP(Table1[[#This Row],[Yield Cluster]],'Cluster Details'!$B$3:$C$16,2,0)</f>
        <v>#N/A</v>
      </c>
      <c r="AC105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59" s="58" t="e">
        <f>IF(Table1[[#This Row],[Ask Price]]&gt;Table1[[#This Row],[Calculated Bond Price]],"Rich","Cheap")</f>
        <v>#N/A</v>
      </c>
      <c r="AE105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5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59" s="78" t="e">
        <f>(Table1[[#This Row],[P (+ shock)]]+Table1[[#This Row],[P (-shock)]]-2*Table1[[#This Row],[Ask Price]])/(2*Table1[[#This Row],[Ask Price]]*($AF$2^2))</f>
        <v>#N/A</v>
      </c>
      <c r="AH1059">
        <v>4.0756402705097097</v>
      </c>
      <c r="AI1059" s="6" t="e">
        <f t="shared" si="65"/>
        <v>#DIV/0!</v>
      </c>
      <c r="AK1059" s="47" t="e">
        <f>RATE(Table1[[#This Row],[Total No. of Coupons]],Table1[[#This Row],[Coupon Amount]],-Table1[[#This Row],[Ask Price]],Table1[[#This Row],[Face value]])</f>
        <v>#N/A</v>
      </c>
      <c r="AL1059" s="27" t="e">
        <f>Table1[[#This Row],[IRR]]*Table1[[#This Row],[Coupon Frequency2]]</f>
        <v>#N/A</v>
      </c>
      <c r="AM1059" s="5" t="e">
        <f t="shared" si="66"/>
        <v>#N/A</v>
      </c>
      <c r="AN1059" t="s">
        <v>64</v>
      </c>
      <c r="AO1059" t="s">
        <v>62</v>
      </c>
      <c r="AP1059" t="str">
        <f t="shared" si="67"/>
        <v/>
      </c>
    </row>
    <row r="1060" spans="4:42" x14ac:dyDescent="0.35">
      <c r="D1060" s="21"/>
      <c r="E1060" s="21"/>
      <c r="L1060" s="22"/>
      <c r="S1060">
        <f t="shared" si="64"/>
        <v>0</v>
      </c>
      <c r="T1060" s="5" t="e" cm="1">
        <f t="array" ref="T10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0" t="e">
        <f>Table1[[#This Row],[Term to Maturity (Years)]]*Table1[[#This Row],[Coupon Frequency2]]</f>
        <v>#N/A</v>
      </c>
      <c r="V1060">
        <f>Table1[[#This Row],[Face value]]*Table1[[#This Row],[Current coupon %]]</f>
        <v>0</v>
      </c>
      <c r="W1060" s="36" t="e">
        <f>RATE(Table1[[#This Row],[Total No. of Coupons]],Table1[[#This Row],[Coupon Amount]],-Table1[[#This Row],[Ask Price]],Table1[[#This Row],[Face value]])</f>
        <v>#N/A</v>
      </c>
      <c r="X1060" s="27" t="e">
        <f>Table1[[#This Row],[IRR]]*Table1[[#This Row],[Coupon Frequency2]]</f>
        <v>#N/A</v>
      </c>
      <c r="Y1060" s="19" t="e" cm="1">
        <f t="array" ref="Y10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0" s="33" t="e">
        <f>DURATION(Table1[[#This Row],[Issue date]],Table1[[#This Row],[Maturity date]],Table1[[#This Row],[Current coupon %]],Table1[[#This Row],[Yield (Annualised)]],Table1[[#This Row],[Coupon Frequency2]])</f>
        <v>#N/A</v>
      </c>
      <c r="AA1060" s="33" t="e">
        <f>Table1[[#This Row],[Macaulay Duration in Years]]/(1+Table1[[#This Row],[IRR]])</f>
        <v>#N/A</v>
      </c>
      <c r="AB1060" s="58" t="e">
        <f>VLOOKUP(Table1[[#This Row],[Yield Cluster]],'Cluster Details'!$B$3:$C$16,2,0)</f>
        <v>#N/A</v>
      </c>
      <c r="AC106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0" s="58" t="e">
        <f>IF(Table1[[#This Row],[Ask Price]]&gt;Table1[[#This Row],[Calculated Bond Price]],"Rich","Cheap")</f>
        <v>#N/A</v>
      </c>
      <c r="AE106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0" s="78" t="e">
        <f>(Table1[[#This Row],[P (+ shock)]]+Table1[[#This Row],[P (-shock)]]-2*Table1[[#This Row],[Ask Price]])/(2*Table1[[#This Row],[Ask Price]]*($AF$2^2))</f>
        <v>#N/A</v>
      </c>
      <c r="AH1060">
        <v>3.79708497445823</v>
      </c>
      <c r="AI1060" s="6" t="e">
        <f t="shared" si="65"/>
        <v>#DIV/0!</v>
      </c>
      <c r="AK1060" s="47" t="e">
        <f>RATE(Table1[[#This Row],[Total No. of Coupons]],Table1[[#This Row],[Coupon Amount]],-Table1[[#This Row],[Ask Price]],Table1[[#This Row],[Face value]])</f>
        <v>#N/A</v>
      </c>
      <c r="AL1060" s="27" t="e">
        <f>Table1[[#This Row],[IRR]]*Table1[[#This Row],[Coupon Frequency2]]</f>
        <v>#N/A</v>
      </c>
      <c r="AM1060" s="5" t="e">
        <f t="shared" si="66"/>
        <v>#N/A</v>
      </c>
      <c r="AN1060" t="s">
        <v>64</v>
      </c>
      <c r="AO1060" t="s">
        <v>62</v>
      </c>
      <c r="AP1060" t="str">
        <f t="shared" si="67"/>
        <v/>
      </c>
    </row>
    <row r="1061" spans="4:42" x14ac:dyDescent="0.35">
      <c r="D1061" s="21"/>
      <c r="E1061" s="21"/>
      <c r="L1061" s="22"/>
      <c r="S1061">
        <f t="shared" si="64"/>
        <v>0</v>
      </c>
      <c r="T1061" s="5" t="e" cm="1">
        <f t="array" ref="T10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1" t="e">
        <f>Table1[[#This Row],[Term to Maturity (Years)]]*Table1[[#This Row],[Coupon Frequency2]]</f>
        <v>#N/A</v>
      </c>
      <c r="V1061">
        <f>Table1[[#This Row],[Face value]]*Table1[[#This Row],[Current coupon %]]</f>
        <v>0</v>
      </c>
      <c r="W1061" s="36" t="e">
        <f>RATE(Table1[[#This Row],[Total No. of Coupons]],Table1[[#This Row],[Coupon Amount]],-Table1[[#This Row],[Ask Price]],Table1[[#This Row],[Face value]])</f>
        <v>#N/A</v>
      </c>
      <c r="X1061" s="27" t="e">
        <f>Table1[[#This Row],[IRR]]*Table1[[#This Row],[Coupon Frequency2]]</f>
        <v>#N/A</v>
      </c>
      <c r="Y1061" s="19" t="e" cm="1">
        <f t="array" ref="Y10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1" s="33" t="e">
        <f>DURATION(Table1[[#This Row],[Issue date]],Table1[[#This Row],[Maturity date]],Table1[[#This Row],[Current coupon %]],Table1[[#This Row],[Yield (Annualised)]],Table1[[#This Row],[Coupon Frequency2]])</f>
        <v>#N/A</v>
      </c>
      <c r="AA1061" s="33" t="e">
        <f>Table1[[#This Row],[Macaulay Duration in Years]]/(1+Table1[[#This Row],[IRR]])</f>
        <v>#N/A</v>
      </c>
      <c r="AB1061" s="58" t="e">
        <f>VLOOKUP(Table1[[#This Row],[Yield Cluster]],'Cluster Details'!$B$3:$C$16,2,0)</f>
        <v>#N/A</v>
      </c>
      <c r="AC106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1" s="58" t="e">
        <f>IF(Table1[[#This Row],[Ask Price]]&gt;Table1[[#This Row],[Calculated Bond Price]],"Rich","Cheap")</f>
        <v>#N/A</v>
      </c>
      <c r="AE106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1" s="78" t="e">
        <f>(Table1[[#This Row],[P (+ shock)]]+Table1[[#This Row],[P (-shock)]]-2*Table1[[#This Row],[Ask Price]])/(2*Table1[[#This Row],[Ask Price]]*($AF$2^2))</f>
        <v>#N/A</v>
      </c>
      <c r="AH1061">
        <v>4.9330898000239101</v>
      </c>
      <c r="AI1061" s="6" t="e">
        <f t="shared" si="65"/>
        <v>#DIV/0!</v>
      </c>
      <c r="AK1061" s="47" t="e">
        <f>RATE(Table1[[#This Row],[Total No. of Coupons]],Table1[[#This Row],[Coupon Amount]],-Table1[[#This Row],[Ask Price]],Table1[[#This Row],[Face value]])</f>
        <v>#N/A</v>
      </c>
      <c r="AL1061" s="27" t="e">
        <f>Table1[[#This Row],[IRR]]*Table1[[#This Row],[Coupon Frequency2]]</f>
        <v>#N/A</v>
      </c>
      <c r="AM1061" s="5" t="e">
        <f t="shared" si="66"/>
        <v>#N/A</v>
      </c>
      <c r="AN1061" t="s">
        <v>64</v>
      </c>
      <c r="AO1061" t="s">
        <v>62</v>
      </c>
      <c r="AP1061" t="str">
        <f t="shared" si="67"/>
        <v/>
      </c>
    </row>
    <row r="1062" spans="4:42" x14ac:dyDescent="0.35">
      <c r="D1062" s="21"/>
      <c r="E1062" s="21"/>
      <c r="L1062" s="22"/>
      <c r="S1062">
        <f t="shared" si="64"/>
        <v>0</v>
      </c>
      <c r="T1062" s="5" t="e" cm="1">
        <f t="array" ref="T10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2" t="e">
        <f>Table1[[#This Row],[Term to Maturity (Years)]]*Table1[[#This Row],[Coupon Frequency2]]</f>
        <v>#N/A</v>
      </c>
      <c r="V1062">
        <f>Table1[[#This Row],[Face value]]*Table1[[#This Row],[Current coupon %]]</f>
        <v>0</v>
      </c>
      <c r="W1062" s="36" t="e">
        <f>RATE(Table1[[#This Row],[Total No. of Coupons]],Table1[[#This Row],[Coupon Amount]],-Table1[[#This Row],[Ask Price]],Table1[[#This Row],[Face value]])</f>
        <v>#N/A</v>
      </c>
      <c r="X1062" s="27" t="e">
        <f>Table1[[#This Row],[IRR]]*Table1[[#This Row],[Coupon Frequency2]]</f>
        <v>#N/A</v>
      </c>
      <c r="Y1062" s="19" t="e" cm="1">
        <f t="array" ref="Y10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2" s="33" t="e">
        <f>DURATION(Table1[[#This Row],[Issue date]],Table1[[#This Row],[Maturity date]],Table1[[#This Row],[Current coupon %]],Table1[[#This Row],[Yield (Annualised)]],Table1[[#This Row],[Coupon Frequency2]])</f>
        <v>#N/A</v>
      </c>
      <c r="AA1062" s="33" t="e">
        <f>Table1[[#This Row],[Macaulay Duration in Years]]/(1+Table1[[#This Row],[IRR]])</f>
        <v>#N/A</v>
      </c>
      <c r="AB1062" s="58" t="e">
        <f>VLOOKUP(Table1[[#This Row],[Yield Cluster]],'Cluster Details'!$B$3:$C$16,2,0)</f>
        <v>#N/A</v>
      </c>
      <c r="AC106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2" s="58" t="e">
        <f>IF(Table1[[#This Row],[Ask Price]]&gt;Table1[[#This Row],[Calculated Bond Price]],"Rich","Cheap")</f>
        <v>#N/A</v>
      </c>
      <c r="AE106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2" s="78" t="e">
        <f>(Table1[[#This Row],[P (+ shock)]]+Table1[[#This Row],[P (-shock)]]-2*Table1[[#This Row],[Ask Price]])/(2*Table1[[#This Row],[Ask Price]]*($AF$2^2))</f>
        <v>#N/A</v>
      </c>
      <c r="AH1062">
        <v>4.55850921720545</v>
      </c>
      <c r="AI1062" s="6" t="e">
        <f t="shared" si="65"/>
        <v>#DIV/0!</v>
      </c>
      <c r="AK1062" s="47" t="e">
        <f>RATE(Table1[[#This Row],[Total No. of Coupons]],Table1[[#This Row],[Coupon Amount]],-Table1[[#This Row],[Ask Price]],Table1[[#This Row],[Face value]])</f>
        <v>#N/A</v>
      </c>
      <c r="AL1062" s="27" t="e">
        <f>Table1[[#This Row],[IRR]]*Table1[[#This Row],[Coupon Frequency2]]</f>
        <v>#N/A</v>
      </c>
      <c r="AM1062" s="5" t="e">
        <f t="shared" si="66"/>
        <v>#N/A</v>
      </c>
      <c r="AN1062" t="s">
        <v>64</v>
      </c>
      <c r="AO1062" t="s">
        <v>62</v>
      </c>
      <c r="AP1062" t="str">
        <f t="shared" si="67"/>
        <v/>
      </c>
    </row>
    <row r="1063" spans="4:42" x14ac:dyDescent="0.35">
      <c r="D1063" s="21"/>
      <c r="E1063" s="21"/>
      <c r="L1063" s="22"/>
      <c r="S1063">
        <f t="shared" si="64"/>
        <v>0</v>
      </c>
      <c r="T1063" s="5" t="e" cm="1">
        <f t="array" ref="T10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3" t="e">
        <f>Table1[[#This Row],[Term to Maturity (Years)]]*Table1[[#This Row],[Coupon Frequency2]]</f>
        <v>#N/A</v>
      </c>
      <c r="V1063">
        <f>Table1[[#This Row],[Face value]]*Table1[[#This Row],[Current coupon %]]</f>
        <v>0</v>
      </c>
      <c r="W1063" s="36" t="e">
        <f>RATE(Table1[[#This Row],[Total No. of Coupons]],Table1[[#This Row],[Coupon Amount]],-Table1[[#This Row],[Ask Price]],Table1[[#This Row],[Face value]])</f>
        <v>#N/A</v>
      </c>
      <c r="X1063" s="27" t="e">
        <f>Table1[[#This Row],[IRR]]*Table1[[#This Row],[Coupon Frequency2]]</f>
        <v>#N/A</v>
      </c>
      <c r="Y1063" s="19" t="e" cm="1">
        <f t="array" ref="Y10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3" s="33" t="e">
        <f>DURATION(Table1[[#This Row],[Issue date]],Table1[[#This Row],[Maturity date]],Table1[[#This Row],[Current coupon %]],Table1[[#This Row],[Yield (Annualised)]],Table1[[#This Row],[Coupon Frequency2]])</f>
        <v>#N/A</v>
      </c>
      <c r="AA1063" s="33" t="e">
        <f>Table1[[#This Row],[Macaulay Duration in Years]]/(1+Table1[[#This Row],[IRR]])</f>
        <v>#N/A</v>
      </c>
      <c r="AB1063" s="58" t="e">
        <f>VLOOKUP(Table1[[#This Row],[Yield Cluster]],'Cluster Details'!$B$3:$C$16,2,0)</f>
        <v>#N/A</v>
      </c>
      <c r="AC106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3" s="58" t="e">
        <f>IF(Table1[[#This Row],[Ask Price]]&gt;Table1[[#This Row],[Calculated Bond Price]],"Rich","Cheap")</f>
        <v>#N/A</v>
      </c>
      <c r="AE106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3" s="78" t="e">
        <f>(Table1[[#This Row],[P (+ shock)]]+Table1[[#This Row],[P (-shock)]]-2*Table1[[#This Row],[Ask Price]])/(2*Table1[[#This Row],[Ask Price]]*($AF$2^2))</f>
        <v>#N/A</v>
      </c>
      <c r="AI1063" s="6" t="e">
        <f t="shared" si="65"/>
        <v>#DIV/0!</v>
      </c>
      <c r="AK1063" s="47" t="e">
        <f>RATE(Table1[[#This Row],[Total No. of Coupons]],Table1[[#This Row],[Coupon Amount]],-Table1[[#This Row],[Ask Price]],Table1[[#This Row],[Face value]])</f>
        <v>#N/A</v>
      </c>
      <c r="AL1063" s="27" t="e">
        <f>Table1[[#This Row],[IRR]]*Table1[[#This Row],[Coupon Frequency2]]</f>
        <v>#N/A</v>
      </c>
      <c r="AM1063" s="5" t="e">
        <f t="shared" si="66"/>
        <v>#N/A</v>
      </c>
      <c r="AN1063" t="s">
        <v>64</v>
      </c>
      <c r="AO1063" t="s">
        <v>62</v>
      </c>
      <c r="AP1063" t="str">
        <f t="shared" si="67"/>
        <v/>
      </c>
    </row>
    <row r="1064" spans="4:42" x14ac:dyDescent="0.35">
      <c r="D1064" s="21"/>
      <c r="E1064" s="21"/>
      <c r="L1064" s="22"/>
      <c r="S1064">
        <f t="shared" si="64"/>
        <v>0</v>
      </c>
      <c r="T1064" s="5" t="e" cm="1">
        <f t="array" ref="T10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4" t="e">
        <f>Table1[[#This Row],[Term to Maturity (Years)]]*Table1[[#This Row],[Coupon Frequency2]]</f>
        <v>#N/A</v>
      </c>
      <c r="V1064">
        <f>Table1[[#This Row],[Face value]]*Table1[[#This Row],[Current coupon %]]</f>
        <v>0</v>
      </c>
      <c r="W1064" s="36" t="e">
        <f>RATE(Table1[[#This Row],[Total No. of Coupons]],Table1[[#This Row],[Coupon Amount]],-Table1[[#This Row],[Ask Price]],Table1[[#This Row],[Face value]])</f>
        <v>#N/A</v>
      </c>
      <c r="X1064" s="27" t="e">
        <f>Table1[[#This Row],[IRR]]*Table1[[#This Row],[Coupon Frequency2]]</f>
        <v>#N/A</v>
      </c>
      <c r="Y1064" s="19" t="e" cm="1">
        <f t="array" ref="Y10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4" s="33" t="e">
        <f>DURATION(Table1[[#This Row],[Issue date]],Table1[[#This Row],[Maturity date]],Table1[[#This Row],[Current coupon %]],Table1[[#This Row],[Yield (Annualised)]],Table1[[#This Row],[Coupon Frequency2]])</f>
        <v>#N/A</v>
      </c>
      <c r="AA1064" s="33" t="e">
        <f>Table1[[#This Row],[Macaulay Duration in Years]]/(1+Table1[[#This Row],[IRR]])</f>
        <v>#N/A</v>
      </c>
      <c r="AB1064" s="58" t="e">
        <f>VLOOKUP(Table1[[#This Row],[Yield Cluster]],'Cluster Details'!$B$3:$C$16,2,0)</f>
        <v>#N/A</v>
      </c>
      <c r="AC106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4" s="58" t="e">
        <f>IF(Table1[[#This Row],[Ask Price]]&gt;Table1[[#This Row],[Calculated Bond Price]],"Rich","Cheap")</f>
        <v>#N/A</v>
      </c>
      <c r="AE106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4" s="78" t="e">
        <f>(Table1[[#This Row],[P (+ shock)]]+Table1[[#This Row],[P (-shock)]]-2*Table1[[#This Row],[Ask Price]])/(2*Table1[[#This Row],[Ask Price]]*($AF$2^2))</f>
        <v>#N/A</v>
      </c>
      <c r="AH1064">
        <v>13.9127961834551</v>
      </c>
      <c r="AI1064" s="6" t="e">
        <f t="shared" si="65"/>
        <v>#DIV/0!</v>
      </c>
      <c r="AK1064" s="47" t="e">
        <f>RATE(Table1[[#This Row],[Total No. of Coupons]],Table1[[#This Row],[Coupon Amount]],-Table1[[#This Row],[Ask Price]],Table1[[#This Row],[Face value]])</f>
        <v>#N/A</v>
      </c>
      <c r="AL1064" s="27" t="e">
        <f>Table1[[#This Row],[IRR]]*Table1[[#This Row],[Coupon Frequency2]]</f>
        <v>#N/A</v>
      </c>
      <c r="AM1064" s="5" t="e">
        <f t="shared" si="66"/>
        <v>#N/A</v>
      </c>
      <c r="AN1064" t="s">
        <v>64</v>
      </c>
      <c r="AO1064" t="s">
        <v>62</v>
      </c>
      <c r="AP1064" t="str">
        <f t="shared" si="67"/>
        <v/>
      </c>
    </row>
    <row r="1065" spans="4:42" x14ac:dyDescent="0.35">
      <c r="D1065" s="21"/>
      <c r="E1065" s="21"/>
      <c r="L1065" s="22"/>
      <c r="S1065">
        <f t="shared" si="64"/>
        <v>0</v>
      </c>
      <c r="T1065" s="5" t="e" cm="1">
        <f t="array" ref="T10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5" t="e">
        <f>Table1[[#This Row],[Term to Maturity (Years)]]*Table1[[#This Row],[Coupon Frequency2]]</f>
        <v>#N/A</v>
      </c>
      <c r="V1065">
        <f>Table1[[#This Row],[Face value]]*Table1[[#This Row],[Current coupon %]]</f>
        <v>0</v>
      </c>
      <c r="W1065" s="36" t="e">
        <f>RATE(Table1[[#This Row],[Total No. of Coupons]],Table1[[#This Row],[Coupon Amount]],-Table1[[#This Row],[Ask Price]],Table1[[#This Row],[Face value]])</f>
        <v>#N/A</v>
      </c>
      <c r="X1065" s="27" t="e">
        <f>Table1[[#This Row],[IRR]]*Table1[[#This Row],[Coupon Frequency2]]</f>
        <v>#N/A</v>
      </c>
      <c r="Y1065" s="19" t="e" cm="1">
        <f t="array" ref="Y10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5" s="33" t="e">
        <f>DURATION(Table1[[#This Row],[Issue date]],Table1[[#This Row],[Maturity date]],Table1[[#This Row],[Current coupon %]],Table1[[#This Row],[Yield (Annualised)]],Table1[[#This Row],[Coupon Frequency2]])</f>
        <v>#N/A</v>
      </c>
      <c r="AA1065" s="33" t="e">
        <f>Table1[[#This Row],[Macaulay Duration in Years]]/(1+Table1[[#This Row],[IRR]])</f>
        <v>#N/A</v>
      </c>
      <c r="AB1065" s="58" t="e">
        <f>VLOOKUP(Table1[[#This Row],[Yield Cluster]],'Cluster Details'!$B$3:$C$16,2,0)</f>
        <v>#N/A</v>
      </c>
      <c r="AC106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5" s="58" t="e">
        <f>IF(Table1[[#This Row],[Ask Price]]&gt;Table1[[#This Row],[Calculated Bond Price]],"Rich","Cheap")</f>
        <v>#N/A</v>
      </c>
      <c r="AE106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5" s="78" t="e">
        <f>(Table1[[#This Row],[P (+ shock)]]+Table1[[#This Row],[P (-shock)]]-2*Table1[[#This Row],[Ask Price]])/(2*Table1[[#This Row],[Ask Price]]*($AF$2^2))</f>
        <v>#N/A</v>
      </c>
      <c r="AH1065">
        <v>4.6513378009431596</v>
      </c>
      <c r="AI1065" s="6" t="e">
        <f t="shared" si="65"/>
        <v>#DIV/0!</v>
      </c>
      <c r="AK1065" s="47" t="e">
        <f>RATE(Table1[[#This Row],[Total No. of Coupons]],Table1[[#This Row],[Coupon Amount]],-Table1[[#This Row],[Ask Price]],Table1[[#This Row],[Face value]])</f>
        <v>#N/A</v>
      </c>
      <c r="AL1065" s="27" t="e">
        <f>Table1[[#This Row],[IRR]]*Table1[[#This Row],[Coupon Frequency2]]</f>
        <v>#N/A</v>
      </c>
      <c r="AM1065" s="5" t="e">
        <f t="shared" si="66"/>
        <v>#N/A</v>
      </c>
      <c r="AN1065" t="s">
        <v>64</v>
      </c>
      <c r="AO1065" t="s">
        <v>62</v>
      </c>
      <c r="AP1065" t="str">
        <f t="shared" si="67"/>
        <v/>
      </c>
    </row>
    <row r="1066" spans="4:42" x14ac:dyDescent="0.35">
      <c r="D1066" s="21"/>
      <c r="E1066" s="21"/>
      <c r="L1066" s="22"/>
      <c r="S1066">
        <f t="shared" si="64"/>
        <v>0</v>
      </c>
      <c r="T1066" s="5" t="e" cm="1">
        <f t="array" ref="T10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6" t="e">
        <f>Table1[[#This Row],[Term to Maturity (Years)]]*Table1[[#This Row],[Coupon Frequency2]]</f>
        <v>#N/A</v>
      </c>
      <c r="V1066">
        <f>Table1[[#This Row],[Face value]]*Table1[[#This Row],[Current coupon %]]</f>
        <v>0</v>
      </c>
      <c r="W1066" s="36" t="e">
        <f>RATE(Table1[[#This Row],[Total No. of Coupons]],Table1[[#This Row],[Coupon Amount]],-Table1[[#This Row],[Ask Price]],Table1[[#This Row],[Face value]])</f>
        <v>#N/A</v>
      </c>
      <c r="X1066" s="27" t="e">
        <f>Table1[[#This Row],[IRR]]*Table1[[#This Row],[Coupon Frequency2]]</f>
        <v>#N/A</v>
      </c>
      <c r="Y1066" s="19" t="e" cm="1">
        <f t="array" ref="Y10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6" s="33" t="e">
        <f>DURATION(Table1[[#This Row],[Issue date]],Table1[[#This Row],[Maturity date]],Table1[[#This Row],[Current coupon %]],Table1[[#This Row],[Yield (Annualised)]],Table1[[#This Row],[Coupon Frequency2]])</f>
        <v>#N/A</v>
      </c>
      <c r="AA1066" s="33" t="e">
        <f>Table1[[#This Row],[Macaulay Duration in Years]]/(1+Table1[[#This Row],[IRR]])</f>
        <v>#N/A</v>
      </c>
      <c r="AB1066" s="58" t="e">
        <f>VLOOKUP(Table1[[#This Row],[Yield Cluster]],'Cluster Details'!$B$3:$C$16,2,0)</f>
        <v>#N/A</v>
      </c>
      <c r="AC106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6" s="58" t="e">
        <f>IF(Table1[[#This Row],[Ask Price]]&gt;Table1[[#This Row],[Calculated Bond Price]],"Rich","Cheap")</f>
        <v>#N/A</v>
      </c>
      <c r="AE106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6" s="78" t="e">
        <f>(Table1[[#This Row],[P (+ shock)]]+Table1[[#This Row],[P (-shock)]]-2*Table1[[#This Row],[Ask Price]])/(2*Table1[[#This Row],[Ask Price]]*($AF$2^2))</f>
        <v>#N/A</v>
      </c>
      <c r="AH1066">
        <v>10.8477469485147</v>
      </c>
      <c r="AI1066" s="6" t="e">
        <f t="shared" si="65"/>
        <v>#DIV/0!</v>
      </c>
      <c r="AK1066" s="47" t="e">
        <f>RATE(Table1[[#This Row],[Total No. of Coupons]],Table1[[#This Row],[Coupon Amount]],-Table1[[#This Row],[Ask Price]],Table1[[#This Row],[Face value]])</f>
        <v>#N/A</v>
      </c>
      <c r="AL1066" s="27" t="e">
        <f>Table1[[#This Row],[IRR]]*Table1[[#This Row],[Coupon Frequency2]]</f>
        <v>#N/A</v>
      </c>
      <c r="AM1066" s="5" t="e">
        <f t="shared" si="66"/>
        <v>#N/A</v>
      </c>
      <c r="AN1066" t="s">
        <v>64</v>
      </c>
      <c r="AO1066" t="s">
        <v>62</v>
      </c>
      <c r="AP1066" t="str">
        <f t="shared" si="67"/>
        <v/>
      </c>
    </row>
    <row r="1067" spans="4:42" x14ac:dyDescent="0.35">
      <c r="D1067" s="21"/>
      <c r="E1067" s="21"/>
      <c r="L1067" s="22"/>
      <c r="S1067">
        <f t="shared" si="64"/>
        <v>0</v>
      </c>
      <c r="T1067" s="5" t="e" cm="1">
        <f t="array" ref="T10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7" t="e">
        <f>Table1[[#This Row],[Term to Maturity (Years)]]*Table1[[#This Row],[Coupon Frequency2]]</f>
        <v>#N/A</v>
      </c>
      <c r="V1067">
        <f>Table1[[#This Row],[Face value]]*Table1[[#This Row],[Current coupon %]]</f>
        <v>0</v>
      </c>
      <c r="W1067" s="36" t="e">
        <f>RATE(Table1[[#This Row],[Total No. of Coupons]],Table1[[#This Row],[Coupon Amount]],-Table1[[#This Row],[Ask Price]],Table1[[#This Row],[Face value]])</f>
        <v>#N/A</v>
      </c>
      <c r="X1067" s="27" t="e">
        <f>Table1[[#This Row],[IRR]]*Table1[[#This Row],[Coupon Frequency2]]</f>
        <v>#N/A</v>
      </c>
      <c r="Y1067" s="19" t="e" cm="1">
        <f t="array" ref="Y10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7" s="33" t="e">
        <f>DURATION(Table1[[#This Row],[Issue date]],Table1[[#This Row],[Maturity date]],Table1[[#This Row],[Current coupon %]],Table1[[#This Row],[Yield (Annualised)]],Table1[[#This Row],[Coupon Frequency2]])</f>
        <v>#N/A</v>
      </c>
      <c r="AA1067" s="33" t="e">
        <f>Table1[[#This Row],[Macaulay Duration in Years]]/(1+Table1[[#This Row],[IRR]])</f>
        <v>#N/A</v>
      </c>
      <c r="AB1067" s="58" t="e">
        <f>VLOOKUP(Table1[[#This Row],[Yield Cluster]],'Cluster Details'!$B$3:$C$16,2,0)</f>
        <v>#N/A</v>
      </c>
      <c r="AC106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7" s="58" t="e">
        <f>IF(Table1[[#This Row],[Ask Price]]&gt;Table1[[#This Row],[Calculated Bond Price]],"Rich","Cheap")</f>
        <v>#N/A</v>
      </c>
      <c r="AE106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7" s="78" t="e">
        <f>(Table1[[#This Row],[P (+ shock)]]+Table1[[#This Row],[P (-shock)]]-2*Table1[[#This Row],[Ask Price]])/(2*Table1[[#This Row],[Ask Price]]*($AF$2^2))</f>
        <v>#N/A</v>
      </c>
      <c r="AH1067">
        <v>10.237241467631399</v>
      </c>
      <c r="AI1067" s="6" t="e">
        <f t="shared" si="65"/>
        <v>#DIV/0!</v>
      </c>
      <c r="AK1067" s="47" t="e">
        <f>RATE(Table1[[#This Row],[Total No. of Coupons]],Table1[[#This Row],[Coupon Amount]],-Table1[[#This Row],[Ask Price]],Table1[[#This Row],[Face value]])</f>
        <v>#N/A</v>
      </c>
      <c r="AL1067" s="27" t="e">
        <f>Table1[[#This Row],[IRR]]*Table1[[#This Row],[Coupon Frequency2]]</f>
        <v>#N/A</v>
      </c>
      <c r="AM1067" s="5" t="e">
        <f t="shared" si="66"/>
        <v>#N/A</v>
      </c>
      <c r="AN1067" t="s">
        <v>64</v>
      </c>
      <c r="AO1067" t="s">
        <v>62</v>
      </c>
      <c r="AP1067" t="str">
        <f t="shared" si="67"/>
        <v/>
      </c>
    </row>
    <row r="1068" spans="4:42" x14ac:dyDescent="0.35">
      <c r="D1068" s="21"/>
      <c r="E1068" s="21"/>
      <c r="L1068" s="22"/>
      <c r="S1068">
        <f t="shared" si="64"/>
        <v>0</v>
      </c>
      <c r="T1068" s="5" t="e" cm="1">
        <f t="array" ref="T10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8" t="e">
        <f>Table1[[#This Row],[Term to Maturity (Years)]]*Table1[[#This Row],[Coupon Frequency2]]</f>
        <v>#N/A</v>
      </c>
      <c r="V1068">
        <f>Table1[[#This Row],[Face value]]*Table1[[#This Row],[Current coupon %]]</f>
        <v>0</v>
      </c>
      <c r="W1068" s="36" t="e">
        <f>RATE(Table1[[#This Row],[Total No. of Coupons]],Table1[[#This Row],[Coupon Amount]],-Table1[[#This Row],[Ask Price]],Table1[[#This Row],[Face value]])</f>
        <v>#N/A</v>
      </c>
      <c r="X1068" s="27" t="e">
        <f>Table1[[#This Row],[IRR]]*Table1[[#This Row],[Coupon Frequency2]]</f>
        <v>#N/A</v>
      </c>
      <c r="Y1068" s="19" t="e" cm="1">
        <f t="array" ref="Y10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8" s="33" t="e">
        <f>DURATION(Table1[[#This Row],[Issue date]],Table1[[#This Row],[Maturity date]],Table1[[#This Row],[Current coupon %]],Table1[[#This Row],[Yield (Annualised)]],Table1[[#This Row],[Coupon Frequency2]])</f>
        <v>#N/A</v>
      </c>
      <c r="AA1068" s="33" t="e">
        <f>Table1[[#This Row],[Macaulay Duration in Years]]/(1+Table1[[#This Row],[IRR]])</f>
        <v>#N/A</v>
      </c>
      <c r="AB1068" s="58" t="e">
        <f>VLOOKUP(Table1[[#This Row],[Yield Cluster]],'Cluster Details'!$B$3:$C$16,2,0)</f>
        <v>#N/A</v>
      </c>
      <c r="AC106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8" s="58" t="e">
        <f>IF(Table1[[#This Row],[Ask Price]]&gt;Table1[[#This Row],[Calculated Bond Price]],"Rich","Cheap")</f>
        <v>#N/A</v>
      </c>
      <c r="AE106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8" s="78" t="e">
        <f>(Table1[[#This Row],[P (+ shock)]]+Table1[[#This Row],[P (-shock)]]-2*Table1[[#This Row],[Ask Price]])/(2*Table1[[#This Row],[Ask Price]]*($AF$2^2))</f>
        <v>#N/A</v>
      </c>
      <c r="AH1068">
        <v>4.5328452132379597</v>
      </c>
      <c r="AI1068" s="6" t="e">
        <f t="shared" si="65"/>
        <v>#DIV/0!</v>
      </c>
      <c r="AK1068" s="47" t="e">
        <f>RATE(Table1[[#This Row],[Total No. of Coupons]],Table1[[#This Row],[Coupon Amount]],-Table1[[#This Row],[Ask Price]],Table1[[#This Row],[Face value]])</f>
        <v>#N/A</v>
      </c>
      <c r="AL1068" s="27" t="e">
        <f>Table1[[#This Row],[IRR]]*Table1[[#This Row],[Coupon Frequency2]]</f>
        <v>#N/A</v>
      </c>
      <c r="AM1068" s="5" t="e">
        <f t="shared" si="66"/>
        <v>#N/A</v>
      </c>
      <c r="AN1068" t="s">
        <v>64</v>
      </c>
      <c r="AO1068" t="s">
        <v>62</v>
      </c>
      <c r="AP1068" t="str">
        <f t="shared" si="67"/>
        <v/>
      </c>
    </row>
    <row r="1069" spans="4:42" x14ac:dyDescent="0.35">
      <c r="D1069" s="21"/>
      <c r="E1069" s="21"/>
      <c r="L1069" s="22"/>
      <c r="S1069">
        <f t="shared" si="64"/>
        <v>0</v>
      </c>
      <c r="T1069" s="5" t="e" cm="1">
        <f t="array" ref="T10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69" t="e">
        <f>Table1[[#This Row],[Term to Maturity (Years)]]*Table1[[#This Row],[Coupon Frequency2]]</f>
        <v>#N/A</v>
      </c>
      <c r="V1069">
        <f>Table1[[#This Row],[Face value]]*Table1[[#This Row],[Current coupon %]]</f>
        <v>0</v>
      </c>
      <c r="W1069" s="36" t="e">
        <f>RATE(Table1[[#This Row],[Total No. of Coupons]],Table1[[#This Row],[Coupon Amount]],-Table1[[#This Row],[Ask Price]],Table1[[#This Row],[Face value]])</f>
        <v>#N/A</v>
      </c>
      <c r="X1069" s="27" t="e">
        <f>Table1[[#This Row],[IRR]]*Table1[[#This Row],[Coupon Frequency2]]</f>
        <v>#N/A</v>
      </c>
      <c r="Y1069" s="19" t="e" cm="1">
        <f t="array" ref="Y10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69" s="33" t="e">
        <f>DURATION(Table1[[#This Row],[Issue date]],Table1[[#This Row],[Maturity date]],Table1[[#This Row],[Current coupon %]],Table1[[#This Row],[Yield (Annualised)]],Table1[[#This Row],[Coupon Frequency2]])</f>
        <v>#N/A</v>
      </c>
      <c r="AA1069" s="33" t="e">
        <f>Table1[[#This Row],[Macaulay Duration in Years]]/(1+Table1[[#This Row],[IRR]])</f>
        <v>#N/A</v>
      </c>
      <c r="AB1069" s="58" t="e">
        <f>VLOOKUP(Table1[[#This Row],[Yield Cluster]],'Cluster Details'!$B$3:$C$16,2,0)</f>
        <v>#N/A</v>
      </c>
      <c r="AC106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69" s="58" t="e">
        <f>IF(Table1[[#This Row],[Ask Price]]&gt;Table1[[#This Row],[Calculated Bond Price]],"Rich","Cheap")</f>
        <v>#N/A</v>
      </c>
      <c r="AE106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6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69" s="78" t="e">
        <f>(Table1[[#This Row],[P (+ shock)]]+Table1[[#This Row],[P (-shock)]]-2*Table1[[#This Row],[Ask Price]])/(2*Table1[[#This Row],[Ask Price]]*($AF$2^2))</f>
        <v>#N/A</v>
      </c>
      <c r="AH1069">
        <v>4.66094267885265</v>
      </c>
      <c r="AI1069" s="6" t="e">
        <f t="shared" si="65"/>
        <v>#DIV/0!</v>
      </c>
      <c r="AK1069" s="47" t="e">
        <f>RATE(Table1[[#This Row],[Total No. of Coupons]],Table1[[#This Row],[Coupon Amount]],-Table1[[#This Row],[Ask Price]],Table1[[#This Row],[Face value]])</f>
        <v>#N/A</v>
      </c>
      <c r="AL1069" s="27" t="e">
        <f>Table1[[#This Row],[IRR]]*Table1[[#This Row],[Coupon Frequency2]]</f>
        <v>#N/A</v>
      </c>
      <c r="AM1069" s="5" t="e">
        <f t="shared" si="66"/>
        <v>#N/A</v>
      </c>
      <c r="AN1069" t="s">
        <v>64</v>
      </c>
      <c r="AO1069" t="s">
        <v>62</v>
      </c>
      <c r="AP1069" t="str">
        <f t="shared" si="67"/>
        <v/>
      </c>
    </row>
    <row r="1070" spans="4:42" x14ac:dyDescent="0.35">
      <c r="D1070" s="21"/>
      <c r="E1070" s="21"/>
      <c r="L1070" s="22"/>
      <c r="S1070">
        <f t="shared" si="64"/>
        <v>0</v>
      </c>
      <c r="T1070" s="5" t="e" cm="1">
        <f t="array" ref="T10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0" t="e">
        <f>Table1[[#This Row],[Term to Maturity (Years)]]*Table1[[#This Row],[Coupon Frequency2]]</f>
        <v>#N/A</v>
      </c>
      <c r="V1070">
        <f>Table1[[#This Row],[Face value]]*Table1[[#This Row],[Current coupon %]]</f>
        <v>0</v>
      </c>
      <c r="W1070" s="36" t="e">
        <f>RATE(Table1[[#This Row],[Total No. of Coupons]],Table1[[#This Row],[Coupon Amount]],-Table1[[#This Row],[Ask Price]],Table1[[#This Row],[Face value]])</f>
        <v>#N/A</v>
      </c>
      <c r="X1070" s="27" t="e">
        <f>Table1[[#This Row],[IRR]]*Table1[[#This Row],[Coupon Frequency2]]</f>
        <v>#N/A</v>
      </c>
      <c r="Y1070" s="19" t="e" cm="1">
        <f t="array" ref="Y10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0" s="33" t="e">
        <f>DURATION(Table1[[#This Row],[Issue date]],Table1[[#This Row],[Maturity date]],Table1[[#This Row],[Current coupon %]],Table1[[#This Row],[Yield (Annualised)]],Table1[[#This Row],[Coupon Frequency2]])</f>
        <v>#N/A</v>
      </c>
      <c r="AA1070" s="33" t="e">
        <f>Table1[[#This Row],[Macaulay Duration in Years]]/(1+Table1[[#This Row],[IRR]])</f>
        <v>#N/A</v>
      </c>
      <c r="AB1070" s="58" t="e">
        <f>VLOOKUP(Table1[[#This Row],[Yield Cluster]],'Cluster Details'!$B$3:$C$16,2,0)</f>
        <v>#N/A</v>
      </c>
      <c r="AC107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0" s="58" t="e">
        <f>IF(Table1[[#This Row],[Ask Price]]&gt;Table1[[#This Row],[Calculated Bond Price]],"Rich","Cheap")</f>
        <v>#N/A</v>
      </c>
      <c r="AE107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0" s="78" t="e">
        <f>(Table1[[#This Row],[P (+ shock)]]+Table1[[#This Row],[P (-shock)]]-2*Table1[[#This Row],[Ask Price]])/(2*Table1[[#This Row],[Ask Price]]*($AF$2^2))</f>
        <v>#N/A</v>
      </c>
      <c r="AH1070">
        <v>4.4420301306363204</v>
      </c>
      <c r="AI1070" s="6" t="e">
        <f t="shared" si="65"/>
        <v>#DIV/0!</v>
      </c>
      <c r="AK1070" s="47" t="e">
        <f>RATE(Table1[[#This Row],[Total No. of Coupons]],Table1[[#This Row],[Coupon Amount]],-Table1[[#This Row],[Ask Price]],Table1[[#This Row],[Face value]])</f>
        <v>#N/A</v>
      </c>
      <c r="AL1070" s="27" t="e">
        <f>Table1[[#This Row],[IRR]]*Table1[[#This Row],[Coupon Frequency2]]</f>
        <v>#N/A</v>
      </c>
      <c r="AM1070" s="5" t="e">
        <f t="shared" si="66"/>
        <v>#N/A</v>
      </c>
      <c r="AN1070" t="s">
        <v>64</v>
      </c>
      <c r="AO1070" t="s">
        <v>62</v>
      </c>
      <c r="AP1070" t="str">
        <f t="shared" si="67"/>
        <v/>
      </c>
    </row>
    <row r="1071" spans="4:42" x14ac:dyDescent="0.35">
      <c r="D1071" s="21"/>
      <c r="E1071" s="21"/>
      <c r="L1071" s="22"/>
      <c r="S1071">
        <f t="shared" si="64"/>
        <v>0</v>
      </c>
      <c r="T1071" s="5" t="e" cm="1">
        <f t="array" ref="T10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1" t="e">
        <f>Table1[[#This Row],[Term to Maturity (Years)]]*Table1[[#This Row],[Coupon Frequency2]]</f>
        <v>#N/A</v>
      </c>
      <c r="V1071">
        <f>Table1[[#This Row],[Face value]]*Table1[[#This Row],[Current coupon %]]</f>
        <v>0</v>
      </c>
      <c r="W1071" s="36" t="e">
        <f>RATE(Table1[[#This Row],[Total No. of Coupons]],Table1[[#This Row],[Coupon Amount]],-Table1[[#This Row],[Ask Price]],Table1[[#This Row],[Face value]])</f>
        <v>#N/A</v>
      </c>
      <c r="X1071" s="27" t="e">
        <f>Table1[[#This Row],[IRR]]*Table1[[#This Row],[Coupon Frequency2]]</f>
        <v>#N/A</v>
      </c>
      <c r="Y1071" s="19" t="e" cm="1">
        <f t="array" ref="Y10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1" s="33" t="e">
        <f>DURATION(Table1[[#This Row],[Issue date]],Table1[[#This Row],[Maturity date]],Table1[[#This Row],[Current coupon %]],Table1[[#This Row],[Yield (Annualised)]],Table1[[#This Row],[Coupon Frequency2]])</f>
        <v>#N/A</v>
      </c>
      <c r="AA1071" s="33" t="e">
        <f>Table1[[#This Row],[Macaulay Duration in Years]]/(1+Table1[[#This Row],[IRR]])</f>
        <v>#N/A</v>
      </c>
      <c r="AB1071" s="58" t="e">
        <f>VLOOKUP(Table1[[#This Row],[Yield Cluster]],'Cluster Details'!$B$3:$C$16,2,0)</f>
        <v>#N/A</v>
      </c>
      <c r="AC107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1" s="58" t="e">
        <f>IF(Table1[[#This Row],[Ask Price]]&gt;Table1[[#This Row],[Calculated Bond Price]],"Rich","Cheap")</f>
        <v>#N/A</v>
      </c>
      <c r="AE107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1" s="78" t="e">
        <f>(Table1[[#This Row],[P (+ shock)]]+Table1[[#This Row],[P (-shock)]]-2*Table1[[#This Row],[Ask Price]])/(2*Table1[[#This Row],[Ask Price]]*($AF$2^2))</f>
        <v>#N/A</v>
      </c>
      <c r="AH1071">
        <v>7.5735968807271696</v>
      </c>
      <c r="AI1071" s="6" t="e">
        <f t="shared" si="65"/>
        <v>#DIV/0!</v>
      </c>
      <c r="AK1071" s="47" t="e">
        <f>RATE(Table1[[#This Row],[Total No. of Coupons]],Table1[[#This Row],[Coupon Amount]],-Table1[[#This Row],[Ask Price]],Table1[[#This Row],[Face value]])</f>
        <v>#N/A</v>
      </c>
      <c r="AL1071" s="27" t="e">
        <f>Table1[[#This Row],[IRR]]*Table1[[#This Row],[Coupon Frequency2]]</f>
        <v>#N/A</v>
      </c>
      <c r="AM1071" s="5" t="e">
        <f t="shared" si="66"/>
        <v>#N/A</v>
      </c>
      <c r="AN1071" t="s">
        <v>64</v>
      </c>
      <c r="AO1071" t="s">
        <v>62</v>
      </c>
      <c r="AP1071" t="str">
        <f t="shared" si="67"/>
        <v/>
      </c>
    </row>
    <row r="1072" spans="4:42" x14ac:dyDescent="0.35">
      <c r="D1072" s="21"/>
      <c r="E1072" s="21"/>
      <c r="L1072" s="22"/>
      <c r="S1072">
        <f t="shared" si="64"/>
        <v>0</v>
      </c>
      <c r="T1072" s="5" t="e" cm="1">
        <f t="array" ref="T10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2" t="e">
        <f>Table1[[#This Row],[Term to Maturity (Years)]]*Table1[[#This Row],[Coupon Frequency2]]</f>
        <v>#N/A</v>
      </c>
      <c r="V1072">
        <f>Table1[[#This Row],[Face value]]*Table1[[#This Row],[Current coupon %]]</f>
        <v>0</v>
      </c>
      <c r="W1072" s="36" t="e">
        <f>RATE(Table1[[#This Row],[Total No. of Coupons]],Table1[[#This Row],[Coupon Amount]],-Table1[[#This Row],[Ask Price]],Table1[[#This Row],[Face value]])</f>
        <v>#N/A</v>
      </c>
      <c r="X1072" s="27" t="e">
        <f>Table1[[#This Row],[IRR]]*Table1[[#This Row],[Coupon Frequency2]]</f>
        <v>#N/A</v>
      </c>
      <c r="Y1072" s="19" t="e" cm="1">
        <f t="array" ref="Y10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2" s="33" t="e">
        <f>DURATION(Table1[[#This Row],[Issue date]],Table1[[#This Row],[Maturity date]],Table1[[#This Row],[Current coupon %]],Table1[[#This Row],[Yield (Annualised)]],Table1[[#This Row],[Coupon Frequency2]])</f>
        <v>#N/A</v>
      </c>
      <c r="AA1072" s="33" t="e">
        <f>Table1[[#This Row],[Macaulay Duration in Years]]/(1+Table1[[#This Row],[IRR]])</f>
        <v>#N/A</v>
      </c>
      <c r="AB1072" s="58" t="e">
        <f>VLOOKUP(Table1[[#This Row],[Yield Cluster]],'Cluster Details'!$B$3:$C$16,2,0)</f>
        <v>#N/A</v>
      </c>
      <c r="AC107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2" s="58" t="e">
        <f>IF(Table1[[#This Row],[Ask Price]]&gt;Table1[[#This Row],[Calculated Bond Price]],"Rich","Cheap")</f>
        <v>#N/A</v>
      </c>
      <c r="AE107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2" s="78" t="e">
        <f>(Table1[[#This Row],[P (+ shock)]]+Table1[[#This Row],[P (-shock)]]-2*Table1[[#This Row],[Ask Price]])/(2*Table1[[#This Row],[Ask Price]]*($AF$2^2))</f>
        <v>#N/A</v>
      </c>
      <c r="AI1072" s="6" t="e">
        <f t="shared" si="65"/>
        <v>#DIV/0!</v>
      </c>
      <c r="AK1072" s="47" t="e">
        <f>RATE(Table1[[#This Row],[Total No. of Coupons]],Table1[[#This Row],[Coupon Amount]],-Table1[[#This Row],[Ask Price]],Table1[[#This Row],[Face value]])</f>
        <v>#N/A</v>
      </c>
      <c r="AL1072" s="27" t="e">
        <f>Table1[[#This Row],[IRR]]*Table1[[#This Row],[Coupon Frequency2]]</f>
        <v>#N/A</v>
      </c>
      <c r="AM1072" s="5" t="e">
        <f t="shared" si="66"/>
        <v>#N/A</v>
      </c>
      <c r="AN1072" t="s">
        <v>64</v>
      </c>
      <c r="AO1072" t="s">
        <v>62</v>
      </c>
      <c r="AP1072" t="str">
        <f t="shared" si="67"/>
        <v/>
      </c>
    </row>
    <row r="1073" spans="4:42" x14ac:dyDescent="0.35">
      <c r="D1073" s="21"/>
      <c r="E1073" s="21"/>
      <c r="L1073" s="22"/>
      <c r="S1073">
        <f t="shared" si="64"/>
        <v>0</v>
      </c>
      <c r="T1073" s="5" t="e" cm="1">
        <f t="array" ref="T10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3" t="e">
        <f>Table1[[#This Row],[Term to Maturity (Years)]]*Table1[[#This Row],[Coupon Frequency2]]</f>
        <v>#N/A</v>
      </c>
      <c r="V1073">
        <f>Table1[[#This Row],[Face value]]*Table1[[#This Row],[Current coupon %]]</f>
        <v>0</v>
      </c>
      <c r="W1073" s="36" t="e">
        <f>RATE(Table1[[#This Row],[Total No. of Coupons]],Table1[[#This Row],[Coupon Amount]],-Table1[[#This Row],[Ask Price]],Table1[[#This Row],[Face value]])</f>
        <v>#N/A</v>
      </c>
      <c r="X1073" s="27" t="e">
        <f>Table1[[#This Row],[IRR]]*Table1[[#This Row],[Coupon Frequency2]]</f>
        <v>#N/A</v>
      </c>
      <c r="Y1073" s="19" t="e" cm="1">
        <f t="array" ref="Y10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3" s="33" t="e">
        <f>DURATION(Table1[[#This Row],[Issue date]],Table1[[#This Row],[Maturity date]],Table1[[#This Row],[Current coupon %]],Table1[[#This Row],[Yield (Annualised)]],Table1[[#This Row],[Coupon Frequency2]])</f>
        <v>#N/A</v>
      </c>
      <c r="AA1073" s="33" t="e">
        <f>Table1[[#This Row],[Macaulay Duration in Years]]/(1+Table1[[#This Row],[IRR]])</f>
        <v>#N/A</v>
      </c>
      <c r="AB1073" s="58" t="e">
        <f>VLOOKUP(Table1[[#This Row],[Yield Cluster]],'Cluster Details'!$B$3:$C$16,2,0)</f>
        <v>#N/A</v>
      </c>
      <c r="AC10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3" s="58" t="e">
        <f>IF(Table1[[#This Row],[Ask Price]]&gt;Table1[[#This Row],[Calculated Bond Price]],"Rich","Cheap")</f>
        <v>#N/A</v>
      </c>
      <c r="AE10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3" s="78" t="e">
        <f>(Table1[[#This Row],[P (+ shock)]]+Table1[[#This Row],[P (-shock)]]-2*Table1[[#This Row],[Ask Price]])/(2*Table1[[#This Row],[Ask Price]]*($AF$2^2))</f>
        <v>#N/A</v>
      </c>
      <c r="AI1073" s="6" t="e">
        <f t="shared" si="65"/>
        <v>#DIV/0!</v>
      </c>
      <c r="AK1073" s="47" t="e">
        <f>RATE(Table1[[#This Row],[Total No. of Coupons]],Table1[[#This Row],[Coupon Amount]],-Table1[[#This Row],[Ask Price]],Table1[[#This Row],[Face value]])</f>
        <v>#N/A</v>
      </c>
      <c r="AL1073" s="27" t="e">
        <f>Table1[[#This Row],[IRR]]*Table1[[#This Row],[Coupon Frequency2]]</f>
        <v>#N/A</v>
      </c>
      <c r="AM1073" s="5" t="e">
        <f t="shared" si="66"/>
        <v>#N/A</v>
      </c>
      <c r="AN1073" t="s">
        <v>64</v>
      </c>
      <c r="AO1073" t="s">
        <v>62</v>
      </c>
      <c r="AP1073" t="str">
        <f t="shared" si="67"/>
        <v/>
      </c>
    </row>
    <row r="1074" spans="4:42" x14ac:dyDescent="0.35">
      <c r="D1074" s="21"/>
      <c r="E1074" s="21"/>
      <c r="L1074" s="22"/>
      <c r="S1074">
        <f t="shared" si="64"/>
        <v>0</v>
      </c>
      <c r="T1074" s="5" t="e" cm="1">
        <f t="array" ref="T10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4" t="e">
        <f>Table1[[#This Row],[Term to Maturity (Years)]]*Table1[[#This Row],[Coupon Frequency2]]</f>
        <v>#N/A</v>
      </c>
      <c r="V1074">
        <f>Table1[[#This Row],[Face value]]*Table1[[#This Row],[Current coupon %]]</f>
        <v>0</v>
      </c>
      <c r="W1074" s="36" t="e">
        <f>RATE(Table1[[#This Row],[Total No. of Coupons]],Table1[[#This Row],[Coupon Amount]],-Table1[[#This Row],[Ask Price]],Table1[[#This Row],[Face value]])</f>
        <v>#N/A</v>
      </c>
      <c r="X1074" s="27" t="e">
        <f>Table1[[#This Row],[IRR]]*Table1[[#This Row],[Coupon Frequency2]]</f>
        <v>#N/A</v>
      </c>
      <c r="Y1074" s="19" t="e" cm="1">
        <f t="array" ref="Y10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4" s="33" t="e">
        <f>DURATION(Table1[[#This Row],[Issue date]],Table1[[#This Row],[Maturity date]],Table1[[#This Row],[Current coupon %]],Table1[[#This Row],[Yield (Annualised)]],Table1[[#This Row],[Coupon Frequency2]])</f>
        <v>#N/A</v>
      </c>
      <c r="AA1074" s="33" t="e">
        <f>Table1[[#This Row],[Macaulay Duration in Years]]/(1+Table1[[#This Row],[IRR]])</f>
        <v>#N/A</v>
      </c>
      <c r="AB1074" s="58" t="e">
        <f>VLOOKUP(Table1[[#This Row],[Yield Cluster]],'Cluster Details'!$B$3:$C$16,2,0)</f>
        <v>#N/A</v>
      </c>
      <c r="AC10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4" s="58" t="e">
        <f>IF(Table1[[#This Row],[Ask Price]]&gt;Table1[[#This Row],[Calculated Bond Price]],"Rich","Cheap")</f>
        <v>#N/A</v>
      </c>
      <c r="AE10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4" s="78" t="e">
        <f>(Table1[[#This Row],[P (+ shock)]]+Table1[[#This Row],[P (-shock)]]-2*Table1[[#This Row],[Ask Price]])/(2*Table1[[#This Row],[Ask Price]]*($AF$2^2))</f>
        <v>#N/A</v>
      </c>
      <c r="AI1074" s="6" t="e">
        <f t="shared" si="65"/>
        <v>#DIV/0!</v>
      </c>
      <c r="AK1074" s="47" t="e">
        <f>RATE(Table1[[#This Row],[Total No. of Coupons]],Table1[[#This Row],[Coupon Amount]],-Table1[[#This Row],[Ask Price]],Table1[[#This Row],[Face value]])</f>
        <v>#N/A</v>
      </c>
      <c r="AL1074" s="27" t="e">
        <f>Table1[[#This Row],[IRR]]*Table1[[#This Row],[Coupon Frequency2]]</f>
        <v>#N/A</v>
      </c>
      <c r="AM1074" s="5" t="e">
        <f t="shared" si="66"/>
        <v>#N/A</v>
      </c>
      <c r="AN1074" t="s">
        <v>64</v>
      </c>
      <c r="AO1074" t="s">
        <v>62</v>
      </c>
      <c r="AP1074" t="str">
        <f t="shared" si="67"/>
        <v/>
      </c>
    </row>
    <row r="1075" spans="4:42" x14ac:dyDescent="0.35">
      <c r="D1075" s="21"/>
      <c r="E1075" s="21"/>
      <c r="L1075" s="22"/>
      <c r="S1075">
        <f t="shared" si="64"/>
        <v>0</v>
      </c>
      <c r="T1075" s="5" t="e" cm="1">
        <f t="array" ref="T10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5" t="e">
        <f>Table1[[#This Row],[Term to Maturity (Years)]]*Table1[[#This Row],[Coupon Frequency2]]</f>
        <v>#N/A</v>
      </c>
      <c r="V1075">
        <f>Table1[[#This Row],[Face value]]*Table1[[#This Row],[Current coupon %]]</f>
        <v>0</v>
      </c>
      <c r="W1075" s="36" t="e">
        <f>RATE(Table1[[#This Row],[Total No. of Coupons]],Table1[[#This Row],[Coupon Amount]],-Table1[[#This Row],[Ask Price]],Table1[[#This Row],[Face value]])</f>
        <v>#N/A</v>
      </c>
      <c r="X1075" s="27" t="e">
        <f>Table1[[#This Row],[IRR]]*Table1[[#This Row],[Coupon Frequency2]]</f>
        <v>#N/A</v>
      </c>
      <c r="Y1075" s="19" t="e" cm="1">
        <f t="array" ref="Y10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5" s="33" t="e">
        <f>DURATION(Table1[[#This Row],[Issue date]],Table1[[#This Row],[Maturity date]],Table1[[#This Row],[Current coupon %]],Table1[[#This Row],[Yield (Annualised)]],Table1[[#This Row],[Coupon Frequency2]])</f>
        <v>#N/A</v>
      </c>
      <c r="AA1075" s="33" t="e">
        <f>Table1[[#This Row],[Macaulay Duration in Years]]/(1+Table1[[#This Row],[IRR]])</f>
        <v>#N/A</v>
      </c>
      <c r="AB1075" s="58" t="e">
        <f>VLOOKUP(Table1[[#This Row],[Yield Cluster]],'Cluster Details'!$B$3:$C$16,2,0)</f>
        <v>#N/A</v>
      </c>
      <c r="AC10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5" s="58" t="e">
        <f>IF(Table1[[#This Row],[Ask Price]]&gt;Table1[[#This Row],[Calculated Bond Price]],"Rich","Cheap")</f>
        <v>#N/A</v>
      </c>
      <c r="AE10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5" s="78" t="e">
        <f>(Table1[[#This Row],[P (+ shock)]]+Table1[[#This Row],[P (-shock)]]-2*Table1[[#This Row],[Ask Price]])/(2*Table1[[#This Row],[Ask Price]]*($AF$2^2))</f>
        <v>#N/A</v>
      </c>
      <c r="AH1075">
        <v>8.6914320126070095</v>
      </c>
      <c r="AI1075" s="6" t="e">
        <f t="shared" si="65"/>
        <v>#DIV/0!</v>
      </c>
      <c r="AK1075" s="47" t="e">
        <f>RATE(Table1[[#This Row],[Total No. of Coupons]],Table1[[#This Row],[Coupon Amount]],-Table1[[#This Row],[Ask Price]],Table1[[#This Row],[Face value]])</f>
        <v>#N/A</v>
      </c>
      <c r="AL1075" s="27" t="e">
        <f>Table1[[#This Row],[IRR]]*Table1[[#This Row],[Coupon Frequency2]]</f>
        <v>#N/A</v>
      </c>
      <c r="AM1075" s="5" t="e">
        <f t="shared" si="66"/>
        <v>#N/A</v>
      </c>
      <c r="AN1075" t="s">
        <v>64</v>
      </c>
      <c r="AO1075" t="s">
        <v>62</v>
      </c>
      <c r="AP1075" t="str">
        <f t="shared" si="67"/>
        <v/>
      </c>
    </row>
    <row r="1076" spans="4:42" x14ac:dyDescent="0.35">
      <c r="D1076" s="21"/>
      <c r="E1076" s="21"/>
      <c r="L1076" s="22"/>
      <c r="S1076">
        <f t="shared" si="64"/>
        <v>0</v>
      </c>
      <c r="T1076" s="5" t="e" cm="1">
        <f t="array" ref="T10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6" t="e">
        <f>Table1[[#This Row],[Term to Maturity (Years)]]*Table1[[#This Row],[Coupon Frequency2]]</f>
        <v>#N/A</v>
      </c>
      <c r="V1076">
        <f>Table1[[#This Row],[Face value]]*Table1[[#This Row],[Current coupon %]]</f>
        <v>0</v>
      </c>
      <c r="W1076" s="36" t="e">
        <f>RATE(Table1[[#This Row],[Total No. of Coupons]],Table1[[#This Row],[Coupon Amount]],-Table1[[#This Row],[Ask Price]],Table1[[#This Row],[Face value]])</f>
        <v>#N/A</v>
      </c>
      <c r="X1076" s="27" t="e">
        <f>Table1[[#This Row],[IRR]]*Table1[[#This Row],[Coupon Frequency2]]</f>
        <v>#N/A</v>
      </c>
      <c r="Y1076" s="19" t="e" cm="1">
        <f t="array" ref="Y10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6" s="33" t="e">
        <f>DURATION(Table1[[#This Row],[Issue date]],Table1[[#This Row],[Maturity date]],Table1[[#This Row],[Current coupon %]],Table1[[#This Row],[Yield (Annualised)]],Table1[[#This Row],[Coupon Frequency2]])</f>
        <v>#N/A</v>
      </c>
      <c r="AA1076" s="33" t="e">
        <f>Table1[[#This Row],[Macaulay Duration in Years]]/(1+Table1[[#This Row],[IRR]])</f>
        <v>#N/A</v>
      </c>
      <c r="AB1076" s="58" t="e">
        <f>VLOOKUP(Table1[[#This Row],[Yield Cluster]],'Cluster Details'!$B$3:$C$16,2,0)</f>
        <v>#N/A</v>
      </c>
      <c r="AC10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6" s="58" t="e">
        <f>IF(Table1[[#This Row],[Ask Price]]&gt;Table1[[#This Row],[Calculated Bond Price]],"Rich","Cheap")</f>
        <v>#N/A</v>
      </c>
      <c r="AE10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6" s="78" t="e">
        <f>(Table1[[#This Row],[P (+ shock)]]+Table1[[#This Row],[P (-shock)]]-2*Table1[[#This Row],[Ask Price]])/(2*Table1[[#This Row],[Ask Price]]*($AF$2^2))</f>
        <v>#N/A</v>
      </c>
      <c r="AI1076" s="6" t="e">
        <f t="shared" si="65"/>
        <v>#DIV/0!</v>
      </c>
      <c r="AK1076" s="47" t="e">
        <f>RATE(Table1[[#This Row],[Total No. of Coupons]],Table1[[#This Row],[Coupon Amount]],-Table1[[#This Row],[Ask Price]],Table1[[#This Row],[Face value]])</f>
        <v>#N/A</v>
      </c>
      <c r="AL1076" s="27" t="e">
        <f>Table1[[#This Row],[IRR]]*Table1[[#This Row],[Coupon Frequency2]]</f>
        <v>#N/A</v>
      </c>
      <c r="AM1076" s="5" t="e">
        <f t="shared" si="66"/>
        <v>#N/A</v>
      </c>
      <c r="AN1076" t="s">
        <v>69</v>
      </c>
      <c r="AO1076" t="s">
        <v>62</v>
      </c>
      <c r="AP1076" t="str">
        <f t="shared" si="67"/>
        <v/>
      </c>
    </row>
    <row r="1077" spans="4:42" x14ac:dyDescent="0.35">
      <c r="D1077" s="21"/>
      <c r="E1077" s="21"/>
      <c r="L1077" s="22"/>
      <c r="S1077">
        <f t="shared" si="64"/>
        <v>0</v>
      </c>
      <c r="T1077" s="5" t="e" cm="1">
        <f t="array" ref="T10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7" t="e">
        <f>Table1[[#This Row],[Term to Maturity (Years)]]*Table1[[#This Row],[Coupon Frequency2]]</f>
        <v>#N/A</v>
      </c>
      <c r="V1077">
        <f>Table1[[#This Row],[Face value]]*Table1[[#This Row],[Current coupon %]]</f>
        <v>0</v>
      </c>
      <c r="W1077" s="36" t="e">
        <f>RATE(Table1[[#This Row],[Total No. of Coupons]],Table1[[#This Row],[Coupon Amount]],-Table1[[#This Row],[Ask Price]],Table1[[#This Row],[Face value]])</f>
        <v>#N/A</v>
      </c>
      <c r="X1077" s="27" t="e">
        <f>Table1[[#This Row],[IRR]]*Table1[[#This Row],[Coupon Frequency2]]</f>
        <v>#N/A</v>
      </c>
      <c r="Y1077" s="19" t="e" cm="1">
        <f t="array" ref="Y10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7" s="33" t="e">
        <f>DURATION(Table1[[#This Row],[Issue date]],Table1[[#This Row],[Maturity date]],Table1[[#This Row],[Current coupon %]],Table1[[#This Row],[Yield (Annualised)]],Table1[[#This Row],[Coupon Frequency2]])</f>
        <v>#N/A</v>
      </c>
      <c r="AA1077" s="33" t="e">
        <f>Table1[[#This Row],[Macaulay Duration in Years]]/(1+Table1[[#This Row],[IRR]])</f>
        <v>#N/A</v>
      </c>
      <c r="AB1077" s="58" t="e">
        <f>VLOOKUP(Table1[[#This Row],[Yield Cluster]],'Cluster Details'!$B$3:$C$16,2,0)</f>
        <v>#N/A</v>
      </c>
      <c r="AC10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7" s="58" t="e">
        <f>IF(Table1[[#This Row],[Ask Price]]&gt;Table1[[#This Row],[Calculated Bond Price]],"Rich","Cheap")</f>
        <v>#N/A</v>
      </c>
      <c r="AE10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7" s="78" t="e">
        <f>(Table1[[#This Row],[P (+ shock)]]+Table1[[#This Row],[P (-shock)]]-2*Table1[[#This Row],[Ask Price]])/(2*Table1[[#This Row],[Ask Price]]*($AF$2^2))</f>
        <v>#N/A</v>
      </c>
      <c r="AI1077" s="6" t="e">
        <f t="shared" si="65"/>
        <v>#DIV/0!</v>
      </c>
      <c r="AK1077" s="47" t="e">
        <f>RATE(Table1[[#This Row],[Total No. of Coupons]],Table1[[#This Row],[Coupon Amount]],-Table1[[#This Row],[Ask Price]],Table1[[#This Row],[Face value]])</f>
        <v>#N/A</v>
      </c>
      <c r="AL1077" s="27" t="e">
        <f>Table1[[#This Row],[IRR]]*Table1[[#This Row],[Coupon Frequency2]]</f>
        <v>#N/A</v>
      </c>
      <c r="AM1077" s="5" t="e">
        <f t="shared" si="66"/>
        <v>#N/A</v>
      </c>
      <c r="AN1077" t="s">
        <v>69</v>
      </c>
      <c r="AO1077" t="s">
        <v>62</v>
      </c>
      <c r="AP1077" t="str">
        <f t="shared" si="67"/>
        <v/>
      </c>
    </row>
    <row r="1078" spans="4:42" x14ac:dyDescent="0.35">
      <c r="D1078" s="21"/>
      <c r="E1078" s="21"/>
      <c r="L1078" s="22"/>
      <c r="S1078">
        <f t="shared" si="64"/>
        <v>0</v>
      </c>
      <c r="T1078" s="5" t="e" cm="1">
        <f t="array" ref="T10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8" t="e">
        <f>Table1[[#This Row],[Term to Maturity (Years)]]*Table1[[#This Row],[Coupon Frequency2]]</f>
        <v>#N/A</v>
      </c>
      <c r="V1078">
        <f>Table1[[#This Row],[Face value]]*Table1[[#This Row],[Current coupon %]]</f>
        <v>0</v>
      </c>
      <c r="W1078" s="36" t="e">
        <f>RATE(Table1[[#This Row],[Total No. of Coupons]],Table1[[#This Row],[Coupon Amount]],-Table1[[#This Row],[Ask Price]],Table1[[#This Row],[Face value]])</f>
        <v>#N/A</v>
      </c>
      <c r="X1078" s="27" t="e">
        <f>Table1[[#This Row],[IRR]]*Table1[[#This Row],[Coupon Frequency2]]</f>
        <v>#N/A</v>
      </c>
      <c r="Y1078" s="19" t="e" cm="1">
        <f t="array" ref="Y10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8" s="33" t="e">
        <f>DURATION(Table1[[#This Row],[Issue date]],Table1[[#This Row],[Maturity date]],Table1[[#This Row],[Current coupon %]],Table1[[#This Row],[Yield (Annualised)]],Table1[[#This Row],[Coupon Frequency2]])</f>
        <v>#N/A</v>
      </c>
      <c r="AA1078" s="33" t="e">
        <f>Table1[[#This Row],[Macaulay Duration in Years]]/(1+Table1[[#This Row],[IRR]])</f>
        <v>#N/A</v>
      </c>
      <c r="AB1078" s="58" t="e">
        <f>VLOOKUP(Table1[[#This Row],[Yield Cluster]],'Cluster Details'!$B$3:$C$16,2,0)</f>
        <v>#N/A</v>
      </c>
      <c r="AC10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8" s="58" t="e">
        <f>IF(Table1[[#This Row],[Ask Price]]&gt;Table1[[#This Row],[Calculated Bond Price]],"Rich","Cheap")</f>
        <v>#N/A</v>
      </c>
      <c r="AE10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8" s="78" t="e">
        <f>(Table1[[#This Row],[P (+ shock)]]+Table1[[#This Row],[P (-shock)]]-2*Table1[[#This Row],[Ask Price]])/(2*Table1[[#This Row],[Ask Price]]*($AF$2^2))</f>
        <v>#N/A</v>
      </c>
      <c r="AH1078">
        <v>12.6971855615071</v>
      </c>
      <c r="AI1078" s="6" t="e">
        <f t="shared" si="65"/>
        <v>#DIV/0!</v>
      </c>
      <c r="AK1078" s="47" t="e">
        <f>RATE(Table1[[#This Row],[Total No. of Coupons]],Table1[[#This Row],[Coupon Amount]],-Table1[[#This Row],[Ask Price]],Table1[[#This Row],[Face value]])</f>
        <v>#N/A</v>
      </c>
      <c r="AL1078" s="27" t="e">
        <f>Table1[[#This Row],[IRR]]*Table1[[#This Row],[Coupon Frequency2]]</f>
        <v>#N/A</v>
      </c>
      <c r="AM1078" s="5" t="e">
        <f t="shared" si="66"/>
        <v>#N/A</v>
      </c>
      <c r="AN1078" t="s">
        <v>64</v>
      </c>
      <c r="AO1078" t="s">
        <v>62</v>
      </c>
      <c r="AP1078" t="str">
        <f t="shared" si="67"/>
        <v/>
      </c>
    </row>
    <row r="1079" spans="4:42" x14ac:dyDescent="0.35">
      <c r="D1079" s="21"/>
      <c r="E1079" s="21"/>
      <c r="L1079" s="22"/>
      <c r="S1079">
        <f t="shared" si="64"/>
        <v>0</v>
      </c>
      <c r="T1079" s="5" t="e" cm="1">
        <f t="array" ref="T10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79" t="e">
        <f>Table1[[#This Row],[Term to Maturity (Years)]]*Table1[[#This Row],[Coupon Frequency2]]</f>
        <v>#N/A</v>
      </c>
      <c r="V1079">
        <f>Table1[[#This Row],[Face value]]*Table1[[#This Row],[Current coupon %]]</f>
        <v>0</v>
      </c>
      <c r="W1079" s="36" t="e">
        <f>RATE(Table1[[#This Row],[Total No. of Coupons]],Table1[[#This Row],[Coupon Amount]],-Table1[[#This Row],[Ask Price]],Table1[[#This Row],[Face value]])</f>
        <v>#N/A</v>
      </c>
      <c r="X1079" s="27" t="e">
        <f>Table1[[#This Row],[IRR]]*Table1[[#This Row],[Coupon Frequency2]]</f>
        <v>#N/A</v>
      </c>
      <c r="Y1079" s="19" t="e" cm="1">
        <f t="array" ref="Y10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79" s="33" t="e">
        <f>DURATION(Table1[[#This Row],[Issue date]],Table1[[#This Row],[Maturity date]],Table1[[#This Row],[Current coupon %]],Table1[[#This Row],[Yield (Annualised)]],Table1[[#This Row],[Coupon Frequency2]])</f>
        <v>#N/A</v>
      </c>
      <c r="AA1079" s="33" t="e">
        <f>Table1[[#This Row],[Macaulay Duration in Years]]/(1+Table1[[#This Row],[IRR]])</f>
        <v>#N/A</v>
      </c>
      <c r="AB1079" s="58" t="e">
        <f>VLOOKUP(Table1[[#This Row],[Yield Cluster]],'Cluster Details'!$B$3:$C$16,2,0)</f>
        <v>#N/A</v>
      </c>
      <c r="AC10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79" s="58" t="e">
        <f>IF(Table1[[#This Row],[Ask Price]]&gt;Table1[[#This Row],[Calculated Bond Price]],"Rich","Cheap")</f>
        <v>#N/A</v>
      </c>
      <c r="AE10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79" s="78" t="e">
        <f>(Table1[[#This Row],[P (+ shock)]]+Table1[[#This Row],[P (-shock)]]-2*Table1[[#This Row],[Ask Price]])/(2*Table1[[#This Row],[Ask Price]]*($AF$2^2))</f>
        <v>#N/A</v>
      </c>
      <c r="AH1079">
        <v>10.905797101449201</v>
      </c>
      <c r="AI1079" s="6" t="e">
        <f t="shared" si="65"/>
        <v>#DIV/0!</v>
      </c>
      <c r="AK1079" s="47" t="e">
        <f>RATE(Table1[[#This Row],[Total No. of Coupons]],Table1[[#This Row],[Coupon Amount]],-Table1[[#This Row],[Ask Price]],Table1[[#This Row],[Face value]])</f>
        <v>#N/A</v>
      </c>
      <c r="AL1079" s="27" t="e">
        <f>Table1[[#This Row],[IRR]]*Table1[[#This Row],[Coupon Frequency2]]</f>
        <v>#N/A</v>
      </c>
      <c r="AM1079" s="5" t="e">
        <f t="shared" si="66"/>
        <v>#N/A</v>
      </c>
      <c r="AN1079" t="s">
        <v>64</v>
      </c>
      <c r="AO1079" t="s">
        <v>62</v>
      </c>
      <c r="AP1079" t="str">
        <f t="shared" si="67"/>
        <v/>
      </c>
    </row>
    <row r="1080" spans="4:42" x14ac:dyDescent="0.35">
      <c r="D1080" s="21"/>
      <c r="E1080" s="21"/>
      <c r="L1080" s="22"/>
      <c r="S1080">
        <f t="shared" si="64"/>
        <v>0</v>
      </c>
      <c r="T1080" s="5" t="e" cm="1">
        <f t="array" ref="T10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0" t="e">
        <f>Table1[[#This Row],[Term to Maturity (Years)]]*Table1[[#This Row],[Coupon Frequency2]]</f>
        <v>#N/A</v>
      </c>
      <c r="V1080">
        <f>Table1[[#This Row],[Face value]]*Table1[[#This Row],[Current coupon %]]</f>
        <v>0</v>
      </c>
      <c r="W1080" s="36" t="e">
        <f>RATE(Table1[[#This Row],[Total No. of Coupons]],Table1[[#This Row],[Coupon Amount]],-Table1[[#This Row],[Ask Price]],Table1[[#This Row],[Face value]])</f>
        <v>#N/A</v>
      </c>
      <c r="X1080" s="27" t="e">
        <f>Table1[[#This Row],[IRR]]*Table1[[#This Row],[Coupon Frequency2]]</f>
        <v>#N/A</v>
      </c>
      <c r="Y1080" s="19" t="e" cm="1">
        <f t="array" ref="Y10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0" s="33" t="e">
        <f>DURATION(Table1[[#This Row],[Issue date]],Table1[[#This Row],[Maturity date]],Table1[[#This Row],[Current coupon %]],Table1[[#This Row],[Yield (Annualised)]],Table1[[#This Row],[Coupon Frequency2]])</f>
        <v>#N/A</v>
      </c>
      <c r="AA1080" s="33" t="e">
        <f>Table1[[#This Row],[Macaulay Duration in Years]]/(1+Table1[[#This Row],[IRR]])</f>
        <v>#N/A</v>
      </c>
      <c r="AB1080" s="58" t="e">
        <f>VLOOKUP(Table1[[#This Row],[Yield Cluster]],'Cluster Details'!$B$3:$C$16,2,0)</f>
        <v>#N/A</v>
      </c>
      <c r="AC10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0" s="58" t="e">
        <f>IF(Table1[[#This Row],[Ask Price]]&gt;Table1[[#This Row],[Calculated Bond Price]],"Rich","Cheap")</f>
        <v>#N/A</v>
      </c>
      <c r="AE10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0" s="78" t="e">
        <f>(Table1[[#This Row],[P (+ shock)]]+Table1[[#This Row],[P (-shock)]]-2*Table1[[#This Row],[Ask Price]])/(2*Table1[[#This Row],[Ask Price]]*($AF$2^2))</f>
        <v>#N/A</v>
      </c>
      <c r="AH1080">
        <v>10.283376390266501</v>
      </c>
      <c r="AI1080" s="6" t="e">
        <f t="shared" si="65"/>
        <v>#DIV/0!</v>
      </c>
      <c r="AK1080" s="47" t="e">
        <f>RATE(Table1[[#This Row],[Total No. of Coupons]],Table1[[#This Row],[Coupon Amount]],-Table1[[#This Row],[Ask Price]],Table1[[#This Row],[Face value]])</f>
        <v>#N/A</v>
      </c>
      <c r="AL1080" s="27" t="e">
        <f>Table1[[#This Row],[IRR]]*Table1[[#This Row],[Coupon Frequency2]]</f>
        <v>#N/A</v>
      </c>
      <c r="AM1080" s="5" t="e">
        <f t="shared" si="66"/>
        <v>#N/A</v>
      </c>
      <c r="AN1080" t="s">
        <v>64</v>
      </c>
      <c r="AO1080" t="s">
        <v>62</v>
      </c>
      <c r="AP1080" t="str">
        <f t="shared" si="67"/>
        <v/>
      </c>
    </row>
    <row r="1081" spans="4:42" x14ac:dyDescent="0.35">
      <c r="D1081" s="21"/>
      <c r="E1081" s="21"/>
      <c r="L1081" s="22"/>
      <c r="S1081">
        <f t="shared" si="64"/>
        <v>0</v>
      </c>
      <c r="T1081" s="5" t="e" cm="1">
        <f t="array" ref="T10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1" t="e">
        <f>Table1[[#This Row],[Term to Maturity (Years)]]*Table1[[#This Row],[Coupon Frequency2]]</f>
        <v>#N/A</v>
      </c>
      <c r="V1081">
        <f>Table1[[#This Row],[Face value]]*Table1[[#This Row],[Current coupon %]]</f>
        <v>0</v>
      </c>
      <c r="W1081" s="36" t="e">
        <f>RATE(Table1[[#This Row],[Total No. of Coupons]],Table1[[#This Row],[Coupon Amount]],-Table1[[#This Row],[Ask Price]],Table1[[#This Row],[Face value]])</f>
        <v>#N/A</v>
      </c>
      <c r="X1081" s="27" t="e">
        <f>Table1[[#This Row],[IRR]]*Table1[[#This Row],[Coupon Frequency2]]</f>
        <v>#N/A</v>
      </c>
      <c r="Y1081" s="19" t="e" cm="1">
        <f t="array" ref="Y10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1" s="33" t="e">
        <f>DURATION(Table1[[#This Row],[Issue date]],Table1[[#This Row],[Maturity date]],Table1[[#This Row],[Current coupon %]],Table1[[#This Row],[Yield (Annualised)]],Table1[[#This Row],[Coupon Frequency2]])</f>
        <v>#N/A</v>
      </c>
      <c r="AA1081" s="33" t="e">
        <f>Table1[[#This Row],[Macaulay Duration in Years]]/(1+Table1[[#This Row],[IRR]])</f>
        <v>#N/A</v>
      </c>
      <c r="AB1081" s="58" t="e">
        <f>VLOOKUP(Table1[[#This Row],[Yield Cluster]],'Cluster Details'!$B$3:$C$16,2,0)</f>
        <v>#N/A</v>
      </c>
      <c r="AC10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1" s="58" t="e">
        <f>IF(Table1[[#This Row],[Ask Price]]&gt;Table1[[#This Row],[Calculated Bond Price]],"Rich","Cheap")</f>
        <v>#N/A</v>
      </c>
      <c r="AE10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1" s="78" t="e">
        <f>(Table1[[#This Row],[P (+ shock)]]+Table1[[#This Row],[P (-shock)]]-2*Table1[[#This Row],[Ask Price]])/(2*Table1[[#This Row],[Ask Price]]*($AF$2^2))</f>
        <v>#N/A</v>
      </c>
      <c r="AH1081">
        <v>10.597119571285001</v>
      </c>
      <c r="AI1081" s="6" t="e">
        <f t="shared" si="65"/>
        <v>#DIV/0!</v>
      </c>
      <c r="AK1081" s="47" t="e">
        <f>RATE(Table1[[#This Row],[Total No. of Coupons]],Table1[[#This Row],[Coupon Amount]],-Table1[[#This Row],[Ask Price]],Table1[[#This Row],[Face value]])</f>
        <v>#N/A</v>
      </c>
      <c r="AL1081" s="27" t="e">
        <f>Table1[[#This Row],[IRR]]*Table1[[#This Row],[Coupon Frequency2]]</f>
        <v>#N/A</v>
      </c>
      <c r="AM1081" s="5" t="e">
        <f t="shared" si="66"/>
        <v>#N/A</v>
      </c>
      <c r="AN1081" t="s">
        <v>64</v>
      </c>
      <c r="AO1081" t="s">
        <v>62</v>
      </c>
      <c r="AP1081" t="str">
        <f t="shared" si="67"/>
        <v/>
      </c>
    </row>
    <row r="1082" spans="4:42" x14ac:dyDescent="0.35">
      <c r="D1082" s="21"/>
      <c r="E1082" s="21"/>
      <c r="L1082" s="22"/>
      <c r="S1082">
        <f t="shared" si="64"/>
        <v>0</v>
      </c>
      <c r="T1082" s="5" t="e" cm="1">
        <f t="array" ref="T10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2" t="e">
        <f>Table1[[#This Row],[Term to Maturity (Years)]]*Table1[[#This Row],[Coupon Frequency2]]</f>
        <v>#N/A</v>
      </c>
      <c r="V1082">
        <f>Table1[[#This Row],[Face value]]*Table1[[#This Row],[Current coupon %]]</f>
        <v>0</v>
      </c>
      <c r="W1082" s="36" t="e">
        <f>RATE(Table1[[#This Row],[Total No. of Coupons]],Table1[[#This Row],[Coupon Amount]],-Table1[[#This Row],[Ask Price]],Table1[[#This Row],[Face value]])</f>
        <v>#N/A</v>
      </c>
      <c r="X1082" s="27" t="e">
        <f>Table1[[#This Row],[IRR]]*Table1[[#This Row],[Coupon Frequency2]]</f>
        <v>#N/A</v>
      </c>
      <c r="Y1082" s="19" t="e" cm="1">
        <f t="array" ref="Y10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2" s="33" t="e">
        <f>DURATION(Table1[[#This Row],[Issue date]],Table1[[#This Row],[Maturity date]],Table1[[#This Row],[Current coupon %]],Table1[[#This Row],[Yield (Annualised)]],Table1[[#This Row],[Coupon Frequency2]])</f>
        <v>#N/A</v>
      </c>
      <c r="AA1082" s="33" t="e">
        <f>Table1[[#This Row],[Macaulay Duration in Years]]/(1+Table1[[#This Row],[IRR]])</f>
        <v>#N/A</v>
      </c>
      <c r="AB1082" s="58" t="e">
        <f>VLOOKUP(Table1[[#This Row],[Yield Cluster]],'Cluster Details'!$B$3:$C$16,2,0)</f>
        <v>#N/A</v>
      </c>
      <c r="AC10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2" s="58" t="e">
        <f>IF(Table1[[#This Row],[Ask Price]]&gt;Table1[[#This Row],[Calculated Bond Price]],"Rich","Cheap")</f>
        <v>#N/A</v>
      </c>
      <c r="AE10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2" s="78" t="e">
        <f>(Table1[[#This Row],[P (+ shock)]]+Table1[[#This Row],[P (-shock)]]-2*Table1[[#This Row],[Ask Price]])/(2*Table1[[#This Row],[Ask Price]]*($AF$2^2))</f>
        <v>#N/A</v>
      </c>
      <c r="AH1082">
        <v>11.9665703522182</v>
      </c>
      <c r="AI1082" s="6" t="e">
        <f t="shared" si="65"/>
        <v>#DIV/0!</v>
      </c>
      <c r="AK1082" s="47" t="e">
        <f>RATE(Table1[[#This Row],[Total No. of Coupons]],Table1[[#This Row],[Coupon Amount]],-Table1[[#This Row],[Ask Price]],Table1[[#This Row],[Face value]])</f>
        <v>#N/A</v>
      </c>
      <c r="AL1082" s="27" t="e">
        <f>Table1[[#This Row],[IRR]]*Table1[[#This Row],[Coupon Frequency2]]</f>
        <v>#N/A</v>
      </c>
      <c r="AM1082" s="5" t="e">
        <f t="shared" si="66"/>
        <v>#N/A</v>
      </c>
      <c r="AN1082" t="s">
        <v>64</v>
      </c>
      <c r="AO1082" t="s">
        <v>62</v>
      </c>
      <c r="AP1082" t="str">
        <f t="shared" si="67"/>
        <v/>
      </c>
    </row>
    <row r="1083" spans="4:42" x14ac:dyDescent="0.35">
      <c r="D1083" s="21"/>
      <c r="E1083" s="21"/>
      <c r="L1083" s="22"/>
      <c r="S1083">
        <f t="shared" si="64"/>
        <v>0</v>
      </c>
      <c r="T1083" s="5" t="e" cm="1">
        <f t="array" ref="T10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3" t="e">
        <f>Table1[[#This Row],[Term to Maturity (Years)]]*Table1[[#This Row],[Coupon Frequency2]]</f>
        <v>#N/A</v>
      </c>
      <c r="V1083">
        <f>Table1[[#This Row],[Face value]]*Table1[[#This Row],[Current coupon %]]</f>
        <v>0</v>
      </c>
      <c r="W1083" s="36" t="e">
        <f>RATE(Table1[[#This Row],[Total No. of Coupons]],Table1[[#This Row],[Coupon Amount]],-Table1[[#This Row],[Ask Price]],Table1[[#This Row],[Face value]])</f>
        <v>#N/A</v>
      </c>
      <c r="X1083" s="27" t="e">
        <f>Table1[[#This Row],[IRR]]*Table1[[#This Row],[Coupon Frequency2]]</f>
        <v>#N/A</v>
      </c>
      <c r="Y1083" s="19" t="e" cm="1">
        <f t="array" ref="Y10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3" s="33" t="e">
        <f>DURATION(Table1[[#This Row],[Issue date]],Table1[[#This Row],[Maturity date]],Table1[[#This Row],[Current coupon %]],Table1[[#This Row],[Yield (Annualised)]],Table1[[#This Row],[Coupon Frequency2]])</f>
        <v>#N/A</v>
      </c>
      <c r="AA1083" s="33" t="e">
        <f>Table1[[#This Row],[Macaulay Duration in Years]]/(1+Table1[[#This Row],[IRR]])</f>
        <v>#N/A</v>
      </c>
      <c r="AB1083" s="58" t="e">
        <f>VLOOKUP(Table1[[#This Row],[Yield Cluster]],'Cluster Details'!$B$3:$C$16,2,0)</f>
        <v>#N/A</v>
      </c>
      <c r="AC10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3" s="58" t="e">
        <f>IF(Table1[[#This Row],[Ask Price]]&gt;Table1[[#This Row],[Calculated Bond Price]],"Rich","Cheap")</f>
        <v>#N/A</v>
      </c>
      <c r="AE10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3" s="78" t="e">
        <f>(Table1[[#This Row],[P (+ shock)]]+Table1[[#This Row],[P (-shock)]]-2*Table1[[#This Row],[Ask Price]])/(2*Table1[[#This Row],[Ask Price]]*($AF$2^2))</f>
        <v>#N/A</v>
      </c>
      <c r="AH1083">
        <v>14.199588864472</v>
      </c>
      <c r="AI1083" s="6" t="e">
        <f t="shared" si="65"/>
        <v>#DIV/0!</v>
      </c>
      <c r="AK1083" s="47" t="e">
        <f>RATE(Table1[[#This Row],[Total No. of Coupons]],Table1[[#This Row],[Coupon Amount]],-Table1[[#This Row],[Ask Price]],Table1[[#This Row],[Face value]])</f>
        <v>#N/A</v>
      </c>
      <c r="AL1083" s="27" t="e">
        <f>Table1[[#This Row],[IRR]]*Table1[[#This Row],[Coupon Frequency2]]</f>
        <v>#N/A</v>
      </c>
      <c r="AM1083" s="5" t="e">
        <f t="shared" si="66"/>
        <v>#N/A</v>
      </c>
      <c r="AN1083" t="s">
        <v>64</v>
      </c>
      <c r="AO1083" t="s">
        <v>62</v>
      </c>
      <c r="AP1083" t="str">
        <f t="shared" si="67"/>
        <v/>
      </c>
    </row>
    <row r="1084" spans="4:42" x14ac:dyDescent="0.35">
      <c r="D1084" s="21"/>
      <c r="E1084" s="21"/>
      <c r="L1084" s="22"/>
      <c r="S1084">
        <f t="shared" si="64"/>
        <v>0</v>
      </c>
      <c r="T1084" s="5" t="e" cm="1">
        <f t="array" ref="T10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4" t="e">
        <f>Table1[[#This Row],[Term to Maturity (Years)]]*Table1[[#This Row],[Coupon Frequency2]]</f>
        <v>#N/A</v>
      </c>
      <c r="V1084">
        <f>Table1[[#This Row],[Face value]]*Table1[[#This Row],[Current coupon %]]</f>
        <v>0</v>
      </c>
      <c r="W1084" s="36" t="e">
        <f>RATE(Table1[[#This Row],[Total No. of Coupons]],Table1[[#This Row],[Coupon Amount]],-Table1[[#This Row],[Ask Price]],Table1[[#This Row],[Face value]])</f>
        <v>#N/A</v>
      </c>
      <c r="X1084" s="27" t="e">
        <f>Table1[[#This Row],[IRR]]*Table1[[#This Row],[Coupon Frequency2]]</f>
        <v>#N/A</v>
      </c>
      <c r="Y1084" s="19" t="e" cm="1">
        <f t="array" ref="Y10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4" s="33" t="e">
        <f>DURATION(Table1[[#This Row],[Issue date]],Table1[[#This Row],[Maturity date]],Table1[[#This Row],[Current coupon %]],Table1[[#This Row],[Yield (Annualised)]],Table1[[#This Row],[Coupon Frequency2]])</f>
        <v>#N/A</v>
      </c>
      <c r="AA1084" s="33" t="e">
        <f>Table1[[#This Row],[Macaulay Duration in Years]]/(1+Table1[[#This Row],[IRR]])</f>
        <v>#N/A</v>
      </c>
      <c r="AB1084" s="58" t="e">
        <f>VLOOKUP(Table1[[#This Row],[Yield Cluster]],'Cluster Details'!$B$3:$C$16,2,0)</f>
        <v>#N/A</v>
      </c>
      <c r="AC10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4" s="58" t="e">
        <f>IF(Table1[[#This Row],[Ask Price]]&gt;Table1[[#This Row],[Calculated Bond Price]],"Rich","Cheap")</f>
        <v>#N/A</v>
      </c>
      <c r="AE10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4" s="78" t="e">
        <f>(Table1[[#This Row],[P (+ shock)]]+Table1[[#This Row],[P (-shock)]]-2*Table1[[#This Row],[Ask Price]])/(2*Table1[[#This Row],[Ask Price]]*($AF$2^2))</f>
        <v>#N/A</v>
      </c>
      <c r="AH1084">
        <v>9.6202342459910994</v>
      </c>
      <c r="AI1084" s="6" t="e">
        <f t="shared" si="65"/>
        <v>#DIV/0!</v>
      </c>
      <c r="AK1084" s="47" t="e">
        <f>RATE(Table1[[#This Row],[Total No. of Coupons]],Table1[[#This Row],[Coupon Amount]],-Table1[[#This Row],[Ask Price]],Table1[[#This Row],[Face value]])</f>
        <v>#N/A</v>
      </c>
      <c r="AL1084" s="27" t="e">
        <f>Table1[[#This Row],[IRR]]*Table1[[#This Row],[Coupon Frequency2]]</f>
        <v>#N/A</v>
      </c>
      <c r="AM1084" s="5" t="e">
        <f t="shared" si="66"/>
        <v>#N/A</v>
      </c>
      <c r="AN1084" t="s">
        <v>64</v>
      </c>
      <c r="AO1084" t="s">
        <v>62</v>
      </c>
      <c r="AP1084" t="str">
        <f t="shared" si="67"/>
        <v/>
      </c>
    </row>
    <row r="1085" spans="4:42" x14ac:dyDescent="0.35">
      <c r="D1085" s="21"/>
      <c r="E1085" s="21"/>
      <c r="L1085" s="22"/>
      <c r="S1085">
        <f t="shared" si="64"/>
        <v>0</v>
      </c>
      <c r="T1085" s="5" t="e" cm="1">
        <f t="array" ref="T10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5" t="e">
        <f>Table1[[#This Row],[Term to Maturity (Years)]]*Table1[[#This Row],[Coupon Frequency2]]</f>
        <v>#N/A</v>
      </c>
      <c r="V1085">
        <f>Table1[[#This Row],[Face value]]*Table1[[#This Row],[Current coupon %]]</f>
        <v>0</v>
      </c>
      <c r="W1085" s="36" t="e">
        <f>RATE(Table1[[#This Row],[Total No. of Coupons]],Table1[[#This Row],[Coupon Amount]],-Table1[[#This Row],[Ask Price]],Table1[[#This Row],[Face value]])</f>
        <v>#N/A</v>
      </c>
      <c r="X1085" s="27" t="e">
        <f>Table1[[#This Row],[IRR]]*Table1[[#This Row],[Coupon Frequency2]]</f>
        <v>#N/A</v>
      </c>
      <c r="Y1085" s="19" t="e" cm="1">
        <f t="array" ref="Y10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5" s="33" t="e">
        <f>DURATION(Table1[[#This Row],[Issue date]],Table1[[#This Row],[Maturity date]],Table1[[#This Row],[Current coupon %]],Table1[[#This Row],[Yield (Annualised)]],Table1[[#This Row],[Coupon Frequency2]])</f>
        <v>#N/A</v>
      </c>
      <c r="AA1085" s="33" t="e">
        <f>Table1[[#This Row],[Macaulay Duration in Years]]/(1+Table1[[#This Row],[IRR]])</f>
        <v>#N/A</v>
      </c>
      <c r="AB1085" s="58" t="e">
        <f>VLOOKUP(Table1[[#This Row],[Yield Cluster]],'Cluster Details'!$B$3:$C$16,2,0)</f>
        <v>#N/A</v>
      </c>
      <c r="AC10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5" s="58" t="e">
        <f>IF(Table1[[#This Row],[Ask Price]]&gt;Table1[[#This Row],[Calculated Bond Price]],"Rich","Cheap")</f>
        <v>#N/A</v>
      </c>
      <c r="AE10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5" s="78" t="e">
        <f>(Table1[[#This Row],[P (+ shock)]]+Table1[[#This Row],[P (-shock)]]-2*Table1[[#This Row],[Ask Price]])/(2*Table1[[#This Row],[Ask Price]]*($AF$2^2))</f>
        <v>#N/A</v>
      </c>
      <c r="AH1085">
        <v>10.5830727434805</v>
      </c>
      <c r="AI1085" s="6" t="e">
        <f t="shared" si="65"/>
        <v>#DIV/0!</v>
      </c>
      <c r="AK1085" s="47" t="e">
        <f>RATE(Table1[[#This Row],[Total No. of Coupons]],Table1[[#This Row],[Coupon Amount]],-Table1[[#This Row],[Ask Price]],Table1[[#This Row],[Face value]])</f>
        <v>#N/A</v>
      </c>
      <c r="AL1085" s="27" t="e">
        <f>Table1[[#This Row],[IRR]]*Table1[[#This Row],[Coupon Frequency2]]</f>
        <v>#N/A</v>
      </c>
      <c r="AM1085" s="5" t="e">
        <f t="shared" si="66"/>
        <v>#N/A</v>
      </c>
      <c r="AN1085" t="s">
        <v>64</v>
      </c>
      <c r="AO1085" t="s">
        <v>62</v>
      </c>
      <c r="AP1085" t="str">
        <f t="shared" si="67"/>
        <v/>
      </c>
    </row>
    <row r="1086" spans="4:42" x14ac:dyDescent="0.35">
      <c r="D1086" s="21"/>
      <c r="E1086" s="21"/>
      <c r="L1086" s="22"/>
      <c r="S1086">
        <f t="shared" si="64"/>
        <v>0</v>
      </c>
      <c r="T1086" s="5" t="e" cm="1">
        <f t="array" ref="T10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6" t="e">
        <f>Table1[[#This Row],[Term to Maturity (Years)]]*Table1[[#This Row],[Coupon Frequency2]]</f>
        <v>#N/A</v>
      </c>
      <c r="V1086">
        <f>Table1[[#This Row],[Face value]]*Table1[[#This Row],[Current coupon %]]</f>
        <v>0</v>
      </c>
      <c r="W1086" s="36" t="e">
        <f>RATE(Table1[[#This Row],[Total No. of Coupons]],Table1[[#This Row],[Coupon Amount]],-Table1[[#This Row],[Ask Price]],Table1[[#This Row],[Face value]])</f>
        <v>#N/A</v>
      </c>
      <c r="X1086" s="27" t="e">
        <f>Table1[[#This Row],[IRR]]*Table1[[#This Row],[Coupon Frequency2]]</f>
        <v>#N/A</v>
      </c>
      <c r="Y1086" s="19" t="e" cm="1">
        <f t="array" ref="Y10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6" s="33" t="e">
        <f>DURATION(Table1[[#This Row],[Issue date]],Table1[[#This Row],[Maturity date]],Table1[[#This Row],[Current coupon %]],Table1[[#This Row],[Yield (Annualised)]],Table1[[#This Row],[Coupon Frequency2]])</f>
        <v>#N/A</v>
      </c>
      <c r="AA1086" s="33" t="e">
        <f>Table1[[#This Row],[Macaulay Duration in Years]]/(1+Table1[[#This Row],[IRR]])</f>
        <v>#N/A</v>
      </c>
      <c r="AB1086" s="58" t="e">
        <f>VLOOKUP(Table1[[#This Row],[Yield Cluster]],'Cluster Details'!$B$3:$C$16,2,0)</f>
        <v>#N/A</v>
      </c>
      <c r="AC10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6" s="58" t="e">
        <f>IF(Table1[[#This Row],[Ask Price]]&gt;Table1[[#This Row],[Calculated Bond Price]],"Rich","Cheap")</f>
        <v>#N/A</v>
      </c>
      <c r="AE10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6" s="78" t="e">
        <f>(Table1[[#This Row],[P (+ shock)]]+Table1[[#This Row],[P (-shock)]]-2*Table1[[#This Row],[Ask Price]])/(2*Table1[[#This Row],[Ask Price]]*($AF$2^2))</f>
        <v>#N/A</v>
      </c>
      <c r="AH1086">
        <v>10.331904837486499</v>
      </c>
      <c r="AI1086" s="6" t="e">
        <f t="shared" si="65"/>
        <v>#DIV/0!</v>
      </c>
      <c r="AK1086" s="47" t="e">
        <f>RATE(Table1[[#This Row],[Total No. of Coupons]],Table1[[#This Row],[Coupon Amount]],-Table1[[#This Row],[Ask Price]],Table1[[#This Row],[Face value]])</f>
        <v>#N/A</v>
      </c>
      <c r="AL1086" s="27" t="e">
        <f>Table1[[#This Row],[IRR]]*Table1[[#This Row],[Coupon Frequency2]]</f>
        <v>#N/A</v>
      </c>
      <c r="AM1086" s="5" t="e">
        <f t="shared" si="66"/>
        <v>#N/A</v>
      </c>
      <c r="AN1086" t="s">
        <v>64</v>
      </c>
      <c r="AO1086" t="s">
        <v>62</v>
      </c>
      <c r="AP1086" t="str">
        <f t="shared" si="67"/>
        <v/>
      </c>
    </row>
    <row r="1087" spans="4:42" x14ac:dyDescent="0.35">
      <c r="D1087" s="21"/>
      <c r="E1087" s="21"/>
      <c r="L1087" s="22"/>
      <c r="S1087">
        <f t="shared" si="64"/>
        <v>0</v>
      </c>
      <c r="T1087" s="5" t="e" cm="1">
        <f t="array" ref="T10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7" t="e">
        <f>Table1[[#This Row],[Term to Maturity (Years)]]*Table1[[#This Row],[Coupon Frequency2]]</f>
        <v>#N/A</v>
      </c>
      <c r="V1087">
        <f>Table1[[#This Row],[Face value]]*Table1[[#This Row],[Current coupon %]]</f>
        <v>0</v>
      </c>
      <c r="W1087" s="36" t="e">
        <f>RATE(Table1[[#This Row],[Total No. of Coupons]],Table1[[#This Row],[Coupon Amount]],-Table1[[#This Row],[Ask Price]],Table1[[#This Row],[Face value]])</f>
        <v>#N/A</v>
      </c>
      <c r="X1087" s="27" t="e">
        <f>Table1[[#This Row],[IRR]]*Table1[[#This Row],[Coupon Frequency2]]</f>
        <v>#N/A</v>
      </c>
      <c r="Y1087" s="19" t="e" cm="1">
        <f t="array" ref="Y10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7" s="33" t="e">
        <f>DURATION(Table1[[#This Row],[Issue date]],Table1[[#This Row],[Maturity date]],Table1[[#This Row],[Current coupon %]],Table1[[#This Row],[Yield (Annualised)]],Table1[[#This Row],[Coupon Frequency2]])</f>
        <v>#N/A</v>
      </c>
      <c r="AA1087" s="33" t="e">
        <f>Table1[[#This Row],[Macaulay Duration in Years]]/(1+Table1[[#This Row],[IRR]])</f>
        <v>#N/A</v>
      </c>
      <c r="AB1087" s="58" t="e">
        <f>VLOOKUP(Table1[[#This Row],[Yield Cluster]],'Cluster Details'!$B$3:$C$16,2,0)</f>
        <v>#N/A</v>
      </c>
      <c r="AC10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7" s="58" t="e">
        <f>IF(Table1[[#This Row],[Ask Price]]&gt;Table1[[#This Row],[Calculated Bond Price]],"Rich","Cheap")</f>
        <v>#N/A</v>
      </c>
      <c r="AE10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7" s="78" t="e">
        <f>(Table1[[#This Row],[P (+ shock)]]+Table1[[#This Row],[P (-shock)]]-2*Table1[[#This Row],[Ask Price]])/(2*Table1[[#This Row],[Ask Price]]*($AF$2^2))</f>
        <v>#N/A</v>
      </c>
      <c r="AH1087">
        <v>9.7807508235440306</v>
      </c>
      <c r="AI1087" s="6" t="e">
        <f t="shared" si="65"/>
        <v>#DIV/0!</v>
      </c>
      <c r="AK1087" s="47" t="e">
        <f>RATE(Table1[[#This Row],[Total No. of Coupons]],Table1[[#This Row],[Coupon Amount]],-Table1[[#This Row],[Ask Price]],Table1[[#This Row],[Face value]])</f>
        <v>#N/A</v>
      </c>
      <c r="AL1087" s="27" t="e">
        <f>Table1[[#This Row],[IRR]]*Table1[[#This Row],[Coupon Frequency2]]</f>
        <v>#N/A</v>
      </c>
      <c r="AM1087" s="5" t="e">
        <f t="shared" si="66"/>
        <v>#N/A</v>
      </c>
      <c r="AN1087" t="s">
        <v>64</v>
      </c>
      <c r="AO1087" t="s">
        <v>62</v>
      </c>
      <c r="AP1087" t="str">
        <f t="shared" si="67"/>
        <v/>
      </c>
    </row>
    <row r="1088" spans="4:42" x14ac:dyDescent="0.35">
      <c r="D1088" s="21"/>
      <c r="E1088" s="21"/>
      <c r="L1088" s="22"/>
      <c r="S1088">
        <f t="shared" si="64"/>
        <v>0</v>
      </c>
      <c r="T1088" s="5" t="e" cm="1">
        <f t="array" ref="T10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8" t="e">
        <f>Table1[[#This Row],[Term to Maturity (Years)]]*Table1[[#This Row],[Coupon Frequency2]]</f>
        <v>#N/A</v>
      </c>
      <c r="V1088">
        <f>Table1[[#This Row],[Face value]]*Table1[[#This Row],[Current coupon %]]</f>
        <v>0</v>
      </c>
      <c r="W1088" s="36" t="e">
        <f>RATE(Table1[[#This Row],[Total No. of Coupons]],Table1[[#This Row],[Coupon Amount]],-Table1[[#This Row],[Ask Price]],Table1[[#This Row],[Face value]])</f>
        <v>#N/A</v>
      </c>
      <c r="X1088" s="27" t="e">
        <f>Table1[[#This Row],[IRR]]*Table1[[#This Row],[Coupon Frequency2]]</f>
        <v>#N/A</v>
      </c>
      <c r="Y1088" s="19" t="e" cm="1">
        <f t="array" ref="Y10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8" s="33" t="e">
        <f>DURATION(Table1[[#This Row],[Issue date]],Table1[[#This Row],[Maturity date]],Table1[[#This Row],[Current coupon %]],Table1[[#This Row],[Yield (Annualised)]],Table1[[#This Row],[Coupon Frequency2]])</f>
        <v>#N/A</v>
      </c>
      <c r="AA1088" s="33" t="e">
        <f>Table1[[#This Row],[Macaulay Duration in Years]]/(1+Table1[[#This Row],[IRR]])</f>
        <v>#N/A</v>
      </c>
      <c r="AB1088" s="58" t="e">
        <f>VLOOKUP(Table1[[#This Row],[Yield Cluster]],'Cluster Details'!$B$3:$C$16,2,0)</f>
        <v>#N/A</v>
      </c>
      <c r="AC10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8" s="58" t="e">
        <f>IF(Table1[[#This Row],[Ask Price]]&gt;Table1[[#This Row],[Calculated Bond Price]],"Rich","Cheap")</f>
        <v>#N/A</v>
      </c>
      <c r="AE10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8" s="78" t="e">
        <f>(Table1[[#This Row],[P (+ shock)]]+Table1[[#This Row],[P (-shock)]]-2*Table1[[#This Row],[Ask Price]])/(2*Table1[[#This Row],[Ask Price]]*($AF$2^2))</f>
        <v>#N/A</v>
      </c>
      <c r="AH1088">
        <v>8.8686586710780198</v>
      </c>
      <c r="AI1088" s="6" t="e">
        <f t="shared" si="65"/>
        <v>#DIV/0!</v>
      </c>
      <c r="AK1088" s="47" t="e">
        <f>RATE(Table1[[#This Row],[Total No. of Coupons]],Table1[[#This Row],[Coupon Amount]],-Table1[[#This Row],[Ask Price]],Table1[[#This Row],[Face value]])</f>
        <v>#N/A</v>
      </c>
      <c r="AL1088" s="27" t="e">
        <f>Table1[[#This Row],[IRR]]*Table1[[#This Row],[Coupon Frequency2]]</f>
        <v>#N/A</v>
      </c>
      <c r="AM1088" s="5" t="e">
        <f t="shared" si="66"/>
        <v>#N/A</v>
      </c>
      <c r="AN1088" t="s">
        <v>64</v>
      </c>
      <c r="AO1088" t="s">
        <v>62</v>
      </c>
      <c r="AP1088" t="str">
        <f t="shared" si="67"/>
        <v/>
      </c>
    </row>
    <row r="1089" spans="4:42" x14ac:dyDescent="0.35">
      <c r="D1089" s="21"/>
      <c r="E1089" s="21"/>
      <c r="L1089" s="22"/>
      <c r="S1089">
        <f t="shared" si="64"/>
        <v>0</v>
      </c>
      <c r="T1089" s="5" t="e" cm="1">
        <f t="array" ref="T10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89" t="e">
        <f>Table1[[#This Row],[Term to Maturity (Years)]]*Table1[[#This Row],[Coupon Frequency2]]</f>
        <v>#N/A</v>
      </c>
      <c r="V1089">
        <f>Table1[[#This Row],[Face value]]*Table1[[#This Row],[Current coupon %]]</f>
        <v>0</v>
      </c>
      <c r="W1089" s="36" t="e">
        <f>RATE(Table1[[#This Row],[Total No. of Coupons]],Table1[[#This Row],[Coupon Amount]],-Table1[[#This Row],[Ask Price]],Table1[[#This Row],[Face value]])</f>
        <v>#N/A</v>
      </c>
      <c r="X1089" s="27" t="e">
        <f>Table1[[#This Row],[IRR]]*Table1[[#This Row],[Coupon Frequency2]]</f>
        <v>#N/A</v>
      </c>
      <c r="Y1089" s="19" t="e" cm="1">
        <f t="array" ref="Y10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89" s="33" t="e">
        <f>DURATION(Table1[[#This Row],[Issue date]],Table1[[#This Row],[Maturity date]],Table1[[#This Row],[Current coupon %]],Table1[[#This Row],[Yield (Annualised)]],Table1[[#This Row],[Coupon Frequency2]])</f>
        <v>#N/A</v>
      </c>
      <c r="AA1089" s="33" t="e">
        <f>Table1[[#This Row],[Macaulay Duration in Years]]/(1+Table1[[#This Row],[IRR]])</f>
        <v>#N/A</v>
      </c>
      <c r="AB1089" s="58" t="e">
        <f>VLOOKUP(Table1[[#This Row],[Yield Cluster]],'Cluster Details'!$B$3:$C$16,2,0)</f>
        <v>#N/A</v>
      </c>
      <c r="AC10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89" s="58" t="e">
        <f>IF(Table1[[#This Row],[Ask Price]]&gt;Table1[[#This Row],[Calculated Bond Price]],"Rich","Cheap")</f>
        <v>#N/A</v>
      </c>
      <c r="AE10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89" s="78" t="e">
        <f>(Table1[[#This Row],[P (+ shock)]]+Table1[[#This Row],[P (-shock)]]-2*Table1[[#This Row],[Ask Price]])/(2*Table1[[#This Row],[Ask Price]]*($AF$2^2))</f>
        <v>#N/A</v>
      </c>
      <c r="AH1089">
        <v>8.6419210853715995</v>
      </c>
      <c r="AI1089" s="6" t="e">
        <f t="shared" si="65"/>
        <v>#DIV/0!</v>
      </c>
      <c r="AK1089" s="47" t="e">
        <f>RATE(Table1[[#This Row],[Total No. of Coupons]],Table1[[#This Row],[Coupon Amount]],-Table1[[#This Row],[Ask Price]],Table1[[#This Row],[Face value]])</f>
        <v>#N/A</v>
      </c>
      <c r="AL1089" s="27" t="e">
        <f>Table1[[#This Row],[IRR]]*Table1[[#This Row],[Coupon Frequency2]]</f>
        <v>#N/A</v>
      </c>
      <c r="AM1089" s="5" t="e">
        <f t="shared" si="66"/>
        <v>#N/A</v>
      </c>
      <c r="AN1089" t="s">
        <v>64</v>
      </c>
      <c r="AO1089" t="s">
        <v>62</v>
      </c>
      <c r="AP1089" t="str">
        <f t="shared" si="67"/>
        <v/>
      </c>
    </row>
    <row r="1090" spans="4:42" x14ac:dyDescent="0.35">
      <c r="D1090" s="21"/>
      <c r="E1090" s="21"/>
      <c r="L1090" s="22"/>
      <c r="S1090">
        <f t="shared" si="64"/>
        <v>0</v>
      </c>
      <c r="T1090" s="5" t="e" cm="1">
        <f t="array" ref="T10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0" t="e">
        <f>Table1[[#This Row],[Term to Maturity (Years)]]*Table1[[#This Row],[Coupon Frequency2]]</f>
        <v>#N/A</v>
      </c>
      <c r="V1090">
        <f>Table1[[#This Row],[Face value]]*Table1[[#This Row],[Current coupon %]]</f>
        <v>0</v>
      </c>
      <c r="W1090" s="36" t="e">
        <f>RATE(Table1[[#This Row],[Total No. of Coupons]],Table1[[#This Row],[Coupon Amount]],-Table1[[#This Row],[Ask Price]],Table1[[#This Row],[Face value]])</f>
        <v>#N/A</v>
      </c>
      <c r="X1090" s="27" t="e">
        <f>Table1[[#This Row],[IRR]]*Table1[[#This Row],[Coupon Frequency2]]</f>
        <v>#N/A</v>
      </c>
      <c r="Y1090" s="19" t="e" cm="1">
        <f t="array" ref="Y10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0" s="33" t="e">
        <f>DURATION(Table1[[#This Row],[Issue date]],Table1[[#This Row],[Maturity date]],Table1[[#This Row],[Current coupon %]],Table1[[#This Row],[Yield (Annualised)]],Table1[[#This Row],[Coupon Frequency2]])</f>
        <v>#N/A</v>
      </c>
      <c r="AA1090" s="33" t="e">
        <f>Table1[[#This Row],[Macaulay Duration in Years]]/(1+Table1[[#This Row],[IRR]])</f>
        <v>#N/A</v>
      </c>
      <c r="AB1090" s="58" t="e">
        <f>VLOOKUP(Table1[[#This Row],[Yield Cluster]],'Cluster Details'!$B$3:$C$16,2,0)</f>
        <v>#N/A</v>
      </c>
      <c r="AC10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0" s="58" t="e">
        <f>IF(Table1[[#This Row],[Ask Price]]&gt;Table1[[#This Row],[Calculated Bond Price]],"Rich","Cheap")</f>
        <v>#N/A</v>
      </c>
      <c r="AE10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0" s="78" t="e">
        <f>(Table1[[#This Row],[P (+ shock)]]+Table1[[#This Row],[P (-shock)]]-2*Table1[[#This Row],[Ask Price]])/(2*Table1[[#This Row],[Ask Price]]*($AF$2^2))</f>
        <v>#N/A</v>
      </c>
      <c r="AH1090">
        <v>7.8294663336214496</v>
      </c>
      <c r="AI1090" s="6" t="e">
        <f t="shared" si="65"/>
        <v>#DIV/0!</v>
      </c>
      <c r="AK1090" s="47" t="e">
        <f>RATE(Table1[[#This Row],[Total No. of Coupons]],Table1[[#This Row],[Coupon Amount]],-Table1[[#This Row],[Ask Price]],Table1[[#This Row],[Face value]])</f>
        <v>#N/A</v>
      </c>
      <c r="AL1090" s="27" t="e">
        <f>Table1[[#This Row],[IRR]]*Table1[[#This Row],[Coupon Frequency2]]</f>
        <v>#N/A</v>
      </c>
      <c r="AM1090" s="5" t="e">
        <f t="shared" si="66"/>
        <v>#N/A</v>
      </c>
      <c r="AN1090" t="s">
        <v>64</v>
      </c>
      <c r="AO1090" t="s">
        <v>62</v>
      </c>
      <c r="AP1090" t="str">
        <f t="shared" si="67"/>
        <v/>
      </c>
    </row>
    <row r="1091" spans="4:42" x14ac:dyDescent="0.35">
      <c r="D1091" s="21"/>
      <c r="E1091" s="21"/>
      <c r="L1091" s="22"/>
      <c r="S1091">
        <f t="shared" si="64"/>
        <v>0</v>
      </c>
      <c r="T1091" s="5" t="e" cm="1">
        <f t="array" ref="T10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1" t="e">
        <f>Table1[[#This Row],[Term to Maturity (Years)]]*Table1[[#This Row],[Coupon Frequency2]]</f>
        <v>#N/A</v>
      </c>
      <c r="V1091">
        <f>Table1[[#This Row],[Face value]]*Table1[[#This Row],[Current coupon %]]</f>
        <v>0</v>
      </c>
      <c r="W1091" s="36" t="e">
        <f>RATE(Table1[[#This Row],[Total No. of Coupons]],Table1[[#This Row],[Coupon Amount]],-Table1[[#This Row],[Ask Price]],Table1[[#This Row],[Face value]])</f>
        <v>#N/A</v>
      </c>
      <c r="X1091" s="27" t="e">
        <f>Table1[[#This Row],[IRR]]*Table1[[#This Row],[Coupon Frequency2]]</f>
        <v>#N/A</v>
      </c>
      <c r="Y1091" s="19" t="e" cm="1">
        <f t="array" ref="Y10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1" s="33" t="e">
        <f>DURATION(Table1[[#This Row],[Issue date]],Table1[[#This Row],[Maturity date]],Table1[[#This Row],[Current coupon %]],Table1[[#This Row],[Yield (Annualised)]],Table1[[#This Row],[Coupon Frequency2]])</f>
        <v>#N/A</v>
      </c>
      <c r="AA1091" s="33" t="e">
        <f>Table1[[#This Row],[Macaulay Duration in Years]]/(1+Table1[[#This Row],[IRR]])</f>
        <v>#N/A</v>
      </c>
      <c r="AB1091" s="58" t="e">
        <f>VLOOKUP(Table1[[#This Row],[Yield Cluster]],'Cluster Details'!$B$3:$C$16,2,0)</f>
        <v>#N/A</v>
      </c>
      <c r="AC10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1" s="58" t="e">
        <f>IF(Table1[[#This Row],[Ask Price]]&gt;Table1[[#This Row],[Calculated Bond Price]],"Rich","Cheap")</f>
        <v>#N/A</v>
      </c>
      <c r="AE10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1" s="78" t="e">
        <f>(Table1[[#This Row],[P (+ shock)]]+Table1[[#This Row],[P (-shock)]]-2*Table1[[#This Row],[Ask Price]])/(2*Table1[[#This Row],[Ask Price]]*($AF$2^2))</f>
        <v>#N/A</v>
      </c>
      <c r="AH1091">
        <v>8.4502736451851099</v>
      </c>
      <c r="AI1091" s="6" t="e">
        <f t="shared" si="65"/>
        <v>#DIV/0!</v>
      </c>
      <c r="AK1091" s="47" t="e">
        <f>RATE(Table1[[#This Row],[Total No. of Coupons]],Table1[[#This Row],[Coupon Amount]],-Table1[[#This Row],[Ask Price]],Table1[[#This Row],[Face value]])</f>
        <v>#N/A</v>
      </c>
      <c r="AL1091" s="27" t="e">
        <f>Table1[[#This Row],[IRR]]*Table1[[#This Row],[Coupon Frequency2]]</f>
        <v>#N/A</v>
      </c>
      <c r="AM1091" s="5" t="e">
        <f t="shared" si="66"/>
        <v>#N/A</v>
      </c>
      <c r="AN1091" t="s">
        <v>64</v>
      </c>
      <c r="AO1091" t="s">
        <v>62</v>
      </c>
      <c r="AP1091" t="str">
        <f t="shared" si="67"/>
        <v/>
      </c>
    </row>
    <row r="1092" spans="4:42" x14ac:dyDescent="0.35">
      <c r="D1092" s="21"/>
      <c r="E1092" s="21"/>
      <c r="L1092" s="22"/>
      <c r="S1092">
        <f t="shared" ref="S1092:S1155" si="68">ROUND(YEARFRAC(D1092,E1092),0)</f>
        <v>0</v>
      </c>
      <c r="T1092" s="5" t="e" cm="1">
        <f t="array" ref="T10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2" t="e">
        <f>Table1[[#This Row],[Term to Maturity (Years)]]*Table1[[#This Row],[Coupon Frequency2]]</f>
        <v>#N/A</v>
      </c>
      <c r="V1092">
        <f>Table1[[#This Row],[Face value]]*Table1[[#This Row],[Current coupon %]]</f>
        <v>0</v>
      </c>
      <c r="W1092" s="36" t="e">
        <f>RATE(Table1[[#This Row],[Total No. of Coupons]],Table1[[#This Row],[Coupon Amount]],-Table1[[#This Row],[Ask Price]],Table1[[#This Row],[Face value]])</f>
        <v>#N/A</v>
      </c>
      <c r="X1092" s="27" t="e">
        <f>Table1[[#This Row],[IRR]]*Table1[[#This Row],[Coupon Frequency2]]</f>
        <v>#N/A</v>
      </c>
      <c r="Y1092" s="19" t="e" cm="1">
        <f t="array" ref="Y10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2" s="33" t="e">
        <f>DURATION(Table1[[#This Row],[Issue date]],Table1[[#This Row],[Maturity date]],Table1[[#This Row],[Current coupon %]],Table1[[#This Row],[Yield (Annualised)]],Table1[[#This Row],[Coupon Frequency2]])</f>
        <v>#N/A</v>
      </c>
      <c r="AA1092" s="33" t="e">
        <f>Table1[[#This Row],[Macaulay Duration in Years]]/(1+Table1[[#This Row],[IRR]])</f>
        <v>#N/A</v>
      </c>
      <c r="AB1092" s="58" t="e">
        <f>VLOOKUP(Table1[[#This Row],[Yield Cluster]],'Cluster Details'!$B$3:$C$16,2,0)</f>
        <v>#N/A</v>
      </c>
      <c r="AC10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2" s="58" t="e">
        <f>IF(Table1[[#This Row],[Ask Price]]&gt;Table1[[#This Row],[Calculated Bond Price]],"Rich","Cheap")</f>
        <v>#N/A</v>
      </c>
      <c r="AE10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2" s="78" t="e">
        <f>(Table1[[#This Row],[P (+ shock)]]+Table1[[#This Row],[P (-shock)]]-2*Table1[[#This Row],[Ask Price]])/(2*Table1[[#This Row],[Ask Price]]*($AF$2^2))</f>
        <v>#N/A</v>
      </c>
      <c r="AH1092">
        <v>10.5247851701752</v>
      </c>
      <c r="AI1092" s="6" t="e">
        <f t="shared" ref="AI1092:AI1155" si="69">(L1092*F1092)/H1092</f>
        <v>#DIV/0!</v>
      </c>
      <c r="AK1092" s="47" t="e">
        <f>RATE(Table1[[#This Row],[Total No. of Coupons]],Table1[[#This Row],[Coupon Amount]],-Table1[[#This Row],[Ask Price]],Table1[[#This Row],[Face value]])</f>
        <v>#N/A</v>
      </c>
      <c r="AL1092" s="27" t="e">
        <f>Table1[[#This Row],[IRR]]*Table1[[#This Row],[Coupon Frequency2]]</f>
        <v>#N/A</v>
      </c>
      <c r="AM1092" s="5" t="e">
        <f t="shared" ref="AM1092:AM1155" si="70">-AA1092*H1092</f>
        <v>#N/A</v>
      </c>
      <c r="AN1092" t="s">
        <v>64</v>
      </c>
      <c r="AO1092" t="s">
        <v>62</v>
      </c>
      <c r="AP1092" t="str">
        <f t="shared" ref="AP1092:AP1155" si="71">_xlfn.SWITCH(PROPER(TRIM(M1092)),
   "Annual",1,
   "Semi-Annual",2,
   "Quarterly",4,
   "Monthly",12,
   "")</f>
        <v/>
      </c>
    </row>
    <row r="1093" spans="4:42" x14ac:dyDescent="0.35">
      <c r="D1093" s="21"/>
      <c r="E1093" s="21"/>
      <c r="L1093" s="22"/>
      <c r="S1093">
        <f t="shared" si="68"/>
        <v>0</v>
      </c>
      <c r="T1093" s="5" t="e" cm="1">
        <f t="array" ref="T10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3" t="e">
        <f>Table1[[#This Row],[Term to Maturity (Years)]]*Table1[[#This Row],[Coupon Frequency2]]</f>
        <v>#N/A</v>
      </c>
      <c r="V1093">
        <f>Table1[[#This Row],[Face value]]*Table1[[#This Row],[Current coupon %]]</f>
        <v>0</v>
      </c>
      <c r="W1093" s="36" t="e">
        <f>RATE(Table1[[#This Row],[Total No. of Coupons]],Table1[[#This Row],[Coupon Amount]],-Table1[[#This Row],[Ask Price]],Table1[[#This Row],[Face value]])</f>
        <v>#N/A</v>
      </c>
      <c r="X1093" s="27" t="e">
        <f>Table1[[#This Row],[IRR]]*Table1[[#This Row],[Coupon Frequency2]]</f>
        <v>#N/A</v>
      </c>
      <c r="Y1093" s="19" t="e" cm="1">
        <f t="array" ref="Y10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3" s="33" t="e">
        <f>DURATION(Table1[[#This Row],[Issue date]],Table1[[#This Row],[Maturity date]],Table1[[#This Row],[Current coupon %]],Table1[[#This Row],[Yield (Annualised)]],Table1[[#This Row],[Coupon Frequency2]])</f>
        <v>#N/A</v>
      </c>
      <c r="AA1093" s="33" t="e">
        <f>Table1[[#This Row],[Macaulay Duration in Years]]/(1+Table1[[#This Row],[IRR]])</f>
        <v>#N/A</v>
      </c>
      <c r="AB1093" s="58" t="e">
        <f>VLOOKUP(Table1[[#This Row],[Yield Cluster]],'Cluster Details'!$B$3:$C$16,2,0)</f>
        <v>#N/A</v>
      </c>
      <c r="AC10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3" s="58" t="e">
        <f>IF(Table1[[#This Row],[Ask Price]]&gt;Table1[[#This Row],[Calculated Bond Price]],"Rich","Cheap")</f>
        <v>#N/A</v>
      </c>
      <c r="AE10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3" s="78" t="e">
        <f>(Table1[[#This Row],[P (+ shock)]]+Table1[[#This Row],[P (-shock)]]-2*Table1[[#This Row],[Ask Price]])/(2*Table1[[#This Row],[Ask Price]]*($AF$2^2))</f>
        <v>#N/A</v>
      </c>
      <c r="AH1093">
        <v>8.0597675926273293</v>
      </c>
      <c r="AI1093" s="6" t="e">
        <f t="shared" si="69"/>
        <v>#DIV/0!</v>
      </c>
      <c r="AK1093" s="47" t="e">
        <f>RATE(Table1[[#This Row],[Total No. of Coupons]],Table1[[#This Row],[Coupon Amount]],-Table1[[#This Row],[Ask Price]],Table1[[#This Row],[Face value]])</f>
        <v>#N/A</v>
      </c>
      <c r="AL1093" s="27" t="e">
        <f>Table1[[#This Row],[IRR]]*Table1[[#This Row],[Coupon Frequency2]]</f>
        <v>#N/A</v>
      </c>
      <c r="AM1093" s="5" t="e">
        <f t="shared" si="70"/>
        <v>#N/A</v>
      </c>
      <c r="AN1093" t="s">
        <v>64</v>
      </c>
      <c r="AO1093" t="s">
        <v>62</v>
      </c>
      <c r="AP1093" t="str">
        <f t="shared" si="71"/>
        <v/>
      </c>
    </row>
    <row r="1094" spans="4:42" x14ac:dyDescent="0.35">
      <c r="D1094" s="21"/>
      <c r="E1094" s="21"/>
      <c r="L1094" s="22"/>
      <c r="S1094">
        <f t="shared" si="68"/>
        <v>0</v>
      </c>
      <c r="T1094" s="5" t="e" cm="1">
        <f t="array" ref="T10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4" t="e">
        <f>Table1[[#This Row],[Term to Maturity (Years)]]*Table1[[#This Row],[Coupon Frequency2]]</f>
        <v>#N/A</v>
      </c>
      <c r="V1094">
        <f>Table1[[#This Row],[Face value]]*Table1[[#This Row],[Current coupon %]]</f>
        <v>0</v>
      </c>
      <c r="W1094" s="36" t="e">
        <f>RATE(Table1[[#This Row],[Total No. of Coupons]],Table1[[#This Row],[Coupon Amount]],-Table1[[#This Row],[Ask Price]],Table1[[#This Row],[Face value]])</f>
        <v>#N/A</v>
      </c>
      <c r="X1094" s="27" t="e">
        <f>Table1[[#This Row],[IRR]]*Table1[[#This Row],[Coupon Frequency2]]</f>
        <v>#N/A</v>
      </c>
      <c r="Y1094" s="19" t="e" cm="1">
        <f t="array" ref="Y10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4" s="33" t="e">
        <f>DURATION(Table1[[#This Row],[Issue date]],Table1[[#This Row],[Maturity date]],Table1[[#This Row],[Current coupon %]],Table1[[#This Row],[Yield (Annualised)]],Table1[[#This Row],[Coupon Frequency2]])</f>
        <v>#N/A</v>
      </c>
      <c r="AA1094" s="33" t="e">
        <f>Table1[[#This Row],[Macaulay Duration in Years]]/(1+Table1[[#This Row],[IRR]])</f>
        <v>#N/A</v>
      </c>
      <c r="AB1094" s="58" t="e">
        <f>VLOOKUP(Table1[[#This Row],[Yield Cluster]],'Cluster Details'!$B$3:$C$16,2,0)</f>
        <v>#N/A</v>
      </c>
      <c r="AC10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4" s="58" t="e">
        <f>IF(Table1[[#This Row],[Ask Price]]&gt;Table1[[#This Row],[Calculated Bond Price]],"Rich","Cheap")</f>
        <v>#N/A</v>
      </c>
      <c r="AE10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4" s="78" t="e">
        <f>(Table1[[#This Row],[P (+ shock)]]+Table1[[#This Row],[P (-shock)]]-2*Table1[[#This Row],[Ask Price]])/(2*Table1[[#This Row],[Ask Price]]*($AF$2^2))</f>
        <v>#N/A</v>
      </c>
      <c r="AH1094">
        <v>10.8696705722425</v>
      </c>
      <c r="AI1094" s="6" t="e">
        <f t="shared" si="69"/>
        <v>#DIV/0!</v>
      </c>
      <c r="AK1094" s="47" t="e">
        <f>RATE(Table1[[#This Row],[Total No. of Coupons]],Table1[[#This Row],[Coupon Amount]],-Table1[[#This Row],[Ask Price]],Table1[[#This Row],[Face value]])</f>
        <v>#N/A</v>
      </c>
      <c r="AL1094" s="27" t="e">
        <f>Table1[[#This Row],[IRR]]*Table1[[#This Row],[Coupon Frequency2]]</f>
        <v>#N/A</v>
      </c>
      <c r="AM1094" s="5" t="e">
        <f t="shared" si="70"/>
        <v>#N/A</v>
      </c>
      <c r="AN1094" t="s">
        <v>64</v>
      </c>
      <c r="AO1094" t="s">
        <v>62</v>
      </c>
      <c r="AP1094" t="str">
        <f t="shared" si="71"/>
        <v/>
      </c>
    </row>
    <row r="1095" spans="4:42" x14ac:dyDescent="0.35">
      <c r="D1095" s="21"/>
      <c r="E1095" s="21"/>
      <c r="L1095" s="22"/>
      <c r="S1095">
        <f t="shared" si="68"/>
        <v>0</v>
      </c>
      <c r="T1095" s="5" t="e" cm="1">
        <f t="array" ref="T10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5" t="e">
        <f>Table1[[#This Row],[Term to Maturity (Years)]]*Table1[[#This Row],[Coupon Frequency2]]</f>
        <v>#N/A</v>
      </c>
      <c r="V1095">
        <f>Table1[[#This Row],[Face value]]*Table1[[#This Row],[Current coupon %]]</f>
        <v>0</v>
      </c>
      <c r="W1095" s="36" t="e">
        <f>RATE(Table1[[#This Row],[Total No. of Coupons]],Table1[[#This Row],[Coupon Amount]],-Table1[[#This Row],[Ask Price]],Table1[[#This Row],[Face value]])</f>
        <v>#N/A</v>
      </c>
      <c r="X1095" s="27" t="e">
        <f>Table1[[#This Row],[IRR]]*Table1[[#This Row],[Coupon Frequency2]]</f>
        <v>#N/A</v>
      </c>
      <c r="Y1095" s="19" t="e" cm="1">
        <f t="array" ref="Y10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5" s="33" t="e">
        <f>DURATION(Table1[[#This Row],[Issue date]],Table1[[#This Row],[Maturity date]],Table1[[#This Row],[Current coupon %]],Table1[[#This Row],[Yield (Annualised)]],Table1[[#This Row],[Coupon Frequency2]])</f>
        <v>#N/A</v>
      </c>
      <c r="AA1095" s="33" t="e">
        <f>Table1[[#This Row],[Macaulay Duration in Years]]/(1+Table1[[#This Row],[IRR]])</f>
        <v>#N/A</v>
      </c>
      <c r="AB1095" s="58" t="e">
        <f>VLOOKUP(Table1[[#This Row],[Yield Cluster]],'Cluster Details'!$B$3:$C$16,2,0)</f>
        <v>#N/A</v>
      </c>
      <c r="AC10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5" s="58" t="e">
        <f>IF(Table1[[#This Row],[Ask Price]]&gt;Table1[[#This Row],[Calculated Bond Price]],"Rich","Cheap")</f>
        <v>#N/A</v>
      </c>
      <c r="AE10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5" s="78" t="e">
        <f>(Table1[[#This Row],[P (+ shock)]]+Table1[[#This Row],[P (-shock)]]-2*Table1[[#This Row],[Ask Price]])/(2*Table1[[#This Row],[Ask Price]]*($AF$2^2))</f>
        <v>#N/A</v>
      </c>
      <c r="AH1095">
        <v>10.218550106609801</v>
      </c>
      <c r="AI1095" s="6" t="e">
        <f t="shared" si="69"/>
        <v>#DIV/0!</v>
      </c>
      <c r="AK1095" s="47" t="e">
        <f>RATE(Table1[[#This Row],[Total No. of Coupons]],Table1[[#This Row],[Coupon Amount]],-Table1[[#This Row],[Ask Price]],Table1[[#This Row],[Face value]])</f>
        <v>#N/A</v>
      </c>
      <c r="AL1095" s="27" t="e">
        <f>Table1[[#This Row],[IRR]]*Table1[[#This Row],[Coupon Frequency2]]</f>
        <v>#N/A</v>
      </c>
      <c r="AM1095" s="5" t="e">
        <f t="shared" si="70"/>
        <v>#N/A</v>
      </c>
      <c r="AN1095" t="s">
        <v>64</v>
      </c>
      <c r="AO1095" t="s">
        <v>62</v>
      </c>
      <c r="AP1095" t="str">
        <f t="shared" si="71"/>
        <v/>
      </c>
    </row>
    <row r="1096" spans="4:42" x14ac:dyDescent="0.35">
      <c r="D1096" s="21"/>
      <c r="E1096" s="21"/>
      <c r="L1096" s="22"/>
      <c r="S1096">
        <f t="shared" si="68"/>
        <v>0</v>
      </c>
      <c r="T1096" s="5" t="e" cm="1">
        <f t="array" ref="T10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6" t="e">
        <f>Table1[[#This Row],[Term to Maturity (Years)]]*Table1[[#This Row],[Coupon Frequency2]]</f>
        <v>#N/A</v>
      </c>
      <c r="V1096">
        <f>Table1[[#This Row],[Face value]]*Table1[[#This Row],[Current coupon %]]</f>
        <v>0</v>
      </c>
      <c r="W1096" s="36" t="e">
        <f>RATE(Table1[[#This Row],[Total No. of Coupons]],Table1[[#This Row],[Coupon Amount]],-Table1[[#This Row],[Ask Price]],Table1[[#This Row],[Face value]])</f>
        <v>#N/A</v>
      </c>
      <c r="X1096" s="27" t="e">
        <f>Table1[[#This Row],[IRR]]*Table1[[#This Row],[Coupon Frequency2]]</f>
        <v>#N/A</v>
      </c>
      <c r="Y1096" s="19" t="e" cm="1">
        <f t="array" ref="Y10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6" s="33" t="e">
        <f>DURATION(Table1[[#This Row],[Issue date]],Table1[[#This Row],[Maturity date]],Table1[[#This Row],[Current coupon %]],Table1[[#This Row],[Yield (Annualised)]],Table1[[#This Row],[Coupon Frequency2]])</f>
        <v>#N/A</v>
      </c>
      <c r="AA1096" s="33" t="e">
        <f>Table1[[#This Row],[Macaulay Duration in Years]]/(1+Table1[[#This Row],[IRR]])</f>
        <v>#N/A</v>
      </c>
      <c r="AB1096" s="58" t="e">
        <f>VLOOKUP(Table1[[#This Row],[Yield Cluster]],'Cluster Details'!$B$3:$C$16,2,0)</f>
        <v>#N/A</v>
      </c>
      <c r="AC10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6" s="58" t="e">
        <f>IF(Table1[[#This Row],[Ask Price]]&gt;Table1[[#This Row],[Calculated Bond Price]],"Rich","Cheap")</f>
        <v>#N/A</v>
      </c>
      <c r="AE10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6" s="78" t="e">
        <f>(Table1[[#This Row],[P (+ shock)]]+Table1[[#This Row],[P (-shock)]]-2*Table1[[#This Row],[Ask Price]])/(2*Table1[[#This Row],[Ask Price]]*($AF$2^2))</f>
        <v>#N/A</v>
      </c>
      <c r="AH1096">
        <v>8.0764659390320404</v>
      </c>
      <c r="AI1096" s="6" t="e">
        <f t="shared" si="69"/>
        <v>#DIV/0!</v>
      </c>
      <c r="AK1096" s="47" t="e">
        <f>RATE(Table1[[#This Row],[Total No. of Coupons]],Table1[[#This Row],[Coupon Amount]],-Table1[[#This Row],[Ask Price]],Table1[[#This Row],[Face value]])</f>
        <v>#N/A</v>
      </c>
      <c r="AL1096" s="27" t="e">
        <f>Table1[[#This Row],[IRR]]*Table1[[#This Row],[Coupon Frequency2]]</f>
        <v>#N/A</v>
      </c>
      <c r="AM1096" s="5" t="e">
        <f t="shared" si="70"/>
        <v>#N/A</v>
      </c>
      <c r="AN1096" t="s">
        <v>64</v>
      </c>
      <c r="AO1096" t="s">
        <v>62</v>
      </c>
      <c r="AP1096" t="str">
        <f t="shared" si="71"/>
        <v/>
      </c>
    </row>
    <row r="1097" spans="4:42" x14ac:dyDescent="0.35">
      <c r="D1097" s="21"/>
      <c r="E1097" s="21"/>
      <c r="L1097" s="22"/>
      <c r="S1097">
        <f t="shared" si="68"/>
        <v>0</v>
      </c>
      <c r="T1097" s="5" t="e" cm="1">
        <f t="array" ref="T10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7" t="e">
        <f>Table1[[#This Row],[Term to Maturity (Years)]]*Table1[[#This Row],[Coupon Frequency2]]</f>
        <v>#N/A</v>
      </c>
      <c r="V1097">
        <f>Table1[[#This Row],[Face value]]*Table1[[#This Row],[Current coupon %]]</f>
        <v>0</v>
      </c>
      <c r="W1097" s="36" t="e">
        <f>RATE(Table1[[#This Row],[Total No. of Coupons]],Table1[[#This Row],[Coupon Amount]],-Table1[[#This Row],[Ask Price]],Table1[[#This Row],[Face value]])</f>
        <v>#N/A</v>
      </c>
      <c r="X1097" s="27" t="e">
        <f>Table1[[#This Row],[IRR]]*Table1[[#This Row],[Coupon Frequency2]]</f>
        <v>#N/A</v>
      </c>
      <c r="Y1097" s="19" t="e" cm="1">
        <f t="array" ref="Y10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7" s="33" t="e">
        <f>DURATION(Table1[[#This Row],[Issue date]],Table1[[#This Row],[Maturity date]],Table1[[#This Row],[Current coupon %]],Table1[[#This Row],[Yield (Annualised)]],Table1[[#This Row],[Coupon Frequency2]])</f>
        <v>#N/A</v>
      </c>
      <c r="AA1097" s="33" t="e">
        <f>Table1[[#This Row],[Macaulay Duration in Years]]/(1+Table1[[#This Row],[IRR]])</f>
        <v>#N/A</v>
      </c>
      <c r="AB1097" s="58" t="e">
        <f>VLOOKUP(Table1[[#This Row],[Yield Cluster]],'Cluster Details'!$B$3:$C$16,2,0)</f>
        <v>#N/A</v>
      </c>
      <c r="AC10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7" s="58" t="e">
        <f>IF(Table1[[#This Row],[Ask Price]]&gt;Table1[[#This Row],[Calculated Bond Price]],"Rich","Cheap")</f>
        <v>#N/A</v>
      </c>
      <c r="AE10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7" s="78" t="e">
        <f>(Table1[[#This Row],[P (+ shock)]]+Table1[[#This Row],[P (-shock)]]-2*Table1[[#This Row],[Ask Price]])/(2*Table1[[#This Row],[Ask Price]]*($AF$2^2))</f>
        <v>#N/A</v>
      </c>
      <c r="AH1097">
        <v>10.8</v>
      </c>
      <c r="AI1097" s="6" t="e">
        <f t="shared" si="69"/>
        <v>#DIV/0!</v>
      </c>
      <c r="AK1097" s="47" t="e">
        <f>RATE(Table1[[#This Row],[Total No. of Coupons]],Table1[[#This Row],[Coupon Amount]],-Table1[[#This Row],[Ask Price]],Table1[[#This Row],[Face value]])</f>
        <v>#N/A</v>
      </c>
      <c r="AL1097" s="27" t="e">
        <f>Table1[[#This Row],[IRR]]*Table1[[#This Row],[Coupon Frequency2]]</f>
        <v>#N/A</v>
      </c>
      <c r="AM1097" s="5" t="e">
        <f t="shared" si="70"/>
        <v>#N/A</v>
      </c>
      <c r="AN1097" t="s">
        <v>64</v>
      </c>
      <c r="AO1097" t="s">
        <v>62</v>
      </c>
      <c r="AP1097" t="str">
        <f t="shared" si="71"/>
        <v/>
      </c>
    </row>
    <row r="1098" spans="4:42" x14ac:dyDescent="0.35">
      <c r="D1098" s="21"/>
      <c r="E1098" s="21"/>
      <c r="L1098" s="22"/>
      <c r="S1098">
        <f t="shared" si="68"/>
        <v>0</v>
      </c>
      <c r="T1098" s="5" t="e" cm="1">
        <f t="array" ref="T10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8" t="e">
        <f>Table1[[#This Row],[Term to Maturity (Years)]]*Table1[[#This Row],[Coupon Frequency2]]</f>
        <v>#N/A</v>
      </c>
      <c r="V1098">
        <f>Table1[[#This Row],[Face value]]*Table1[[#This Row],[Current coupon %]]</f>
        <v>0</v>
      </c>
      <c r="W1098" s="36" t="e">
        <f>RATE(Table1[[#This Row],[Total No. of Coupons]],Table1[[#This Row],[Coupon Amount]],-Table1[[#This Row],[Ask Price]],Table1[[#This Row],[Face value]])</f>
        <v>#N/A</v>
      </c>
      <c r="X1098" s="27" t="e">
        <f>Table1[[#This Row],[IRR]]*Table1[[#This Row],[Coupon Frequency2]]</f>
        <v>#N/A</v>
      </c>
      <c r="Y1098" s="19" t="e" cm="1">
        <f t="array" ref="Y10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8" s="33" t="e">
        <f>DURATION(Table1[[#This Row],[Issue date]],Table1[[#This Row],[Maturity date]],Table1[[#This Row],[Current coupon %]],Table1[[#This Row],[Yield (Annualised)]],Table1[[#This Row],[Coupon Frequency2]])</f>
        <v>#N/A</v>
      </c>
      <c r="AA1098" s="33" t="e">
        <f>Table1[[#This Row],[Macaulay Duration in Years]]/(1+Table1[[#This Row],[IRR]])</f>
        <v>#N/A</v>
      </c>
      <c r="AB1098" s="58" t="e">
        <f>VLOOKUP(Table1[[#This Row],[Yield Cluster]],'Cluster Details'!$B$3:$C$16,2,0)</f>
        <v>#N/A</v>
      </c>
      <c r="AC10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8" s="58" t="e">
        <f>IF(Table1[[#This Row],[Ask Price]]&gt;Table1[[#This Row],[Calculated Bond Price]],"Rich","Cheap")</f>
        <v>#N/A</v>
      </c>
      <c r="AE10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8" s="78" t="e">
        <f>(Table1[[#This Row],[P (+ shock)]]+Table1[[#This Row],[P (-shock)]]-2*Table1[[#This Row],[Ask Price]])/(2*Table1[[#This Row],[Ask Price]]*($AF$2^2))</f>
        <v>#N/A</v>
      </c>
      <c r="AH1098">
        <v>13.127911068789199</v>
      </c>
      <c r="AI1098" s="6" t="e">
        <f t="shared" si="69"/>
        <v>#DIV/0!</v>
      </c>
      <c r="AK1098" s="47" t="e">
        <f>RATE(Table1[[#This Row],[Total No. of Coupons]],Table1[[#This Row],[Coupon Amount]],-Table1[[#This Row],[Ask Price]],Table1[[#This Row],[Face value]])</f>
        <v>#N/A</v>
      </c>
      <c r="AL1098" s="27" t="e">
        <f>Table1[[#This Row],[IRR]]*Table1[[#This Row],[Coupon Frequency2]]</f>
        <v>#N/A</v>
      </c>
      <c r="AM1098" s="5" t="e">
        <f t="shared" si="70"/>
        <v>#N/A</v>
      </c>
      <c r="AN1098" t="s">
        <v>64</v>
      </c>
      <c r="AO1098" t="s">
        <v>62</v>
      </c>
      <c r="AP1098" t="str">
        <f t="shared" si="71"/>
        <v/>
      </c>
    </row>
    <row r="1099" spans="4:42" x14ac:dyDescent="0.35">
      <c r="D1099" s="21"/>
      <c r="E1099" s="21"/>
      <c r="L1099" s="22"/>
      <c r="S1099">
        <f t="shared" si="68"/>
        <v>0</v>
      </c>
      <c r="T1099" s="5" t="e" cm="1">
        <f t="array" ref="T10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099" t="e">
        <f>Table1[[#This Row],[Term to Maturity (Years)]]*Table1[[#This Row],[Coupon Frequency2]]</f>
        <v>#N/A</v>
      </c>
      <c r="V1099">
        <f>Table1[[#This Row],[Face value]]*Table1[[#This Row],[Current coupon %]]</f>
        <v>0</v>
      </c>
      <c r="W1099" s="36" t="e">
        <f>RATE(Table1[[#This Row],[Total No. of Coupons]],Table1[[#This Row],[Coupon Amount]],-Table1[[#This Row],[Ask Price]],Table1[[#This Row],[Face value]])</f>
        <v>#N/A</v>
      </c>
      <c r="X1099" s="27" t="e">
        <f>Table1[[#This Row],[IRR]]*Table1[[#This Row],[Coupon Frequency2]]</f>
        <v>#N/A</v>
      </c>
      <c r="Y1099" s="19" t="e" cm="1">
        <f t="array" ref="Y10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099" s="33" t="e">
        <f>DURATION(Table1[[#This Row],[Issue date]],Table1[[#This Row],[Maturity date]],Table1[[#This Row],[Current coupon %]],Table1[[#This Row],[Yield (Annualised)]],Table1[[#This Row],[Coupon Frequency2]])</f>
        <v>#N/A</v>
      </c>
      <c r="AA1099" s="33" t="e">
        <f>Table1[[#This Row],[Macaulay Duration in Years]]/(1+Table1[[#This Row],[IRR]])</f>
        <v>#N/A</v>
      </c>
      <c r="AB1099" s="58" t="e">
        <f>VLOOKUP(Table1[[#This Row],[Yield Cluster]],'Cluster Details'!$B$3:$C$16,2,0)</f>
        <v>#N/A</v>
      </c>
      <c r="AC10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099" s="58" t="e">
        <f>IF(Table1[[#This Row],[Ask Price]]&gt;Table1[[#This Row],[Calculated Bond Price]],"Rich","Cheap")</f>
        <v>#N/A</v>
      </c>
      <c r="AE10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0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099" s="78" t="e">
        <f>(Table1[[#This Row],[P (+ shock)]]+Table1[[#This Row],[P (-shock)]]-2*Table1[[#This Row],[Ask Price]])/(2*Table1[[#This Row],[Ask Price]]*($AF$2^2))</f>
        <v>#N/A</v>
      </c>
      <c r="AH1099">
        <v>10.150652309700099</v>
      </c>
      <c r="AI1099" s="6" t="e">
        <f t="shared" si="69"/>
        <v>#DIV/0!</v>
      </c>
      <c r="AK1099" s="47" t="e">
        <f>RATE(Table1[[#This Row],[Total No. of Coupons]],Table1[[#This Row],[Coupon Amount]],-Table1[[#This Row],[Ask Price]],Table1[[#This Row],[Face value]])</f>
        <v>#N/A</v>
      </c>
      <c r="AL1099" s="27" t="e">
        <f>Table1[[#This Row],[IRR]]*Table1[[#This Row],[Coupon Frequency2]]</f>
        <v>#N/A</v>
      </c>
      <c r="AM1099" s="5" t="e">
        <f t="shared" si="70"/>
        <v>#N/A</v>
      </c>
      <c r="AN1099" t="s">
        <v>64</v>
      </c>
      <c r="AO1099" t="s">
        <v>62</v>
      </c>
      <c r="AP1099" t="str">
        <f t="shared" si="71"/>
        <v/>
      </c>
    </row>
    <row r="1100" spans="4:42" x14ac:dyDescent="0.35">
      <c r="D1100" s="21"/>
      <c r="E1100" s="21"/>
      <c r="L1100" s="22"/>
      <c r="S1100">
        <f t="shared" si="68"/>
        <v>0</v>
      </c>
      <c r="T1100" s="5" t="e" cm="1">
        <f t="array" ref="T11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0" t="e">
        <f>Table1[[#This Row],[Term to Maturity (Years)]]*Table1[[#This Row],[Coupon Frequency2]]</f>
        <v>#N/A</v>
      </c>
      <c r="V1100">
        <f>Table1[[#This Row],[Face value]]*Table1[[#This Row],[Current coupon %]]</f>
        <v>0</v>
      </c>
      <c r="W1100" s="36" t="e">
        <f>RATE(Table1[[#This Row],[Total No. of Coupons]],Table1[[#This Row],[Coupon Amount]],-Table1[[#This Row],[Ask Price]],Table1[[#This Row],[Face value]])</f>
        <v>#N/A</v>
      </c>
      <c r="X1100" s="27" t="e">
        <f>Table1[[#This Row],[IRR]]*Table1[[#This Row],[Coupon Frequency2]]</f>
        <v>#N/A</v>
      </c>
      <c r="Y1100" s="19" t="e" cm="1">
        <f t="array" ref="Y11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0" s="33" t="e">
        <f>DURATION(Table1[[#This Row],[Issue date]],Table1[[#This Row],[Maturity date]],Table1[[#This Row],[Current coupon %]],Table1[[#This Row],[Yield (Annualised)]],Table1[[#This Row],[Coupon Frequency2]])</f>
        <v>#N/A</v>
      </c>
      <c r="AA1100" s="33" t="e">
        <f>Table1[[#This Row],[Macaulay Duration in Years]]/(1+Table1[[#This Row],[IRR]])</f>
        <v>#N/A</v>
      </c>
      <c r="AB1100" s="58" t="e">
        <f>VLOOKUP(Table1[[#This Row],[Yield Cluster]],'Cluster Details'!$B$3:$C$16,2,0)</f>
        <v>#N/A</v>
      </c>
      <c r="AC11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0" s="58" t="e">
        <f>IF(Table1[[#This Row],[Ask Price]]&gt;Table1[[#This Row],[Calculated Bond Price]],"Rich","Cheap")</f>
        <v>#N/A</v>
      </c>
      <c r="AE11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0" s="78" t="e">
        <f>(Table1[[#This Row],[P (+ shock)]]+Table1[[#This Row],[P (-shock)]]-2*Table1[[#This Row],[Ask Price]])/(2*Table1[[#This Row],[Ask Price]]*($AF$2^2))</f>
        <v>#N/A</v>
      </c>
      <c r="AH1100">
        <v>10.5404504779608</v>
      </c>
      <c r="AI1100" s="6" t="e">
        <f t="shared" si="69"/>
        <v>#DIV/0!</v>
      </c>
      <c r="AK1100" s="47" t="e">
        <f>RATE(Table1[[#This Row],[Total No. of Coupons]],Table1[[#This Row],[Coupon Amount]],-Table1[[#This Row],[Ask Price]],Table1[[#This Row],[Face value]])</f>
        <v>#N/A</v>
      </c>
      <c r="AL1100" s="27" t="e">
        <f>Table1[[#This Row],[IRR]]*Table1[[#This Row],[Coupon Frequency2]]</f>
        <v>#N/A</v>
      </c>
      <c r="AM1100" s="5" t="e">
        <f t="shared" si="70"/>
        <v>#N/A</v>
      </c>
      <c r="AN1100" t="s">
        <v>64</v>
      </c>
      <c r="AO1100" t="s">
        <v>62</v>
      </c>
      <c r="AP1100" t="str">
        <f t="shared" si="71"/>
        <v/>
      </c>
    </row>
    <row r="1101" spans="4:42" x14ac:dyDescent="0.35">
      <c r="D1101" s="21"/>
      <c r="E1101" s="21"/>
      <c r="L1101" s="22"/>
      <c r="S1101">
        <f t="shared" si="68"/>
        <v>0</v>
      </c>
      <c r="T1101" s="5" t="e" cm="1">
        <f t="array" ref="T11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1" t="e">
        <f>Table1[[#This Row],[Term to Maturity (Years)]]*Table1[[#This Row],[Coupon Frequency2]]</f>
        <v>#N/A</v>
      </c>
      <c r="V1101">
        <f>Table1[[#This Row],[Face value]]*Table1[[#This Row],[Current coupon %]]</f>
        <v>0</v>
      </c>
      <c r="W1101" s="36" t="e">
        <f>RATE(Table1[[#This Row],[Total No. of Coupons]],Table1[[#This Row],[Coupon Amount]],-Table1[[#This Row],[Ask Price]],Table1[[#This Row],[Face value]])</f>
        <v>#N/A</v>
      </c>
      <c r="X1101" s="27" t="e">
        <f>Table1[[#This Row],[IRR]]*Table1[[#This Row],[Coupon Frequency2]]</f>
        <v>#N/A</v>
      </c>
      <c r="Y1101" s="19" t="e" cm="1">
        <f t="array" ref="Y11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1" s="33" t="e">
        <f>DURATION(Table1[[#This Row],[Issue date]],Table1[[#This Row],[Maturity date]],Table1[[#This Row],[Current coupon %]],Table1[[#This Row],[Yield (Annualised)]],Table1[[#This Row],[Coupon Frequency2]])</f>
        <v>#N/A</v>
      </c>
      <c r="AA1101" s="33" t="e">
        <f>Table1[[#This Row],[Macaulay Duration in Years]]/(1+Table1[[#This Row],[IRR]])</f>
        <v>#N/A</v>
      </c>
      <c r="AB1101" s="58" t="e">
        <f>VLOOKUP(Table1[[#This Row],[Yield Cluster]],'Cluster Details'!$B$3:$C$16,2,0)</f>
        <v>#N/A</v>
      </c>
      <c r="AC11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1" s="58" t="e">
        <f>IF(Table1[[#This Row],[Ask Price]]&gt;Table1[[#This Row],[Calculated Bond Price]],"Rich","Cheap")</f>
        <v>#N/A</v>
      </c>
      <c r="AE11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1" s="78" t="e">
        <f>(Table1[[#This Row],[P (+ shock)]]+Table1[[#This Row],[P (-shock)]]-2*Table1[[#This Row],[Ask Price]])/(2*Table1[[#This Row],[Ask Price]]*($AF$2^2))</f>
        <v>#N/A</v>
      </c>
      <c r="AH1101">
        <v>11.189630505862899</v>
      </c>
      <c r="AI1101" s="6" t="e">
        <f t="shared" si="69"/>
        <v>#DIV/0!</v>
      </c>
      <c r="AK1101" s="47" t="e">
        <f>RATE(Table1[[#This Row],[Total No. of Coupons]],Table1[[#This Row],[Coupon Amount]],-Table1[[#This Row],[Ask Price]],Table1[[#This Row],[Face value]])</f>
        <v>#N/A</v>
      </c>
      <c r="AL1101" s="27" t="e">
        <f>Table1[[#This Row],[IRR]]*Table1[[#This Row],[Coupon Frequency2]]</f>
        <v>#N/A</v>
      </c>
      <c r="AM1101" s="5" t="e">
        <f t="shared" si="70"/>
        <v>#N/A</v>
      </c>
      <c r="AN1101" t="s">
        <v>64</v>
      </c>
      <c r="AO1101" t="s">
        <v>62</v>
      </c>
      <c r="AP1101" t="str">
        <f t="shared" si="71"/>
        <v/>
      </c>
    </row>
    <row r="1102" spans="4:42" x14ac:dyDescent="0.35">
      <c r="D1102" s="21"/>
      <c r="E1102" s="21"/>
      <c r="L1102" s="22"/>
      <c r="S1102">
        <f t="shared" si="68"/>
        <v>0</v>
      </c>
      <c r="T1102" s="5" t="e" cm="1">
        <f t="array" ref="T11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2" t="e">
        <f>Table1[[#This Row],[Term to Maturity (Years)]]*Table1[[#This Row],[Coupon Frequency2]]</f>
        <v>#N/A</v>
      </c>
      <c r="V1102">
        <f>Table1[[#This Row],[Face value]]*Table1[[#This Row],[Current coupon %]]</f>
        <v>0</v>
      </c>
      <c r="W1102" s="36" t="e">
        <f>RATE(Table1[[#This Row],[Total No. of Coupons]],Table1[[#This Row],[Coupon Amount]],-Table1[[#This Row],[Ask Price]],Table1[[#This Row],[Face value]])</f>
        <v>#N/A</v>
      </c>
      <c r="X1102" s="27" t="e">
        <f>Table1[[#This Row],[IRR]]*Table1[[#This Row],[Coupon Frequency2]]</f>
        <v>#N/A</v>
      </c>
      <c r="Y1102" s="19" t="e" cm="1">
        <f t="array" ref="Y11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2" s="33" t="e">
        <f>DURATION(Table1[[#This Row],[Issue date]],Table1[[#This Row],[Maturity date]],Table1[[#This Row],[Current coupon %]],Table1[[#This Row],[Yield (Annualised)]],Table1[[#This Row],[Coupon Frequency2]])</f>
        <v>#N/A</v>
      </c>
      <c r="AA1102" s="33" t="e">
        <f>Table1[[#This Row],[Macaulay Duration in Years]]/(1+Table1[[#This Row],[IRR]])</f>
        <v>#N/A</v>
      </c>
      <c r="AB1102" s="58" t="e">
        <f>VLOOKUP(Table1[[#This Row],[Yield Cluster]],'Cluster Details'!$B$3:$C$16,2,0)</f>
        <v>#N/A</v>
      </c>
      <c r="AC11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2" s="58" t="e">
        <f>IF(Table1[[#This Row],[Ask Price]]&gt;Table1[[#This Row],[Calculated Bond Price]],"Rich","Cheap")</f>
        <v>#N/A</v>
      </c>
      <c r="AE11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2" s="78" t="e">
        <f>(Table1[[#This Row],[P (+ shock)]]+Table1[[#This Row],[P (-shock)]]-2*Table1[[#This Row],[Ask Price]])/(2*Table1[[#This Row],[Ask Price]]*($AF$2^2))</f>
        <v>#N/A</v>
      </c>
      <c r="AH1102">
        <v>14.114526827904401</v>
      </c>
      <c r="AI1102" s="6" t="e">
        <f t="shared" si="69"/>
        <v>#DIV/0!</v>
      </c>
      <c r="AK1102" s="47" t="e">
        <f>RATE(Table1[[#This Row],[Total No. of Coupons]],Table1[[#This Row],[Coupon Amount]],-Table1[[#This Row],[Ask Price]],Table1[[#This Row],[Face value]])</f>
        <v>#N/A</v>
      </c>
      <c r="AL1102" s="27" t="e">
        <f>Table1[[#This Row],[IRR]]*Table1[[#This Row],[Coupon Frequency2]]</f>
        <v>#N/A</v>
      </c>
      <c r="AM1102" s="5" t="e">
        <f t="shared" si="70"/>
        <v>#N/A</v>
      </c>
      <c r="AN1102" t="s">
        <v>64</v>
      </c>
      <c r="AO1102" t="s">
        <v>62</v>
      </c>
      <c r="AP1102" t="str">
        <f t="shared" si="71"/>
        <v/>
      </c>
    </row>
    <row r="1103" spans="4:42" x14ac:dyDescent="0.35">
      <c r="D1103" s="21"/>
      <c r="E1103" s="21"/>
      <c r="L1103" s="22"/>
      <c r="S1103">
        <f t="shared" si="68"/>
        <v>0</v>
      </c>
      <c r="T1103" s="5" t="e" cm="1">
        <f t="array" ref="T11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3" t="e">
        <f>Table1[[#This Row],[Term to Maturity (Years)]]*Table1[[#This Row],[Coupon Frequency2]]</f>
        <v>#N/A</v>
      </c>
      <c r="V1103">
        <f>Table1[[#This Row],[Face value]]*Table1[[#This Row],[Current coupon %]]</f>
        <v>0</v>
      </c>
      <c r="W1103" s="36" t="e">
        <f>RATE(Table1[[#This Row],[Total No. of Coupons]],Table1[[#This Row],[Coupon Amount]],-Table1[[#This Row],[Ask Price]],Table1[[#This Row],[Face value]])</f>
        <v>#N/A</v>
      </c>
      <c r="X1103" s="27" t="e">
        <f>Table1[[#This Row],[IRR]]*Table1[[#This Row],[Coupon Frequency2]]</f>
        <v>#N/A</v>
      </c>
      <c r="Y1103" s="19" t="e" cm="1">
        <f t="array" ref="Y11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3" s="33" t="e">
        <f>DURATION(Table1[[#This Row],[Issue date]],Table1[[#This Row],[Maturity date]],Table1[[#This Row],[Current coupon %]],Table1[[#This Row],[Yield (Annualised)]],Table1[[#This Row],[Coupon Frequency2]])</f>
        <v>#N/A</v>
      </c>
      <c r="AA1103" s="33" t="e">
        <f>Table1[[#This Row],[Macaulay Duration in Years]]/(1+Table1[[#This Row],[IRR]])</f>
        <v>#N/A</v>
      </c>
      <c r="AB1103" s="58" t="e">
        <f>VLOOKUP(Table1[[#This Row],[Yield Cluster]],'Cluster Details'!$B$3:$C$16,2,0)</f>
        <v>#N/A</v>
      </c>
      <c r="AC11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3" s="58" t="e">
        <f>IF(Table1[[#This Row],[Ask Price]]&gt;Table1[[#This Row],[Calculated Bond Price]],"Rich","Cheap")</f>
        <v>#N/A</v>
      </c>
      <c r="AE11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3" s="78" t="e">
        <f>(Table1[[#This Row],[P (+ shock)]]+Table1[[#This Row],[P (-shock)]]-2*Table1[[#This Row],[Ask Price]])/(2*Table1[[#This Row],[Ask Price]]*($AF$2^2))</f>
        <v>#N/A</v>
      </c>
      <c r="AI1103" s="26" t="e">
        <f t="shared" si="69"/>
        <v>#DIV/0!</v>
      </c>
      <c r="AK1103" s="47" t="e">
        <f>RATE(Table1[[#This Row],[Total No. of Coupons]],Table1[[#This Row],[Coupon Amount]],-Table1[[#This Row],[Ask Price]],Table1[[#This Row],[Face value]])</f>
        <v>#N/A</v>
      </c>
      <c r="AL1103" s="27" t="e">
        <f>Table1[[#This Row],[IRR]]*Table1[[#This Row],[Coupon Frequency2]]</f>
        <v>#N/A</v>
      </c>
      <c r="AM1103" s="5" t="e">
        <f t="shared" si="70"/>
        <v>#N/A</v>
      </c>
      <c r="AN1103" t="s">
        <v>64</v>
      </c>
      <c r="AO1103" t="s">
        <v>62</v>
      </c>
      <c r="AP1103" t="str">
        <f t="shared" si="71"/>
        <v/>
      </c>
    </row>
    <row r="1104" spans="4:42" x14ac:dyDescent="0.35">
      <c r="D1104" s="21"/>
      <c r="E1104" s="21"/>
      <c r="L1104" s="22"/>
      <c r="S1104">
        <f t="shared" si="68"/>
        <v>0</v>
      </c>
      <c r="T1104" s="5" t="e" cm="1">
        <f t="array" ref="T11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4" t="e">
        <f>Table1[[#This Row],[Term to Maturity (Years)]]*Table1[[#This Row],[Coupon Frequency2]]</f>
        <v>#N/A</v>
      </c>
      <c r="V1104">
        <f>Table1[[#This Row],[Face value]]*Table1[[#This Row],[Current coupon %]]</f>
        <v>0</v>
      </c>
      <c r="W1104" s="36" t="e">
        <f>RATE(Table1[[#This Row],[Total No. of Coupons]],Table1[[#This Row],[Coupon Amount]],-Table1[[#This Row],[Ask Price]],Table1[[#This Row],[Face value]])</f>
        <v>#N/A</v>
      </c>
      <c r="X1104" s="27" t="e">
        <f>Table1[[#This Row],[IRR]]*Table1[[#This Row],[Coupon Frequency2]]</f>
        <v>#N/A</v>
      </c>
      <c r="Y1104" s="19" t="e" cm="1">
        <f t="array" ref="Y11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4" s="33" t="e">
        <f>DURATION(Table1[[#This Row],[Issue date]],Table1[[#This Row],[Maturity date]],Table1[[#This Row],[Current coupon %]],Table1[[#This Row],[Yield (Annualised)]],Table1[[#This Row],[Coupon Frequency2]])</f>
        <v>#N/A</v>
      </c>
      <c r="AA1104" s="33" t="e">
        <f>Table1[[#This Row],[Macaulay Duration in Years]]/(1+Table1[[#This Row],[IRR]])</f>
        <v>#N/A</v>
      </c>
      <c r="AB1104" s="58" t="e">
        <f>VLOOKUP(Table1[[#This Row],[Yield Cluster]],'Cluster Details'!$B$3:$C$16,2,0)</f>
        <v>#N/A</v>
      </c>
      <c r="AC11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4" s="58" t="e">
        <f>IF(Table1[[#This Row],[Ask Price]]&gt;Table1[[#This Row],[Calculated Bond Price]],"Rich","Cheap")</f>
        <v>#N/A</v>
      </c>
      <c r="AE11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4" s="78" t="e">
        <f>(Table1[[#This Row],[P (+ shock)]]+Table1[[#This Row],[P (-shock)]]-2*Table1[[#This Row],[Ask Price]])/(2*Table1[[#This Row],[Ask Price]]*($AF$2^2))</f>
        <v>#N/A</v>
      </c>
      <c r="AI1104" s="6" t="e">
        <f t="shared" si="69"/>
        <v>#DIV/0!</v>
      </c>
      <c r="AK1104" s="47" t="e">
        <f>RATE(Table1[[#This Row],[Total No. of Coupons]],Table1[[#This Row],[Coupon Amount]],-Table1[[#This Row],[Ask Price]],Table1[[#This Row],[Face value]])</f>
        <v>#N/A</v>
      </c>
      <c r="AL1104" s="27" t="e">
        <f>Table1[[#This Row],[IRR]]*Table1[[#This Row],[Coupon Frequency2]]</f>
        <v>#N/A</v>
      </c>
      <c r="AM1104" s="5" t="e">
        <f t="shared" si="70"/>
        <v>#N/A</v>
      </c>
      <c r="AN1104" t="s">
        <v>64</v>
      </c>
      <c r="AO1104" t="s">
        <v>62</v>
      </c>
      <c r="AP1104" t="str">
        <f t="shared" si="71"/>
        <v/>
      </c>
    </row>
    <row r="1105" spans="4:42" x14ac:dyDescent="0.35">
      <c r="D1105" s="21"/>
      <c r="E1105" s="21"/>
      <c r="L1105" s="22"/>
      <c r="S1105">
        <f t="shared" si="68"/>
        <v>0</v>
      </c>
      <c r="T1105" s="5" t="e" cm="1">
        <f t="array" ref="T11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5" t="e">
        <f>Table1[[#This Row],[Term to Maturity (Years)]]*Table1[[#This Row],[Coupon Frequency2]]</f>
        <v>#N/A</v>
      </c>
      <c r="V1105">
        <f>Table1[[#This Row],[Face value]]*Table1[[#This Row],[Current coupon %]]</f>
        <v>0</v>
      </c>
      <c r="W1105" s="36" t="e">
        <f>RATE(Table1[[#This Row],[Total No. of Coupons]],Table1[[#This Row],[Coupon Amount]],-Table1[[#This Row],[Ask Price]],Table1[[#This Row],[Face value]])</f>
        <v>#N/A</v>
      </c>
      <c r="X1105" s="27" t="e">
        <f>Table1[[#This Row],[IRR]]*Table1[[#This Row],[Coupon Frequency2]]</f>
        <v>#N/A</v>
      </c>
      <c r="Y1105" s="19" t="e" cm="1">
        <f t="array" ref="Y11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5" s="33" t="e">
        <f>DURATION(Table1[[#This Row],[Issue date]],Table1[[#This Row],[Maturity date]],Table1[[#This Row],[Current coupon %]],Table1[[#This Row],[Yield (Annualised)]],Table1[[#This Row],[Coupon Frequency2]])</f>
        <v>#N/A</v>
      </c>
      <c r="AA1105" s="33" t="e">
        <f>Table1[[#This Row],[Macaulay Duration in Years]]/(1+Table1[[#This Row],[IRR]])</f>
        <v>#N/A</v>
      </c>
      <c r="AB1105" s="58" t="e">
        <f>VLOOKUP(Table1[[#This Row],[Yield Cluster]],'Cluster Details'!$B$3:$C$16,2,0)</f>
        <v>#N/A</v>
      </c>
      <c r="AC11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5" s="58" t="e">
        <f>IF(Table1[[#This Row],[Ask Price]]&gt;Table1[[#This Row],[Calculated Bond Price]],"Rich","Cheap")</f>
        <v>#N/A</v>
      </c>
      <c r="AE11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5" s="78" t="e">
        <f>(Table1[[#This Row],[P (+ shock)]]+Table1[[#This Row],[P (-shock)]]-2*Table1[[#This Row],[Ask Price]])/(2*Table1[[#This Row],[Ask Price]]*($AF$2^2))</f>
        <v>#N/A</v>
      </c>
      <c r="AH1105">
        <v>7.2162019313599197</v>
      </c>
      <c r="AI1105" s="6" t="e">
        <f t="shared" si="69"/>
        <v>#DIV/0!</v>
      </c>
      <c r="AK1105" s="47" t="e">
        <f>RATE(Table1[[#This Row],[Total No. of Coupons]],Table1[[#This Row],[Coupon Amount]],-Table1[[#This Row],[Ask Price]],Table1[[#This Row],[Face value]])</f>
        <v>#N/A</v>
      </c>
      <c r="AL1105" s="27" t="e">
        <f>Table1[[#This Row],[IRR]]*Table1[[#This Row],[Coupon Frequency2]]</f>
        <v>#N/A</v>
      </c>
      <c r="AM1105" s="5" t="e">
        <f t="shared" si="70"/>
        <v>#N/A</v>
      </c>
      <c r="AN1105" t="s">
        <v>64</v>
      </c>
      <c r="AO1105" t="s">
        <v>62</v>
      </c>
      <c r="AP1105" t="str">
        <f t="shared" si="71"/>
        <v/>
      </c>
    </row>
    <row r="1106" spans="4:42" x14ac:dyDescent="0.35">
      <c r="D1106" s="21"/>
      <c r="E1106" s="21"/>
      <c r="L1106" s="22"/>
      <c r="S1106">
        <f t="shared" si="68"/>
        <v>0</v>
      </c>
      <c r="T1106" s="5" t="e" cm="1">
        <f t="array" ref="T11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6" t="e">
        <f>Table1[[#This Row],[Term to Maturity (Years)]]*Table1[[#This Row],[Coupon Frequency2]]</f>
        <v>#N/A</v>
      </c>
      <c r="V1106">
        <f>Table1[[#This Row],[Face value]]*Table1[[#This Row],[Current coupon %]]</f>
        <v>0</v>
      </c>
      <c r="W1106" s="36" t="e">
        <f>RATE(Table1[[#This Row],[Total No. of Coupons]],Table1[[#This Row],[Coupon Amount]],-Table1[[#This Row],[Ask Price]],Table1[[#This Row],[Face value]])</f>
        <v>#N/A</v>
      </c>
      <c r="X1106" s="27" t="e">
        <f>Table1[[#This Row],[IRR]]*Table1[[#This Row],[Coupon Frequency2]]</f>
        <v>#N/A</v>
      </c>
      <c r="Y1106" s="19" t="e" cm="1">
        <f t="array" ref="Y11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6" s="33" t="e">
        <f>DURATION(Table1[[#This Row],[Issue date]],Table1[[#This Row],[Maturity date]],Table1[[#This Row],[Current coupon %]],Table1[[#This Row],[Yield (Annualised)]],Table1[[#This Row],[Coupon Frequency2]])</f>
        <v>#N/A</v>
      </c>
      <c r="AA1106" s="33" t="e">
        <f>Table1[[#This Row],[Macaulay Duration in Years]]/(1+Table1[[#This Row],[IRR]])</f>
        <v>#N/A</v>
      </c>
      <c r="AB1106" s="58" t="e">
        <f>VLOOKUP(Table1[[#This Row],[Yield Cluster]],'Cluster Details'!$B$3:$C$16,2,0)</f>
        <v>#N/A</v>
      </c>
      <c r="AC11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6" s="58" t="e">
        <f>IF(Table1[[#This Row],[Ask Price]]&gt;Table1[[#This Row],[Calculated Bond Price]],"Rich","Cheap")</f>
        <v>#N/A</v>
      </c>
      <c r="AE11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6" s="78" t="e">
        <f>(Table1[[#This Row],[P (+ shock)]]+Table1[[#This Row],[P (-shock)]]-2*Table1[[#This Row],[Ask Price]])/(2*Table1[[#This Row],[Ask Price]]*($AF$2^2))</f>
        <v>#N/A</v>
      </c>
      <c r="AI1106" s="6" t="e">
        <f t="shared" si="69"/>
        <v>#DIV/0!</v>
      </c>
      <c r="AK1106" s="47" t="e">
        <f>RATE(Table1[[#This Row],[Total No. of Coupons]],Table1[[#This Row],[Coupon Amount]],-Table1[[#This Row],[Ask Price]],Table1[[#This Row],[Face value]])</f>
        <v>#N/A</v>
      </c>
      <c r="AL1106" s="27" t="e">
        <f>Table1[[#This Row],[IRR]]*Table1[[#This Row],[Coupon Frequency2]]</f>
        <v>#N/A</v>
      </c>
      <c r="AM1106" s="5" t="e">
        <f t="shared" si="70"/>
        <v>#N/A</v>
      </c>
      <c r="AN1106" t="s">
        <v>64</v>
      </c>
      <c r="AO1106" t="s">
        <v>62</v>
      </c>
      <c r="AP1106" t="str">
        <f t="shared" si="71"/>
        <v/>
      </c>
    </row>
    <row r="1107" spans="4:42" x14ac:dyDescent="0.35">
      <c r="D1107" s="21"/>
      <c r="E1107" s="21"/>
      <c r="L1107" s="22"/>
      <c r="S1107">
        <f t="shared" si="68"/>
        <v>0</v>
      </c>
      <c r="T1107" s="5" t="e" cm="1">
        <f t="array" ref="T11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7" t="e">
        <f>Table1[[#This Row],[Term to Maturity (Years)]]*Table1[[#This Row],[Coupon Frequency2]]</f>
        <v>#N/A</v>
      </c>
      <c r="V1107">
        <f>Table1[[#This Row],[Face value]]*Table1[[#This Row],[Current coupon %]]</f>
        <v>0</v>
      </c>
      <c r="W1107" s="36" t="e">
        <f>RATE(Table1[[#This Row],[Total No. of Coupons]],Table1[[#This Row],[Coupon Amount]],-Table1[[#This Row],[Ask Price]],Table1[[#This Row],[Face value]])</f>
        <v>#N/A</v>
      </c>
      <c r="X1107" s="27" t="e">
        <f>Table1[[#This Row],[IRR]]*Table1[[#This Row],[Coupon Frequency2]]</f>
        <v>#N/A</v>
      </c>
      <c r="Y1107" s="19" t="e" cm="1">
        <f t="array" ref="Y11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7" s="33" t="e">
        <f>DURATION(Table1[[#This Row],[Issue date]],Table1[[#This Row],[Maturity date]],Table1[[#This Row],[Current coupon %]],Table1[[#This Row],[Yield (Annualised)]],Table1[[#This Row],[Coupon Frequency2]])</f>
        <v>#N/A</v>
      </c>
      <c r="AA1107" s="33" t="e">
        <f>Table1[[#This Row],[Macaulay Duration in Years]]/(1+Table1[[#This Row],[IRR]])</f>
        <v>#N/A</v>
      </c>
      <c r="AB1107" s="58" t="e">
        <f>VLOOKUP(Table1[[#This Row],[Yield Cluster]],'Cluster Details'!$B$3:$C$16,2,0)</f>
        <v>#N/A</v>
      </c>
      <c r="AC11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7" s="58" t="e">
        <f>IF(Table1[[#This Row],[Ask Price]]&gt;Table1[[#This Row],[Calculated Bond Price]],"Rich","Cheap")</f>
        <v>#N/A</v>
      </c>
      <c r="AE11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7" s="78" t="e">
        <f>(Table1[[#This Row],[P (+ shock)]]+Table1[[#This Row],[P (-shock)]]-2*Table1[[#This Row],[Ask Price]])/(2*Table1[[#This Row],[Ask Price]]*($AF$2^2))</f>
        <v>#N/A</v>
      </c>
      <c r="AH1107">
        <v>8.8655630104005496</v>
      </c>
      <c r="AI1107" s="6" t="e">
        <f t="shared" si="69"/>
        <v>#DIV/0!</v>
      </c>
      <c r="AK1107" s="47" t="e">
        <f>RATE(Table1[[#This Row],[Total No. of Coupons]],Table1[[#This Row],[Coupon Amount]],-Table1[[#This Row],[Ask Price]],Table1[[#This Row],[Face value]])</f>
        <v>#N/A</v>
      </c>
      <c r="AL1107" s="27" t="e">
        <f>Table1[[#This Row],[IRR]]*Table1[[#This Row],[Coupon Frequency2]]</f>
        <v>#N/A</v>
      </c>
      <c r="AM1107" s="5" t="e">
        <f t="shared" si="70"/>
        <v>#N/A</v>
      </c>
      <c r="AN1107" t="s">
        <v>64</v>
      </c>
      <c r="AO1107" t="s">
        <v>62</v>
      </c>
      <c r="AP1107" t="str">
        <f t="shared" si="71"/>
        <v/>
      </c>
    </row>
    <row r="1108" spans="4:42" x14ac:dyDescent="0.35">
      <c r="D1108" s="21"/>
      <c r="E1108" s="21"/>
      <c r="L1108" s="22"/>
      <c r="S1108">
        <f t="shared" si="68"/>
        <v>0</v>
      </c>
      <c r="T1108" s="5" t="e" cm="1">
        <f t="array" ref="T11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8" t="e">
        <f>Table1[[#This Row],[Term to Maturity (Years)]]*Table1[[#This Row],[Coupon Frequency2]]</f>
        <v>#N/A</v>
      </c>
      <c r="V1108">
        <f>Table1[[#This Row],[Face value]]*Table1[[#This Row],[Current coupon %]]</f>
        <v>0</v>
      </c>
      <c r="W1108" s="36" t="e">
        <f>RATE(Table1[[#This Row],[Total No. of Coupons]],Table1[[#This Row],[Coupon Amount]],-Table1[[#This Row],[Ask Price]],Table1[[#This Row],[Face value]])</f>
        <v>#N/A</v>
      </c>
      <c r="X1108" s="27" t="e">
        <f>Table1[[#This Row],[IRR]]*Table1[[#This Row],[Coupon Frequency2]]</f>
        <v>#N/A</v>
      </c>
      <c r="Y1108" s="19" t="e" cm="1">
        <f t="array" ref="Y11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8" s="33" t="e">
        <f>DURATION(Table1[[#This Row],[Issue date]],Table1[[#This Row],[Maturity date]],Table1[[#This Row],[Current coupon %]],Table1[[#This Row],[Yield (Annualised)]],Table1[[#This Row],[Coupon Frequency2]])</f>
        <v>#N/A</v>
      </c>
      <c r="AA1108" s="33" t="e">
        <f>Table1[[#This Row],[Macaulay Duration in Years]]/(1+Table1[[#This Row],[IRR]])</f>
        <v>#N/A</v>
      </c>
      <c r="AB1108" s="58" t="e">
        <f>VLOOKUP(Table1[[#This Row],[Yield Cluster]],'Cluster Details'!$B$3:$C$16,2,0)</f>
        <v>#N/A</v>
      </c>
      <c r="AC11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8" s="58" t="e">
        <f>IF(Table1[[#This Row],[Ask Price]]&gt;Table1[[#This Row],[Calculated Bond Price]],"Rich","Cheap")</f>
        <v>#N/A</v>
      </c>
      <c r="AE11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8" s="78" t="e">
        <f>(Table1[[#This Row],[P (+ shock)]]+Table1[[#This Row],[P (-shock)]]-2*Table1[[#This Row],[Ask Price]])/(2*Table1[[#This Row],[Ask Price]]*($AF$2^2))</f>
        <v>#N/A</v>
      </c>
      <c r="AH1108">
        <v>9.5348349668871997</v>
      </c>
      <c r="AI1108" s="6" t="e">
        <f t="shared" si="69"/>
        <v>#DIV/0!</v>
      </c>
      <c r="AK1108" s="47" t="e">
        <f>RATE(Table1[[#This Row],[Total No. of Coupons]],Table1[[#This Row],[Coupon Amount]],-Table1[[#This Row],[Ask Price]],Table1[[#This Row],[Face value]])</f>
        <v>#N/A</v>
      </c>
      <c r="AL1108" s="27" t="e">
        <f>Table1[[#This Row],[IRR]]*Table1[[#This Row],[Coupon Frequency2]]</f>
        <v>#N/A</v>
      </c>
      <c r="AM1108" s="5" t="e">
        <f t="shared" si="70"/>
        <v>#N/A</v>
      </c>
      <c r="AN1108" t="s">
        <v>64</v>
      </c>
      <c r="AO1108" t="s">
        <v>62</v>
      </c>
      <c r="AP1108" t="str">
        <f t="shared" si="71"/>
        <v/>
      </c>
    </row>
    <row r="1109" spans="4:42" x14ac:dyDescent="0.35">
      <c r="D1109" s="21"/>
      <c r="E1109" s="21"/>
      <c r="L1109" s="22"/>
      <c r="S1109">
        <f t="shared" si="68"/>
        <v>0</v>
      </c>
      <c r="T1109" s="5" t="e" cm="1">
        <f t="array" ref="T11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09" t="e">
        <f>Table1[[#This Row],[Term to Maturity (Years)]]*Table1[[#This Row],[Coupon Frequency2]]</f>
        <v>#N/A</v>
      </c>
      <c r="V1109">
        <f>Table1[[#This Row],[Face value]]*Table1[[#This Row],[Current coupon %]]</f>
        <v>0</v>
      </c>
      <c r="W1109" s="36" t="e">
        <f>RATE(Table1[[#This Row],[Total No. of Coupons]],Table1[[#This Row],[Coupon Amount]],-Table1[[#This Row],[Ask Price]],Table1[[#This Row],[Face value]])</f>
        <v>#N/A</v>
      </c>
      <c r="X1109" s="27" t="e">
        <f>Table1[[#This Row],[IRR]]*Table1[[#This Row],[Coupon Frequency2]]</f>
        <v>#N/A</v>
      </c>
      <c r="Y1109" s="19" t="e" cm="1">
        <f t="array" ref="Y11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09" s="33" t="e">
        <f>DURATION(Table1[[#This Row],[Issue date]],Table1[[#This Row],[Maturity date]],Table1[[#This Row],[Current coupon %]],Table1[[#This Row],[Yield (Annualised)]],Table1[[#This Row],[Coupon Frequency2]])</f>
        <v>#N/A</v>
      </c>
      <c r="AA1109" s="33" t="e">
        <f>Table1[[#This Row],[Macaulay Duration in Years]]/(1+Table1[[#This Row],[IRR]])</f>
        <v>#N/A</v>
      </c>
      <c r="AB1109" s="58" t="e">
        <f>VLOOKUP(Table1[[#This Row],[Yield Cluster]],'Cluster Details'!$B$3:$C$16,2,0)</f>
        <v>#N/A</v>
      </c>
      <c r="AC11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09" s="58" t="e">
        <f>IF(Table1[[#This Row],[Ask Price]]&gt;Table1[[#This Row],[Calculated Bond Price]],"Rich","Cheap")</f>
        <v>#N/A</v>
      </c>
      <c r="AE11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09" s="78" t="e">
        <f>(Table1[[#This Row],[P (+ shock)]]+Table1[[#This Row],[P (-shock)]]-2*Table1[[#This Row],[Ask Price]])/(2*Table1[[#This Row],[Ask Price]]*($AF$2^2))</f>
        <v>#N/A</v>
      </c>
      <c r="AH1109">
        <v>9.6792065427837102</v>
      </c>
      <c r="AI1109" s="6" t="e">
        <f t="shared" si="69"/>
        <v>#DIV/0!</v>
      </c>
      <c r="AK1109" s="47" t="e">
        <f>RATE(Table1[[#This Row],[Total No. of Coupons]],Table1[[#This Row],[Coupon Amount]],-Table1[[#This Row],[Ask Price]],Table1[[#This Row],[Face value]])</f>
        <v>#N/A</v>
      </c>
      <c r="AL1109" s="27" t="e">
        <f>Table1[[#This Row],[IRR]]*Table1[[#This Row],[Coupon Frequency2]]</f>
        <v>#N/A</v>
      </c>
      <c r="AM1109" s="5" t="e">
        <f t="shared" si="70"/>
        <v>#N/A</v>
      </c>
      <c r="AN1109" t="s">
        <v>64</v>
      </c>
      <c r="AO1109" t="s">
        <v>62</v>
      </c>
      <c r="AP1109" t="str">
        <f t="shared" si="71"/>
        <v/>
      </c>
    </row>
    <row r="1110" spans="4:42" x14ac:dyDescent="0.35">
      <c r="D1110" s="21"/>
      <c r="E1110" s="21"/>
      <c r="L1110" s="22"/>
      <c r="S1110">
        <f t="shared" si="68"/>
        <v>0</v>
      </c>
      <c r="T1110" s="5" t="e" cm="1">
        <f t="array" ref="T11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0" t="e">
        <f>Table1[[#This Row],[Term to Maturity (Years)]]*Table1[[#This Row],[Coupon Frequency2]]</f>
        <v>#N/A</v>
      </c>
      <c r="V1110">
        <f>Table1[[#This Row],[Face value]]*Table1[[#This Row],[Current coupon %]]</f>
        <v>0</v>
      </c>
      <c r="W1110" s="36" t="e">
        <f>RATE(Table1[[#This Row],[Total No. of Coupons]],Table1[[#This Row],[Coupon Amount]],-Table1[[#This Row],[Ask Price]],Table1[[#This Row],[Face value]])</f>
        <v>#N/A</v>
      </c>
      <c r="X1110" s="27" t="e">
        <f>Table1[[#This Row],[IRR]]*Table1[[#This Row],[Coupon Frequency2]]</f>
        <v>#N/A</v>
      </c>
      <c r="Y1110" s="19" t="e" cm="1">
        <f t="array" ref="Y11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0" s="33" t="e">
        <f>DURATION(Table1[[#This Row],[Issue date]],Table1[[#This Row],[Maturity date]],Table1[[#This Row],[Current coupon %]],Table1[[#This Row],[Yield (Annualised)]],Table1[[#This Row],[Coupon Frequency2]])</f>
        <v>#N/A</v>
      </c>
      <c r="AA1110" s="33" t="e">
        <f>Table1[[#This Row],[Macaulay Duration in Years]]/(1+Table1[[#This Row],[IRR]])</f>
        <v>#N/A</v>
      </c>
      <c r="AB1110" s="58" t="e">
        <f>VLOOKUP(Table1[[#This Row],[Yield Cluster]],'Cluster Details'!$B$3:$C$16,2,0)</f>
        <v>#N/A</v>
      </c>
      <c r="AC11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0" s="58" t="e">
        <f>IF(Table1[[#This Row],[Ask Price]]&gt;Table1[[#This Row],[Calculated Bond Price]],"Rich","Cheap")</f>
        <v>#N/A</v>
      </c>
      <c r="AE11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0" s="78" t="e">
        <f>(Table1[[#This Row],[P (+ shock)]]+Table1[[#This Row],[P (-shock)]]-2*Table1[[#This Row],[Ask Price]])/(2*Table1[[#This Row],[Ask Price]]*($AF$2^2))</f>
        <v>#N/A</v>
      </c>
      <c r="AH1110">
        <v>8.5952667341943094</v>
      </c>
      <c r="AI1110" s="6" t="e">
        <f t="shared" si="69"/>
        <v>#DIV/0!</v>
      </c>
      <c r="AK1110" s="47" t="e">
        <f>RATE(Table1[[#This Row],[Total No. of Coupons]],Table1[[#This Row],[Coupon Amount]],-Table1[[#This Row],[Ask Price]],Table1[[#This Row],[Face value]])</f>
        <v>#N/A</v>
      </c>
      <c r="AL1110" s="27" t="e">
        <f>Table1[[#This Row],[IRR]]*Table1[[#This Row],[Coupon Frequency2]]</f>
        <v>#N/A</v>
      </c>
      <c r="AM1110" s="5" t="e">
        <f t="shared" si="70"/>
        <v>#N/A</v>
      </c>
      <c r="AN1110" t="s">
        <v>64</v>
      </c>
      <c r="AO1110" t="s">
        <v>62</v>
      </c>
      <c r="AP1110" t="str">
        <f t="shared" si="71"/>
        <v/>
      </c>
    </row>
    <row r="1111" spans="4:42" x14ac:dyDescent="0.35">
      <c r="D1111" s="21"/>
      <c r="E1111" s="21"/>
      <c r="L1111" s="22"/>
      <c r="S1111">
        <f t="shared" si="68"/>
        <v>0</v>
      </c>
      <c r="T1111" s="5" t="e" cm="1">
        <f t="array" ref="T11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1" t="e">
        <f>Table1[[#This Row],[Term to Maturity (Years)]]*Table1[[#This Row],[Coupon Frequency2]]</f>
        <v>#N/A</v>
      </c>
      <c r="V1111">
        <f>Table1[[#This Row],[Face value]]*Table1[[#This Row],[Current coupon %]]</f>
        <v>0</v>
      </c>
      <c r="W1111" s="36" t="e">
        <f>RATE(Table1[[#This Row],[Total No. of Coupons]],Table1[[#This Row],[Coupon Amount]],-Table1[[#This Row],[Ask Price]],Table1[[#This Row],[Face value]])</f>
        <v>#N/A</v>
      </c>
      <c r="X1111" s="27" t="e">
        <f>Table1[[#This Row],[IRR]]*Table1[[#This Row],[Coupon Frequency2]]</f>
        <v>#N/A</v>
      </c>
      <c r="Y1111" s="19" t="e" cm="1">
        <f t="array" ref="Y11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1" s="33" t="e">
        <f>DURATION(Table1[[#This Row],[Issue date]],Table1[[#This Row],[Maturity date]],Table1[[#This Row],[Current coupon %]],Table1[[#This Row],[Yield (Annualised)]],Table1[[#This Row],[Coupon Frequency2]])</f>
        <v>#N/A</v>
      </c>
      <c r="AA1111" s="33" t="e">
        <f>Table1[[#This Row],[Macaulay Duration in Years]]/(1+Table1[[#This Row],[IRR]])</f>
        <v>#N/A</v>
      </c>
      <c r="AB1111" s="58" t="e">
        <f>VLOOKUP(Table1[[#This Row],[Yield Cluster]],'Cluster Details'!$B$3:$C$16,2,0)</f>
        <v>#N/A</v>
      </c>
      <c r="AC11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1" s="58" t="e">
        <f>IF(Table1[[#This Row],[Ask Price]]&gt;Table1[[#This Row],[Calculated Bond Price]],"Rich","Cheap")</f>
        <v>#N/A</v>
      </c>
      <c r="AE11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1" s="78" t="e">
        <f>(Table1[[#This Row],[P (+ shock)]]+Table1[[#This Row],[P (-shock)]]-2*Table1[[#This Row],[Ask Price]])/(2*Table1[[#This Row],[Ask Price]]*($AF$2^2))</f>
        <v>#N/A</v>
      </c>
      <c r="AH1111">
        <v>9.4295242822956702</v>
      </c>
      <c r="AI1111" s="6" t="e">
        <f t="shared" si="69"/>
        <v>#DIV/0!</v>
      </c>
      <c r="AK1111" s="47" t="e">
        <f>RATE(Table1[[#This Row],[Total No. of Coupons]],Table1[[#This Row],[Coupon Amount]],-Table1[[#This Row],[Ask Price]],Table1[[#This Row],[Face value]])</f>
        <v>#N/A</v>
      </c>
      <c r="AL1111" s="27" t="e">
        <f>Table1[[#This Row],[IRR]]*Table1[[#This Row],[Coupon Frequency2]]</f>
        <v>#N/A</v>
      </c>
      <c r="AM1111" s="5" t="e">
        <f t="shared" si="70"/>
        <v>#N/A</v>
      </c>
      <c r="AN1111" t="s">
        <v>64</v>
      </c>
      <c r="AO1111" t="s">
        <v>62</v>
      </c>
      <c r="AP1111" t="str">
        <f t="shared" si="71"/>
        <v/>
      </c>
    </row>
    <row r="1112" spans="4:42" x14ac:dyDescent="0.35">
      <c r="D1112" s="21"/>
      <c r="E1112" s="21"/>
      <c r="L1112" s="22"/>
      <c r="S1112">
        <f t="shared" si="68"/>
        <v>0</v>
      </c>
      <c r="T1112" s="5" t="e" cm="1">
        <f t="array" ref="T11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2" t="e">
        <f>Table1[[#This Row],[Term to Maturity (Years)]]*Table1[[#This Row],[Coupon Frequency2]]</f>
        <v>#N/A</v>
      </c>
      <c r="V1112">
        <f>Table1[[#This Row],[Face value]]*Table1[[#This Row],[Current coupon %]]</f>
        <v>0</v>
      </c>
      <c r="W1112" s="36" t="e">
        <f>RATE(Table1[[#This Row],[Total No. of Coupons]],Table1[[#This Row],[Coupon Amount]],-Table1[[#This Row],[Ask Price]],Table1[[#This Row],[Face value]])</f>
        <v>#N/A</v>
      </c>
      <c r="X1112" s="27" t="e">
        <f>Table1[[#This Row],[IRR]]*Table1[[#This Row],[Coupon Frequency2]]</f>
        <v>#N/A</v>
      </c>
      <c r="Y1112" s="19" t="e" cm="1">
        <f t="array" ref="Y11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2" s="33" t="e">
        <f>DURATION(Table1[[#This Row],[Issue date]],Table1[[#This Row],[Maturity date]],Table1[[#This Row],[Current coupon %]],Table1[[#This Row],[Yield (Annualised)]],Table1[[#This Row],[Coupon Frequency2]])</f>
        <v>#N/A</v>
      </c>
      <c r="AA1112" s="33" t="e">
        <f>Table1[[#This Row],[Macaulay Duration in Years]]/(1+Table1[[#This Row],[IRR]])</f>
        <v>#N/A</v>
      </c>
      <c r="AB1112" s="58" t="e">
        <f>VLOOKUP(Table1[[#This Row],[Yield Cluster]],'Cluster Details'!$B$3:$C$16,2,0)</f>
        <v>#N/A</v>
      </c>
      <c r="AC11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2" s="58" t="e">
        <f>IF(Table1[[#This Row],[Ask Price]]&gt;Table1[[#This Row],[Calculated Bond Price]],"Rich","Cheap")</f>
        <v>#N/A</v>
      </c>
      <c r="AE11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2" s="78" t="e">
        <f>(Table1[[#This Row],[P (+ shock)]]+Table1[[#This Row],[P (-shock)]]-2*Table1[[#This Row],[Ask Price]])/(2*Table1[[#This Row],[Ask Price]]*($AF$2^2))</f>
        <v>#N/A</v>
      </c>
      <c r="AH1112">
        <v>8.2819086907148201</v>
      </c>
      <c r="AI1112" s="6" t="e">
        <f t="shared" si="69"/>
        <v>#DIV/0!</v>
      </c>
      <c r="AK1112" s="47" t="e">
        <f>RATE(Table1[[#This Row],[Total No. of Coupons]],Table1[[#This Row],[Coupon Amount]],-Table1[[#This Row],[Ask Price]],Table1[[#This Row],[Face value]])</f>
        <v>#N/A</v>
      </c>
      <c r="AL1112" s="27" t="e">
        <f>Table1[[#This Row],[IRR]]*Table1[[#This Row],[Coupon Frequency2]]</f>
        <v>#N/A</v>
      </c>
      <c r="AM1112" s="5" t="e">
        <f t="shared" si="70"/>
        <v>#N/A</v>
      </c>
      <c r="AN1112" t="s">
        <v>79</v>
      </c>
      <c r="AO1112" t="s">
        <v>62</v>
      </c>
      <c r="AP1112" t="str">
        <f t="shared" si="71"/>
        <v/>
      </c>
    </row>
    <row r="1113" spans="4:42" x14ac:dyDescent="0.35">
      <c r="D1113" s="21"/>
      <c r="E1113" s="21"/>
      <c r="L1113" s="22"/>
      <c r="S1113">
        <f t="shared" si="68"/>
        <v>0</v>
      </c>
      <c r="T1113" s="5" t="e" cm="1">
        <f t="array" ref="T11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3" t="e">
        <f>Table1[[#This Row],[Term to Maturity (Years)]]*Table1[[#This Row],[Coupon Frequency2]]</f>
        <v>#N/A</v>
      </c>
      <c r="V1113">
        <f>Table1[[#This Row],[Face value]]*Table1[[#This Row],[Current coupon %]]</f>
        <v>0</v>
      </c>
      <c r="W1113" s="36" t="e">
        <f>RATE(Table1[[#This Row],[Total No. of Coupons]],Table1[[#This Row],[Coupon Amount]],-Table1[[#This Row],[Ask Price]],Table1[[#This Row],[Face value]])</f>
        <v>#N/A</v>
      </c>
      <c r="X1113" s="27" t="e">
        <f>Table1[[#This Row],[IRR]]*Table1[[#This Row],[Coupon Frequency2]]</f>
        <v>#N/A</v>
      </c>
      <c r="Y1113" s="19" t="e" cm="1">
        <f t="array" ref="Y11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3" s="33" t="e">
        <f>DURATION(Table1[[#This Row],[Issue date]],Table1[[#This Row],[Maturity date]],Table1[[#This Row],[Current coupon %]],Table1[[#This Row],[Yield (Annualised)]],Table1[[#This Row],[Coupon Frequency2]])</f>
        <v>#N/A</v>
      </c>
      <c r="AA1113" s="33" t="e">
        <f>Table1[[#This Row],[Macaulay Duration in Years]]/(1+Table1[[#This Row],[IRR]])</f>
        <v>#N/A</v>
      </c>
      <c r="AB1113" s="58" t="e">
        <f>VLOOKUP(Table1[[#This Row],[Yield Cluster]],'Cluster Details'!$B$3:$C$16,2,0)</f>
        <v>#N/A</v>
      </c>
      <c r="AC11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3" s="58" t="e">
        <f>IF(Table1[[#This Row],[Ask Price]]&gt;Table1[[#This Row],[Calculated Bond Price]],"Rich","Cheap")</f>
        <v>#N/A</v>
      </c>
      <c r="AE11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3" s="78" t="e">
        <f>(Table1[[#This Row],[P (+ shock)]]+Table1[[#This Row],[P (-shock)]]-2*Table1[[#This Row],[Ask Price]])/(2*Table1[[#This Row],[Ask Price]]*($AF$2^2))</f>
        <v>#N/A</v>
      </c>
      <c r="AH1113">
        <v>12.246709268665599</v>
      </c>
      <c r="AI1113" s="6" t="e">
        <f t="shared" si="69"/>
        <v>#DIV/0!</v>
      </c>
      <c r="AK1113" s="47" t="e">
        <f>RATE(Table1[[#This Row],[Total No. of Coupons]],Table1[[#This Row],[Coupon Amount]],-Table1[[#This Row],[Ask Price]],Table1[[#This Row],[Face value]])</f>
        <v>#N/A</v>
      </c>
      <c r="AL1113" s="27" t="e">
        <f>Table1[[#This Row],[IRR]]*Table1[[#This Row],[Coupon Frequency2]]</f>
        <v>#N/A</v>
      </c>
      <c r="AM1113" s="5" t="e">
        <f t="shared" si="70"/>
        <v>#N/A</v>
      </c>
      <c r="AN1113" t="s">
        <v>64</v>
      </c>
      <c r="AO1113" t="s">
        <v>62</v>
      </c>
      <c r="AP1113" t="str">
        <f t="shared" si="71"/>
        <v/>
      </c>
    </row>
    <row r="1114" spans="4:42" x14ac:dyDescent="0.35">
      <c r="D1114" s="21"/>
      <c r="E1114" s="21"/>
      <c r="L1114" s="22"/>
      <c r="S1114">
        <f t="shared" si="68"/>
        <v>0</v>
      </c>
      <c r="T1114" s="5" t="e" cm="1">
        <f t="array" ref="T11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4" t="e">
        <f>Table1[[#This Row],[Term to Maturity (Years)]]*Table1[[#This Row],[Coupon Frequency2]]</f>
        <v>#N/A</v>
      </c>
      <c r="V1114">
        <f>Table1[[#This Row],[Face value]]*Table1[[#This Row],[Current coupon %]]</f>
        <v>0</v>
      </c>
      <c r="W1114" s="36" t="e">
        <f>RATE(Table1[[#This Row],[Total No. of Coupons]],Table1[[#This Row],[Coupon Amount]],-Table1[[#This Row],[Ask Price]],Table1[[#This Row],[Face value]])</f>
        <v>#N/A</v>
      </c>
      <c r="X1114" s="27" t="e">
        <f>Table1[[#This Row],[IRR]]*Table1[[#This Row],[Coupon Frequency2]]</f>
        <v>#N/A</v>
      </c>
      <c r="Y1114" s="19" t="e" cm="1">
        <f t="array" ref="Y11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4" s="33" t="e">
        <f>DURATION(Table1[[#This Row],[Issue date]],Table1[[#This Row],[Maturity date]],Table1[[#This Row],[Current coupon %]],Table1[[#This Row],[Yield (Annualised)]],Table1[[#This Row],[Coupon Frequency2]])</f>
        <v>#N/A</v>
      </c>
      <c r="AA1114" s="33" t="e">
        <f>Table1[[#This Row],[Macaulay Duration in Years]]/(1+Table1[[#This Row],[IRR]])</f>
        <v>#N/A</v>
      </c>
      <c r="AB1114" s="58" t="e">
        <f>VLOOKUP(Table1[[#This Row],[Yield Cluster]],'Cluster Details'!$B$3:$C$16,2,0)</f>
        <v>#N/A</v>
      </c>
      <c r="AC11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4" s="58" t="e">
        <f>IF(Table1[[#This Row],[Ask Price]]&gt;Table1[[#This Row],[Calculated Bond Price]],"Rich","Cheap")</f>
        <v>#N/A</v>
      </c>
      <c r="AE11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4" s="78" t="e">
        <f>(Table1[[#This Row],[P (+ shock)]]+Table1[[#This Row],[P (-shock)]]-2*Table1[[#This Row],[Ask Price]])/(2*Table1[[#This Row],[Ask Price]]*($AF$2^2))</f>
        <v>#N/A</v>
      </c>
      <c r="AI1114" s="6" t="e">
        <f t="shared" si="69"/>
        <v>#DIV/0!</v>
      </c>
      <c r="AK1114" s="47" t="e">
        <f>RATE(Table1[[#This Row],[Total No. of Coupons]],Table1[[#This Row],[Coupon Amount]],-Table1[[#This Row],[Ask Price]],Table1[[#This Row],[Face value]])</f>
        <v>#N/A</v>
      </c>
      <c r="AL1114" s="27" t="e">
        <f>Table1[[#This Row],[IRR]]*Table1[[#This Row],[Coupon Frequency2]]</f>
        <v>#N/A</v>
      </c>
      <c r="AM1114" s="5" t="e">
        <f t="shared" si="70"/>
        <v>#N/A</v>
      </c>
      <c r="AN1114" t="s">
        <v>69</v>
      </c>
      <c r="AO1114" t="s">
        <v>62</v>
      </c>
      <c r="AP1114" t="str">
        <f t="shared" si="71"/>
        <v/>
      </c>
    </row>
    <row r="1115" spans="4:42" x14ac:dyDescent="0.35">
      <c r="D1115" s="21"/>
      <c r="E1115" s="21"/>
      <c r="L1115" s="22"/>
      <c r="S1115">
        <f t="shared" si="68"/>
        <v>0</v>
      </c>
      <c r="T1115" s="5" t="e" cm="1">
        <f t="array" ref="T11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5" t="e">
        <f>Table1[[#This Row],[Term to Maturity (Years)]]*Table1[[#This Row],[Coupon Frequency2]]</f>
        <v>#N/A</v>
      </c>
      <c r="V1115">
        <f>Table1[[#This Row],[Face value]]*Table1[[#This Row],[Current coupon %]]</f>
        <v>0</v>
      </c>
      <c r="W1115" s="36" t="e">
        <f>RATE(Table1[[#This Row],[Total No. of Coupons]],Table1[[#This Row],[Coupon Amount]],-Table1[[#This Row],[Ask Price]],Table1[[#This Row],[Face value]])</f>
        <v>#N/A</v>
      </c>
      <c r="X1115" s="27" t="e">
        <f>Table1[[#This Row],[IRR]]*Table1[[#This Row],[Coupon Frequency2]]</f>
        <v>#N/A</v>
      </c>
      <c r="Y1115" s="19" t="e" cm="1">
        <f t="array" ref="Y11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5" s="33" t="e">
        <f>DURATION(Table1[[#This Row],[Issue date]],Table1[[#This Row],[Maturity date]],Table1[[#This Row],[Current coupon %]],Table1[[#This Row],[Yield (Annualised)]],Table1[[#This Row],[Coupon Frequency2]])</f>
        <v>#N/A</v>
      </c>
      <c r="AA1115" s="33" t="e">
        <f>Table1[[#This Row],[Macaulay Duration in Years]]/(1+Table1[[#This Row],[IRR]])</f>
        <v>#N/A</v>
      </c>
      <c r="AB1115" s="58" t="e">
        <f>VLOOKUP(Table1[[#This Row],[Yield Cluster]],'Cluster Details'!$B$3:$C$16,2,0)</f>
        <v>#N/A</v>
      </c>
      <c r="AC11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5" s="58" t="e">
        <f>IF(Table1[[#This Row],[Ask Price]]&gt;Table1[[#This Row],[Calculated Bond Price]],"Rich","Cheap")</f>
        <v>#N/A</v>
      </c>
      <c r="AE11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5" s="78" t="e">
        <f>(Table1[[#This Row],[P (+ shock)]]+Table1[[#This Row],[P (-shock)]]-2*Table1[[#This Row],[Ask Price]])/(2*Table1[[#This Row],[Ask Price]]*($AF$2^2))</f>
        <v>#N/A</v>
      </c>
      <c r="AH1115">
        <v>10.7282921680253</v>
      </c>
      <c r="AI1115" s="6" t="e">
        <f t="shared" si="69"/>
        <v>#DIV/0!</v>
      </c>
      <c r="AK1115" s="47" t="e">
        <f>RATE(Table1[[#This Row],[Total No. of Coupons]],Table1[[#This Row],[Coupon Amount]],-Table1[[#This Row],[Ask Price]],Table1[[#This Row],[Face value]])</f>
        <v>#N/A</v>
      </c>
      <c r="AL1115" s="27" t="e">
        <f>Table1[[#This Row],[IRR]]*Table1[[#This Row],[Coupon Frequency2]]</f>
        <v>#N/A</v>
      </c>
      <c r="AM1115" s="5" t="e">
        <f t="shared" si="70"/>
        <v>#N/A</v>
      </c>
      <c r="AN1115" t="s">
        <v>64</v>
      </c>
      <c r="AO1115" t="s">
        <v>62</v>
      </c>
      <c r="AP1115" t="str">
        <f t="shared" si="71"/>
        <v/>
      </c>
    </row>
    <row r="1116" spans="4:42" x14ac:dyDescent="0.35">
      <c r="D1116" s="21"/>
      <c r="E1116" s="21"/>
      <c r="L1116" s="22"/>
      <c r="S1116">
        <f t="shared" si="68"/>
        <v>0</v>
      </c>
      <c r="T1116" s="5" t="e" cm="1">
        <f t="array" ref="T11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6" t="e">
        <f>Table1[[#This Row],[Term to Maturity (Years)]]*Table1[[#This Row],[Coupon Frequency2]]</f>
        <v>#N/A</v>
      </c>
      <c r="V1116">
        <f>Table1[[#This Row],[Face value]]*Table1[[#This Row],[Current coupon %]]</f>
        <v>0</v>
      </c>
      <c r="W1116" s="36" t="e">
        <f>RATE(Table1[[#This Row],[Total No. of Coupons]],Table1[[#This Row],[Coupon Amount]],-Table1[[#This Row],[Ask Price]],Table1[[#This Row],[Face value]])</f>
        <v>#N/A</v>
      </c>
      <c r="X1116" s="27" t="e">
        <f>Table1[[#This Row],[IRR]]*Table1[[#This Row],[Coupon Frequency2]]</f>
        <v>#N/A</v>
      </c>
      <c r="Y1116" s="19" t="e" cm="1">
        <f t="array" ref="Y11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6" s="33" t="e">
        <f>DURATION(Table1[[#This Row],[Issue date]],Table1[[#This Row],[Maturity date]],Table1[[#This Row],[Current coupon %]],Table1[[#This Row],[Yield (Annualised)]],Table1[[#This Row],[Coupon Frequency2]])</f>
        <v>#N/A</v>
      </c>
      <c r="AA1116" s="33" t="e">
        <f>Table1[[#This Row],[Macaulay Duration in Years]]/(1+Table1[[#This Row],[IRR]])</f>
        <v>#N/A</v>
      </c>
      <c r="AB1116" s="58" t="e">
        <f>VLOOKUP(Table1[[#This Row],[Yield Cluster]],'Cluster Details'!$B$3:$C$16,2,0)</f>
        <v>#N/A</v>
      </c>
      <c r="AC11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6" s="58" t="e">
        <f>IF(Table1[[#This Row],[Ask Price]]&gt;Table1[[#This Row],[Calculated Bond Price]],"Rich","Cheap")</f>
        <v>#N/A</v>
      </c>
      <c r="AE11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6" s="78" t="e">
        <f>(Table1[[#This Row],[P (+ shock)]]+Table1[[#This Row],[P (-shock)]]-2*Table1[[#This Row],[Ask Price]])/(2*Table1[[#This Row],[Ask Price]]*($AF$2^2))</f>
        <v>#N/A</v>
      </c>
      <c r="AH1116">
        <v>11.5321293226297</v>
      </c>
      <c r="AI1116" s="6" t="e">
        <f t="shared" si="69"/>
        <v>#DIV/0!</v>
      </c>
      <c r="AK1116" s="47" t="e">
        <f>RATE(Table1[[#This Row],[Total No. of Coupons]],Table1[[#This Row],[Coupon Amount]],-Table1[[#This Row],[Ask Price]],Table1[[#This Row],[Face value]])</f>
        <v>#N/A</v>
      </c>
      <c r="AL1116" s="27" t="e">
        <f>Table1[[#This Row],[IRR]]*Table1[[#This Row],[Coupon Frequency2]]</f>
        <v>#N/A</v>
      </c>
      <c r="AM1116" s="5" t="e">
        <f t="shared" si="70"/>
        <v>#N/A</v>
      </c>
      <c r="AN1116" t="s">
        <v>64</v>
      </c>
      <c r="AO1116" t="s">
        <v>62</v>
      </c>
      <c r="AP1116" t="str">
        <f t="shared" si="71"/>
        <v/>
      </c>
    </row>
    <row r="1117" spans="4:42" x14ac:dyDescent="0.35">
      <c r="D1117" s="21"/>
      <c r="E1117" s="21"/>
      <c r="L1117" s="22"/>
      <c r="S1117">
        <f t="shared" si="68"/>
        <v>0</v>
      </c>
      <c r="T1117" s="5" t="e" cm="1">
        <f t="array" ref="T11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7" t="e">
        <f>Table1[[#This Row],[Term to Maturity (Years)]]*Table1[[#This Row],[Coupon Frequency2]]</f>
        <v>#N/A</v>
      </c>
      <c r="V1117">
        <f>Table1[[#This Row],[Face value]]*Table1[[#This Row],[Current coupon %]]</f>
        <v>0</v>
      </c>
      <c r="W1117" s="36" t="e">
        <f>RATE(Table1[[#This Row],[Total No. of Coupons]],Table1[[#This Row],[Coupon Amount]],-Table1[[#This Row],[Ask Price]],Table1[[#This Row],[Face value]])</f>
        <v>#N/A</v>
      </c>
      <c r="X1117" s="27" t="e">
        <f>Table1[[#This Row],[IRR]]*Table1[[#This Row],[Coupon Frequency2]]</f>
        <v>#N/A</v>
      </c>
      <c r="Y1117" s="19" t="e" cm="1">
        <f t="array" ref="Y11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7" s="33" t="e">
        <f>DURATION(Table1[[#This Row],[Issue date]],Table1[[#This Row],[Maturity date]],Table1[[#This Row],[Current coupon %]],Table1[[#This Row],[Yield (Annualised)]],Table1[[#This Row],[Coupon Frequency2]])</f>
        <v>#N/A</v>
      </c>
      <c r="AA1117" s="33" t="e">
        <f>Table1[[#This Row],[Macaulay Duration in Years]]/(1+Table1[[#This Row],[IRR]])</f>
        <v>#N/A</v>
      </c>
      <c r="AB1117" s="58" t="e">
        <f>VLOOKUP(Table1[[#This Row],[Yield Cluster]],'Cluster Details'!$B$3:$C$16,2,0)</f>
        <v>#N/A</v>
      </c>
      <c r="AC11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7" s="58" t="e">
        <f>IF(Table1[[#This Row],[Ask Price]]&gt;Table1[[#This Row],[Calculated Bond Price]],"Rich","Cheap")</f>
        <v>#N/A</v>
      </c>
      <c r="AE11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7" s="78" t="e">
        <f>(Table1[[#This Row],[P (+ shock)]]+Table1[[#This Row],[P (-shock)]]-2*Table1[[#This Row],[Ask Price]])/(2*Table1[[#This Row],[Ask Price]]*($AF$2^2))</f>
        <v>#N/A</v>
      </c>
      <c r="AI1117" s="6" t="e">
        <f t="shared" si="69"/>
        <v>#DIV/0!</v>
      </c>
      <c r="AK1117" s="47" t="e">
        <f>RATE(Table1[[#This Row],[Total No. of Coupons]],Table1[[#This Row],[Coupon Amount]],-Table1[[#This Row],[Ask Price]],Table1[[#This Row],[Face value]])</f>
        <v>#N/A</v>
      </c>
      <c r="AL1117" s="27" t="e">
        <f>Table1[[#This Row],[IRR]]*Table1[[#This Row],[Coupon Frequency2]]</f>
        <v>#N/A</v>
      </c>
      <c r="AM1117" s="5" t="e">
        <f t="shared" si="70"/>
        <v>#N/A</v>
      </c>
      <c r="AN1117" t="s">
        <v>69</v>
      </c>
      <c r="AO1117" t="s">
        <v>62</v>
      </c>
      <c r="AP1117" t="str">
        <f t="shared" si="71"/>
        <v/>
      </c>
    </row>
    <row r="1118" spans="4:42" x14ac:dyDescent="0.35">
      <c r="D1118" s="21"/>
      <c r="E1118" s="21"/>
      <c r="L1118" s="22"/>
      <c r="S1118">
        <f t="shared" si="68"/>
        <v>0</v>
      </c>
      <c r="T1118" s="5" t="e" cm="1">
        <f t="array" ref="T11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8" t="e">
        <f>Table1[[#This Row],[Term to Maturity (Years)]]*Table1[[#This Row],[Coupon Frequency2]]</f>
        <v>#N/A</v>
      </c>
      <c r="V1118">
        <f>Table1[[#This Row],[Face value]]*Table1[[#This Row],[Current coupon %]]</f>
        <v>0</v>
      </c>
      <c r="W1118" s="36" t="e">
        <f>RATE(Table1[[#This Row],[Total No. of Coupons]],Table1[[#This Row],[Coupon Amount]],-Table1[[#This Row],[Ask Price]],Table1[[#This Row],[Face value]])</f>
        <v>#N/A</v>
      </c>
      <c r="X1118" s="27" t="e">
        <f>Table1[[#This Row],[IRR]]*Table1[[#This Row],[Coupon Frequency2]]</f>
        <v>#N/A</v>
      </c>
      <c r="Y1118" s="19" t="e" cm="1">
        <f t="array" ref="Y11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8" s="33" t="e">
        <f>DURATION(Table1[[#This Row],[Issue date]],Table1[[#This Row],[Maturity date]],Table1[[#This Row],[Current coupon %]],Table1[[#This Row],[Yield (Annualised)]],Table1[[#This Row],[Coupon Frequency2]])</f>
        <v>#N/A</v>
      </c>
      <c r="AA1118" s="33" t="e">
        <f>Table1[[#This Row],[Macaulay Duration in Years]]/(1+Table1[[#This Row],[IRR]])</f>
        <v>#N/A</v>
      </c>
      <c r="AB1118" s="58" t="e">
        <f>VLOOKUP(Table1[[#This Row],[Yield Cluster]],'Cluster Details'!$B$3:$C$16,2,0)</f>
        <v>#N/A</v>
      </c>
      <c r="AC11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8" s="58" t="e">
        <f>IF(Table1[[#This Row],[Ask Price]]&gt;Table1[[#This Row],[Calculated Bond Price]],"Rich","Cheap")</f>
        <v>#N/A</v>
      </c>
      <c r="AE11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8" s="78" t="e">
        <f>(Table1[[#This Row],[P (+ shock)]]+Table1[[#This Row],[P (-shock)]]-2*Table1[[#This Row],[Ask Price]])/(2*Table1[[#This Row],[Ask Price]]*($AF$2^2))</f>
        <v>#N/A</v>
      </c>
      <c r="AH1118">
        <v>9.6873341671424704</v>
      </c>
      <c r="AI1118" s="6" t="e">
        <f t="shared" si="69"/>
        <v>#DIV/0!</v>
      </c>
      <c r="AK1118" s="47" t="e">
        <f>RATE(Table1[[#This Row],[Total No. of Coupons]],Table1[[#This Row],[Coupon Amount]],-Table1[[#This Row],[Ask Price]],Table1[[#This Row],[Face value]])</f>
        <v>#N/A</v>
      </c>
      <c r="AL1118" s="27" t="e">
        <f>Table1[[#This Row],[IRR]]*Table1[[#This Row],[Coupon Frequency2]]</f>
        <v>#N/A</v>
      </c>
      <c r="AM1118" s="5" t="e">
        <f t="shared" si="70"/>
        <v>#N/A</v>
      </c>
      <c r="AN1118" t="s">
        <v>64</v>
      </c>
      <c r="AO1118" t="s">
        <v>62</v>
      </c>
      <c r="AP1118" t="str">
        <f t="shared" si="71"/>
        <v/>
      </c>
    </row>
    <row r="1119" spans="4:42" x14ac:dyDescent="0.35">
      <c r="D1119" s="21"/>
      <c r="E1119" s="21"/>
      <c r="L1119" s="22"/>
      <c r="S1119">
        <f t="shared" si="68"/>
        <v>0</v>
      </c>
      <c r="T1119" s="5" t="e" cm="1">
        <f t="array" ref="T11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19" t="e">
        <f>Table1[[#This Row],[Term to Maturity (Years)]]*Table1[[#This Row],[Coupon Frequency2]]</f>
        <v>#N/A</v>
      </c>
      <c r="V1119">
        <f>Table1[[#This Row],[Face value]]*Table1[[#This Row],[Current coupon %]]</f>
        <v>0</v>
      </c>
      <c r="W1119" s="36" t="e">
        <f>RATE(Table1[[#This Row],[Total No. of Coupons]],Table1[[#This Row],[Coupon Amount]],-Table1[[#This Row],[Ask Price]],Table1[[#This Row],[Face value]])</f>
        <v>#N/A</v>
      </c>
      <c r="X1119" s="27" t="e">
        <f>Table1[[#This Row],[IRR]]*Table1[[#This Row],[Coupon Frequency2]]</f>
        <v>#N/A</v>
      </c>
      <c r="Y1119" s="19" t="e" cm="1">
        <f t="array" ref="Y11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19" s="33" t="e">
        <f>DURATION(Table1[[#This Row],[Issue date]],Table1[[#This Row],[Maturity date]],Table1[[#This Row],[Current coupon %]],Table1[[#This Row],[Yield (Annualised)]],Table1[[#This Row],[Coupon Frequency2]])</f>
        <v>#N/A</v>
      </c>
      <c r="AA1119" s="33" t="e">
        <f>Table1[[#This Row],[Macaulay Duration in Years]]/(1+Table1[[#This Row],[IRR]])</f>
        <v>#N/A</v>
      </c>
      <c r="AB1119" s="58" t="e">
        <f>VLOOKUP(Table1[[#This Row],[Yield Cluster]],'Cluster Details'!$B$3:$C$16,2,0)</f>
        <v>#N/A</v>
      </c>
      <c r="AC11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19" s="58" t="e">
        <f>IF(Table1[[#This Row],[Ask Price]]&gt;Table1[[#This Row],[Calculated Bond Price]],"Rich","Cheap")</f>
        <v>#N/A</v>
      </c>
      <c r="AE11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19" s="78" t="e">
        <f>(Table1[[#This Row],[P (+ shock)]]+Table1[[#This Row],[P (-shock)]]-2*Table1[[#This Row],[Ask Price]])/(2*Table1[[#This Row],[Ask Price]]*($AF$2^2))</f>
        <v>#N/A</v>
      </c>
      <c r="AH1119">
        <v>10.25</v>
      </c>
      <c r="AI1119" s="6" t="e">
        <f t="shared" si="69"/>
        <v>#DIV/0!</v>
      </c>
      <c r="AK1119" s="47" t="e">
        <f>RATE(Table1[[#This Row],[Total No. of Coupons]],Table1[[#This Row],[Coupon Amount]],-Table1[[#This Row],[Ask Price]],Table1[[#This Row],[Face value]])</f>
        <v>#N/A</v>
      </c>
      <c r="AL1119" s="27" t="e">
        <f>Table1[[#This Row],[IRR]]*Table1[[#This Row],[Coupon Frequency2]]</f>
        <v>#N/A</v>
      </c>
      <c r="AM1119" s="5" t="e">
        <f t="shared" si="70"/>
        <v>#N/A</v>
      </c>
      <c r="AN1119" t="s">
        <v>64</v>
      </c>
      <c r="AO1119" t="s">
        <v>62</v>
      </c>
      <c r="AP1119" t="str">
        <f t="shared" si="71"/>
        <v/>
      </c>
    </row>
    <row r="1120" spans="4:42" x14ac:dyDescent="0.35">
      <c r="D1120" s="21"/>
      <c r="E1120" s="21"/>
      <c r="L1120" s="22"/>
      <c r="S1120">
        <f t="shared" si="68"/>
        <v>0</v>
      </c>
      <c r="T1120" s="5" t="e" cm="1">
        <f t="array" ref="T11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0" t="e">
        <f>Table1[[#This Row],[Term to Maturity (Years)]]*Table1[[#This Row],[Coupon Frequency2]]</f>
        <v>#N/A</v>
      </c>
      <c r="V1120">
        <f>Table1[[#This Row],[Face value]]*Table1[[#This Row],[Current coupon %]]</f>
        <v>0</v>
      </c>
      <c r="W1120" s="36" t="e">
        <f>RATE(Table1[[#This Row],[Total No. of Coupons]],Table1[[#This Row],[Coupon Amount]],-Table1[[#This Row],[Ask Price]],Table1[[#This Row],[Face value]])</f>
        <v>#N/A</v>
      </c>
      <c r="X1120" s="27" t="e">
        <f>Table1[[#This Row],[IRR]]*Table1[[#This Row],[Coupon Frequency2]]</f>
        <v>#N/A</v>
      </c>
      <c r="Y1120" s="19" t="e" cm="1">
        <f t="array" ref="Y11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0" s="33" t="e">
        <f>DURATION(Table1[[#This Row],[Issue date]],Table1[[#This Row],[Maturity date]],Table1[[#This Row],[Current coupon %]],Table1[[#This Row],[Yield (Annualised)]],Table1[[#This Row],[Coupon Frequency2]])</f>
        <v>#N/A</v>
      </c>
      <c r="AA1120" s="33" t="e">
        <f>Table1[[#This Row],[Macaulay Duration in Years]]/(1+Table1[[#This Row],[IRR]])</f>
        <v>#N/A</v>
      </c>
      <c r="AB1120" s="58" t="e">
        <f>VLOOKUP(Table1[[#This Row],[Yield Cluster]],'Cluster Details'!$B$3:$C$16,2,0)</f>
        <v>#N/A</v>
      </c>
      <c r="AC11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0" s="58" t="e">
        <f>IF(Table1[[#This Row],[Ask Price]]&gt;Table1[[#This Row],[Calculated Bond Price]],"Rich","Cheap")</f>
        <v>#N/A</v>
      </c>
      <c r="AE11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0" s="78" t="e">
        <f>(Table1[[#This Row],[P (+ shock)]]+Table1[[#This Row],[P (-shock)]]-2*Table1[[#This Row],[Ask Price]])/(2*Table1[[#This Row],[Ask Price]]*($AF$2^2))</f>
        <v>#N/A</v>
      </c>
      <c r="AI1120" s="6" t="e">
        <f t="shared" si="69"/>
        <v>#DIV/0!</v>
      </c>
      <c r="AK1120" s="47" t="e">
        <f>RATE(Table1[[#This Row],[Total No. of Coupons]],Table1[[#This Row],[Coupon Amount]],-Table1[[#This Row],[Ask Price]],Table1[[#This Row],[Face value]])</f>
        <v>#N/A</v>
      </c>
      <c r="AL1120" s="27" t="e">
        <f>Table1[[#This Row],[IRR]]*Table1[[#This Row],[Coupon Frequency2]]</f>
        <v>#N/A</v>
      </c>
      <c r="AM1120" s="5" t="e">
        <f t="shared" si="70"/>
        <v>#N/A</v>
      </c>
      <c r="AN1120" t="s">
        <v>69</v>
      </c>
      <c r="AO1120" t="s">
        <v>62</v>
      </c>
      <c r="AP1120" t="str">
        <f t="shared" si="71"/>
        <v/>
      </c>
    </row>
    <row r="1121" spans="4:42" x14ac:dyDescent="0.35">
      <c r="D1121" s="21"/>
      <c r="E1121" s="21"/>
      <c r="L1121" s="22"/>
      <c r="S1121">
        <f t="shared" si="68"/>
        <v>0</v>
      </c>
      <c r="T1121" s="5" t="e" cm="1">
        <f t="array" ref="T11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1" t="e">
        <f>Table1[[#This Row],[Term to Maturity (Years)]]*Table1[[#This Row],[Coupon Frequency2]]</f>
        <v>#N/A</v>
      </c>
      <c r="V1121">
        <f>Table1[[#This Row],[Face value]]*Table1[[#This Row],[Current coupon %]]</f>
        <v>0</v>
      </c>
      <c r="W1121" s="36" t="e">
        <f>RATE(Table1[[#This Row],[Total No. of Coupons]],Table1[[#This Row],[Coupon Amount]],-Table1[[#This Row],[Ask Price]],Table1[[#This Row],[Face value]])</f>
        <v>#N/A</v>
      </c>
      <c r="X1121" s="27" t="e">
        <f>Table1[[#This Row],[IRR]]*Table1[[#This Row],[Coupon Frequency2]]</f>
        <v>#N/A</v>
      </c>
      <c r="Y1121" s="19" t="e" cm="1">
        <f t="array" ref="Y11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1" s="33" t="e">
        <f>DURATION(Table1[[#This Row],[Issue date]],Table1[[#This Row],[Maturity date]],Table1[[#This Row],[Current coupon %]],Table1[[#This Row],[Yield (Annualised)]],Table1[[#This Row],[Coupon Frequency2]])</f>
        <v>#N/A</v>
      </c>
      <c r="AA1121" s="33" t="e">
        <f>Table1[[#This Row],[Macaulay Duration in Years]]/(1+Table1[[#This Row],[IRR]])</f>
        <v>#N/A</v>
      </c>
      <c r="AB1121" s="58" t="e">
        <f>VLOOKUP(Table1[[#This Row],[Yield Cluster]],'Cluster Details'!$B$3:$C$16,2,0)</f>
        <v>#N/A</v>
      </c>
      <c r="AC11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1" s="58" t="e">
        <f>IF(Table1[[#This Row],[Ask Price]]&gt;Table1[[#This Row],[Calculated Bond Price]],"Rich","Cheap")</f>
        <v>#N/A</v>
      </c>
      <c r="AE11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1" s="78" t="e">
        <f>(Table1[[#This Row],[P (+ shock)]]+Table1[[#This Row],[P (-shock)]]-2*Table1[[#This Row],[Ask Price]])/(2*Table1[[#This Row],[Ask Price]]*($AF$2^2))</f>
        <v>#N/A</v>
      </c>
      <c r="AH1121">
        <v>13.636164732324801</v>
      </c>
      <c r="AI1121" s="6" t="e">
        <f t="shared" si="69"/>
        <v>#DIV/0!</v>
      </c>
      <c r="AK1121" s="47" t="e">
        <f>RATE(Table1[[#This Row],[Total No. of Coupons]],Table1[[#This Row],[Coupon Amount]],-Table1[[#This Row],[Ask Price]],Table1[[#This Row],[Face value]])</f>
        <v>#N/A</v>
      </c>
      <c r="AL1121" s="27" t="e">
        <f>Table1[[#This Row],[IRR]]*Table1[[#This Row],[Coupon Frequency2]]</f>
        <v>#N/A</v>
      </c>
      <c r="AM1121" s="5" t="e">
        <f t="shared" si="70"/>
        <v>#N/A</v>
      </c>
      <c r="AN1121" t="s">
        <v>64</v>
      </c>
      <c r="AO1121" t="s">
        <v>62</v>
      </c>
      <c r="AP1121" t="str">
        <f t="shared" si="71"/>
        <v/>
      </c>
    </row>
    <row r="1122" spans="4:42" x14ac:dyDescent="0.35">
      <c r="D1122" s="21"/>
      <c r="E1122" s="21"/>
      <c r="L1122" s="22"/>
      <c r="S1122">
        <f t="shared" si="68"/>
        <v>0</v>
      </c>
      <c r="T1122" s="5" t="e" cm="1">
        <f t="array" ref="T11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2" t="e">
        <f>Table1[[#This Row],[Term to Maturity (Years)]]*Table1[[#This Row],[Coupon Frequency2]]</f>
        <v>#N/A</v>
      </c>
      <c r="V1122">
        <f>Table1[[#This Row],[Face value]]*Table1[[#This Row],[Current coupon %]]</f>
        <v>0</v>
      </c>
      <c r="W1122" s="36" t="e">
        <f>RATE(Table1[[#This Row],[Total No. of Coupons]],Table1[[#This Row],[Coupon Amount]],-Table1[[#This Row],[Ask Price]],Table1[[#This Row],[Face value]])</f>
        <v>#N/A</v>
      </c>
      <c r="X1122" s="27" t="e">
        <f>Table1[[#This Row],[IRR]]*Table1[[#This Row],[Coupon Frequency2]]</f>
        <v>#N/A</v>
      </c>
      <c r="Y1122" s="19" t="e" cm="1">
        <f t="array" ref="Y11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2" s="33" t="e">
        <f>DURATION(Table1[[#This Row],[Issue date]],Table1[[#This Row],[Maturity date]],Table1[[#This Row],[Current coupon %]],Table1[[#This Row],[Yield (Annualised)]],Table1[[#This Row],[Coupon Frequency2]])</f>
        <v>#N/A</v>
      </c>
      <c r="AA1122" s="33" t="e">
        <f>Table1[[#This Row],[Macaulay Duration in Years]]/(1+Table1[[#This Row],[IRR]])</f>
        <v>#N/A</v>
      </c>
      <c r="AB1122" s="58" t="e">
        <f>VLOOKUP(Table1[[#This Row],[Yield Cluster]],'Cluster Details'!$B$3:$C$16,2,0)</f>
        <v>#N/A</v>
      </c>
      <c r="AC112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2" s="58" t="e">
        <f>IF(Table1[[#This Row],[Ask Price]]&gt;Table1[[#This Row],[Calculated Bond Price]],"Rich","Cheap")</f>
        <v>#N/A</v>
      </c>
      <c r="AE112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2" s="78" t="e">
        <f>(Table1[[#This Row],[P (+ shock)]]+Table1[[#This Row],[P (-shock)]]-2*Table1[[#This Row],[Ask Price]])/(2*Table1[[#This Row],[Ask Price]]*($AF$2^2))</f>
        <v>#N/A</v>
      </c>
      <c r="AI1122" s="6" t="e">
        <f t="shared" si="69"/>
        <v>#DIV/0!</v>
      </c>
      <c r="AK1122" s="47" t="e">
        <f>RATE(Table1[[#This Row],[Total No. of Coupons]],Table1[[#This Row],[Coupon Amount]],-Table1[[#This Row],[Ask Price]],Table1[[#This Row],[Face value]])</f>
        <v>#N/A</v>
      </c>
      <c r="AL1122" s="27" t="e">
        <f>Table1[[#This Row],[IRR]]*Table1[[#This Row],[Coupon Frequency2]]</f>
        <v>#N/A</v>
      </c>
      <c r="AM1122" s="5" t="e">
        <f t="shared" si="70"/>
        <v>#N/A</v>
      </c>
      <c r="AN1122" t="s">
        <v>69</v>
      </c>
      <c r="AO1122" t="s">
        <v>62</v>
      </c>
      <c r="AP1122" t="str">
        <f t="shared" si="71"/>
        <v/>
      </c>
    </row>
    <row r="1123" spans="4:42" x14ac:dyDescent="0.35">
      <c r="D1123" s="21"/>
      <c r="E1123" s="21"/>
      <c r="L1123" s="22"/>
      <c r="S1123">
        <f t="shared" si="68"/>
        <v>0</v>
      </c>
      <c r="T1123" s="5" t="e" cm="1">
        <f t="array" ref="T11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3" t="e">
        <f>Table1[[#This Row],[Term to Maturity (Years)]]*Table1[[#This Row],[Coupon Frequency2]]</f>
        <v>#N/A</v>
      </c>
      <c r="V1123">
        <f>Table1[[#This Row],[Face value]]*Table1[[#This Row],[Current coupon %]]</f>
        <v>0</v>
      </c>
      <c r="W1123" s="36" t="e">
        <f>RATE(Table1[[#This Row],[Total No. of Coupons]],Table1[[#This Row],[Coupon Amount]],-Table1[[#This Row],[Ask Price]],Table1[[#This Row],[Face value]])</f>
        <v>#N/A</v>
      </c>
      <c r="X1123" s="27" t="e">
        <f>Table1[[#This Row],[IRR]]*Table1[[#This Row],[Coupon Frequency2]]</f>
        <v>#N/A</v>
      </c>
      <c r="Y1123" s="19" t="e" cm="1">
        <f t="array" ref="Y11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3" s="33" t="e">
        <f>DURATION(Table1[[#This Row],[Issue date]],Table1[[#This Row],[Maturity date]],Table1[[#This Row],[Current coupon %]],Table1[[#This Row],[Yield (Annualised)]],Table1[[#This Row],[Coupon Frequency2]])</f>
        <v>#N/A</v>
      </c>
      <c r="AA1123" s="33" t="e">
        <f>Table1[[#This Row],[Macaulay Duration in Years]]/(1+Table1[[#This Row],[IRR]])</f>
        <v>#N/A</v>
      </c>
      <c r="AB1123" s="58" t="e">
        <f>VLOOKUP(Table1[[#This Row],[Yield Cluster]],'Cluster Details'!$B$3:$C$16,2,0)</f>
        <v>#N/A</v>
      </c>
      <c r="AC112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3" s="58" t="e">
        <f>IF(Table1[[#This Row],[Ask Price]]&gt;Table1[[#This Row],[Calculated Bond Price]],"Rich","Cheap")</f>
        <v>#N/A</v>
      </c>
      <c r="AE112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3" s="78" t="e">
        <f>(Table1[[#This Row],[P (+ shock)]]+Table1[[#This Row],[P (-shock)]]-2*Table1[[#This Row],[Ask Price]])/(2*Table1[[#This Row],[Ask Price]]*($AF$2^2))</f>
        <v>#N/A</v>
      </c>
      <c r="AH1123">
        <v>11.649486595549099</v>
      </c>
      <c r="AI1123" s="6" t="e">
        <f t="shared" si="69"/>
        <v>#DIV/0!</v>
      </c>
      <c r="AK1123" s="47" t="e">
        <f>RATE(Table1[[#This Row],[Total No. of Coupons]],Table1[[#This Row],[Coupon Amount]],-Table1[[#This Row],[Ask Price]],Table1[[#This Row],[Face value]])</f>
        <v>#N/A</v>
      </c>
      <c r="AL1123" s="27" t="e">
        <f>Table1[[#This Row],[IRR]]*Table1[[#This Row],[Coupon Frequency2]]</f>
        <v>#N/A</v>
      </c>
      <c r="AM1123" s="5" t="e">
        <f t="shared" si="70"/>
        <v>#N/A</v>
      </c>
      <c r="AN1123" t="s">
        <v>64</v>
      </c>
      <c r="AO1123" t="s">
        <v>62</v>
      </c>
      <c r="AP1123" t="str">
        <f t="shared" si="71"/>
        <v/>
      </c>
    </row>
    <row r="1124" spans="4:42" x14ac:dyDescent="0.35">
      <c r="D1124" s="21"/>
      <c r="E1124" s="21"/>
      <c r="L1124" s="22"/>
      <c r="S1124">
        <f t="shared" si="68"/>
        <v>0</v>
      </c>
      <c r="T1124" s="5" t="e" cm="1">
        <f t="array" ref="T11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4" t="e">
        <f>Table1[[#This Row],[Term to Maturity (Years)]]*Table1[[#This Row],[Coupon Frequency2]]</f>
        <v>#N/A</v>
      </c>
      <c r="V1124">
        <f>Table1[[#This Row],[Face value]]*Table1[[#This Row],[Current coupon %]]</f>
        <v>0</v>
      </c>
      <c r="W1124" s="36" t="e">
        <f>RATE(Table1[[#This Row],[Total No. of Coupons]],Table1[[#This Row],[Coupon Amount]],-Table1[[#This Row],[Ask Price]],Table1[[#This Row],[Face value]])</f>
        <v>#N/A</v>
      </c>
      <c r="X1124" s="27" t="e">
        <f>Table1[[#This Row],[IRR]]*Table1[[#This Row],[Coupon Frequency2]]</f>
        <v>#N/A</v>
      </c>
      <c r="Y1124" s="19" t="e" cm="1">
        <f t="array" ref="Y11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4" s="33" t="e">
        <f>DURATION(Table1[[#This Row],[Issue date]],Table1[[#This Row],[Maturity date]],Table1[[#This Row],[Current coupon %]],Table1[[#This Row],[Yield (Annualised)]],Table1[[#This Row],[Coupon Frequency2]])</f>
        <v>#N/A</v>
      </c>
      <c r="AA1124" s="33" t="e">
        <f>Table1[[#This Row],[Macaulay Duration in Years]]/(1+Table1[[#This Row],[IRR]])</f>
        <v>#N/A</v>
      </c>
      <c r="AB1124" s="58" t="e">
        <f>VLOOKUP(Table1[[#This Row],[Yield Cluster]],'Cluster Details'!$B$3:$C$16,2,0)</f>
        <v>#N/A</v>
      </c>
      <c r="AC112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4" s="58" t="e">
        <f>IF(Table1[[#This Row],[Ask Price]]&gt;Table1[[#This Row],[Calculated Bond Price]],"Rich","Cheap")</f>
        <v>#N/A</v>
      </c>
      <c r="AE112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4" s="78" t="e">
        <f>(Table1[[#This Row],[P (+ shock)]]+Table1[[#This Row],[P (-shock)]]-2*Table1[[#This Row],[Ask Price]])/(2*Table1[[#This Row],[Ask Price]]*($AF$2^2))</f>
        <v>#N/A</v>
      </c>
      <c r="AH1124">
        <v>7.4866556815940601</v>
      </c>
      <c r="AI1124" s="6" t="e">
        <f t="shared" si="69"/>
        <v>#DIV/0!</v>
      </c>
      <c r="AK1124" s="47" t="e">
        <f>RATE(Table1[[#This Row],[Total No. of Coupons]],Table1[[#This Row],[Coupon Amount]],-Table1[[#This Row],[Ask Price]],Table1[[#This Row],[Face value]])</f>
        <v>#N/A</v>
      </c>
      <c r="AL1124" s="27" t="e">
        <f>Table1[[#This Row],[IRR]]*Table1[[#This Row],[Coupon Frequency2]]</f>
        <v>#N/A</v>
      </c>
      <c r="AM1124" s="5" t="e">
        <f t="shared" si="70"/>
        <v>#N/A</v>
      </c>
      <c r="AN1124" t="s">
        <v>64</v>
      </c>
      <c r="AO1124" t="s">
        <v>62</v>
      </c>
      <c r="AP1124" t="str">
        <f t="shared" si="71"/>
        <v/>
      </c>
    </row>
    <row r="1125" spans="4:42" x14ac:dyDescent="0.35">
      <c r="D1125" s="21"/>
      <c r="E1125" s="21"/>
      <c r="L1125" s="22"/>
      <c r="S1125">
        <f t="shared" si="68"/>
        <v>0</v>
      </c>
      <c r="T1125" s="5" t="e" cm="1">
        <f t="array" ref="T11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5" t="e">
        <f>Table1[[#This Row],[Term to Maturity (Years)]]*Table1[[#This Row],[Coupon Frequency2]]</f>
        <v>#N/A</v>
      </c>
      <c r="V1125">
        <f>Table1[[#This Row],[Face value]]*Table1[[#This Row],[Current coupon %]]</f>
        <v>0</v>
      </c>
      <c r="W1125" s="36" t="e">
        <f>RATE(Table1[[#This Row],[Total No. of Coupons]],Table1[[#This Row],[Coupon Amount]],-Table1[[#This Row],[Ask Price]],Table1[[#This Row],[Face value]])</f>
        <v>#N/A</v>
      </c>
      <c r="X1125" s="27" t="e">
        <f>Table1[[#This Row],[IRR]]*Table1[[#This Row],[Coupon Frequency2]]</f>
        <v>#N/A</v>
      </c>
      <c r="Y1125" s="19" t="e" cm="1">
        <f t="array" ref="Y11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5" s="33" t="e">
        <f>DURATION(Table1[[#This Row],[Issue date]],Table1[[#This Row],[Maturity date]],Table1[[#This Row],[Current coupon %]],Table1[[#This Row],[Yield (Annualised)]],Table1[[#This Row],[Coupon Frequency2]])</f>
        <v>#N/A</v>
      </c>
      <c r="AA1125" s="33" t="e">
        <f>Table1[[#This Row],[Macaulay Duration in Years]]/(1+Table1[[#This Row],[IRR]])</f>
        <v>#N/A</v>
      </c>
      <c r="AB1125" s="58" t="e">
        <f>VLOOKUP(Table1[[#This Row],[Yield Cluster]],'Cluster Details'!$B$3:$C$16,2,0)</f>
        <v>#N/A</v>
      </c>
      <c r="AC112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5" s="58" t="e">
        <f>IF(Table1[[#This Row],[Ask Price]]&gt;Table1[[#This Row],[Calculated Bond Price]],"Rich","Cheap")</f>
        <v>#N/A</v>
      </c>
      <c r="AE112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5" s="78" t="e">
        <f>(Table1[[#This Row],[P (+ shock)]]+Table1[[#This Row],[P (-shock)]]-2*Table1[[#This Row],[Ask Price]])/(2*Table1[[#This Row],[Ask Price]]*($AF$2^2))</f>
        <v>#N/A</v>
      </c>
      <c r="AH1125">
        <v>8.0440005011695508</v>
      </c>
      <c r="AI1125" s="6" t="e">
        <f t="shared" si="69"/>
        <v>#DIV/0!</v>
      </c>
      <c r="AK1125" s="47" t="e">
        <f>RATE(Table1[[#This Row],[Total No. of Coupons]],Table1[[#This Row],[Coupon Amount]],-Table1[[#This Row],[Ask Price]],Table1[[#This Row],[Face value]])</f>
        <v>#N/A</v>
      </c>
      <c r="AL1125" s="27" t="e">
        <f>Table1[[#This Row],[IRR]]*Table1[[#This Row],[Coupon Frequency2]]</f>
        <v>#N/A</v>
      </c>
      <c r="AM1125" s="5" t="e">
        <f t="shared" si="70"/>
        <v>#N/A</v>
      </c>
      <c r="AN1125" t="s">
        <v>64</v>
      </c>
      <c r="AO1125" t="s">
        <v>62</v>
      </c>
      <c r="AP1125" t="str">
        <f t="shared" si="71"/>
        <v/>
      </c>
    </row>
    <row r="1126" spans="4:42" x14ac:dyDescent="0.35">
      <c r="D1126" s="21"/>
      <c r="E1126" s="21"/>
      <c r="L1126" s="22"/>
      <c r="S1126">
        <f t="shared" si="68"/>
        <v>0</v>
      </c>
      <c r="T1126" s="5" t="e" cm="1">
        <f t="array" ref="T11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6" t="e">
        <f>Table1[[#This Row],[Term to Maturity (Years)]]*Table1[[#This Row],[Coupon Frequency2]]</f>
        <v>#N/A</v>
      </c>
      <c r="V1126">
        <f>Table1[[#This Row],[Face value]]*Table1[[#This Row],[Current coupon %]]</f>
        <v>0</v>
      </c>
      <c r="W1126" s="36" t="e">
        <f>RATE(Table1[[#This Row],[Total No. of Coupons]],Table1[[#This Row],[Coupon Amount]],-Table1[[#This Row],[Ask Price]],Table1[[#This Row],[Face value]])</f>
        <v>#N/A</v>
      </c>
      <c r="X1126" s="27" t="e">
        <f>Table1[[#This Row],[IRR]]*Table1[[#This Row],[Coupon Frequency2]]</f>
        <v>#N/A</v>
      </c>
      <c r="Y1126" s="19" t="e" cm="1">
        <f t="array" ref="Y11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6" s="33" t="e">
        <f>DURATION(Table1[[#This Row],[Issue date]],Table1[[#This Row],[Maturity date]],Table1[[#This Row],[Current coupon %]],Table1[[#This Row],[Yield (Annualised)]],Table1[[#This Row],[Coupon Frequency2]])</f>
        <v>#N/A</v>
      </c>
      <c r="AA1126" s="33" t="e">
        <f>Table1[[#This Row],[Macaulay Duration in Years]]/(1+Table1[[#This Row],[IRR]])</f>
        <v>#N/A</v>
      </c>
      <c r="AB1126" s="58" t="e">
        <f>VLOOKUP(Table1[[#This Row],[Yield Cluster]],'Cluster Details'!$B$3:$C$16,2,0)</f>
        <v>#N/A</v>
      </c>
      <c r="AC112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6" s="58" t="e">
        <f>IF(Table1[[#This Row],[Ask Price]]&gt;Table1[[#This Row],[Calculated Bond Price]],"Rich","Cheap")</f>
        <v>#N/A</v>
      </c>
      <c r="AE112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6" s="78" t="e">
        <f>(Table1[[#This Row],[P (+ shock)]]+Table1[[#This Row],[P (-shock)]]-2*Table1[[#This Row],[Ask Price]])/(2*Table1[[#This Row],[Ask Price]]*($AF$2^2))</f>
        <v>#N/A</v>
      </c>
      <c r="AH1126">
        <v>10.3414426695562</v>
      </c>
      <c r="AI1126" s="6" t="e">
        <f t="shared" si="69"/>
        <v>#DIV/0!</v>
      </c>
      <c r="AK1126" s="47" t="e">
        <f>RATE(Table1[[#This Row],[Total No. of Coupons]],Table1[[#This Row],[Coupon Amount]],-Table1[[#This Row],[Ask Price]],Table1[[#This Row],[Face value]])</f>
        <v>#N/A</v>
      </c>
      <c r="AL1126" s="27" t="e">
        <f>Table1[[#This Row],[IRR]]*Table1[[#This Row],[Coupon Frequency2]]</f>
        <v>#N/A</v>
      </c>
      <c r="AM1126" s="5" t="e">
        <f t="shared" si="70"/>
        <v>#N/A</v>
      </c>
      <c r="AN1126" t="s">
        <v>64</v>
      </c>
      <c r="AO1126" t="s">
        <v>62</v>
      </c>
      <c r="AP1126" t="str">
        <f t="shared" si="71"/>
        <v/>
      </c>
    </row>
    <row r="1127" spans="4:42" x14ac:dyDescent="0.35">
      <c r="D1127" s="21"/>
      <c r="E1127" s="21"/>
      <c r="L1127" s="22"/>
      <c r="S1127">
        <f t="shared" si="68"/>
        <v>0</v>
      </c>
      <c r="T1127" s="5" t="e" cm="1">
        <f t="array" ref="T11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7" t="e">
        <f>Table1[[#This Row],[Term to Maturity (Years)]]*Table1[[#This Row],[Coupon Frequency2]]</f>
        <v>#N/A</v>
      </c>
      <c r="V1127">
        <f>Table1[[#This Row],[Face value]]*Table1[[#This Row],[Current coupon %]]</f>
        <v>0</v>
      </c>
      <c r="W1127" s="36" t="e">
        <f>RATE(Table1[[#This Row],[Total No. of Coupons]],Table1[[#This Row],[Coupon Amount]],-Table1[[#This Row],[Ask Price]],Table1[[#This Row],[Face value]])</f>
        <v>#N/A</v>
      </c>
      <c r="X1127" s="27" t="e">
        <f>Table1[[#This Row],[IRR]]*Table1[[#This Row],[Coupon Frequency2]]</f>
        <v>#N/A</v>
      </c>
      <c r="Y1127" s="19" t="e" cm="1">
        <f t="array" ref="Y11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7" s="33" t="e">
        <f>DURATION(Table1[[#This Row],[Issue date]],Table1[[#This Row],[Maturity date]],Table1[[#This Row],[Current coupon %]],Table1[[#This Row],[Yield (Annualised)]],Table1[[#This Row],[Coupon Frequency2]])</f>
        <v>#N/A</v>
      </c>
      <c r="AA1127" s="33" t="e">
        <f>Table1[[#This Row],[Macaulay Duration in Years]]/(1+Table1[[#This Row],[IRR]])</f>
        <v>#N/A</v>
      </c>
      <c r="AB1127" s="58" t="e">
        <f>VLOOKUP(Table1[[#This Row],[Yield Cluster]],'Cluster Details'!$B$3:$C$16,2,0)</f>
        <v>#N/A</v>
      </c>
      <c r="AC112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7" s="58" t="e">
        <f>IF(Table1[[#This Row],[Ask Price]]&gt;Table1[[#This Row],[Calculated Bond Price]],"Rich","Cheap")</f>
        <v>#N/A</v>
      </c>
      <c r="AE112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7" s="78" t="e">
        <f>(Table1[[#This Row],[P (+ shock)]]+Table1[[#This Row],[P (-shock)]]-2*Table1[[#This Row],[Ask Price]])/(2*Table1[[#This Row],[Ask Price]]*($AF$2^2))</f>
        <v>#N/A</v>
      </c>
      <c r="AH1127">
        <v>9.1193725717294996</v>
      </c>
      <c r="AI1127" s="6" t="e">
        <f t="shared" si="69"/>
        <v>#DIV/0!</v>
      </c>
      <c r="AK1127" s="47" t="e">
        <f>RATE(Table1[[#This Row],[Total No. of Coupons]],Table1[[#This Row],[Coupon Amount]],-Table1[[#This Row],[Ask Price]],Table1[[#This Row],[Face value]])</f>
        <v>#N/A</v>
      </c>
      <c r="AL1127" s="27" t="e">
        <f>Table1[[#This Row],[IRR]]*Table1[[#This Row],[Coupon Frequency2]]</f>
        <v>#N/A</v>
      </c>
      <c r="AM1127" s="5" t="e">
        <f t="shared" si="70"/>
        <v>#N/A</v>
      </c>
      <c r="AN1127" t="s">
        <v>64</v>
      </c>
      <c r="AO1127" t="s">
        <v>62</v>
      </c>
      <c r="AP1127" t="str">
        <f t="shared" si="71"/>
        <v/>
      </c>
    </row>
    <row r="1128" spans="4:42" x14ac:dyDescent="0.35">
      <c r="D1128" s="21"/>
      <c r="E1128" s="21"/>
      <c r="L1128" s="22"/>
      <c r="S1128">
        <f t="shared" si="68"/>
        <v>0</v>
      </c>
      <c r="T1128" s="5" t="e" cm="1">
        <f t="array" ref="T11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8" t="e">
        <f>Table1[[#This Row],[Term to Maturity (Years)]]*Table1[[#This Row],[Coupon Frequency2]]</f>
        <v>#N/A</v>
      </c>
      <c r="V1128">
        <f>Table1[[#This Row],[Face value]]*Table1[[#This Row],[Current coupon %]]</f>
        <v>0</v>
      </c>
      <c r="W1128" s="36" t="e">
        <f>RATE(Table1[[#This Row],[Total No. of Coupons]],Table1[[#This Row],[Coupon Amount]],-Table1[[#This Row],[Ask Price]],Table1[[#This Row],[Face value]])</f>
        <v>#N/A</v>
      </c>
      <c r="X1128" s="27" t="e">
        <f>Table1[[#This Row],[IRR]]*Table1[[#This Row],[Coupon Frequency2]]</f>
        <v>#N/A</v>
      </c>
      <c r="Y1128" s="19" t="e" cm="1">
        <f t="array" ref="Y11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8" s="33" t="e">
        <f>DURATION(Table1[[#This Row],[Issue date]],Table1[[#This Row],[Maturity date]],Table1[[#This Row],[Current coupon %]],Table1[[#This Row],[Yield (Annualised)]],Table1[[#This Row],[Coupon Frequency2]])</f>
        <v>#N/A</v>
      </c>
      <c r="AA1128" s="33" t="e">
        <f>Table1[[#This Row],[Macaulay Duration in Years]]/(1+Table1[[#This Row],[IRR]])</f>
        <v>#N/A</v>
      </c>
      <c r="AB1128" s="58" t="e">
        <f>VLOOKUP(Table1[[#This Row],[Yield Cluster]],'Cluster Details'!$B$3:$C$16,2,0)</f>
        <v>#N/A</v>
      </c>
      <c r="AC112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8" s="58" t="e">
        <f>IF(Table1[[#This Row],[Ask Price]]&gt;Table1[[#This Row],[Calculated Bond Price]],"Rich","Cheap")</f>
        <v>#N/A</v>
      </c>
      <c r="AE112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8" s="78" t="e">
        <f>(Table1[[#This Row],[P (+ shock)]]+Table1[[#This Row],[P (-shock)]]-2*Table1[[#This Row],[Ask Price]])/(2*Table1[[#This Row],[Ask Price]]*($AF$2^2))</f>
        <v>#N/A</v>
      </c>
      <c r="AH1128">
        <v>11.1215987831671</v>
      </c>
      <c r="AI1128" s="6" t="e">
        <f t="shared" si="69"/>
        <v>#DIV/0!</v>
      </c>
      <c r="AK1128" s="47" t="e">
        <f>RATE(Table1[[#This Row],[Total No. of Coupons]],Table1[[#This Row],[Coupon Amount]],-Table1[[#This Row],[Ask Price]],Table1[[#This Row],[Face value]])</f>
        <v>#N/A</v>
      </c>
      <c r="AL1128" s="27" t="e">
        <f>Table1[[#This Row],[IRR]]*Table1[[#This Row],[Coupon Frequency2]]</f>
        <v>#N/A</v>
      </c>
      <c r="AM1128" s="5" t="e">
        <f t="shared" si="70"/>
        <v>#N/A</v>
      </c>
      <c r="AN1128" t="s">
        <v>64</v>
      </c>
      <c r="AO1128" t="s">
        <v>62</v>
      </c>
      <c r="AP1128" t="str">
        <f t="shared" si="71"/>
        <v/>
      </c>
    </row>
    <row r="1129" spans="4:42" x14ac:dyDescent="0.35">
      <c r="D1129" s="21"/>
      <c r="E1129" s="21"/>
      <c r="L1129" s="22"/>
      <c r="S1129">
        <f t="shared" si="68"/>
        <v>0</v>
      </c>
      <c r="T1129" s="5" t="e" cm="1">
        <f t="array" ref="T11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29" t="e">
        <f>Table1[[#This Row],[Term to Maturity (Years)]]*Table1[[#This Row],[Coupon Frequency2]]</f>
        <v>#N/A</v>
      </c>
      <c r="V1129">
        <f>Table1[[#This Row],[Face value]]*Table1[[#This Row],[Current coupon %]]</f>
        <v>0</v>
      </c>
      <c r="W1129" s="36" t="e">
        <f>RATE(Table1[[#This Row],[Total No. of Coupons]],Table1[[#This Row],[Coupon Amount]],-Table1[[#This Row],[Ask Price]],Table1[[#This Row],[Face value]])</f>
        <v>#N/A</v>
      </c>
      <c r="X1129" s="27" t="e">
        <f>Table1[[#This Row],[IRR]]*Table1[[#This Row],[Coupon Frequency2]]</f>
        <v>#N/A</v>
      </c>
      <c r="Y1129" s="19" t="e" cm="1">
        <f t="array" ref="Y11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29" s="33" t="e">
        <f>DURATION(Table1[[#This Row],[Issue date]],Table1[[#This Row],[Maturity date]],Table1[[#This Row],[Current coupon %]],Table1[[#This Row],[Yield (Annualised)]],Table1[[#This Row],[Coupon Frequency2]])</f>
        <v>#N/A</v>
      </c>
      <c r="AA1129" s="33" t="e">
        <f>Table1[[#This Row],[Macaulay Duration in Years]]/(1+Table1[[#This Row],[IRR]])</f>
        <v>#N/A</v>
      </c>
      <c r="AB1129" s="58" t="e">
        <f>VLOOKUP(Table1[[#This Row],[Yield Cluster]],'Cluster Details'!$B$3:$C$16,2,0)</f>
        <v>#N/A</v>
      </c>
      <c r="AC112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29" s="58" t="e">
        <f>IF(Table1[[#This Row],[Ask Price]]&gt;Table1[[#This Row],[Calculated Bond Price]],"Rich","Cheap")</f>
        <v>#N/A</v>
      </c>
      <c r="AE112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2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29" s="78" t="e">
        <f>(Table1[[#This Row],[P (+ shock)]]+Table1[[#This Row],[P (-shock)]]-2*Table1[[#This Row],[Ask Price]])/(2*Table1[[#This Row],[Ask Price]]*($AF$2^2))</f>
        <v>#N/A</v>
      </c>
      <c r="AH1129">
        <v>10.25</v>
      </c>
      <c r="AI1129" s="6" t="e">
        <f t="shared" si="69"/>
        <v>#DIV/0!</v>
      </c>
      <c r="AK1129" s="47" t="e">
        <f>RATE(Table1[[#This Row],[Total No. of Coupons]],Table1[[#This Row],[Coupon Amount]],-Table1[[#This Row],[Ask Price]],Table1[[#This Row],[Face value]])</f>
        <v>#N/A</v>
      </c>
      <c r="AL1129" s="27" t="e">
        <f>Table1[[#This Row],[IRR]]*Table1[[#This Row],[Coupon Frequency2]]</f>
        <v>#N/A</v>
      </c>
      <c r="AM1129" s="5" t="e">
        <f t="shared" si="70"/>
        <v>#N/A</v>
      </c>
      <c r="AN1129" t="s">
        <v>64</v>
      </c>
      <c r="AO1129" t="s">
        <v>62</v>
      </c>
      <c r="AP1129" t="str">
        <f t="shared" si="71"/>
        <v/>
      </c>
    </row>
    <row r="1130" spans="4:42" x14ac:dyDescent="0.35">
      <c r="D1130" s="21"/>
      <c r="E1130" s="21"/>
      <c r="L1130" s="22"/>
      <c r="S1130">
        <f t="shared" si="68"/>
        <v>0</v>
      </c>
      <c r="T1130" s="5" t="e" cm="1">
        <f t="array" ref="T11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0" t="e">
        <f>Table1[[#This Row],[Term to Maturity (Years)]]*Table1[[#This Row],[Coupon Frequency2]]</f>
        <v>#N/A</v>
      </c>
      <c r="V1130">
        <f>Table1[[#This Row],[Face value]]*Table1[[#This Row],[Current coupon %]]</f>
        <v>0</v>
      </c>
      <c r="W1130" s="36" t="e">
        <f>RATE(Table1[[#This Row],[Total No. of Coupons]],Table1[[#This Row],[Coupon Amount]],-Table1[[#This Row],[Ask Price]],Table1[[#This Row],[Face value]])</f>
        <v>#N/A</v>
      </c>
      <c r="X1130" s="27" t="e">
        <f>Table1[[#This Row],[IRR]]*Table1[[#This Row],[Coupon Frequency2]]</f>
        <v>#N/A</v>
      </c>
      <c r="Y1130" s="19" t="e" cm="1">
        <f t="array" ref="Y11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0" s="33" t="e">
        <f>DURATION(Table1[[#This Row],[Issue date]],Table1[[#This Row],[Maturity date]],Table1[[#This Row],[Current coupon %]],Table1[[#This Row],[Yield (Annualised)]],Table1[[#This Row],[Coupon Frequency2]])</f>
        <v>#N/A</v>
      </c>
      <c r="AA1130" s="33" t="e">
        <f>Table1[[#This Row],[Macaulay Duration in Years]]/(1+Table1[[#This Row],[IRR]])</f>
        <v>#N/A</v>
      </c>
      <c r="AB1130" s="58" t="e">
        <f>VLOOKUP(Table1[[#This Row],[Yield Cluster]],'Cluster Details'!$B$3:$C$16,2,0)</f>
        <v>#N/A</v>
      </c>
      <c r="AC113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0" s="58" t="e">
        <f>IF(Table1[[#This Row],[Ask Price]]&gt;Table1[[#This Row],[Calculated Bond Price]],"Rich","Cheap")</f>
        <v>#N/A</v>
      </c>
      <c r="AE113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0" s="78" t="e">
        <f>(Table1[[#This Row],[P (+ shock)]]+Table1[[#This Row],[P (-shock)]]-2*Table1[[#This Row],[Ask Price]])/(2*Table1[[#This Row],[Ask Price]]*($AF$2^2))</f>
        <v>#N/A</v>
      </c>
      <c r="AH1130">
        <v>9.94</v>
      </c>
      <c r="AI1130" s="6" t="e">
        <f t="shared" si="69"/>
        <v>#DIV/0!</v>
      </c>
      <c r="AK1130" s="47" t="e">
        <f>RATE(Table1[[#This Row],[Total No. of Coupons]],Table1[[#This Row],[Coupon Amount]],-Table1[[#This Row],[Ask Price]],Table1[[#This Row],[Face value]])</f>
        <v>#N/A</v>
      </c>
      <c r="AL1130" s="27" t="e">
        <f>Table1[[#This Row],[IRR]]*Table1[[#This Row],[Coupon Frequency2]]</f>
        <v>#N/A</v>
      </c>
      <c r="AM1130" s="5" t="e">
        <f t="shared" si="70"/>
        <v>#N/A</v>
      </c>
      <c r="AN1130" t="s">
        <v>64</v>
      </c>
      <c r="AO1130" t="s">
        <v>62</v>
      </c>
      <c r="AP1130" t="str">
        <f t="shared" si="71"/>
        <v/>
      </c>
    </row>
    <row r="1131" spans="4:42" x14ac:dyDescent="0.35">
      <c r="D1131" s="21"/>
      <c r="E1131" s="21"/>
      <c r="L1131" s="22"/>
      <c r="S1131">
        <f t="shared" si="68"/>
        <v>0</v>
      </c>
      <c r="T1131" s="5" t="e" cm="1">
        <f t="array" ref="T11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1" t="e">
        <f>Table1[[#This Row],[Term to Maturity (Years)]]*Table1[[#This Row],[Coupon Frequency2]]</f>
        <v>#N/A</v>
      </c>
      <c r="V1131">
        <f>Table1[[#This Row],[Face value]]*Table1[[#This Row],[Current coupon %]]</f>
        <v>0</v>
      </c>
      <c r="W1131" s="36" t="e">
        <f>RATE(Table1[[#This Row],[Total No. of Coupons]],Table1[[#This Row],[Coupon Amount]],-Table1[[#This Row],[Ask Price]],Table1[[#This Row],[Face value]])</f>
        <v>#N/A</v>
      </c>
      <c r="X1131" s="27" t="e">
        <f>Table1[[#This Row],[IRR]]*Table1[[#This Row],[Coupon Frequency2]]</f>
        <v>#N/A</v>
      </c>
      <c r="Y1131" s="19" t="e" cm="1">
        <f t="array" ref="Y11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1" s="33" t="e">
        <f>DURATION(Table1[[#This Row],[Issue date]],Table1[[#This Row],[Maturity date]],Table1[[#This Row],[Current coupon %]],Table1[[#This Row],[Yield (Annualised)]],Table1[[#This Row],[Coupon Frequency2]])</f>
        <v>#N/A</v>
      </c>
      <c r="AA1131" s="33" t="e">
        <f>Table1[[#This Row],[Macaulay Duration in Years]]/(1+Table1[[#This Row],[IRR]])</f>
        <v>#N/A</v>
      </c>
      <c r="AB1131" s="58" t="e">
        <f>VLOOKUP(Table1[[#This Row],[Yield Cluster]],'Cluster Details'!$B$3:$C$16,2,0)</f>
        <v>#N/A</v>
      </c>
      <c r="AC113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1" s="58" t="e">
        <f>IF(Table1[[#This Row],[Ask Price]]&gt;Table1[[#This Row],[Calculated Bond Price]],"Rich","Cheap")</f>
        <v>#N/A</v>
      </c>
      <c r="AE113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1" s="78" t="e">
        <f>(Table1[[#This Row],[P (+ shock)]]+Table1[[#This Row],[P (-shock)]]-2*Table1[[#This Row],[Ask Price]])/(2*Table1[[#This Row],[Ask Price]]*($AF$2^2))</f>
        <v>#N/A</v>
      </c>
      <c r="AH1131">
        <v>10.4007022591365</v>
      </c>
      <c r="AI1131" s="6" t="e">
        <f t="shared" si="69"/>
        <v>#DIV/0!</v>
      </c>
      <c r="AK1131" s="47" t="e">
        <f>RATE(Table1[[#This Row],[Total No. of Coupons]],Table1[[#This Row],[Coupon Amount]],-Table1[[#This Row],[Ask Price]],Table1[[#This Row],[Face value]])</f>
        <v>#N/A</v>
      </c>
      <c r="AL1131" s="27" t="e">
        <f>Table1[[#This Row],[IRR]]*Table1[[#This Row],[Coupon Frequency2]]</f>
        <v>#N/A</v>
      </c>
      <c r="AM1131" s="5" t="e">
        <f t="shared" si="70"/>
        <v>#N/A</v>
      </c>
      <c r="AN1131" t="s">
        <v>64</v>
      </c>
      <c r="AO1131" t="s">
        <v>62</v>
      </c>
      <c r="AP1131" t="str">
        <f t="shared" si="71"/>
        <v/>
      </c>
    </row>
    <row r="1132" spans="4:42" x14ac:dyDescent="0.35">
      <c r="D1132" s="21"/>
      <c r="E1132" s="21"/>
      <c r="L1132" s="22"/>
      <c r="S1132">
        <f t="shared" si="68"/>
        <v>0</v>
      </c>
      <c r="T1132" s="5" t="e" cm="1">
        <f t="array" ref="T11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2" t="e">
        <f>Table1[[#This Row],[Term to Maturity (Years)]]*Table1[[#This Row],[Coupon Frequency2]]</f>
        <v>#N/A</v>
      </c>
      <c r="V1132">
        <f>Table1[[#This Row],[Face value]]*Table1[[#This Row],[Current coupon %]]</f>
        <v>0</v>
      </c>
      <c r="W1132" s="36" t="e">
        <f>RATE(Table1[[#This Row],[Total No. of Coupons]],Table1[[#This Row],[Coupon Amount]],-Table1[[#This Row],[Ask Price]],Table1[[#This Row],[Face value]])</f>
        <v>#N/A</v>
      </c>
      <c r="X1132" s="27" t="e">
        <f>Table1[[#This Row],[IRR]]*Table1[[#This Row],[Coupon Frequency2]]</f>
        <v>#N/A</v>
      </c>
      <c r="Y1132" s="19" t="e" cm="1">
        <f t="array" ref="Y11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2" s="33" t="e">
        <f>DURATION(Table1[[#This Row],[Issue date]],Table1[[#This Row],[Maturity date]],Table1[[#This Row],[Current coupon %]],Table1[[#This Row],[Yield (Annualised)]],Table1[[#This Row],[Coupon Frequency2]])</f>
        <v>#N/A</v>
      </c>
      <c r="AA1132" s="33" t="e">
        <f>Table1[[#This Row],[Macaulay Duration in Years]]/(1+Table1[[#This Row],[IRR]])</f>
        <v>#N/A</v>
      </c>
      <c r="AB1132" s="58" t="e">
        <f>VLOOKUP(Table1[[#This Row],[Yield Cluster]],'Cluster Details'!$B$3:$C$16,2,0)</f>
        <v>#N/A</v>
      </c>
      <c r="AC113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2" s="58" t="e">
        <f>IF(Table1[[#This Row],[Ask Price]]&gt;Table1[[#This Row],[Calculated Bond Price]],"Rich","Cheap")</f>
        <v>#N/A</v>
      </c>
      <c r="AE113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2" s="78" t="e">
        <f>(Table1[[#This Row],[P (+ shock)]]+Table1[[#This Row],[P (-shock)]]-2*Table1[[#This Row],[Ask Price]])/(2*Table1[[#This Row],[Ask Price]]*($AF$2^2))</f>
        <v>#N/A</v>
      </c>
      <c r="AH1132">
        <v>11.2094645796859</v>
      </c>
      <c r="AI1132" s="6" t="e">
        <f t="shared" si="69"/>
        <v>#DIV/0!</v>
      </c>
      <c r="AK1132" s="47" t="e">
        <f>RATE(Table1[[#This Row],[Total No. of Coupons]],Table1[[#This Row],[Coupon Amount]],-Table1[[#This Row],[Ask Price]],Table1[[#This Row],[Face value]])</f>
        <v>#N/A</v>
      </c>
      <c r="AL1132" s="27" t="e">
        <f>Table1[[#This Row],[IRR]]*Table1[[#This Row],[Coupon Frequency2]]</f>
        <v>#N/A</v>
      </c>
      <c r="AM1132" s="5" t="e">
        <f t="shared" si="70"/>
        <v>#N/A</v>
      </c>
      <c r="AN1132" t="s">
        <v>64</v>
      </c>
      <c r="AO1132" t="s">
        <v>62</v>
      </c>
      <c r="AP1132" t="str">
        <f t="shared" si="71"/>
        <v/>
      </c>
    </row>
    <row r="1133" spans="4:42" x14ac:dyDescent="0.35">
      <c r="D1133" s="21"/>
      <c r="E1133" s="21"/>
      <c r="L1133" s="22"/>
      <c r="S1133">
        <f t="shared" si="68"/>
        <v>0</v>
      </c>
      <c r="T1133" s="5" t="e" cm="1">
        <f t="array" ref="T11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3" t="e">
        <f>Table1[[#This Row],[Term to Maturity (Years)]]*Table1[[#This Row],[Coupon Frequency2]]</f>
        <v>#N/A</v>
      </c>
      <c r="V1133">
        <f>Table1[[#This Row],[Face value]]*Table1[[#This Row],[Current coupon %]]</f>
        <v>0</v>
      </c>
      <c r="W1133" s="36" t="e">
        <f>RATE(Table1[[#This Row],[Total No. of Coupons]],Table1[[#This Row],[Coupon Amount]],-Table1[[#This Row],[Ask Price]],Table1[[#This Row],[Face value]])</f>
        <v>#N/A</v>
      </c>
      <c r="X1133" s="27" t="e">
        <f>Table1[[#This Row],[IRR]]*Table1[[#This Row],[Coupon Frequency2]]</f>
        <v>#N/A</v>
      </c>
      <c r="Y1133" s="19" t="e" cm="1">
        <f t="array" ref="Y11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3" s="33" t="e">
        <f>DURATION(Table1[[#This Row],[Issue date]],Table1[[#This Row],[Maturity date]],Table1[[#This Row],[Current coupon %]],Table1[[#This Row],[Yield (Annualised)]],Table1[[#This Row],[Coupon Frequency2]])</f>
        <v>#N/A</v>
      </c>
      <c r="AA1133" s="33" t="e">
        <f>Table1[[#This Row],[Macaulay Duration in Years]]/(1+Table1[[#This Row],[IRR]])</f>
        <v>#N/A</v>
      </c>
      <c r="AB1133" s="58" t="e">
        <f>VLOOKUP(Table1[[#This Row],[Yield Cluster]],'Cluster Details'!$B$3:$C$16,2,0)</f>
        <v>#N/A</v>
      </c>
      <c r="AC113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3" s="58" t="e">
        <f>IF(Table1[[#This Row],[Ask Price]]&gt;Table1[[#This Row],[Calculated Bond Price]],"Rich","Cheap")</f>
        <v>#N/A</v>
      </c>
      <c r="AE113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3" s="78" t="e">
        <f>(Table1[[#This Row],[P (+ shock)]]+Table1[[#This Row],[P (-shock)]]-2*Table1[[#This Row],[Ask Price]])/(2*Table1[[#This Row],[Ask Price]]*($AF$2^2))</f>
        <v>#N/A</v>
      </c>
      <c r="AH1133">
        <v>10.75</v>
      </c>
      <c r="AI1133" s="6" t="e">
        <f t="shared" si="69"/>
        <v>#DIV/0!</v>
      </c>
      <c r="AK1133" s="47" t="e">
        <f>RATE(Table1[[#This Row],[Total No. of Coupons]],Table1[[#This Row],[Coupon Amount]],-Table1[[#This Row],[Ask Price]],Table1[[#This Row],[Face value]])</f>
        <v>#N/A</v>
      </c>
      <c r="AL1133" s="27" t="e">
        <f>Table1[[#This Row],[IRR]]*Table1[[#This Row],[Coupon Frequency2]]</f>
        <v>#N/A</v>
      </c>
      <c r="AM1133" s="5" t="e">
        <f t="shared" si="70"/>
        <v>#N/A</v>
      </c>
      <c r="AN1133" t="s">
        <v>64</v>
      </c>
      <c r="AO1133" t="s">
        <v>62</v>
      </c>
      <c r="AP1133" t="str">
        <f t="shared" si="71"/>
        <v/>
      </c>
    </row>
    <row r="1134" spans="4:42" x14ac:dyDescent="0.35">
      <c r="D1134" s="21"/>
      <c r="E1134" s="21"/>
      <c r="L1134" s="22"/>
      <c r="S1134">
        <f t="shared" si="68"/>
        <v>0</v>
      </c>
      <c r="T1134" s="5" t="e" cm="1">
        <f t="array" ref="T11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4" t="e">
        <f>Table1[[#This Row],[Term to Maturity (Years)]]*Table1[[#This Row],[Coupon Frequency2]]</f>
        <v>#N/A</v>
      </c>
      <c r="V1134">
        <f>Table1[[#This Row],[Face value]]*Table1[[#This Row],[Current coupon %]]</f>
        <v>0</v>
      </c>
      <c r="W1134" s="36" t="e">
        <f>RATE(Table1[[#This Row],[Total No. of Coupons]],Table1[[#This Row],[Coupon Amount]],-Table1[[#This Row],[Ask Price]],Table1[[#This Row],[Face value]])</f>
        <v>#N/A</v>
      </c>
      <c r="X1134" s="27" t="e">
        <f>Table1[[#This Row],[IRR]]*Table1[[#This Row],[Coupon Frequency2]]</f>
        <v>#N/A</v>
      </c>
      <c r="Y1134" s="19" t="e" cm="1">
        <f t="array" ref="Y11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4" s="33" t="e">
        <f>DURATION(Table1[[#This Row],[Issue date]],Table1[[#This Row],[Maturity date]],Table1[[#This Row],[Current coupon %]],Table1[[#This Row],[Yield (Annualised)]],Table1[[#This Row],[Coupon Frequency2]])</f>
        <v>#N/A</v>
      </c>
      <c r="AA1134" s="33" t="e">
        <f>Table1[[#This Row],[Macaulay Duration in Years]]/(1+Table1[[#This Row],[IRR]])</f>
        <v>#N/A</v>
      </c>
      <c r="AB1134" s="58" t="e">
        <f>VLOOKUP(Table1[[#This Row],[Yield Cluster]],'Cluster Details'!$B$3:$C$16,2,0)</f>
        <v>#N/A</v>
      </c>
      <c r="AC113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4" s="58" t="e">
        <f>IF(Table1[[#This Row],[Ask Price]]&gt;Table1[[#This Row],[Calculated Bond Price]],"Rich","Cheap")</f>
        <v>#N/A</v>
      </c>
      <c r="AE113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4" s="78" t="e">
        <f>(Table1[[#This Row],[P (+ shock)]]+Table1[[#This Row],[P (-shock)]]-2*Table1[[#This Row],[Ask Price]])/(2*Table1[[#This Row],[Ask Price]]*($AF$2^2))</f>
        <v>#N/A</v>
      </c>
      <c r="AH1134">
        <v>12.368819151895</v>
      </c>
      <c r="AI1134" s="6" t="e">
        <f t="shared" si="69"/>
        <v>#DIV/0!</v>
      </c>
      <c r="AK1134" s="47" t="e">
        <f>RATE(Table1[[#This Row],[Total No. of Coupons]],Table1[[#This Row],[Coupon Amount]],-Table1[[#This Row],[Ask Price]],Table1[[#This Row],[Face value]])</f>
        <v>#N/A</v>
      </c>
      <c r="AL1134" s="27" t="e">
        <f>Table1[[#This Row],[IRR]]*Table1[[#This Row],[Coupon Frequency2]]</f>
        <v>#N/A</v>
      </c>
      <c r="AM1134" s="5" t="e">
        <f t="shared" si="70"/>
        <v>#N/A</v>
      </c>
      <c r="AN1134" t="s">
        <v>64</v>
      </c>
      <c r="AO1134" t="s">
        <v>62</v>
      </c>
      <c r="AP1134" t="str">
        <f t="shared" si="71"/>
        <v/>
      </c>
    </row>
    <row r="1135" spans="4:42" x14ac:dyDescent="0.35">
      <c r="D1135" s="21"/>
      <c r="E1135" s="21"/>
      <c r="L1135" s="22"/>
      <c r="S1135">
        <f t="shared" si="68"/>
        <v>0</v>
      </c>
      <c r="T1135" s="5" t="e" cm="1">
        <f t="array" ref="T11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5" t="e">
        <f>Table1[[#This Row],[Term to Maturity (Years)]]*Table1[[#This Row],[Coupon Frequency2]]</f>
        <v>#N/A</v>
      </c>
      <c r="V1135">
        <f>Table1[[#This Row],[Face value]]*Table1[[#This Row],[Current coupon %]]</f>
        <v>0</v>
      </c>
      <c r="W1135" s="36" t="e">
        <f>RATE(Table1[[#This Row],[Total No. of Coupons]],Table1[[#This Row],[Coupon Amount]],-Table1[[#This Row],[Ask Price]],Table1[[#This Row],[Face value]])</f>
        <v>#N/A</v>
      </c>
      <c r="X1135" s="27" t="e">
        <f>Table1[[#This Row],[IRR]]*Table1[[#This Row],[Coupon Frequency2]]</f>
        <v>#N/A</v>
      </c>
      <c r="Y1135" s="19" t="e" cm="1">
        <f t="array" ref="Y11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5" s="33" t="e">
        <f>DURATION(Table1[[#This Row],[Issue date]],Table1[[#This Row],[Maturity date]],Table1[[#This Row],[Current coupon %]],Table1[[#This Row],[Yield (Annualised)]],Table1[[#This Row],[Coupon Frequency2]])</f>
        <v>#N/A</v>
      </c>
      <c r="AA1135" s="33" t="e">
        <f>Table1[[#This Row],[Macaulay Duration in Years]]/(1+Table1[[#This Row],[IRR]])</f>
        <v>#N/A</v>
      </c>
      <c r="AB1135" s="58" t="e">
        <f>VLOOKUP(Table1[[#This Row],[Yield Cluster]],'Cluster Details'!$B$3:$C$16,2,0)</f>
        <v>#N/A</v>
      </c>
      <c r="AC113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5" s="58" t="e">
        <f>IF(Table1[[#This Row],[Ask Price]]&gt;Table1[[#This Row],[Calculated Bond Price]],"Rich","Cheap")</f>
        <v>#N/A</v>
      </c>
      <c r="AE113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5" s="78" t="e">
        <f>(Table1[[#This Row],[P (+ shock)]]+Table1[[#This Row],[P (-shock)]]-2*Table1[[#This Row],[Ask Price]])/(2*Table1[[#This Row],[Ask Price]]*($AF$2^2))</f>
        <v>#N/A</v>
      </c>
      <c r="AH1135">
        <v>5.99744240975512</v>
      </c>
      <c r="AI1135" s="6" t="e">
        <f t="shared" si="69"/>
        <v>#DIV/0!</v>
      </c>
      <c r="AK1135" s="47" t="e">
        <f>RATE(Table1[[#This Row],[Total No. of Coupons]],Table1[[#This Row],[Coupon Amount]],-Table1[[#This Row],[Ask Price]],Table1[[#This Row],[Face value]])</f>
        <v>#N/A</v>
      </c>
      <c r="AL1135" s="27" t="e">
        <f>Table1[[#This Row],[IRR]]*Table1[[#This Row],[Coupon Frequency2]]</f>
        <v>#N/A</v>
      </c>
      <c r="AM1135" s="5" t="e">
        <f t="shared" si="70"/>
        <v>#N/A</v>
      </c>
      <c r="AN1135" t="s">
        <v>64</v>
      </c>
      <c r="AO1135" t="s">
        <v>62</v>
      </c>
      <c r="AP1135" t="str">
        <f t="shared" si="71"/>
        <v/>
      </c>
    </row>
    <row r="1136" spans="4:42" x14ac:dyDescent="0.35">
      <c r="D1136" s="21"/>
      <c r="E1136" s="21"/>
      <c r="L1136" s="22"/>
      <c r="S1136">
        <f t="shared" si="68"/>
        <v>0</v>
      </c>
      <c r="T1136" s="5" t="e" cm="1">
        <f t="array" ref="T11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6" t="e">
        <f>Table1[[#This Row],[Term to Maturity (Years)]]*Table1[[#This Row],[Coupon Frequency2]]</f>
        <v>#N/A</v>
      </c>
      <c r="V1136">
        <f>Table1[[#This Row],[Face value]]*Table1[[#This Row],[Current coupon %]]</f>
        <v>0</v>
      </c>
      <c r="W1136" s="36" t="e">
        <f>RATE(Table1[[#This Row],[Total No. of Coupons]],Table1[[#This Row],[Coupon Amount]],-Table1[[#This Row],[Ask Price]],Table1[[#This Row],[Face value]])</f>
        <v>#N/A</v>
      </c>
      <c r="X1136" s="27" t="e">
        <f>Table1[[#This Row],[IRR]]*Table1[[#This Row],[Coupon Frequency2]]</f>
        <v>#N/A</v>
      </c>
      <c r="Y1136" s="19" t="e" cm="1">
        <f t="array" ref="Y11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6" s="33" t="e">
        <f>DURATION(Table1[[#This Row],[Issue date]],Table1[[#This Row],[Maturity date]],Table1[[#This Row],[Current coupon %]],Table1[[#This Row],[Yield (Annualised)]],Table1[[#This Row],[Coupon Frequency2]])</f>
        <v>#N/A</v>
      </c>
      <c r="AA1136" s="33" t="e">
        <f>Table1[[#This Row],[Macaulay Duration in Years]]/(1+Table1[[#This Row],[IRR]])</f>
        <v>#N/A</v>
      </c>
      <c r="AB1136" s="58" t="e">
        <f>VLOOKUP(Table1[[#This Row],[Yield Cluster]],'Cluster Details'!$B$3:$C$16,2,0)</f>
        <v>#N/A</v>
      </c>
      <c r="AC113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6" s="58" t="e">
        <f>IF(Table1[[#This Row],[Ask Price]]&gt;Table1[[#This Row],[Calculated Bond Price]],"Rich","Cheap")</f>
        <v>#N/A</v>
      </c>
      <c r="AE113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6" s="78" t="e">
        <f>(Table1[[#This Row],[P (+ shock)]]+Table1[[#This Row],[P (-shock)]]-2*Table1[[#This Row],[Ask Price]])/(2*Table1[[#This Row],[Ask Price]]*($AF$2^2))</f>
        <v>#N/A</v>
      </c>
      <c r="AI1136" s="6" t="e">
        <f t="shared" si="69"/>
        <v>#DIV/0!</v>
      </c>
      <c r="AK1136" s="47" t="e">
        <f>RATE(Table1[[#This Row],[Total No. of Coupons]],Table1[[#This Row],[Coupon Amount]],-Table1[[#This Row],[Ask Price]],Table1[[#This Row],[Face value]])</f>
        <v>#N/A</v>
      </c>
      <c r="AL1136" s="27" t="e">
        <f>Table1[[#This Row],[IRR]]*Table1[[#This Row],[Coupon Frequency2]]</f>
        <v>#N/A</v>
      </c>
      <c r="AM1136" s="5" t="e">
        <f t="shared" si="70"/>
        <v>#N/A</v>
      </c>
      <c r="AN1136" t="s">
        <v>64</v>
      </c>
      <c r="AO1136" t="s">
        <v>62</v>
      </c>
      <c r="AP1136" t="str">
        <f t="shared" si="71"/>
        <v/>
      </c>
    </row>
    <row r="1137" spans="4:42" x14ac:dyDescent="0.35">
      <c r="D1137" s="21"/>
      <c r="E1137" s="21"/>
      <c r="L1137" s="22"/>
      <c r="S1137">
        <f t="shared" si="68"/>
        <v>0</v>
      </c>
      <c r="T1137" s="5" t="e" cm="1">
        <f t="array" ref="T11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7" t="e">
        <f>Table1[[#This Row],[Term to Maturity (Years)]]*Table1[[#This Row],[Coupon Frequency2]]</f>
        <v>#N/A</v>
      </c>
      <c r="V1137">
        <f>Table1[[#This Row],[Face value]]*Table1[[#This Row],[Current coupon %]]</f>
        <v>0</v>
      </c>
      <c r="W1137" s="36" t="e">
        <f>RATE(Table1[[#This Row],[Total No. of Coupons]],Table1[[#This Row],[Coupon Amount]],-Table1[[#This Row],[Ask Price]],Table1[[#This Row],[Face value]])</f>
        <v>#N/A</v>
      </c>
      <c r="X1137" s="27" t="e">
        <f>Table1[[#This Row],[IRR]]*Table1[[#This Row],[Coupon Frequency2]]</f>
        <v>#N/A</v>
      </c>
      <c r="Y1137" s="19" t="e" cm="1">
        <f t="array" ref="Y11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7" s="33" t="e">
        <f>DURATION(Table1[[#This Row],[Issue date]],Table1[[#This Row],[Maturity date]],Table1[[#This Row],[Current coupon %]],Table1[[#This Row],[Yield (Annualised)]],Table1[[#This Row],[Coupon Frequency2]])</f>
        <v>#N/A</v>
      </c>
      <c r="AA1137" s="33" t="e">
        <f>Table1[[#This Row],[Macaulay Duration in Years]]/(1+Table1[[#This Row],[IRR]])</f>
        <v>#N/A</v>
      </c>
      <c r="AB1137" s="58" t="e">
        <f>VLOOKUP(Table1[[#This Row],[Yield Cluster]],'Cluster Details'!$B$3:$C$16,2,0)</f>
        <v>#N/A</v>
      </c>
      <c r="AC113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7" s="58" t="e">
        <f>IF(Table1[[#This Row],[Ask Price]]&gt;Table1[[#This Row],[Calculated Bond Price]],"Rich","Cheap")</f>
        <v>#N/A</v>
      </c>
      <c r="AE113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7" s="78" t="e">
        <f>(Table1[[#This Row],[P (+ shock)]]+Table1[[#This Row],[P (-shock)]]-2*Table1[[#This Row],[Ask Price]])/(2*Table1[[#This Row],[Ask Price]]*($AF$2^2))</f>
        <v>#N/A</v>
      </c>
      <c r="AH1137">
        <v>9.2812926988653199</v>
      </c>
      <c r="AI1137" s="6" t="e">
        <f t="shared" si="69"/>
        <v>#DIV/0!</v>
      </c>
      <c r="AK1137" s="47" t="e">
        <f>RATE(Table1[[#This Row],[Total No. of Coupons]],Table1[[#This Row],[Coupon Amount]],-Table1[[#This Row],[Ask Price]],Table1[[#This Row],[Face value]])</f>
        <v>#N/A</v>
      </c>
      <c r="AL1137" s="27" t="e">
        <f>Table1[[#This Row],[IRR]]*Table1[[#This Row],[Coupon Frequency2]]</f>
        <v>#N/A</v>
      </c>
      <c r="AM1137" s="5" t="e">
        <f t="shared" si="70"/>
        <v>#N/A</v>
      </c>
      <c r="AN1137" t="s">
        <v>64</v>
      </c>
      <c r="AO1137" t="s">
        <v>62</v>
      </c>
      <c r="AP1137" t="str">
        <f t="shared" si="71"/>
        <v/>
      </c>
    </row>
    <row r="1138" spans="4:42" x14ac:dyDescent="0.35">
      <c r="D1138" s="21"/>
      <c r="E1138" s="21"/>
      <c r="L1138" s="22"/>
      <c r="S1138">
        <f t="shared" si="68"/>
        <v>0</v>
      </c>
      <c r="T1138" s="5" t="e" cm="1">
        <f t="array" ref="T11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8" t="e">
        <f>Table1[[#This Row],[Term to Maturity (Years)]]*Table1[[#This Row],[Coupon Frequency2]]</f>
        <v>#N/A</v>
      </c>
      <c r="V1138">
        <f>Table1[[#This Row],[Face value]]*Table1[[#This Row],[Current coupon %]]</f>
        <v>0</v>
      </c>
      <c r="W1138" s="36" t="e">
        <f>RATE(Table1[[#This Row],[Total No. of Coupons]],Table1[[#This Row],[Coupon Amount]],-Table1[[#This Row],[Ask Price]],Table1[[#This Row],[Face value]])</f>
        <v>#N/A</v>
      </c>
      <c r="X1138" s="27" t="e">
        <f>Table1[[#This Row],[IRR]]*Table1[[#This Row],[Coupon Frequency2]]</f>
        <v>#N/A</v>
      </c>
      <c r="Y1138" s="19" t="e" cm="1">
        <f t="array" ref="Y11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8" s="33" t="e">
        <f>DURATION(Table1[[#This Row],[Issue date]],Table1[[#This Row],[Maturity date]],Table1[[#This Row],[Current coupon %]],Table1[[#This Row],[Yield (Annualised)]],Table1[[#This Row],[Coupon Frequency2]])</f>
        <v>#N/A</v>
      </c>
      <c r="AA1138" s="33" t="e">
        <f>Table1[[#This Row],[Macaulay Duration in Years]]/(1+Table1[[#This Row],[IRR]])</f>
        <v>#N/A</v>
      </c>
      <c r="AB1138" s="58" t="e">
        <f>VLOOKUP(Table1[[#This Row],[Yield Cluster]],'Cluster Details'!$B$3:$C$16,2,0)</f>
        <v>#N/A</v>
      </c>
      <c r="AC113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8" s="58" t="e">
        <f>IF(Table1[[#This Row],[Ask Price]]&gt;Table1[[#This Row],[Calculated Bond Price]],"Rich","Cheap")</f>
        <v>#N/A</v>
      </c>
      <c r="AE113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8" s="78" t="e">
        <f>(Table1[[#This Row],[P (+ shock)]]+Table1[[#This Row],[P (-shock)]]-2*Table1[[#This Row],[Ask Price]])/(2*Table1[[#This Row],[Ask Price]]*($AF$2^2))</f>
        <v>#N/A</v>
      </c>
      <c r="AH1138">
        <v>12.0528583849011</v>
      </c>
      <c r="AI1138" s="6" t="e">
        <f t="shared" si="69"/>
        <v>#DIV/0!</v>
      </c>
      <c r="AK1138" s="47" t="e">
        <f>RATE(Table1[[#This Row],[Total No. of Coupons]],Table1[[#This Row],[Coupon Amount]],-Table1[[#This Row],[Ask Price]],Table1[[#This Row],[Face value]])</f>
        <v>#N/A</v>
      </c>
      <c r="AL1138" s="27" t="e">
        <f>Table1[[#This Row],[IRR]]*Table1[[#This Row],[Coupon Frequency2]]</f>
        <v>#N/A</v>
      </c>
      <c r="AM1138" s="5" t="e">
        <f t="shared" si="70"/>
        <v>#N/A</v>
      </c>
      <c r="AN1138" t="s">
        <v>64</v>
      </c>
      <c r="AO1138" t="s">
        <v>62</v>
      </c>
      <c r="AP1138" t="str">
        <f t="shared" si="71"/>
        <v/>
      </c>
    </row>
    <row r="1139" spans="4:42" x14ac:dyDescent="0.35">
      <c r="D1139" s="21"/>
      <c r="E1139" s="21"/>
      <c r="L1139" s="22"/>
      <c r="S1139">
        <f t="shared" si="68"/>
        <v>0</v>
      </c>
      <c r="T1139" s="5" t="e" cm="1">
        <f t="array" ref="T11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39" t="e">
        <f>Table1[[#This Row],[Term to Maturity (Years)]]*Table1[[#This Row],[Coupon Frequency2]]</f>
        <v>#N/A</v>
      </c>
      <c r="V1139">
        <f>Table1[[#This Row],[Face value]]*Table1[[#This Row],[Current coupon %]]</f>
        <v>0</v>
      </c>
      <c r="W1139" s="36" t="e">
        <f>RATE(Table1[[#This Row],[Total No. of Coupons]],Table1[[#This Row],[Coupon Amount]],-Table1[[#This Row],[Ask Price]],Table1[[#This Row],[Face value]])</f>
        <v>#N/A</v>
      </c>
      <c r="X1139" s="27" t="e">
        <f>Table1[[#This Row],[IRR]]*Table1[[#This Row],[Coupon Frequency2]]</f>
        <v>#N/A</v>
      </c>
      <c r="Y1139" s="19" t="e" cm="1">
        <f t="array" ref="Y11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39" s="33" t="e">
        <f>DURATION(Table1[[#This Row],[Issue date]],Table1[[#This Row],[Maturity date]],Table1[[#This Row],[Current coupon %]],Table1[[#This Row],[Yield (Annualised)]],Table1[[#This Row],[Coupon Frequency2]])</f>
        <v>#N/A</v>
      </c>
      <c r="AA1139" s="33" t="e">
        <f>Table1[[#This Row],[Macaulay Duration in Years]]/(1+Table1[[#This Row],[IRR]])</f>
        <v>#N/A</v>
      </c>
      <c r="AB1139" s="58" t="e">
        <f>VLOOKUP(Table1[[#This Row],[Yield Cluster]],'Cluster Details'!$B$3:$C$16,2,0)</f>
        <v>#N/A</v>
      </c>
      <c r="AC113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39" s="58" t="e">
        <f>IF(Table1[[#This Row],[Ask Price]]&gt;Table1[[#This Row],[Calculated Bond Price]],"Rich","Cheap")</f>
        <v>#N/A</v>
      </c>
      <c r="AE113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3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39" s="78" t="e">
        <f>(Table1[[#This Row],[P (+ shock)]]+Table1[[#This Row],[P (-shock)]]-2*Table1[[#This Row],[Ask Price]])/(2*Table1[[#This Row],[Ask Price]]*($AF$2^2))</f>
        <v>#N/A</v>
      </c>
      <c r="AI1139" s="6" t="e">
        <f t="shared" si="69"/>
        <v>#DIV/0!</v>
      </c>
      <c r="AK1139" s="47" t="e">
        <f>RATE(Table1[[#This Row],[Total No. of Coupons]],Table1[[#This Row],[Coupon Amount]],-Table1[[#This Row],[Ask Price]],Table1[[#This Row],[Face value]])</f>
        <v>#N/A</v>
      </c>
      <c r="AL1139" s="27" t="e">
        <f>Table1[[#This Row],[IRR]]*Table1[[#This Row],[Coupon Frequency2]]</f>
        <v>#N/A</v>
      </c>
      <c r="AM1139" s="5" t="e">
        <f t="shared" si="70"/>
        <v>#N/A</v>
      </c>
      <c r="AN1139" t="s">
        <v>69</v>
      </c>
      <c r="AO1139" t="s">
        <v>62</v>
      </c>
      <c r="AP1139" t="str">
        <f t="shared" si="71"/>
        <v/>
      </c>
    </row>
    <row r="1140" spans="4:42" x14ac:dyDescent="0.35">
      <c r="D1140" s="21"/>
      <c r="E1140" s="21"/>
      <c r="L1140" s="22"/>
      <c r="S1140">
        <f t="shared" si="68"/>
        <v>0</v>
      </c>
      <c r="T1140" s="5" t="e" cm="1">
        <f t="array" ref="T11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0" t="e">
        <f>Table1[[#This Row],[Term to Maturity (Years)]]*Table1[[#This Row],[Coupon Frequency2]]</f>
        <v>#N/A</v>
      </c>
      <c r="V1140">
        <f>Table1[[#This Row],[Face value]]*Table1[[#This Row],[Current coupon %]]</f>
        <v>0</v>
      </c>
      <c r="W1140" s="36" t="e">
        <f>RATE(Table1[[#This Row],[Total No. of Coupons]],Table1[[#This Row],[Coupon Amount]],-Table1[[#This Row],[Ask Price]],Table1[[#This Row],[Face value]])</f>
        <v>#N/A</v>
      </c>
      <c r="X1140" s="27" t="e">
        <f>Table1[[#This Row],[IRR]]*Table1[[#This Row],[Coupon Frequency2]]</f>
        <v>#N/A</v>
      </c>
      <c r="Y1140" s="19" t="e" cm="1">
        <f t="array" ref="Y11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0" s="33" t="e">
        <f>DURATION(Table1[[#This Row],[Issue date]],Table1[[#This Row],[Maturity date]],Table1[[#This Row],[Current coupon %]],Table1[[#This Row],[Yield (Annualised)]],Table1[[#This Row],[Coupon Frequency2]])</f>
        <v>#N/A</v>
      </c>
      <c r="AA1140" s="33" t="e">
        <f>Table1[[#This Row],[Macaulay Duration in Years]]/(1+Table1[[#This Row],[IRR]])</f>
        <v>#N/A</v>
      </c>
      <c r="AB1140" s="58" t="e">
        <f>VLOOKUP(Table1[[#This Row],[Yield Cluster]],'Cluster Details'!$B$3:$C$16,2,0)</f>
        <v>#N/A</v>
      </c>
      <c r="AC114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0" s="58" t="e">
        <f>IF(Table1[[#This Row],[Ask Price]]&gt;Table1[[#This Row],[Calculated Bond Price]],"Rich","Cheap")</f>
        <v>#N/A</v>
      </c>
      <c r="AE114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0" s="78" t="e">
        <f>(Table1[[#This Row],[P (+ shock)]]+Table1[[#This Row],[P (-shock)]]-2*Table1[[#This Row],[Ask Price]])/(2*Table1[[#This Row],[Ask Price]]*($AF$2^2))</f>
        <v>#N/A</v>
      </c>
      <c r="AH1140">
        <v>10.359503616862</v>
      </c>
      <c r="AI1140" s="6" t="e">
        <f t="shared" si="69"/>
        <v>#DIV/0!</v>
      </c>
      <c r="AK1140" s="47" t="e">
        <f>RATE(Table1[[#This Row],[Total No. of Coupons]],Table1[[#This Row],[Coupon Amount]],-Table1[[#This Row],[Ask Price]],Table1[[#This Row],[Face value]])</f>
        <v>#N/A</v>
      </c>
      <c r="AL1140" s="27" t="e">
        <f>Table1[[#This Row],[IRR]]*Table1[[#This Row],[Coupon Frequency2]]</f>
        <v>#N/A</v>
      </c>
      <c r="AM1140" s="5" t="e">
        <f t="shared" si="70"/>
        <v>#N/A</v>
      </c>
      <c r="AN1140" t="s">
        <v>64</v>
      </c>
      <c r="AO1140" t="s">
        <v>62</v>
      </c>
      <c r="AP1140" t="str">
        <f t="shared" si="71"/>
        <v/>
      </c>
    </row>
    <row r="1141" spans="4:42" x14ac:dyDescent="0.35">
      <c r="D1141" s="21"/>
      <c r="E1141" s="21"/>
      <c r="L1141" s="22"/>
      <c r="S1141">
        <f t="shared" si="68"/>
        <v>0</v>
      </c>
      <c r="T1141" s="5" t="e" cm="1">
        <f t="array" ref="T11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1" t="e">
        <f>Table1[[#This Row],[Term to Maturity (Years)]]*Table1[[#This Row],[Coupon Frequency2]]</f>
        <v>#N/A</v>
      </c>
      <c r="V1141">
        <f>Table1[[#This Row],[Face value]]*Table1[[#This Row],[Current coupon %]]</f>
        <v>0</v>
      </c>
      <c r="W1141" s="36" t="e">
        <f>RATE(Table1[[#This Row],[Total No. of Coupons]],Table1[[#This Row],[Coupon Amount]],-Table1[[#This Row],[Ask Price]],Table1[[#This Row],[Face value]])</f>
        <v>#N/A</v>
      </c>
      <c r="X1141" s="27" t="e">
        <f>Table1[[#This Row],[IRR]]*Table1[[#This Row],[Coupon Frequency2]]</f>
        <v>#N/A</v>
      </c>
      <c r="Y1141" s="19" t="e" cm="1">
        <f t="array" ref="Y11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1" s="33" t="e">
        <f>DURATION(Table1[[#This Row],[Issue date]],Table1[[#This Row],[Maturity date]],Table1[[#This Row],[Current coupon %]],Table1[[#This Row],[Yield (Annualised)]],Table1[[#This Row],[Coupon Frequency2]])</f>
        <v>#N/A</v>
      </c>
      <c r="AA1141" s="33" t="e">
        <f>Table1[[#This Row],[Macaulay Duration in Years]]/(1+Table1[[#This Row],[IRR]])</f>
        <v>#N/A</v>
      </c>
      <c r="AB1141" s="58" t="e">
        <f>VLOOKUP(Table1[[#This Row],[Yield Cluster]],'Cluster Details'!$B$3:$C$16,2,0)</f>
        <v>#N/A</v>
      </c>
      <c r="AC114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1" s="58" t="e">
        <f>IF(Table1[[#This Row],[Ask Price]]&gt;Table1[[#This Row],[Calculated Bond Price]],"Rich","Cheap")</f>
        <v>#N/A</v>
      </c>
      <c r="AE114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1" s="78" t="e">
        <f>(Table1[[#This Row],[P (+ shock)]]+Table1[[#This Row],[P (-shock)]]-2*Table1[[#This Row],[Ask Price]])/(2*Table1[[#This Row],[Ask Price]]*($AF$2^2))</f>
        <v>#N/A</v>
      </c>
      <c r="AI1141" s="6" t="e">
        <f t="shared" si="69"/>
        <v>#DIV/0!</v>
      </c>
      <c r="AK1141" s="47" t="e">
        <f>RATE(Table1[[#This Row],[Total No. of Coupons]],Table1[[#This Row],[Coupon Amount]],-Table1[[#This Row],[Ask Price]],Table1[[#This Row],[Face value]])</f>
        <v>#N/A</v>
      </c>
      <c r="AL1141" s="27" t="e">
        <f>Table1[[#This Row],[IRR]]*Table1[[#This Row],[Coupon Frequency2]]</f>
        <v>#N/A</v>
      </c>
      <c r="AM1141" s="5" t="e">
        <f t="shared" si="70"/>
        <v>#N/A</v>
      </c>
      <c r="AN1141" t="s">
        <v>64</v>
      </c>
      <c r="AO1141" t="s">
        <v>62</v>
      </c>
      <c r="AP1141" t="str">
        <f t="shared" si="71"/>
        <v/>
      </c>
    </row>
    <row r="1142" spans="4:42" x14ac:dyDescent="0.35">
      <c r="D1142" s="21"/>
      <c r="E1142" s="21"/>
      <c r="L1142" s="22"/>
      <c r="S1142">
        <f t="shared" si="68"/>
        <v>0</v>
      </c>
      <c r="T1142" s="5" t="e" cm="1">
        <f t="array" ref="T11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2" t="e">
        <f>Table1[[#This Row],[Term to Maturity (Years)]]*Table1[[#This Row],[Coupon Frequency2]]</f>
        <v>#N/A</v>
      </c>
      <c r="V1142">
        <f>Table1[[#This Row],[Face value]]*Table1[[#This Row],[Current coupon %]]</f>
        <v>0</v>
      </c>
      <c r="W1142" s="36" t="e">
        <f>RATE(Table1[[#This Row],[Total No. of Coupons]],Table1[[#This Row],[Coupon Amount]],-Table1[[#This Row],[Ask Price]],Table1[[#This Row],[Face value]])</f>
        <v>#N/A</v>
      </c>
      <c r="X1142" s="27" t="e">
        <f>Table1[[#This Row],[IRR]]*Table1[[#This Row],[Coupon Frequency2]]</f>
        <v>#N/A</v>
      </c>
      <c r="Y1142" s="19" t="e" cm="1">
        <f t="array" ref="Y11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2" s="33" t="e">
        <f>DURATION(Table1[[#This Row],[Issue date]],Table1[[#This Row],[Maturity date]],Table1[[#This Row],[Current coupon %]],Table1[[#This Row],[Yield (Annualised)]],Table1[[#This Row],[Coupon Frequency2]])</f>
        <v>#N/A</v>
      </c>
      <c r="AA1142" s="33" t="e">
        <f>Table1[[#This Row],[Macaulay Duration in Years]]/(1+Table1[[#This Row],[IRR]])</f>
        <v>#N/A</v>
      </c>
      <c r="AB1142" s="58" t="e">
        <f>VLOOKUP(Table1[[#This Row],[Yield Cluster]],'Cluster Details'!$B$3:$C$16,2,0)</f>
        <v>#N/A</v>
      </c>
      <c r="AC114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2" s="58" t="e">
        <f>IF(Table1[[#This Row],[Ask Price]]&gt;Table1[[#This Row],[Calculated Bond Price]],"Rich","Cheap")</f>
        <v>#N/A</v>
      </c>
      <c r="AE114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2" s="78" t="e">
        <f>(Table1[[#This Row],[P (+ shock)]]+Table1[[#This Row],[P (-shock)]]-2*Table1[[#This Row],[Ask Price]])/(2*Table1[[#This Row],[Ask Price]]*($AF$2^2))</f>
        <v>#N/A</v>
      </c>
      <c r="AH1142">
        <v>11.1475657997655</v>
      </c>
      <c r="AI1142" s="6" t="e">
        <f t="shared" si="69"/>
        <v>#DIV/0!</v>
      </c>
      <c r="AK1142" s="47" t="e">
        <f>RATE(Table1[[#This Row],[Total No. of Coupons]],Table1[[#This Row],[Coupon Amount]],-Table1[[#This Row],[Ask Price]],Table1[[#This Row],[Face value]])</f>
        <v>#N/A</v>
      </c>
      <c r="AL1142" s="27" t="e">
        <f>Table1[[#This Row],[IRR]]*Table1[[#This Row],[Coupon Frequency2]]</f>
        <v>#N/A</v>
      </c>
      <c r="AM1142" s="5" t="e">
        <f t="shared" si="70"/>
        <v>#N/A</v>
      </c>
      <c r="AN1142" t="s">
        <v>64</v>
      </c>
      <c r="AO1142" t="s">
        <v>62</v>
      </c>
      <c r="AP1142" t="str">
        <f t="shared" si="71"/>
        <v/>
      </c>
    </row>
    <row r="1143" spans="4:42" x14ac:dyDescent="0.35">
      <c r="D1143" s="21"/>
      <c r="E1143" s="21"/>
      <c r="L1143" s="22"/>
      <c r="S1143">
        <f t="shared" si="68"/>
        <v>0</v>
      </c>
      <c r="T1143" s="5" t="e" cm="1">
        <f t="array" ref="T11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3" t="e">
        <f>Table1[[#This Row],[Term to Maturity (Years)]]*Table1[[#This Row],[Coupon Frequency2]]</f>
        <v>#N/A</v>
      </c>
      <c r="V1143">
        <f>Table1[[#This Row],[Face value]]*Table1[[#This Row],[Current coupon %]]</f>
        <v>0</v>
      </c>
      <c r="W1143" s="36" t="e">
        <f>RATE(Table1[[#This Row],[Total No. of Coupons]],Table1[[#This Row],[Coupon Amount]],-Table1[[#This Row],[Ask Price]],Table1[[#This Row],[Face value]])</f>
        <v>#N/A</v>
      </c>
      <c r="X1143" s="27" t="e">
        <f>Table1[[#This Row],[IRR]]*Table1[[#This Row],[Coupon Frequency2]]</f>
        <v>#N/A</v>
      </c>
      <c r="Y1143" s="19" t="e" cm="1">
        <f t="array" ref="Y11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3" s="33" t="e">
        <f>DURATION(Table1[[#This Row],[Issue date]],Table1[[#This Row],[Maturity date]],Table1[[#This Row],[Current coupon %]],Table1[[#This Row],[Yield (Annualised)]],Table1[[#This Row],[Coupon Frequency2]])</f>
        <v>#N/A</v>
      </c>
      <c r="AA1143" s="33" t="e">
        <f>Table1[[#This Row],[Macaulay Duration in Years]]/(1+Table1[[#This Row],[IRR]])</f>
        <v>#N/A</v>
      </c>
      <c r="AB1143" s="58" t="e">
        <f>VLOOKUP(Table1[[#This Row],[Yield Cluster]],'Cluster Details'!$B$3:$C$16,2,0)</f>
        <v>#N/A</v>
      </c>
      <c r="AC114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3" s="58" t="e">
        <f>IF(Table1[[#This Row],[Ask Price]]&gt;Table1[[#This Row],[Calculated Bond Price]],"Rich","Cheap")</f>
        <v>#N/A</v>
      </c>
      <c r="AE114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3" s="78" t="e">
        <f>(Table1[[#This Row],[P (+ shock)]]+Table1[[#This Row],[P (-shock)]]-2*Table1[[#This Row],[Ask Price]])/(2*Table1[[#This Row],[Ask Price]]*($AF$2^2))</f>
        <v>#N/A</v>
      </c>
      <c r="AI1143" s="6" t="e">
        <f t="shared" si="69"/>
        <v>#DIV/0!</v>
      </c>
      <c r="AK1143" s="47" t="e">
        <f>RATE(Table1[[#This Row],[Total No. of Coupons]],Table1[[#This Row],[Coupon Amount]],-Table1[[#This Row],[Ask Price]],Table1[[#This Row],[Face value]])</f>
        <v>#N/A</v>
      </c>
      <c r="AL1143" s="27" t="e">
        <f>Table1[[#This Row],[IRR]]*Table1[[#This Row],[Coupon Frequency2]]</f>
        <v>#N/A</v>
      </c>
      <c r="AM1143" s="5" t="e">
        <f t="shared" si="70"/>
        <v>#N/A</v>
      </c>
      <c r="AN1143" t="s">
        <v>64</v>
      </c>
      <c r="AO1143" t="s">
        <v>62</v>
      </c>
      <c r="AP1143" t="str">
        <f t="shared" si="71"/>
        <v/>
      </c>
    </row>
    <row r="1144" spans="4:42" x14ac:dyDescent="0.35">
      <c r="D1144" s="21"/>
      <c r="E1144" s="21"/>
      <c r="L1144" s="22"/>
      <c r="S1144">
        <f t="shared" si="68"/>
        <v>0</v>
      </c>
      <c r="T1144" s="5" t="e" cm="1">
        <f t="array" ref="T11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4" t="e">
        <f>Table1[[#This Row],[Term to Maturity (Years)]]*Table1[[#This Row],[Coupon Frequency2]]</f>
        <v>#N/A</v>
      </c>
      <c r="V1144">
        <f>Table1[[#This Row],[Face value]]*Table1[[#This Row],[Current coupon %]]</f>
        <v>0</v>
      </c>
      <c r="W1144" s="36" t="e">
        <f>RATE(Table1[[#This Row],[Total No. of Coupons]],Table1[[#This Row],[Coupon Amount]],-Table1[[#This Row],[Ask Price]],Table1[[#This Row],[Face value]])</f>
        <v>#N/A</v>
      </c>
      <c r="X1144" s="27" t="e">
        <f>Table1[[#This Row],[IRR]]*Table1[[#This Row],[Coupon Frequency2]]</f>
        <v>#N/A</v>
      </c>
      <c r="Y1144" s="19" t="e" cm="1">
        <f t="array" ref="Y11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4" s="33" t="e">
        <f>DURATION(Table1[[#This Row],[Issue date]],Table1[[#This Row],[Maturity date]],Table1[[#This Row],[Current coupon %]],Table1[[#This Row],[Yield (Annualised)]],Table1[[#This Row],[Coupon Frequency2]])</f>
        <v>#N/A</v>
      </c>
      <c r="AA1144" s="33" t="e">
        <f>Table1[[#This Row],[Macaulay Duration in Years]]/(1+Table1[[#This Row],[IRR]])</f>
        <v>#N/A</v>
      </c>
      <c r="AB1144" s="58" t="e">
        <f>VLOOKUP(Table1[[#This Row],[Yield Cluster]],'Cluster Details'!$B$3:$C$16,2,0)</f>
        <v>#N/A</v>
      </c>
      <c r="AC114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4" s="58" t="e">
        <f>IF(Table1[[#This Row],[Ask Price]]&gt;Table1[[#This Row],[Calculated Bond Price]],"Rich","Cheap")</f>
        <v>#N/A</v>
      </c>
      <c r="AE114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4" s="78" t="e">
        <f>(Table1[[#This Row],[P (+ shock)]]+Table1[[#This Row],[P (-shock)]]-2*Table1[[#This Row],[Ask Price]])/(2*Table1[[#This Row],[Ask Price]]*($AF$2^2))</f>
        <v>#N/A</v>
      </c>
      <c r="AI1144" s="6" t="e">
        <f t="shared" si="69"/>
        <v>#DIV/0!</v>
      </c>
      <c r="AK1144" s="47" t="e">
        <f>RATE(Table1[[#This Row],[Total No. of Coupons]],Table1[[#This Row],[Coupon Amount]],-Table1[[#This Row],[Ask Price]],Table1[[#This Row],[Face value]])</f>
        <v>#N/A</v>
      </c>
      <c r="AL1144" s="27" t="e">
        <f>Table1[[#This Row],[IRR]]*Table1[[#This Row],[Coupon Frequency2]]</f>
        <v>#N/A</v>
      </c>
      <c r="AM1144" s="5" t="e">
        <f t="shared" si="70"/>
        <v>#N/A</v>
      </c>
      <c r="AN1144" t="s">
        <v>64</v>
      </c>
      <c r="AO1144" t="s">
        <v>62</v>
      </c>
      <c r="AP1144" t="str">
        <f t="shared" si="71"/>
        <v/>
      </c>
    </row>
    <row r="1145" spans="4:42" x14ac:dyDescent="0.35">
      <c r="D1145" s="21"/>
      <c r="E1145" s="21"/>
      <c r="L1145" s="22"/>
      <c r="S1145">
        <f t="shared" si="68"/>
        <v>0</v>
      </c>
      <c r="T1145" s="5" t="e" cm="1">
        <f t="array" ref="T11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5" t="e">
        <f>Table1[[#This Row],[Term to Maturity (Years)]]*Table1[[#This Row],[Coupon Frequency2]]</f>
        <v>#N/A</v>
      </c>
      <c r="V1145">
        <f>Table1[[#This Row],[Face value]]*Table1[[#This Row],[Current coupon %]]</f>
        <v>0</v>
      </c>
      <c r="W1145" s="36" t="e">
        <f>RATE(Table1[[#This Row],[Total No. of Coupons]],Table1[[#This Row],[Coupon Amount]],-Table1[[#This Row],[Ask Price]],Table1[[#This Row],[Face value]])</f>
        <v>#N/A</v>
      </c>
      <c r="X1145" s="27" t="e">
        <f>Table1[[#This Row],[IRR]]*Table1[[#This Row],[Coupon Frequency2]]</f>
        <v>#N/A</v>
      </c>
      <c r="Y1145" s="19" t="e" cm="1">
        <f t="array" ref="Y11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5" s="33" t="e">
        <f>DURATION(Table1[[#This Row],[Issue date]],Table1[[#This Row],[Maturity date]],Table1[[#This Row],[Current coupon %]],Table1[[#This Row],[Yield (Annualised)]],Table1[[#This Row],[Coupon Frequency2]])</f>
        <v>#N/A</v>
      </c>
      <c r="AA1145" s="33" t="e">
        <f>Table1[[#This Row],[Macaulay Duration in Years]]/(1+Table1[[#This Row],[IRR]])</f>
        <v>#N/A</v>
      </c>
      <c r="AB1145" s="58" t="e">
        <f>VLOOKUP(Table1[[#This Row],[Yield Cluster]],'Cluster Details'!$B$3:$C$16,2,0)</f>
        <v>#N/A</v>
      </c>
      <c r="AC114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5" s="58" t="e">
        <f>IF(Table1[[#This Row],[Ask Price]]&gt;Table1[[#This Row],[Calculated Bond Price]],"Rich","Cheap")</f>
        <v>#N/A</v>
      </c>
      <c r="AE114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5" s="78" t="e">
        <f>(Table1[[#This Row],[P (+ shock)]]+Table1[[#This Row],[P (-shock)]]-2*Table1[[#This Row],[Ask Price]])/(2*Table1[[#This Row],[Ask Price]]*($AF$2^2))</f>
        <v>#N/A</v>
      </c>
      <c r="AH1145">
        <v>4.9157242634079603</v>
      </c>
      <c r="AI1145" s="6" t="e">
        <f t="shared" si="69"/>
        <v>#DIV/0!</v>
      </c>
      <c r="AK1145" s="47" t="e">
        <f>RATE(Table1[[#This Row],[Total No. of Coupons]],Table1[[#This Row],[Coupon Amount]],-Table1[[#This Row],[Ask Price]],Table1[[#This Row],[Face value]])</f>
        <v>#N/A</v>
      </c>
      <c r="AL1145" s="27" t="e">
        <f>Table1[[#This Row],[IRR]]*Table1[[#This Row],[Coupon Frequency2]]</f>
        <v>#N/A</v>
      </c>
      <c r="AM1145" s="5" t="e">
        <f t="shared" si="70"/>
        <v>#N/A</v>
      </c>
      <c r="AN1145" t="s">
        <v>64</v>
      </c>
      <c r="AO1145" t="s">
        <v>62</v>
      </c>
      <c r="AP1145" t="str">
        <f t="shared" si="71"/>
        <v/>
      </c>
    </row>
    <row r="1146" spans="4:42" x14ac:dyDescent="0.35">
      <c r="D1146" s="21"/>
      <c r="E1146" s="21"/>
      <c r="L1146" s="22"/>
      <c r="S1146">
        <f t="shared" si="68"/>
        <v>0</v>
      </c>
      <c r="T1146" s="5" t="e" cm="1">
        <f t="array" ref="T11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6" t="e">
        <f>Table1[[#This Row],[Term to Maturity (Years)]]*Table1[[#This Row],[Coupon Frequency2]]</f>
        <v>#N/A</v>
      </c>
      <c r="V1146">
        <f>Table1[[#This Row],[Face value]]*Table1[[#This Row],[Current coupon %]]</f>
        <v>0</v>
      </c>
      <c r="W1146" s="36" t="e">
        <f>RATE(Table1[[#This Row],[Total No. of Coupons]],Table1[[#This Row],[Coupon Amount]],-Table1[[#This Row],[Ask Price]],Table1[[#This Row],[Face value]])</f>
        <v>#N/A</v>
      </c>
      <c r="X1146" s="27" t="e">
        <f>Table1[[#This Row],[IRR]]*Table1[[#This Row],[Coupon Frequency2]]</f>
        <v>#N/A</v>
      </c>
      <c r="Y1146" s="19" t="e" cm="1">
        <f t="array" ref="Y11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6" s="33" t="e">
        <f>DURATION(Table1[[#This Row],[Issue date]],Table1[[#This Row],[Maturity date]],Table1[[#This Row],[Current coupon %]],Table1[[#This Row],[Yield (Annualised)]],Table1[[#This Row],[Coupon Frequency2]])</f>
        <v>#N/A</v>
      </c>
      <c r="AA1146" s="33" t="e">
        <f>Table1[[#This Row],[Macaulay Duration in Years]]/(1+Table1[[#This Row],[IRR]])</f>
        <v>#N/A</v>
      </c>
      <c r="AB1146" s="58" t="e">
        <f>VLOOKUP(Table1[[#This Row],[Yield Cluster]],'Cluster Details'!$B$3:$C$16,2,0)</f>
        <v>#N/A</v>
      </c>
      <c r="AC114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6" s="58" t="e">
        <f>IF(Table1[[#This Row],[Ask Price]]&gt;Table1[[#This Row],[Calculated Bond Price]],"Rich","Cheap")</f>
        <v>#N/A</v>
      </c>
      <c r="AE114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6" s="78" t="e">
        <f>(Table1[[#This Row],[P (+ shock)]]+Table1[[#This Row],[P (-shock)]]-2*Table1[[#This Row],[Ask Price]])/(2*Table1[[#This Row],[Ask Price]]*($AF$2^2))</f>
        <v>#N/A</v>
      </c>
      <c r="AH1146">
        <v>9.6555793104933905</v>
      </c>
      <c r="AI1146" s="6" t="e">
        <f t="shared" si="69"/>
        <v>#DIV/0!</v>
      </c>
      <c r="AK1146" s="47" t="e">
        <f>RATE(Table1[[#This Row],[Total No. of Coupons]],Table1[[#This Row],[Coupon Amount]],-Table1[[#This Row],[Ask Price]],Table1[[#This Row],[Face value]])</f>
        <v>#N/A</v>
      </c>
      <c r="AL1146" s="27" t="e">
        <f>Table1[[#This Row],[IRR]]*Table1[[#This Row],[Coupon Frequency2]]</f>
        <v>#N/A</v>
      </c>
      <c r="AM1146" s="5" t="e">
        <f t="shared" si="70"/>
        <v>#N/A</v>
      </c>
      <c r="AN1146" t="s">
        <v>64</v>
      </c>
      <c r="AO1146" t="s">
        <v>62</v>
      </c>
      <c r="AP1146" t="str">
        <f t="shared" si="71"/>
        <v/>
      </c>
    </row>
    <row r="1147" spans="4:42" x14ac:dyDescent="0.35">
      <c r="D1147" s="21"/>
      <c r="E1147" s="21"/>
      <c r="L1147" s="22"/>
      <c r="S1147">
        <f t="shared" si="68"/>
        <v>0</v>
      </c>
      <c r="T1147" s="5" t="e" cm="1">
        <f t="array" ref="T11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7" t="e">
        <f>Table1[[#This Row],[Term to Maturity (Years)]]*Table1[[#This Row],[Coupon Frequency2]]</f>
        <v>#N/A</v>
      </c>
      <c r="V1147">
        <f>Table1[[#This Row],[Face value]]*Table1[[#This Row],[Current coupon %]]</f>
        <v>0</v>
      </c>
      <c r="W1147" s="36" t="e">
        <f>RATE(Table1[[#This Row],[Total No. of Coupons]],Table1[[#This Row],[Coupon Amount]],-Table1[[#This Row],[Ask Price]],Table1[[#This Row],[Face value]])</f>
        <v>#N/A</v>
      </c>
      <c r="X1147" s="27" t="e">
        <f>Table1[[#This Row],[IRR]]*Table1[[#This Row],[Coupon Frequency2]]</f>
        <v>#N/A</v>
      </c>
      <c r="Y1147" s="19" t="e" cm="1">
        <f t="array" ref="Y11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7" s="33" t="e">
        <f>DURATION(Table1[[#This Row],[Issue date]],Table1[[#This Row],[Maturity date]],Table1[[#This Row],[Current coupon %]],Table1[[#This Row],[Yield (Annualised)]],Table1[[#This Row],[Coupon Frequency2]])</f>
        <v>#N/A</v>
      </c>
      <c r="AA1147" s="33" t="e">
        <f>Table1[[#This Row],[Macaulay Duration in Years]]/(1+Table1[[#This Row],[IRR]])</f>
        <v>#N/A</v>
      </c>
      <c r="AB1147" s="58" t="e">
        <f>VLOOKUP(Table1[[#This Row],[Yield Cluster]],'Cluster Details'!$B$3:$C$16,2,0)</f>
        <v>#N/A</v>
      </c>
      <c r="AC114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7" s="58" t="e">
        <f>IF(Table1[[#This Row],[Ask Price]]&gt;Table1[[#This Row],[Calculated Bond Price]],"Rich","Cheap")</f>
        <v>#N/A</v>
      </c>
      <c r="AE114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7" s="78" t="e">
        <f>(Table1[[#This Row],[P (+ shock)]]+Table1[[#This Row],[P (-shock)]]-2*Table1[[#This Row],[Ask Price]])/(2*Table1[[#This Row],[Ask Price]]*($AF$2^2))</f>
        <v>#N/A</v>
      </c>
      <c r="AH1147">
        <v>9.4499999999999993</v>
      </c>
      <c r="AI1147" s="6" t="e">
        <f t="shared" si="69"/>
        <v>#DIV/0!</v>
      </c>
      <c r="AK1147" s="47" t="e">
        <f>RATE(Table1[[#This Row],[Total No. of Coupons]],Table1[[#This Row],[Coupon Amount]],-Table1[[#This Row],[Ask Price]],Table1[[#This Row],[Face value]])</f>
        <v>#N/A</v>
      </c>
      <c r="AL1147" s="27" t="e">
        <f>Table1[[#This Row],[IRR]]*Table1[[#This Row],[Coupon Frequency2]]</f>
        <v>#N/A</v>
      </c>
      <c r="AM1147" s="5" t="e">
        <f t="shared" si="70"/>
        <v>#N/A</v>
      </c>
      <c r="AN1147" t="s">
        <v>64</v>
      </c>
      <c r="AO1147" t="s">
        <v>62</v>
      </c>
      <c r="AP1147" t="str">
        <f t="shared" si="71"/>
        <v/>
      </c>
    </row>
    <row r="1148" spans="4:42" x14ac:dyDescent="0.35">
      <c r="D1148" s="21"/>
      <c r="E1148" s="21"/>
      <c r="L1148" s="22"/>
      <c r="S1148">
        <f t="shared" si="68"/>
        <v>0</v>
      </c>
      <c r="T1148" s="5" t="e" cm="1">
        <f t="array" ref="T11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8" t="e">
        <f>Table1[[#This Row],[Term to Maturity (Years)]]*Table1[[#This Row],[Coupon Frequency2]]</f>
        <v>#N/A</v>
      </c>
      <c r="V1148">
        <f>Table1[[#This Row],[Face value]]*Table1[[#This Row],[Current coupon %]]</f>
        <v>0</v>
      </c>
      <c r="W1148" s="36" t="e">
        <f>RATE(Table1[[#This Row],[Total No. of Coupons]],Table1[[#This Row],[Coupon Amount]],-Table1[[#This Row],[Ask Price]],Table1[[#This Row],[Face value]])</f>
        <v>#N/A</v>
      </c>
      <c r="X1148" s="27" t="e">
        <f>Table1[[#This Row],[IRR]]*Table1[[#This Row],[Coupon Frequency2]]</f>
        <v>#N/A</v>
      </c>
      <c r="Y1148" s="19" t="e" cm="1">
        <f t="array" ref="Y11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8" s="33" t="e">
        <f>DURATION(Table1[[#This Row],[Issue date]],Table1[[#This Row],[Maturity date]],Table1[[#This Row],[Current coupon %]],Table1[[#This Row],[Yield (Annualised)]],Table1[[#This Row],[Coupon Frequency2]])</f>
        <v>#N/A</v>
      </c>
      <c r="AA1148" s="33" t="e">
        <f>Table1[[#This Row],[Macaulay Duration in Years]]/(1+Table1[[#This Row],[IRR]])</f>
        <v>#N/A</v>
      </c>
      <c r="AB1148" s="58" t="e">
        <f>VLOOKUP(Table1[[#This Row],[Yield Cluster]],'Cluster Details'!$B$3:$C$16,2,0)</f>
        <v>#N/A</v>
      </c>
      <c r="AC114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8" s="58" t="e">
        <f>IF(Table1[[#This Row],[Ask Price]]&gt;Table1[[#This Row],[Calculated Bond Price]],"Rich","Cheap")</f>
        <v>#N/A</v>
      </c>
      <c r="AE114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8" s="78" t="e">
        <f>(Table1[[#This Row],[P (+ shock)]]+Table1[[#This Row],[P (-shock)]]-2*Table1[[#This Row],[Ask Price]])/(2*Table1[[#This Row],[Ask Price]]*($AF$2^2))</f>
        <v>#N/A</v>
      </c>
      <c r="AH1148">
        <v>8.3607371840224296</v>
      </c>
      <c r="AI1148" s="6" t="e">
        <f t="shared" si="69"/>
        <v>#DIV/0!</v>
      </c>
      <c r="AK1148" s="47" t="e">
        <f>RATE(Table1[[#This Row],[Total No. of Coupons]],Table1[[#This Row],[Coupon Amount]],-Table1[[#This Row],[Ask Price]],Table1[[#This Row],[Face value]])</f>
        <v>#N/A</v>
      </c>
      <c r="AL1148" s="27" t="e">
        <f>Table1[[#This Row],[IRR]]*Table1[[#This Row],[Coupon Frequency2]]</f>
        <v>#N/A</v>
      </c>
      <c r="AM1148" s="5" t="e">
        <f t="shared" si="70"/>
        <v>#N/A</v>
      </c>
      <c r="AN1148" t="s">
        <v>64</v>
      </c>
      <c r="AO1148" t="s">
        <v>62</v>
      </c>
      <c r="AP1148" t="str">
        <f t="shared" si="71"/>
        <v/>
      </c>
    </row>
    <row r="1149" spans="4:42" x14ac:dyDescent="0.35">
      <c r="D1149" s="21"/>
      <c r="E1149" s="21"/>
      <c r="L1149" s="22"/>
      <c r="S1149">
        <f t="shared" si="68"/>
        <v>0</v>
      </c>
      <c r="T1149" s="5" t="e" cm="1">
        <f t="array" ref="T11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49" t="e">
        <f>Table1[[#This Row],[Term to Maturity (Years)]]*Table1[[#This Row],[Coupon Frequency2]]</f>
        <v>#N/A</v>
      </c>
      <c r="V1149">
        <f>Table1[[#This Row],[Face value]]*Table1[[#This Row],[Current coupon %]]</f>
        <v>0</v>
      </c>
      <c r="W1149" s="36" t="e">
        <f>RATE(Table1[[#This Row],[Total No. of Coupons]],Table1[[#This Row],[Coupon Amount]],-Table1[[#This Row],[Ask Price]],Table1[[#This Row],[Face value]])</f>
        <v>#N/A</v>
      </c>
      <c r="X1149" s="27" t="e">
        <f>Table1[[#This Row],[IRR]]*Table1[[#This Row],[Coupon Frequency2]]</f>
        <v>#N/A</v>
      </c>
      <c r="Y1149" s="19" t="e" cm="1">
        <f t="array" ref="Y11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49" s="33" t="e">
        <f>DURATION(Table1[[#This Row],[Issue date]],Table1[[#This Row],[Maturity date]],Table1[[#This Row],[Current coupon %]],Table1[[#This Row],[Yield (Annualised)]],Table1[[#This Row],[Coupon Frequency2]])</f>
        <v>#N/A</v>
      </c>
      <c r="AA1149" s="33" t="e">
        <f>Table1[[#This Row],[Macaulay Duration in Years]]/(1+Table1[[#This Row],[IRR]])</f>
        <v>#N/A</v>
      </c>
      <c r="AB1149" s="58" t="e">
        <f>VLOOKUP(Table1[[#This Row],[Yield Cluster]],'Cluster Details'!$B$3:$C$16,2,0)</f>
        <v>#N/A</v>
      </c>
      <c r="AC114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49" s="58" t="e">
        <f>IF(Table1[[#This Row],[Ask Price]]&gt;Table1[[#This Row],[Calculated Bond Price]],"Rich","Cheap")</f>
        <v>#N/A</v>
      </c>
      <c r="AE114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4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49" s="78" t="e">
        <f>(Table1[[#This Row],[P (+ shock)]]+Table1[[#This Row],[P (-shock)]]-2*Table1[[#This Row],[Ask Price]])/(2*Table1[[#This Row],[Ask Price]]*($AF$2^2))</f>
        <v>#N/A</v>
      </c>
      <c r="AH1149">
        <v>10.7556877630456</v>
      </c>
      <c r="AI1149" s="6" t="e">
        <f t="shared" si="69"/>
        <v>#DIV/0!</v>
      </c>
      <c r="AK1149" s="47" t="e">
        <f>RATE(Table1[[#This Row],[Total No. of Coupons]],Table1[[#This Row],[Coupon Amount]],-Table1[[#This Row],[Ask Price]],Table1[[#This Row],[Face value]])</f>
        <v>#N/A</v>
      </c>
      <c r="AL1149" s="27" t="e">
        <f>Table1[[#This Row],[IRR]]*Table1[[#This Row],[Coupon Frequency2]]</f>
        <v>#N/A</v>
      </c>
      <c r="AM1149" s="5" t="e">
        <f t="shared" si="70"/>
        <v>#N/A</v>
      </c>
      <c r="AN1149" t="s">
        <v>64</v>
      </c>
      <c r="AO1149" t="s">
        <v>62</v>
      </c>
      <c r="AP1149" t="str">
        <f t="shared" si="71"/>
        <v/>
      </c>
    </row>
    <row r="1150" spans="4:42" x14ac:dyDescent="0.35">
      <c r="D1150" s="21"/>
      <c r="E1150" s="21"/>
      <c r="L1150" s="22"/>
      <c r="S1150">
        <f t="shared" si="68"/>
        <v>0</v>
      </c>
      <c r="T1150" s="5" t="e" cm="1">
        <f t="array" ref="T11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0" t="e">
        <f>Table1[[#This Row],[Term to Maturity (Years)]]*Table1[[#This Row],[Coupon Frequency2]]</f>
        <v>#N/A</v>
      </c>
      <c r="V1150">
        <f>Table1[[#This Row],[Face value]]*Table1[[#This Row],[Current coupon %]]</f>
        <v>0</v>
      </c>
      <c r="W1150" s="36" t="e">
        <f>RATE(Table1[[#This Row],[Total No. of Coupons]],Table1[[#This Row],[Coupon Amount]],-Table1[[#This Row],[Ask Price]],Table1[[#This Row],[Face value]])</f>
        <v>#N/A</v>
      </c>
      <c r="X1150" s="27" t="e">
        <f>Table1[[#This Row],[IRR]]*Table1[[#This Row],[Coupon Frequency2]]</f>
        <v>#N/A</v>
      </c>
      <c r="Y1150" s="19" t="e" cm="1">
        <f t="array" ref="Y11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0" s="33" t="e">
        <f>DURATION(Table1[[#This Row],[Issue date]],Table1[[#This Row],[Maturity date]],Table1[[#This Row],[Current coupon %]],Table1[[#This Row],[Yield (Annualised)]],Table1[[#This Row],[Coupon Frequency2]])</f>
        <v>#N/A</v>
      </c>
      <c r="AA1150" s="33" t="e">
        <f>Table1[[#This Row],[Macaulay Duration in Years]]/(1+Table1[[#This Row],[IRR]])</f>
        <v>#N/A</v>
      </c>
      <c r="AB1150" s="58" t="e">
        <f>VLOOKUP(Table1[[#This Row],[Yield Cluster]],'Cluster Details'!$B$3:$C$16,2,0)</f>
        <v>#N/A</v>
      </c>
      <c r="AC115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0" s="58" t="e">
        <f>IF(Table1[[#This Row],[Ask Price]]&gt;Table1[[#This Row],[Calculated Bond Price]],"Rich","Cheap")</f>
        <v>#N/A</v>
      </c>
      <c r="AE115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0" s="78" t="e">
        <f>(Table1[[#This Row],[P (+ shock)]]+Table1[[#This Row],[P (-shock)]]-2*Table1[[#This Row],[Ask Price]])/(2*Table1[[#This Row],[Ask Price]]*($AF$2^2))</f>
        <v>#N/A</v>
      </c>
      <c r="AH1150">
        <v>10.5</v>
      </c>
      <c r="AI1150" s="6" t="e">
        <f t="shared" si="69"/>
        <v>#DIV/0!</v>
      </c>
      <c r="AK1150" s="47" t="e">
        <f>RATE(Table1[[#This Row],[Total No. of Coupons]],Table1[[#This Row],[Coupon Amount]],-Table1[[#This Row],[Ask Price]],Table1[[#This Row],[Face value]])</f>
        <v>#N/A</v>
      </c>
      <c r="AL1150" s="27" t="e">
        <f>Table1[[#This Row],[IRR]]*Table1[[#This Row],[Coupon Frequency2]]</f>
        <v>#N/A</v>
      </c>
      <c r="AM1150" s="5" t="e">
        <f t="shared" si="70"/>
        <v>#N/A</v>
      </c>
      <c r="AN1150" t="s">
        <v>64</v>
      </c>
      <c r="AO1150" t="s">
        <v>62</v>
      </c>
      <c r="AP1150" t="str">
        <f t="shared" si="71"/>
        <v/>
      </c>
    </row>
    <row r="1151" spans="4:42" x14ac:dyDescent="0.35">
      <c r="D1151" s="21"/>
      <c r="E1151" s="21"/>
      <c r="L1151" s="22"/>
      <c r="S1151">
        <f t="shared" si="68"/>
        <v>0</v>
      </c>
      <c r="T1151" s="5" t="e" cm="1">
        <f t="array" ref="T11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1" t="e">
        <f>Table1[[#This Row],[Term to Maturity (Years)]]*Table1[[#This Row],[Coupon Frequency2]]</f>
        <v>#N/A</v>
      </c>
      <c r="V1151">
        <f>Table1[[#This Row],[Face value]]*Table1[[#This Row],[Current coupon %]]</f>
        <v>0</v>
      </c>
      <c r="W1151" s="36" t="e">
        <f>RATE(Table1[[#This Row],[Total No. of Coupons]],Table1[[#This Row],[Coupon Amount]],-Table1[[#This Row],[Ask Price]],Table1[[#This Row],[Face value]])</f>
        <v>#N/A</v>
      </c>
      <c r="X1151" s="27" t="e">
        <f>Table1[[#This Row],[IRR]]*Table1[[#This Row],[Coupon Frequency2]]</f>
        <v>#N/A</v>
      </c>
      <c r="Y1151" s="19" t="e" cm="1">
        <f t="array" ref="Y11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1" s="33" t="e">
        <f>DURATION(Table1[[#This Row],[Issue date]],Table1[[#This Row],[Maturity date]],Table1[[#This Row],[Current coupon %]],Table1[[#This Row],[Yield (Annualised)]],Table1[[#This Row],[Coupon Frequency2]])</f>
        <v>#N/A</v>
      </c>
      <c r="AA1151" s="33" t="e">
        <f>Table1[[#This Row],[Macaulay Duration in Years]]/(1+Table1[[#This Row],[IRR]])</f>
        <v>#N/A</v>
      </c>
      <c r="AB1151" s="58" t="e">
        <f>VLOOKUP(Table1[[#This Row],[Yield Cluster]],'Cluster Details'!$B$3:$C$16,2,0)</f>
        <v>#N/A</v>
      </c>
      <c r="AC115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1" s="58" t="e">
        <f>IF(Table1[[#This Row],[Ask Price]]&gt;Table1[[#This Row],[Calculated Bond Price]],"Rich","Cheap")</f>
        <v>#N/A</v>
      </c>
      <c r="AE115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1" s="78" t="e">
        <f>(Table1[[#This Row],[P (+ shock)]]+Table1[[#This Row],[P (-shock)]]-2*Table1[[#This Row],[Ask Price]])/(2*Table1[[#This Row],[Ask Price]]*($AF$2^2))</f>
        <v>#N/A</v>
      </c>
      <c r="AH1151">
        <v>11.542217707669399</v>
      </c>
      <c r="AI1151" s="6" t="e">
        <f t="shared" si="69"/>
        <v>#DIV/0!</v>
      </c>
      <c r="AK1151" s="47" t="e">
        <f>RATE(Table1[[#This Row],[Total No. of Coupons]],Table1[[#This Row],[Coupon Amount]],-Table1[[#This Row],[Ask Price]],Table1[[#This Row],[Face value]])</f>
        <v>#N/A</v>
      </c>
      <c r="AL1151" s="27" t="e">
        <f>Table1[[#This Row],[IRR]]*Table1[[#This Row],[Coupon Frequency2]]</f>
        <v>#N/A</v>
      </c>
      <c r="AM1151" s="5" t="e">
        <f t="shared" si="70"/>
        <v>#N/A</v>
      </c>
      <c r="AN1151" t="s">
        <v>64</v>
      </c>
      <c r="AO1151" t="s">
        <v>62</v>
      </c>
      <c r="AP1151" t="str">
        <f t="shared" si="71"/>
        <v/>
      </c>
    </row>
    <row r="1152" spans="4:42" x14ac:dyDescent="0.35">
      <c r="D1152" s="21"/>
      <c r="E1152" s="21"/>
      <c r="L1152" s="22"/>
      <c r="S1152">
        <f t="shared" si="68"/>
        <v>0</v>
      </c>
      <c r="T1152" s="5" t="e" cm="1">
        <f t="array" ref="T11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2" t="e">
        <f>Table1[[#This Row],[Term to Maturity (Years)]]*Table1[[#This Row],[Coupon Frequency2]]</f>
        <v>#N/A</v>
      </c>
      <c r="V1152">
        <f>Table1[[#This Row],[Face value]]*Table1[[#This Row],[Current coupon %]]</f>
        <v>0</v>
      </c>
      <c r="W1152" s="36" t="e">
        <f>RATE(Table1[[#This Row],[Total No. of Coupons]],Table1[[#This Row],[Coupon Amount]],-Table1[[#This Row],[Ask Price]],Table1[[#This Row],[Face value]])</f>
        <v>#N/A</v>
      </c>
      <c r="X1152" s="27" t="e">
        <f>Table1[[#This Row],[IRR]]*Table1[[#This Row],[Coupon Frequency2]]</f>
        <v>#N/A</v>
      </c>
      <c r="Y1152" s="19" t="e" cm="1">
        <f t="array" ref="Y11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2" s="33" t="e">
        <f>DURATION(Table1[[#This Row],[Issue date]],Table1[[#This Row],[Maturity date]],Table1[[#This Row],[Current coupon %]],Table1[[#This Row],[Yield (Annualised)]],Table1[[#This Row],[Coupon Frequency2]])</f>
        <v>#N/A</v>
      </c>
      <c r="AA1152" s="33" t="e">
        <f>Table1[[#This Row],[Macaulay Duration in Years]]/(1+Table1[[#This Row],[IRR]])</f>
        <v>#N/A</v>
      </c>
      <c r="AB1152" s="58" t="e">
        <f>VLOOKUP(Table1[[#This Row],[Yield Cluster]],'Cluster Details'!$B$3:$C$16,2,0)</f>
        <v>#N/A</v>
      </c>
      <c r="AC115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2" s="58" t="e">
        <f>IF(Table1[[#This Row],[Ask Price]]&gt;Table1[[#This Row],[Calculated Bond Price]],"Rich","Cheap")</f>
        <v>#N/A</v>
      </c>
      <c r="AE115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2" s="78" t="e">
        <f>(Table1[[#This Row],[P (+ shock)]]+Table1[[#This Row],[P (-shock)]]-2*Table1[[#This Row],[Ask Price]])/(2*Table1[[#This Row],[Ask Price]]*($AF$2^2))</f>
        <v>#N/A</v>
      </c>
      <c r="AH1152">
        <v>11.028372235650099</v>
      </c>
      <c r="AI1152" s="6" t="e">
        <f t="shared" si="69"/>
        <v>#DIV/0!</v>
      </c>
      <c r="AK1152" s="47" t="e">
        <f>RATE(Table1[[#This Row],[Total No. of Coupons]],Table1[[#This Row],[Coupon Amount]],-Table1[[#This Row],[Ask Price]],Table1[[#This Row],[Face value]])</f>
        <v>#N/A</v>
      </c>
      <c r="AL1152" s="27" t="e">
        <f>Table1[[#This Row],[IRR]]*Table1[[#This Row],[Coupon Frequency2]]</f>
        <v>#N/A</v>
      </c>
      <c r="AM1152" s="5" t="e">
        <f t="shared" si="70"/>
        <v>#N/A</v>
      </c>
      <c r="AN1152" t="s">
        <v>64</v>
      </c>
      <c r="AO1152" t="s">
        <v>62</v>
      </c>
      <c r="AP1152" t="str">
        <f t="shared" si="71"/>
        <v/>
      </c>
    </row>
    <row r="1153" spans="4:42" x14ac:dyDescent="0.35">
      <c r="D1153" s="21"/>
      <c r="E1153" s="21"/>
      <c r="L1153" s="22"/>
      <c r="S1153">
        <f t="shared" si="68"/>
        <v>0</v>
      </c>
      <c r="T1153" s="5" t="e" cm="1">
        <f t="array" ref="T11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3" t="e">
        <f>Table1[[#This Row],[Term to Maturity (Years)]]*Table1[[#This Row],[Coupon Frequency2]]</f>
        <v>#N/A</v>
      </c>
      <c r="V1153">
        <f>Table1[[#This Row],[Face value]]*Table1[[#This Row],[Current coupon %]]</f>
        <v>0</v>
      </c>
      <c r="W1153" s="36" t="e">
        <f>RATE(Table1[[#This Row],[Total No. of Coupons]],Table1[[#This Row],[Coupon Amount]],-Table1[[#This Row],[Ask Price]],Table1[[#This Row],[Face value]])</f>
        <v>#N/A</v>
      </c>
      <c r="X1153" s="27" t="e">
        <f>Table1[[#This Row],[IRR]]*Table1[[#This Row],[Coupon Frequency2]]</f>
        <v>#N/A</v>
      </c>
      <c r="Y1153" s="19" t="e" cm="1">
        <f t="array" ref="Y11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3" s="33" t="e">
        <f>DURATION(Table1[[#This Row],[Issue date]],Table1[[#This Row],[Maturity date]],Table1[[#This Row],[Current coupon %]],Table1[[#This Row],[Yield (Annualised)]],Table1[[#This Row],[Coupon Frequency2]])</f>
        <v>#N/A</v>
      </c>
      <c r="AA1153" s="33" t="e">
        <f>Table1[[#This Row],[Macaulay Duration in Years]]/(1+Table1[[#This Row],[IRR]])</f>
        <v>#N/A</v>
      </c>
      <c r="AB1153" s="58" t="e">
        <f>VLOOKUP(Table1[[#This Row],[Yield Cluster]],'Cluster Details'!$B$3:$C$16,2,0)</f>
        <v>#N/A</v>
      </c>
      <c r="AC115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3" s="58" t="e">
        <f>IF(Table1[[#This Row],[Ask Price]]&gt;Table1[[#This Row],[Calculated Bond Price]],"Rich","Cheap")</f>
        <v>#N/A</v>
      </c>
      <c r="AE115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3" s="78" t="e">
        <f>(Table1[[#This Row],[P (+ shock)]]+Table1[[#This Row],[P (-shock)]]-2*Table1[[#This Row],[Ask Price]])/(2*Table1[[#This Row],[Ask Price]]*($AF$2^2))</f>
        <v>#N/A</v>
      </c>
      <c r="AH1153">
        <v>12.5032646057984</v>
      </c>
      <c r="AI1153" s="6" t="e">
        <f t="shared" si="69"/>
        <v>#DIV/0!</v>
      </c>
      <c r="AK1153" s="47" t="e">
        <f>RATE(Table1[[#This Row],[Total No. of Coupons]],Table1[[#This Row],[Coupon Amount]],-Table1[[#This Row],[Ask Price]],Table1[[#This Row],[Face value]])</f>
        <v>#N/A</v>
      </c>
      <c r="AL1153" s="27" t="e">
        <f>Table1[[#This Row],[IRR]]*Table1[[#This Row],[Coupon Frequency2]]</f>
        <v>#N/A</v>
      </c>
      <c r="AM1153" s="5" t="e">
        <f t="shared" si="70"/>
        <v>#N/A</v>
      </c>
      <c r="AN1153" t="s">
        <v>64</v>
      </c>
      <c r="AO1153" t="s">
        <v>62</v>
      </c>
      <c r="AP1153" t="str">
        <f t="shared" si="71"/>
        <v/>
      </c>
    </row>
    <row r="1154" spans="4:42" x14ac:dyDescent="0.35">
      <c r="D1154" s="21"/>
      <c r="E1154" s="21"/>
      <c r="L1154" s="22"/>
      <c r="S1154">
        <f t="shared" si="68"/>
        <v>0</v>
      </c>
      <c r="T1154" s="5" t="e" cm="1">
        <f t="array" ref="T11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4" t="e">
        <f>Table1[[#This Row],[Term to Maturity (Years)]]*Table1[[#This Row],[Coupon Frequency2]]</f>
        <v>#N/A</v>
      </c>
      <c r="V1154">
        <f>Table1[[#This Row],[Face value]]*Table1[[#This Row],[Current coupon %]]</f>
        <v>0</v>
      </c>
      <c r="W1154" s="36" t="e">
        <f>RATE(Table1[[#This Row],[Total No. of Coupons]],Table1[[#This Row],[Coupon Amount]],-Table1[[#This Row],[Ask Price]],Table1[[#This Row],[Face value]])</f>
        <v>#N/A</v>
      </c>
      <c r="X1154" s="27" t="e">
        <f>Table1[[#This Row],[IRR]]*Table1[[#This Row],[Coupon Frequency2]]</f>
        <v>#N/A</v>
      </c>
      <c r="Y1154" s="19" t="e" cm="1">
        <f t="array" ref="Y11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4" s="33" t="e">
        <f>DURATION(Table1[[#This Row],[Issue date]],Table1[[#This Row],[Maturity date]],Table1[[#This Row],[Current coupon %]],Table1[[#This Row],[Yield (Annualised)]],Table1[[#This Row],[Coupon Frequency2]])</f>
        <v>#N/A</v>
      </c>
      <c r="AA1154" s="33" t="e">
        <f>Table1[[#This Row],[Macaulay Duration in Years]]/(1+Table1[[#This Row],[IRR]])</f>
        <v>#N/A</v>
      </c>
      <c r="AB1154" s="58" t="e">
        <f>VLOOKUP(Table1[[#This Row],[Yield Cluster]],'Cluster Details'!$B$3:$C$16,2,0)</f>
        <v>#N/A</v>
      </c>
      <c r="AC115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4" s="58" t="e">
        <f>IF(Table1[[#This Row],[Ask Price]]&gt;Table1[[#This Row],[Calculated Bond Price]],"Rich","Cheap")</f>
        <v>#N/A</v>
      </c>
      <c r="AE115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4" s="78" t="e">
        <f>(Table1[[#This Row],[P (+ shock)]]+Table1[[#This Row],[P (-shock)]]-2*Table1[[#This Row],[Ask Price]])/(2*Table1[[#This Row],[Ask Price]]*($AF$2^2))</f>
        <v>#N/A</v>
      </c>
      <c r="AH1154">
        <v>9.9290165913183692</v>
      </c>
      <c r="AI1154" s="6" t="e">
        <f t="shared" si="69"/>
        <v>#DIV/0!</v>
      </c>
      <c r="AK1154" s="47" t="e">
        <f>RATE(Table1[[#This Row],[Total No. of Coupons]],Table1[[#This Row],[Coupon Amount]],-Table1[[#This Row],[Ask Price]],Table1[[#This Row],[Face value]])</f>
        <v>#N/A</v>
      </c>
      <c r="AL1154" s="27" t="e">
        <f>Table1[[#This Row],[IRR]]*Table1[[#This Row],[Coupon Frequency2]]</f>
        <v>#N/A</v>
      </c>
      <c r="AM1154" s="5" t="e">
        <f t="shared" si="70"/>
        <v>#N/A</v>
      </c>
      <c r="AN1154" t="s">
        <v>64</v>
      </c>
      <c r="AO1154" t="s">
        <v>62</v>
      </c>
      <c r="AP1154" t="str">
        <f t="shared" si="71"/>
        <v/>
      </c>
    </row>
    <row r="1155" spans="4:42" x14ac:dyDescent="0.35">
      <c r="D1155" s="21"/>
      <c r="E1155" s="21"/>
      <c r="L1155" s="22"/>
      <c r="S1155">
        <f t="shared" si="68"/>
        <v>0</v>
      </c>
      <c r="T1155" s="5" t="e" cm="1">
        <f t="array" ref="T11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5" t="e">
        <f>Table1[[#This Row],[Term to Maturity (Years)]]*Table1[[#This Row],[Coupon Frequency2]]</f>
        <v>#N/A</v>
      </c>
      <c r="V1155">
        <f>Table1[[#This Row],[Face value]]*Table1[[#This Row],[Current coupon %]]</f>
        <v>0</v>
      </c>
      <c r="W1155" s="36" t="e">
        <f>RATE(Table1[[#This Row],[Total No. of Coupons]],Table1[[#This Row],[Coupon Amount]],-Table1[[#This Row],[Ask Price]],Table1[[#This Row],[Face value]])</f>
        <v>#N/A</v>
      </c>
      <c r="X1155" s="27" t="e">
        <f>Table1[[#This Row],[IRR]]*Table1[[#This Row],[Coupon Frequency2]]</f>
        <v>#N/A</v>
      </c>
      <c r="Y1155" s="19" t="e" cm="1">
        <f t="array" ref="Y11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5" s="33" t="e">
        <f>DURATION(Table1[[#This Row],[Issue date]],Table1[[#This Row],[Maturity date]],Table1[[#This Row],[Current coupon %]],Table1[[#This Row],[Yield (Annualised)]],Table1[[#This Row],[Coupon Frequency2]])</f>
        <v>#N/A</v>
      </c>
      <c r="AA1155" s="33" t="e">
        <f>Table1[[#This Row],[Macaulay Duration in Years]]/(1+Table1[[#This Row],[IRR]])</f>
        <v>#N/A</v>
      </c>
      <c r="AB1155" s="58" t="e">
        <f>VLOOKUP(Table1[[#This Row],[Yield Cluster]],'Cluster Details'!$B$3:$C$16,2,0)</f>
        <v>#N/A</v>
      </c>
      <c r="AC115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5" s="58" t="e">
        <f>IF(Table1[[#This Row],[Ask Price]]&gt;Table1[[#This Row],[Calculated Bond Price]],"Rich","Cheap")</f>
        <v>#N/A</v>
      </c>
      <c r="AE115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5" s="78" t="e">
        <f>(Table1[[#This Row],[P (+ shock)]]+Table1[[#This Row],[P (-shock)]]-2*Table1[[#This Row],[Ask Price]])/(2*Table1[[#This Row],[Ask Price]]*($AF$2^2))</f>
        <v>#N/A</v>
      </c>
      <c r="AH1155">
        <v>9.05320857376209</v>
      </c>
      <c r="AI1155" s="6" t="e">
        <f t="shared" si="69"/>
        <v>#DIV/0!</v>
      </c>
      <c r="AK1155" s="47" t="e">
        <f>RATE(Table1[[#This Row],[Total No. of Coupons]],Table1[[#This Row],[Coupon Amount]],-Table1[[#This Row],[Ask Price]],Table1[[#This Row],[Face value]])</f>
        <v>#N/A</v>
      </c>
      <c r="AL1155" s="27" t="e">
        <f>Table1[[#This Row],[IRR]]*Table1[[#This Row],[Coupon Frequency2]]</f>
        <v>#N/A</v>
      </c>
      <c r="AM1155" s="5" t="e">
        <f t="shared" si="70"/>
        <v>#N/A</v>
      </c>
      <c r="AN1155" t="s">
        <v>64</v>
      </c>
      <c r="AO1155" t="s">
        <v>62</v>
      </c>
      <c r="AP1155" t="str">
        <f t="shared" si="71"/>
        <v/>
      </c>
    </row>
    <row r="1156" spans="4:42" x14ac:dyDescent="0.35">
      <c r="D1156" s="21"/>
      <c r="E1156" s="21"/>
      <c r="L1156" s="22"/>
      <c r="S1156">
        <f t="shared" ref="S1156:S1219" si="72">ROUND(YEARFRAC(D1156,E1156),0)</f>
        <v>0</v>
      </c>
      <c r="T1156" s="5" t="e" cm="1">
        <f t="array" ref="T11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6" t="e">
        <f>Table1[[#This Row],[Term to Maturity (Years)]]*Table1[[#This Row],[Coupon Frequency2]]</f>
        <v>#N/A</v>
      </c>
      <c r="V1156">
        <f>Table1[[#This Row],[Face value]]*Table1[[#This Row],[Current coupon %]]</f>
        <v>0</v>
      </c>
      <c r="W1156" s="36" t="e">
        <f>RATE(Table1[[#This Row],[Total No. of Coupons]],Table1[[#This Row],[Coupon Amount]],-Table1[[#This Row],[Ask Price]],Table1[[#This Row],[Face value]])</f>
        <v>#N/A</v>
      </c>
      <c r="X1156" s="27" t="e">
        <f>Table1[[#This Row],[IRR]]*Table1[[#This Row],[Coupon Frequency2]]</f>
        <v>#N/A</v>
      </c>
      <c r="Y1156" s="19" t="e" cm="1">
        <f t="array" ref="Y11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6" s="33" t="e">
        <f>DURATION(Table1[[#This Row],[Issue date]],Table1[[#This Row],[Maturity date]],Table1[[#This Row],[Current coupon %]],Table1[[#This Row],[Yield (Annualised)]],Table1[[#This Row],[Coupon Frequency2]])</f>
        <v>#N/A</v>
      </c>
      <c r="AA1156" s="33" t="e">
        <f>Table1[[#This Row],[Macaulay Duration in Years]]/(1+Table1[[#This Row],[IRR]])</f>
        <v>#N/A</v>
      </c>
      <c r="AB1156" s="58" t="e">
        <f>VLOOKUP(Table1[[#This Row],[Yield Cluster]],'Cluster Details'!$B$3:$C$16,2,0)</f>
        <v>#N/A</v>
      </c>
      <c r="AC115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6" s="58" t="e">
        <f>IF(Table1[[#This Row],[Ask Price]]&gt;Table1[[#This Row],[Calculated Bond Price]],"Rich","Cheap")</f>
        <v>#N/A</v>
      </c>
      <c r="AE115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6" s="78" t="e">
        <f>(Table1[[#This Row],[P (+ shock)]]+Table1[[#This Row],[P (-shock)]]-2*Table1[[#This Row],[Ask Price]])/(2*Table1[[#This Row],[Ask Price]]*($AF$2^2))</f>
        <v>#N/A</v>
      </c>
      <c r="AI1156" s="6" t="e">
        <f t="shared" ref="AI1156:AI1219" si="73">(L1156*F1156)/H1156</f>
        <v>#DIV/0!</v>
      </c>
      <c r="AK1156" s="47" t="e">
        <f>RATE(Table1[[#This Row],[Total No. of Coupons]],Table1[[#This Row],[Coupon Amount]],-Table1[[#This Row],[Ask Price]],Table1[[#This Row],[Face value]])</f>
        <v>#N/A</v>
      </c>
      <c r="AL1156" s="27" t="e">
        <f>Table1[[#This Row],[IRR]]*Table1[[#This Row],[Coupon Frequency2]]</f>
        <v>#N/A</v>
      </c>
      <c r="AM1156" s="5" t="e">
        <f t="shared" ref="AM1156:AM1219" si="74">-AA1156*H1156</f>
        <v>#N/A</v>
      </c>
      <c r="AN1156" t="s">
        <v>69</v>
      </c>
      <c r="AO1156" t="s">
        <v>62</v>
      </c>
      <c r="AP1156" t="str">
        <f t="shared" ref="AP1156:AP1219" si="75">_xlfn.SWITCH(PROPER(TRIM(M1156)),
   "Annual",1,
   "Semi-Annual",2,
   "Quarterly",4,
   "Monthly",12,
   "")</f>
        <v/>
      </c>
    </row>
    <row r="1157" spans="4:42" x14ac:dyDescent="0.35">
      <c r="D1157" s="21"/>
      <c r="E1157" s="21"/>
      <c r="L1157" s="22"/>
      <c r="S1157">
        <f t="shared" si="72"/>
        <v>0</v>
      </c>
      <c r="T1157" s="5" t="e" cm="1">
        <f t="array" ref="T11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7" t="e">
        <f>Table1[[#This Row],[Term to Maturity (Years)]]*Table1[[#This Row],[Coupon Frequency2]]</f>
        <v>#N/A</v>
      </c>
      <c r="V1157">
        <f>Table1[[#This Row],[Face value]]*Table1[[#This Row],[Current coupon %]]</f>
        <v>0</v>
      </c>
      <c r="W1157" s="36" t="e">
        <f>RATE(Table1[[#This Row],[Total No. of Coupons]],Table1[[#This Row],[Coupon Amount]],-Table1[[#This Row],[Ask Price]],Table1[[#This Row],[Face value]])</f>
        <v>#N/A</v>
      </c>
      <c r="X1157" s="27" t="e">
        <f>Table1[[#This Row],[IRR]]*Table1[[#This Row],[Coupon Frequency2]]</f>
        <v>#N/A</v>
      </c>
      <c r="Y1157" s="19" t="e" cm="1">
        <f t="array" ref="Y11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7" s="33" t="e">
        <f>DURATION(Table1[[#This Row],[Issue date]],Table1[[#This Row],[Maturity date]],Table1[[#This Row],[Current coupon %]],Table1[[#This Row],[Yield (Annualised)]],Table1[[#This Row],[Coupon Frequency2]])</f>
        <v>#N/A</v>
      </c>
      <c r="AA1157" s="33" t="e">
        <f>Table1[[#This Row],[Macaulay Duration in Years]]/(1+Table1[[#This Row],[IRR]])</f>
        <v>#N/A</v>
      </c>
      <c r="AB1157" s="58" t="e">
        <f>VLOOKUP(Table1[[#This Row],[Yield Cluster]],'Cluster Details'!$B$3:$C$16,2,0)</f>
        <v>#N/A</v>
      </c>
      <c r="AC115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7" s="58" t="e">
        <f>IF(Table1[[#This Row],[Ask Price]]&gt;Table1[[#This Row],[Calculated Bond Price]],"Rich","Cheap")</f>
        <v>#N/A</v>
      </c>
      <c r="AE115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7" s="78" t="e">
        <f>(Table1[[#This Row],[P (+ shock)]]+Table1[[#This Row],[P (-shock)]]-2*Table1[[#This Row],[Ask Price]])/(2*Table1[[#This Row],[Ask Price]]*($AF$2^2))</f>
        <v>#N/A</v>
      </c>
      <c r="AH1157">
        <v>9.5142276475271199</v>
      </c>
      <c r="AI1157" s="6" t="e">
        <f t="shared" si="73"/>
        <v>#DIV/0!</v>
      </c>
      <c r="AK1157" s="47" t="e">
        <f>RATE(Table1[[#This Row],[Total No. of Coupons]],Table1[[#This Row],[Coupon Amount]],-Table1[[#This Row],[Ask Price]],Table1[[#This Row],[Face value]])</f>
        <v>#N/A</v>
      </c>
      <c r="AL1157" s="27" t="e">
        <f>Table1[[#This Row],[IRR]]*Table1[[#This Row],[Coupon Frequency2]]</f>
        <v>#N/A</v>
      </c>
      <c r="AM1157" s="5" t="e">
        <f t="shared" si="74"/>
        <v>#N/A</v>
      </c>
      <c r="AN1157" t="s">
        <v>64</v>
      </c>
      <c r="AO1157" t="s">
        <v>62</v>
      </c>
      <c r="AP1157" t="str">
        <f t="shared" si="75"/>
        <v/>
      </c>
    </row>
    <row r="1158" spans="4:42" x14ac:dyDescent="0.35">
      <c r="D1158" s="21"/>
      <c r="E1158" s="21"/>
      <c r="L1158" s="22"/>
      <c r="S1158">
        <f t="shared" si="72"/>
        <v>0</v>
      </c>
      <c r="T1158" s="5" t="e" cm="1">
        <f t="array" ref="T11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8" t="e">
        <f>Table1[[#This Row],[Term to Maturity (Years)]]*Table1[[#This Row],[Coupon Frequency2]]</f>
        <v>#N/A</v>
      </c>
      <c r="V1158">
        <f>Table1[[#This Row],[Face value]]*Table1[[#This Row],[Current coupon %]]</f>
        <v>0</v>
      </c>
      <c r="W1158" s="36" t="e">
        <f>RATE(Table1[[#This Row],[Total No. of Coupons]],Table1[[#This Row],[Coupon Amount]],-Table1[[#This Row],[Ask Price]],Table1[[#This Row],[Face value]])</f>
        <v>#N/A</v>
      </c>
      <c r="X1158" s="27" t="e">
        <f>Table1[[#This Row],[IRR]]*Table1[[#This Row],[Coupon Frequency2]]</f>
        <v>#N/A</v>
      </c>
      <c r="Y1158" s="19" t="e" cm="1">
        <f t="array" ref="Y11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8" s="33" t="e">
        <f>DURATION(Table1[[#This Row],[Issue date]],Table1[[#This Row],[Maturity date]],Table1[[#This Row],[Current coupon %]],Table1[[#This Row],[Yield (Annualised)]],Table1[[#This Row],[Coupon Frequency2]])</f>
        <v>#N/A</v>
      </c>
      <c r="AA1158" s="33" t="e">
        <f>Table1[[#This Row],[Macaulay Duration in Years]]/(1+Table1[[#This Row],[IRR]])</f>
        <v>#N/A</v>
      </c>
      <c r="AB1158" s="58" t="e">
        <f>VLOOKUP(Table1[[#This Row],[Yield Cluster]],'Cluster Details'!$B$3:$C$16,2,0)</f>
        <v>#N/A</v>
      </c>
      <c r="AC115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8" s="58" t="e">
        <f>IF(Table1[[#This Row],[Ask Price]]&gt;Table1[[#This Row],[Calculated Bond Price]],"Rich","Cheap")</f>
        <v>#N/A</v>
      </c>
      <c r="AE115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8" s="78" t="e">
        <f>(Table1[[#This Row],[P (+ shock)]]+Table1[[#This Row],[P (-shock)]]-2*Table1[[#This Row],[Ask Price]])/(2*Table1[[#This Row],[Ask Price]]*($AF$2^2))</f>
        <v>#N/A</v>
      </c>
      <c r="AH1158">
        <v>8.9742833295841802</v>
      </c>
      <c r="AI1158" s="6" t="e">
        <f t="shared" si="73"/>
        <v>#DIV/0!</v>
      </c>
      <c r="AK1158" s="47" t="e">
        <f>RATE(Table1[[#This Row],[Total No. of Coupons]],Table1[[#This Row],[Coupon Amount]],-Table1[[#This Row],[Ask Price]],Table1[[#This Row],[Face value]])</f>
        <v>#N/A</v>
      </c>
      <c r="AL1158" s="27" t="e">
        <f>Table1[[#This Row],[IRR]]*Table1[[#This Row],[Coupon Frequency2]]</f>
        <v>#N/A</v>
      </c>
      <c r="AM1158" s="5" t="e">
        <f t="shared" si="74"/>
        <v>#N/A</v>
      </c>
      <c r="AN1158" t="s">
        <v>64</v>
      </c>
      <c r="AO1158" t="s">
        <v>62</v>
      </c>
      <c r="AP1158" t="str">
        <f t="shared" si="75"/>
        <v/>
      </c>
    </row>
    <row r="1159" spans="4:42" x14ac:dyDescent="0.35">
      <c r="D1159" s="21"/>
      <c r="E1159" s="21"/>
      <c r="L1159" s="22"/>
      <c r="S1159">
        <f t="shared" si="72"/>
        <v>0</v>
      </c>
      <c r="T1159" s="5" t="e" cm="1">
        <f t="array" ref="T11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59" t="e">
        <f>Table1[[#This Row],[Term to Maturity (Years)]]*Table1[[#This Row],[Coupon Frequency2]]</f>
        <v>#N/A</v>
      </c>
      <c r="V1159">
        <f>Table1[[#This Row],[Face value]]*Table1[[#This Row],[Current coupon %]]</f>
        <v>0</v>
      </c>
      <c r="W1159" s="36" t="e">
        <f>RATE(Table1[[#This Row],[Total No. of Coupons]],Table1[[#This Row],[Coupon Amount]],-Table1[[#This Row],[Ask Price]],Table1[[#This Row],[Face value]])</f>
        <v>#N/A</v>
      </c>
      <c r="X1159" s="27" t="e">
        <f>Table1[[#This Row],[IRR]]*Table1[[#This Row],[Coupon Frequency2]]</f>
        <v>#N/A</v>
      </c>
      <c r="Y1159" s="19" t="e" cm="1">
        <f t="array" ref="Y11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59" s="33" t="e">
        <f>DURATION(Table1[[#This Row],[Issue date]],Table1[[#This Row],[Maturity date]],Table1[[#This Row],[Current coupon %]],Table1[[#This Row],[Yield (Annualised)]],Table1[[#This Row],[Coupon Frequency2]])</f>
        <v>#N/A</v>
      </c>
      <c r="AA1159" s="33" t="e">
        <f>Table1[[#This Row],[Macaulay Duration in Years]]/(1+Table1[[#This Row],[IRR]])</f>
        <v>#N/A</v>
      </c>
      <c r="AB1159" s="58" t="e">
        <f>VLOOKUP(Table1[[#This Row],[Yield Cluster]],'Cluster Details'!$B$3:$C$16,2,0)</f>
        <v>#N/A</v>
      </c>
      <c r="AC115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59" s="58" t="e">
        <f>IF(Table1[[#This Row],[Ask Price]]&gt;Table1[[#This Row],[Calculated Bond Price]],"Rich","Cheap")</f>
        <v>#N/A</v>
      </c>
      <c r="AE115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5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59" s="78" t="e">
        <f>(Table1[[#This Row],[P (+ shock)]]+Table1[[#This Row],[P (-shock)]]-2*Table1[[#This Row],[Ask Price]])/(2*Table1[[#This Row],[Ask Price]]*($AF$2^2))</f>
        <v>#N/A</v>
      </c>
      <c r="AH1159">
        <v>9.5421327199752799</v>
      </c>
      <c r="AI1159" s="6" t="e">
        <f t="shared" si="73"/>
        <v>#DIV/0!</v>
      </c>
      <c r="AK1159" s="47" t="e">
        <f>RATE(Table1[[#This Row],[Total No. of Coupons]],Table1[[#This Row],[Coupon Amount]],-Table1[[#This Row],[Ask Price]],Table1[[#This Row],[Face value]])</f>
        <v>#N/A</v>
      </c>
      <c r="AL1159" s="27" t="e">
        <f>Table1[[#This Row],[IRR]]*Table1[[#This Row],[Coupon Frequency2]]</f>
        <v>#N/A</v>
      </c>
      <c r="AM1159" s="5" t="e">
        <f t="shared" si="74"/>
        <v>#N/A</v>
      </c>
      <c r="AN1159" t="s">
        <v>64</v>
      </c>
      <c r="AO1159" t="s">
        <v>62</v>
      </c>
      <c r="AP1159" t="str">
        <f t="shared" si="75"/>
        <v/>
      </c>
    </row>
    <row r="1160" spans="4:42" x14ac:dyDescent="0.35">
      <c r="D1160" s="21"/>
      <c r="E1160" s="21"/>
      <c r="L1160" s="22"/>
      <c r="S1160">
        <f t="shared" si="72"/>
        <v>0</v>
      </c>
      <c r="T1160" s="5" t="e" cm="1">
        <f t="array" ref="T11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0" t="e">
        <f>Table1[[#This Row],[Term to Maturity (Years)]]*Table1[[#This Row],[Coupon Frequency2]]</f>
        <v>#N/A</v>
      </c>
      <c r="V1160">
        <f>Table1[[#This Row],[Face value]]*Table1[[#This Row],[Current coupon %]]</f>
        <v>0</v>
      </c>
      <c r="W1160" s="36" t="e">
        <f>RATE(Table1[[#This Row],[Total No. of Coupons]],Table1[[#This Row],[Coupon Amount]],-Table1[[#This Row],[Ask Price]],Table1[[#This Row],[Face value]])</f>
        <v>#N/A</v>
      </c>
      <c r="X1160" s="27" t="e">
        <f>Table1[[#This Row],[IRR]]*Table1[[#This Row],[Coupon Frequency2]]</f>
        <v>#N/A</v>
      </c>
      <c r="Y1160" s="19" t="e" cm="1">
        <f t="array" ref="Y11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0" s="33" t="e">
        <f>DURATION(Table1[[#This Row],[Issue date]],Table1[[#This Row],[Maturity date]],Table1[[#This Row],[Current coupon %]],Table1[[#This Row],[Yield (Annualised)]],Table1[[#This Row],[Coupon Frequency2]])</f>
        <v>#N/A</v>
      </c>
      <c r="AA1160" s="33" t="e">
        <f>Table1[[#This Row],[Macaulay Duration in Years]]/(1+Table1[[#This Row],[IRR]])</f>
        <v>#N/A</v>
      </c>
      <c r="AB1160" s="58" t="e">
        <f>VLOOKUP(Table1[[#This Row],[Yield Cluster]],'Cluster Details'!$B$3:$C$16,2,0)</f>
        <v>#N/A</v>
      </c>
      <c r="AC116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0" s="58" t="e">
        <f>IF(Table1[[#This Row],[Ask Price]]&gt;Table1[[#This Row],[Calculated Bond Price]],"Rich","Cheap")</f>
        <v>#N/A</v>
      </c>
      <c r="AE116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0" s="78" t="e">
        <f>(Table1[[#This Row],[P (+ shock)]]+Table1[[#This Row],[P (-shock)]]-2*Table1[[#This Row],[Ask Price]])/(2*Table1[[#This Row],[Ask Price]]*($AF$2^2))</f>
        <v>#N/A</v>
      </c>
      <c r="AH1160">
        <v>10.107008889574001</v>
      </c>
      <c r="AI1160" s="6" t="e">
        <f t="shared" si="73"/>
        <v>#DIV/0!</v>
      </c>
      <c r="AK1160" s="47" t="e">
        <f>RATE(Table1[[#This Row],[Total No. of Coupons]],Table1[[#This Row],[Coupon Amount]],-Table1[[#This Row],[Ask Price]],Table1[[#This Row],[Face value]])</f>
        <v>#N/A</v>
      </c>
      <c r="AL1160" s="27" t="e">
        <f>Table1[[#This Row],[IRR]]*Table1[[#This Row],[Coupon Frequency2]]</f>
        <v>#N/A</v>
      </c>
      <c r="AM1160" s="5" t="e">
        <f t="shared" si="74"/>
        <v>#N/A</v>
      </c>
      <c r="AN1160" t="s">
        <v>64</v>
      </c>
      <c r="AO1160" t="s">
        <v>62</v>
      </c>
      <c r="AP1160" t="str">
        <f t="shared" si="75"/>
        <v/>
      </c>
    </row>
    <row r="1161" spans="4:42" x14ac:dyDescent="0.35">
      <c r="D1161" s="21"/>
      <c r="E1161" s="21"/>
      <c r="L1161" s="22"/>
      <c r="S1161">
        <f t="shared" si="72"/>
        <v>0</v>
      </c>
      <c r="T1161" s="5" t="e" cm="1">
        <f t="array" ref="T11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1" t="e">
        <f>Table1[[#This Row],[Term to Maturity (Years)]]*Table1[[#This Row],[Coupon Frequency2]]</f>
        <v>#N/A</v>
      </c>
      <c r="V1161">
        <f>Table1[[#This Row],[Face value]]*Table1[[#This Row],[Current coupon %]]</f>
        <v>0</v>
      </c>
      <c r="W1161" s="36" t="e">
        <f>RATE(Table1[[#This Row],[Total No. of Coupons]],Table1[[#This Row],[Coupon Amount]],-Table1[[#This Row],[Ask Price]],Table1[[#This Row],[Face value]])</f>
        <v>#N/A</v>
      </c>
      <c r="X1161" s="27" t="e">
        <f>Table1[[#This Row],[IRR]]*Table1[[#This Row],[Coupon Frequency2]]</f>
        <v>#N/A</v>
      </c>
      <c r="Y1161" s="19" t="e" cm="1">
        <f t="array" ref="Y11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1" s="33" t="e">
        <f>DURATION(Table1[[#This Row],[Issue date]],Table1[[#This Row],[Maturity date]],Table1[[#This Row],[Current coupon %]],Table1[[#This Row],[Yield (Annualised)]],Table1[[#This Row],[Coupon Frequency2]])</f>
        <v>#N/A</v>
      </c>
      <c r="AA1161" s="33" t="e">
        <f>Table1[[#This Row],[Macaulay Duration in Years]]/(1+Table1[[#This Row],[IRR]])</f>
        <v>#N/A</v>
      </c>
      <c r="AB1161" s="58" t="e">
        <f>VLOOKUP(Table1[[#This Row],[Yield Cluster]],'Cluster Details'!$B$3:$C$16,2,0)</f>
        <v>#N/A</v>
      </c>
      <c r="AC116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1" s="58" t="e">
        <f>IF(Table1[[#This Row],[Ask Price]]&gt;Table1[[#This Row],[Calculated Bond Price]],"Rich","Cheap")</f>
        <v>#N/A</v>
      </c>
      <c r="AE116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1" s="78" t="e">
        <f>(Table1[[#This Row],[P (+ shock)]]+Table1[[#This Row],[P (-shock)]]-2*Table1[[#This Row],[Ask Price]])/(2*Table1[[#This Row],[Ask Price]]*($AF$2^2))</f>
        <v>#N/A</v>
      </c>
      <c r="AH1161">
        <v>9.4828653124617208</v>
      </c>
      <c r="AI1161" s="6" t="e">
        <f t="shared" si="73"/>
        <v>#DIV/0!</v>
      </c>
      <c r="AK1161" s="47" t="e">
        <f>RATE(Table1[[#This Row],[Total No. of Coupons]],Table1[[#This Row],[Coupon Amount]],-Table1[[#This Row],[Ask Price]],Table1[[#This Row],[Face value]])</f>
        <v>#N/A</v>
      </c>
      <c r="AL1161" s="27" t="e">
        <f>Table1[[#This Row],[IRR]]*Table1[[#This Row],[Coupon Frequency2]]</f>
        <v>#N/A</v>
      </c>
      <c r="AM1161" s="5" t="e">
        <f t="shared" si="74"/>
        <v>#N/A</v>
      </c>
      <c r="AN1161" t="s">
        <v>64</v>
      </c>
      <c r="AO1161" t="s">
        <v>62</v>
      </c>
      <c r="AP1161" t="str">
        <f t="shared" si="75"/>
        <v/>
      </c>
    </row>
    <row r="1162" spans="4:42" x14ac:dyDescent="0.35">
      <c r="D1162" s="21"/>
      <c r="E1162" s="21"/>
      <c r="L1162" s="22"/>
      <c r="S1162">
        <f t="shared" si="72"/>
        <v>0</v>
      </c>
      <c r="T1162" s="5" t="e" cm="1">
        <f t="array" ref="T11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2" t="e">
        <f>Table1[[#This Row],[Term to Maturity (Years)]]*Table1[[#This Row],[Coupon Frequency2]]</f>
        <v>#N/A</v>
      </c>
      <c r="V1162">
        <f>Table1[[#This Row],[Face value]]*Table1[[#This Row],[Current coupon %]]</f>
        <v>0</v>
      </c>
      <c r="W1162" s="36" t="e">
        <f>RATE(Table1[[#This Row],[Total No. of Coupons]],Table1[[#This Row],[Coupon Amount]],-Table1[[#This Row],[Ask Price]],Table1[[#This Row],[Face value]])</f>
        <v>#N/A</v>
      </c>
      <c r="X1162" s="27" t="e">
        <f>Table1[[#This Row],[IRR]]*Table1[[#This Row],[Coupon Frequency2]]</f>
        <v>#N/A</v>
      </c>
      <c r="Y1162" s="19" t="e" cm="1">
        <f t="array" ref="Y11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2" s="33" t="e">
        <f>DURATION(Table1[[#This Row],[Issue date]],Table1[[#This Row],[Maturity date]],Table1[[#This Row],[Current coupon %]],Table1[[#This Row],[Yield (Annualised)]],Table1[[#This Row],[Coupon Frequency2]])</f>
        <v>#N/A</v>
      </c>
      <c r="AA1162" s="33" t="e">
        <f>Table1[[#This Row],[Macaulay Duration in Years]]/(1+Table1[[#This Row],[IRR]])</f>
        <v>#N/A</v>
      </c>
      <c r="AB1162" s="58" t="e">
        <f>VLOOKUP(Table1[[#This Row],[Yield Cluster]],'Cluster Details'!$B$3:$C$16,2,0)</f>
        <v>#N/A</v>
      </c>
      <c r="AC116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2" s="58" t="e">
        <f>IF(Table1[[#This Row],[Ask Price]]&gt;Table1[[#This Row],[Calculated Bond Price]],"Rich","Cheap")</f>
        <v>#N/A</v>
      </c>
      <c r="AE116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2" s="78" t="e">
        <f>(Table1[[#This Row],[P (+ shock)]]+Table1[[#This Row],[P (-shock)]]-2*Table1[[#This Row],[Ask Price]])/(2*Table1[[#This Row],[Ask Price]]*($AF$2^2))</f>
        <v>#N/A</v>
      </c>
      <c r="AH1162">
        <v>10.0624128011062</v>
      </c>
      <c r="AI1162" s="6" t="e">
        <f t="shared" si="73"/>
        <v>#DIV/0!</v>
      </c>
      <c r="AK1162" s="47" t="e">
        <f>RATE(Table1[[#This Row],[Total No. of Coupons]],Table1[[#This Row],[Coupon Amount]],-Table1[[#This Row],[Ask Price]],Table1[[#This Row],[Face value]])</f>
        <v>#N/A</v>
      </c>
      <c r="AL1162" s="27" t="e">
        <f>Table1[[#This Row],[IRR]]*Table1[[#This Row],[Coupon Frequency2]]</f>
        <v>#N/A</v>
      </c>
      <c r="AM1162" s="5" t="e">
        <f t="shared" si="74"/>
        <v>#N/A</v>
      </c>
      <c r="AN1162" t="s">
        <v>64</v>
      </c>
      <c r="AO1162" t="s">
        <v>62</v>
      </c>
      <c r="AP1162" t="str">
        <f t="shared" si="75"/>
        <v/>
      </c>
    </row>
    <row r="1163" spans="4:42" x14ac:dyDescent="0.35">
      <c r="D1163" s="21"/>
      <c r="E1163" s="21"/>
      <c r="L1163" s="22"/>
      <c r="S1163">
        <f t="shared" si="72"/>
        <v>0</v>
      </c>
      <c r="T1163" s="5" t="e" cm="1">
        <f t="array" ref="T11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3" t="e">
        <f>Table1[[#This Row],[Term to Maturity (Years)]]*Table1[[#This Row],[Coupon Frequency2]]</f>
        <v>#N/A</v>
      </c>
      <c r="V1163">
        <f>Table1[[#This Row],[Face value]]*Table1[[#This Row],[Current coupon %]]</f>
        <v>0</v>
      </c>
      <c r="W1163" s="36" t="e">
        <f>RATE(Table1[[#This Row],[Total No. of Coupons]],Table1[[#This Row],[Coupon Amount]],-Table1[[#This Row],[Ask Price]],Table1[[#This Row],[Face value]])</f>
        <v>#N/A</v>
      </c>
      <c r="X1163" s="27" t="e">
        <f>Table1[[#This Row],[IRR]]*Table1[[#This Row],[Coupon Frequency2]]</f>
        <v>#N/A</v>
      </c>
      <c r="Y1163" s="19" t="e" cm="1">
        <f t="array" ref="Y11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3" s="33" t="e">
        <f>DURATION(Table1[[#This Row],[Issue date]],Table1[[#This Row],[Maturity date]],Table1[[#This Row],[Current coupon %]],Table1[[#This Row],[Yield (Annualised)]],Table1[[#This Row],[Coupon Frequency2]])</f>
        <v>#N/A</v>
      </c>
      <c r="AA1163" s="33" t="e">
        <f>Table1[[#This Row],[Macaulay Duration in Years]]/(1+Table1[[#This Row],[IRR]])</f>
        <v>#N/A</v>
      </c>
      <c r="AB1163" s="58" t="e">
        <f>VLOOKUP(Table1[[#This Row],[Yield Cluster]],'Cluster Details'!$B$3:$C$16,2,0)</f>
        <v>#N/A</v>
      </c>
      <c r="AC116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3" s="58" t="e">
        <f>IF(Table1[[#This Row],[Ask Price]]&gt;Table1[[#This Row],[Calculated Bond Price]],"Rich","Cheap")</f>
        <v>#N/A</v>
      </c>
      <c r="AE116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3" s="78" t="e">
        <f>(Table1[[#This Row],[P (+ shock)]]+Table1[[#This Row],[P (-shock)]]-2*Table1[[#This Row],[Ask Price]])/(2*Table1[[#This Row],[Ask Price]]*($AF$2^2))</f>
        <v>#N/A</v>
      </c>
      <c r="AH1163">
        <v>11.650712265104</v>
      </c>
      <c r="AI1163" s="6" t="e">
        <f t="shared" si="73"/>
        <v>#DIV/0!</v>
      </c>
      <c r="AK1163" s="47" t="e">
        <f>RATE(Table1[[#This Row],[Total No. of Coupons]],Table1[[#This Row],[Coupon Amount]],-Table1[[#This Row],[Ask Price]],Table1[[#This Row],[Face value]])</f>
        <v>#N/A</v>
      </c>
      <c r="AL1163" s="27" t="e">
        <f>Table1[[#This Row],[IRR]]*Table1[[#This Row],[Coupon Frequency2]]</f>
        <v>#N/A</v>
      </c>
      <c r="AM1163" s="5" t="e">
        <f t="shared" si="74"/>
        <v>#N/A</v>
      </c>
      <c r="AN1163" t="s">
        <v>64</v>
      </c>
      <c r="AO1163" t="s">
        <v>62</v>
      </c>
      <c r="AP1163" t="str">
        <f t="shared" si="75"/>
        <v/>
      </c>
    </row>
    <row r="1164" spans="4:42" x14ac:dyDescent="0.35">
      <c r="D1164" s="21"/>
      <c r="E1164" s="21"/>
      <c r="L1164" s="22"/>
      <c r="S1164">
        <f t="shared" si="72"/>
        <v>0</v>
      </c>
      <c r="T1164" s="5" t="e" cm="1">
        <f t="array" ref="T11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4" t="e">
        <f>Table1[[#This Row],[Term to Maturity (Years)]]*Table1[[#This Row],[Coupon Frequency2]]</f>
        <v>#N/A</v>
      </c>
      <c r="V1164">
        <f>Table1[[#This Row],[Face value]]*Table1[[#This Row],[Current coupon %]]</f>
        <v>0</v>
      </c>
      <c r="W1164" s="36" t="e">
        <f>RATE(Table1[[#This Row],[Total No. of Coupons]],Table1[[#This Row],[Coupon Amount]],-Table1[[#This Row],[Ask Price]],Table1[[#This Row],[Face value]])</f>
        <v>#N/A</v>
      </c>
      <c r="X1164" s="27" t="e">
        <f>Table1[[#This Row],[IRR]]*Table1[[#This Row],[Coupon Frequency2]]</f>
        <v>#N/A</v>
      </c>
      <c r="Y1164" s="19" t="e" cm="1">
        <f t="array" ref="Y11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4" s="33" t="e">
        <f>DURATION(Table1[[#This Row],[Issue date]],Table1[[#This Row],[Maturity date]],Table1[[#This Row],[Current coupon %]],Table1[[#This Row],[Yield (Annualised)]],Table1[[#This Row],[Coupon Frequency2]])</f>
        <v>#N/A</v>
      </c>
      <c r="AA1164" s="33" t="e">
        <f>Table1[[#This Row],[Macaulay Duration in Years]]/(1+Table1[[#This Row],[IRR]])</f>
        <v>#N/A</v>
      </c>
      <c r="AB1164" s="58" t="e">
        <f>VLOOKUP(Table1[[#This Row],[Yield Cluster]],'Cluster Details'!$B$3:$C$16,2,0)</f>
        <v>#N/A</v>
      </c>
      <c r="AC116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4" s="58" t="e">
        <f>IF(Table1[[#This Row],[Ask Price]]&gt;Table1[[#This Row],[Calculated Bond Price]],"Rich","Cheap")</f>
        <v>#N/A</v>
      </c>
      <c r="AE116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4" s="78" t="e">
        <f>(Table1[[#This Row],[P (+ shock)]]+Table1[[#This Row],[P (-shock)]]-2*Table1[[#This Row],[Ask Price]])/(2*Table1[[#This Row],[Ask Price]]*($AF$2^2))</f>
        <v>#N/A</v>
      </c>
      <c r="AH1164">
        <v>6.6802292690265901</v>
      </c>
      <c r="AI1164" s="6" t="e">
        <f t="shared" si="73"/>
        <v>#DIV/0!</v>
      </c>
      <c r="AK1164" s="47" t="e">
        <f>RATE(Table1[[#This Row],[Total No. of Coupons]],Table1[[#This Row],[Coupon Amount]],-Table1[[#This Row],[Ask Price]],Table1[[#This Row],[Face value]])</f>
        <v>#N/A</v>
      </c>
      <c r="AL1164" s="27" t="e">
        <f>Table1[[#This Row],[IRR]]*Table1[[#This Row],[Coupon Frequency2]]</f>
        <v>#N/A</v>
      </c>
      <c r="AM1164" s="5" t="e">
        <f t="shared" si="74"/>
        <v>#N/A</v>
      </c>
      <c r="AN1164" t="s">
        <v>64</v>
      </c>
      <c r="AO1164" t="s">
        <v>62</v>
      </c>
      <c r="AP1164" t="str">
        <f t="shared" si="75"/>
        <v/>
      </c>
    </row>
    <row r="1165" spans="4:42" x14ac:dyDescent="0.35">
      <c r="D1165" s="21"/>
      <c r="E1165" s="21"/>
      <c r="L1165" s="22"/>
      <c r="S1165">
        <f t="shared" si="72"/>
        <v>0</v>
      </c>
      <c r="T1165" s="5" t="e" cm="1">
        <f t="array" ref="T11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5" t="e">
        <f>Table1[[#This Row],[Term to Maturity (Years)]]*Table1[[#This Row],[Coupon Frequency2]]</f>
        <v>#N/A</v>
      </c>
      <c r="V1165">
        <f>Table1[[#This Row],[Face value]]*Table1[[#This Row],[Current coupon %]]</f>
        <v>0</v>
      </c>
      <c r="W1165" s="36" t="e">
        <f>RATE(Table1[[#This Row],[Total No. of Coupons]],Table1[[#This Row],[Coupon Amount]],-Table1[[#This Row],[Ask Price]],Table1[[#This Row],[Face value]])</f>
        <v>#N/A</v>
      </c>
      <c r="X1165" s="27" t="e">
        <f>Table1[[#This Row],[IRR]]*Table1[[#This Row],[Coupon Frequency2]]</f>
        <v>#N/A</v>
      </c>
      <c r="Y1165" s="19" t="e" cm="1">
        <f t="array" ref="Y11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5" s="33" t="e">
        <f>DURATION(Table1[[#This Row],[Issue date]],Table1[[#This Row],[Maturity date]],Table1[[#This Row],[Current coupon %]],Table1[[#This Row],[Yield (Annualised)]],Table1[[#This Row],[Coupon Frequency2]])</f>
        <v>#N/A</v>
      </c>
      <c r="AA1165" s="33" t="e">
        <f>Table1[[#This Row],[Macaulay Duration in Years]]/(1+Table1[[#This Row],[IRR]])</f>
        <v>#N/A</v>
      </c>
      <c r="AB1165" s="58" t="e">
        <f>VLOOKUP(Table1[[#This Row],[Yield Cluster]],'Cluster Details'!$B$3:$C$16,2,0)</f>
        <v>#N/A</v>
      </c>
      <c r="AC116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5" s="58" t="e">
        <f>IF(Table1[[#This Row],[Ask Price]]&gt;Table1[[#This Row],[Calculated Bond Price]],"Rich","Cheap")</f>
        <v>#N/A</v>
      </c>
      <c r="AE116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5" s="78" t="e">
        <f>(Table1[[#This Row],[P (+ shock)]]+Table1[[#This Row],[P (-shock)]]-2*Table1[[#This Row],[Ask Price]])/(2*Table1[[#This Row],[Ask Price]]*($AF$2^2))</f>
        <v>#N/A</v>
      </c>
      <c r="AH1165">
        <v>8.6707683756463698</v>
      </c>
      <c r="AI1165" s="6" t="e">
        <f t="shared" si="73"/>
        <v>#DIV/0!</v>
      </c>
      <c r="AK1165" s="47" t="e">
        <f>RATE(Table1[[#This Row],[Total No. of Coupons]],Table1[[#This Row],[Coupon Amount]],-Table1[[#This Row],[Ask Price]],Table1[[#This Row],[Face value]])</f>
        <v>#N/A</v>
      </c>
      <c r="AL1165" s="27" t="e">
        <f>Table1[[#This Row],[IRR]]*Table1[[#This Row],[Coupon Frequency2]]</f>
        <v>#N/A</v>
      </c>
      <c r="AM1165" s="5" t="e">
        <f t="shared" si="74"/>
        <v>#N/A</v>
      </c>
      <c r="AN1165" t="s">
        <v>64</v>
      </c>
      <c r="AO1165" t="s">
        <v>62</v>
      </c>
      <c r="AP1165" t="str">
        <f t="shared" si="75"/>
        <v/>
      </c>
    </row>
    <row r="1166" spans="4:42" x14ac:dyDescent="0.35">
      <c r="D1166" s="21"/>
      <c r="E1166" s="21"/>
      <c r="L1166" s="22"/>
      <c r="S1166">
        <f t="shared" si="72"/>
        <v>0</v>
      </c>
      <c r="T1166" s="5" t="e" cm="1">
        <f t="array" ref="T11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6" t="e">
        <f>Table1[[#This Row],[Term to Maturity (Years)]]*Table1[[#This Row],[Coupon Frequency2]]</f>
        <v>#N/A</v>
      </c>
      <c r="V1166">
        <f>Table1[[#This Row],[Face value]]*Table1[[#This Row],[Current coupon %]]</f>
        <v>0</v>
      </c>
      <c r="W1166" s="36" t="e">
        <f>RATE(Table1[[#This Row],[Total No. of Coupons]],Table1[[#This Row],[Coupon Amount]],-Table1[[#This Row],[Ask Price]],Table1[[#This Row],[Face value]])</f>
        <v>#N/A</v>
      </c>
      <c r="X1166" s="27" t="e">
        <f>Table1[[#This Row],[IRR]]*Table1[[#This Row],[Coupon Frequency2]]</f>
        <v>#N/A</v>
      </c>
      <c r="Y1166" s="19" t="e" cm="1">
        <f t="array" ref="Y11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6" s="33" t="e">
        <f>DURATION(Table1[[#This Row],[Issue date]],Table1[[#This Row],[Maturity date]],Table1[[#This Row],[Current coupon %]],Table1[[#This Row],[Yield (Annualised)]],Table1[[#This Row],[Coupon Frequency2]])</f>
        <v>#N/A</v>
      </c>
      <c r="AA1166" s="33" t="e">
        <f>Table1[[#This Row],[Macaulay Duration in Years]]/(1+Table1[[#This Row],[IRR]])</f>
        <v>#N/A</v>
      </c>
      <c r="AB1166" s="58" t="e">
        <f>VLOOKUP(Table1[[#This Row],[Yield Cluster]],'Cluster Details'!$B$3:$C$16,2,0)</f>
        <v>#N/A</v>
      </c>
      <c r="AC116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6" s="58" t="e">
        <f>IF(Table1[[#This Row],[Ask Price]]&gt;Table1[[#This Row],[Calculated Bond Price]],"Rich","Cheap")</f>
        <v>#N/A</v>
      </c>
      <c r="AE116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6" s="78" t="e">
        <f>(Table1[[#This Row],[P (+ shock)]]+Table1[[#This Row],[P (-shock)]]-2*Table1[[#This Row],[Ask Price]])/(2*Table1[[#This Row],[Ask Price]]*($AF$2^2))</f>
        <v>#N/A</v>
      </c>
      <c r="AH1166">
        <v>10.4513262180025</v>
      </c>
      <c r="AI1166" s="6" t="e">
        <f t="shared" si="73"/>
        <v>#DIV/0!</v>
      </c>
      <c r="AK1166" s="47" t="e">
        <f>RATE(Table1[[#This Row],[Total No. of Coupons]],Table1[[#This Row],[Coupon Amount]],-Table1[[#This Row],[Ask Price]],Table1[[#This Row],[Face value]])</f>
        <v>#N/A</v>
      </c>
      <c r="AL1166" s="27" t="e">
        <f>Table1[[#This Row],[IRR]]*Table1[[#This Row],[Coupon Frequency2]]</f>
        <v>#N/A</v>
      </c>
      <c r="AM1166" s="5" t="e">
        <f t="shared" si="74"/>
        <v>#N/A</v>
      </c>
      <c r="AN1166" t="s">
        <v>64</v>
      </c>
      <c r="AO1166" t="s">
        <v>62</v>
      </c>
      <c r="AP1166" t="str">
        <f t="shared" si="75"/>
        <v/>
      </c>
    </row>
    <row r="1167" spans="4:42" x14ac:dyDescent="0.35">
      <c r="D1167" s="21"/>
      <c r="E1167" s="21"/>
      <c r="L1167" s="22"/>
      <c r="S1167">
        <f t="shared" si="72"/>
        <v>0</v>
      </c>
      <c r="T1167" s="5" t="e" cm="1">
        <f t="array" ref="T11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7" t="e">
        <f>Table1[[#This Row],[Term to Maturity (Years)]]*Table1[[#This Row],[Coupon Frequency2]]</f>
        <v>#N/A</v>
      </c>
      <c r="V1167">
        <f>Table1[[#This Row],[Face value]]*Table1[[#This Row],[Current coupon %]]</f>
        <v>0</v>
      </c>
      <c r="W1167" s="36" t="e">
        <f>RATE(Table1[[#This Row],[Total No. of Coupons]],Table1[[#This Row],[Coupon Amount]],-Table1[[#This Row],[Ask Price]],Table1[[#This Row],[Face value]])</f>
        <v>#N/A</v>
      </c>
      <c r="X1167" s="27" t="e">
        <f>Table1[[#This Row],[IRR]]*Table1[[#This Row],[Coupon Frequency2]]</f>
        <v>#N/A</v>
      </c>
      <c r="Y1167" s="19" t="e" cm="1">
        <f t="array" ref="Y11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7" s="33" t="e">
        <f>DURATION(Table1[[#This Row],[Issue date]],Table1[[#This Row],[Maturity date]],Table1[[#This Row],[Current coupon %]],Table1[[#This Row],[Yield (Annualised)]],Table1[[#This Row],[Coupon Frequency2]])</f>
        <v>#N/A</v>
      </c>
      <c r="AA1167" s="33" t="e">
        <f>Table1[[#This Row],[Macaulay Duration in Years]]/(1+Table1[[#This Row],[IRR]])</f>
        <v>#N/A</v>
      </c>
      <c r="AB1167" s="58" t="e">
        <f>VLOOKUP(Table1[[#This Row],[Yield Cluster]],'Cluster Details'!$B$3:$C$16,2,0)</f>
        <v>#N/A</v>
      </c>
      <c r="AC116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7" s="58" t="e">
        <f>IF(Table1[[#This Row],[Ask Price]]&gt;Table1[[#This Row],[Calculated Bond Price]],"Rich","Cheap")</f>
        <v>#N/A</v>
      </c>
      <c r="AE116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7" s="78" t="e">
        <f>(Table1[[#This Row],[P (+ shock)]]+Table1[[#This Row],[P (-shock)]]-2*Table1[[#This Row],[Ask Price]])/(2*Table1[[#This Row],[Ask Price]]*($AF$2^2))</f>
        <v>#N/A</v>
      </c>
      <c r="AH1167">
        <v>8.7808067905088798</v>
      </c>
      <c r="AI1167" s="6" t="e">
        <f t="shared" si="73"/>
        <v>#DIV/0!</v>
      </c>
      <c r="AK1167" s="47" t="e">
        <f>RATE(Table1[[#This Row],[Total No. of Coupons]],Table1[[#This Row],[Coupon Amount]],-Table1[[#This Row],[Ask Price]],Table1[[#This Row],[Face value]])</f>
        <v>#N/A</v>
      </c>
      <c r="AL1167" s="27" t="e">
        <f>Table1[[#This Row],[IRR]]*Table1[[#This Row],[Coupon Frequency2]]</f>
        <v>#N/A</v>
      </c>
      <c r="AM1167" s="5" t="e">
        <f t="shared" si="74"/>
        <v>#N/A</v>
      </c>
      <c r="AN1167" t="s">
        <v>64</v>
      </c>
      <c r="AO1167" t="s">
        <v>62</v>
      </c>
      <c r="AP1167" t="str">
        <f t="shared" si="75"/>
        <v/>
      </c>
    </row>
    <row r="1168" spans="4:42" x14ac:dyDescent="0.35">
      <c r="D1168" s="21"/>
      <c r="E1168" s="21"/>
      <c r="L1168" s="22"/>
      <c r="S1168">
        <f t="shared" si="72"/>
        <v>0</v>
      </c>
      <c r="T1168" s="5" t="e" cm="1">
        <f t="array" ref="T11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8" t="e">
        <f>Table1[[#This Row],[Term to Maturity (Years)]]*Table1[[#This Row],[Coupon Frequency2]]</f>
        <v>#N/A</v>
      </c>
      <c r="V1168">
        <f>Table1[[#This Row],[Face value]]*Table1[[#This Row],[Current coupon %]]</f>
        <v>0</v>
      </c>
      <c r="W1168" s="36" t="e">
        <f>RATE(Table1[[#This Row],[Total No. of Coupons]],Table1[[#This Row],[Coupon Amount]],-Table1[[#This Row],[Ask Price]],Table1[[#This Row],[Face value]])</f>
        <v>#N/A</v>
      </c>
      <c r="X1168" s="27" t="e">
        <f>Table1[[#This Row],[IRR]]*Table1[[#This Row],[Coupon Frequency2]]</f>
        <v>#N/A</v>
      </c>
      <c r="Y1168" s="19" t="e" cm="1">
        <f t="array" ref="Y11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8" s="33" t="e">
        <f>DURATION(Table1[[#This Row],[Issue date]],Table1[[#This Row],[Maturity date]],Table1[[#This Row],[Current coupon %]],Table1[[#This Row],[Yield (Annualised)]],Table1[[#This Row],[Coupon Frequency2]])</f>
        <v>#N/A</v>
      </c>
      <c r="AA1168" s="33" t="e">
        <f>Table1[[#This Row],[Macaulay Duration in Years]]/(1+Table1[[#This Row],[IRR]])</f>
        <v>#N/A</v>
      </c>
      <c r="AB1168" s="58" t="e">
        <f>VLOOKUP(Table1[[#This Row],[Yield Cluster]],'Cluster Details'!$B$3:$C$16,2,0)</f>
        <v>#N/A</v>
      </c>
      <c r="AC116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8" s="58" t="e">
        <f>IF(Table1[[#This Row],[Ask Price]]&gt;Table1[[#This Row],[Calculated Bond Price]],"Rich","Cheap")</f>
        <v>#N/A</v>
      </c>
      <c r="AE116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8" s="78" t="e">
        <f>(Table1[[#This Row],[P (+ shock)]]+Table1[[#This Row],[P (-shock)]]-2*Table1[[#This Row],[Ask Price]])/(2*Table1[[#This Row],[Ask Price]]*($AF$2^2))</f>
        <v>#N/A</v>
      </c>
      <c r="AI1168" s="6" t="e">
        <f t="shared" si="73"/>
        <v>#DIV/0!</v>
      </c>
      <c r="AK1168" s="47" t="e">
        <f>RATE(Table1[[#This Row],[Total No. of Coupons]],Table1[[#This Row],[Coupon Amount]],-Table1[[#This Row],[Ask Price]],Table1[[#This Row],[Face value]])</f>
        <v>#N/A</v>
      </c>
      <c r="AL1168" s="27" t="e">
        <f>Table1[[#This Row],[IRR]]*Table1[[#This Row],[Coupon Frequency2]]</f>
        <v>#N/A</v>
      </c>
      <c r="AM1168" s="5" t="e">
        <f t="shared" si="74"/>
        <v>#N/A</v>
      </c>
      <c r="AN1168" t="s">
        <v>64</v>
      </c>
      <c r="AO1168" t="s">
        <v>62</v>
      </c>
      <c r="AP1168" t="str">
        <f t="shared" si="75"/>
        <v/>
      </c>
    </row>
    <row r="1169" spans="4:42" x14ac:dyDescent="0.35">
      <c r="D1169" s="21"/>
      <c r="E1169" s="21"/>
      <c r="L1169" s="22"/>
      <c r="S1169">
        <f t="shared" si="72"/>
        <v>0</v>
      </c>
      <c r="T1169" s="5" t="e" cm="1">
        <f t="array" ref="T11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69" t="e">
        <f>Table1[[#This Row],[Term to Maturity (Years)]]*Table1[[#This Row],[Coupon Frequency2]]</f>
        <v>#N/A</v>
      </c>
      <c r="V1169">
        <f>Table1[[#This Row],[Face value]]*Table1[[#This Row],[Current coupon %]]</f>
        <v>0</v>
      </c>
      <c r="W1169" s="36" t="e">
        <f>RATE(Table1[[#This Row],[Total No. of Coupons]],Table1[[#This Row],[Coupon Amount]],-Table1[[#This Row],[Ask Price]],Table1[[#This Row],[Face value]])</f>
        <v>#N/A</v>
      </c>
      <c r="X1169" s="27" t="e">
        <f>Table1[[#This Row],[IRR]]*Table1[[#This Row],[Coupon Frequency2]]</f>
        <v>#N/A</v>
      </c>
      <c r="Y1169" s="19" t="e" cm="1">
        <f t="array" ref="Y11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69" s="33" t="e">
        <f>DURATION(Table1[[#This Row],[Issue date]],Table1[[#This Row],[Maturity date]],Table1[[#This Row],[Current coupon %]],Table1[[#This Row],[Yield (Annualised)]],Table1[[#This Row],[Coupon Frequency2]])</f>
        <v>#N/A</v>
      </c>
      <c r="AA1169" s="33" t="e">
        <f>Table1[[#This Row],[Macaulay Duration in Years]]/(1+Table1[[#This Row],[IRR]])</f>
        <v>#N/A</v>
      </c>
      <c r="AB1169" s="58" t="e">
        <f>VLOOKUP(Table1[[#This Row],[Yield Cluster]],'Cluster Details'!$B$3:$C$16,2,0)</f>
        <v>#N/A</v>
      </c>
      <c r="AC116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69" s="58" t="e">
        <f>IF(Table1[[#This Row],[Ask Price]]&gt;Table1[[#This Row],[Calculated Bond Price]],"Rich","Cheap")</f>
        <v>#N/A</v>
      </c>
      <c r="AE116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6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69" s="78" t="e">
        <f>(Table1[[#This Row],[P (+ shock)]]+Table1[[#This Row],[P (-shock)]]-2*Table1[[#This Row],[Ask Price]])/(2*Table1[[#This Row],[Ask Price]]*($AF$2^2))</f>
        <v>#N/A</v>
      </c>
      <c r="AH1169">
        <v>9.5936601396686196</v>
      </c>
      <c r="AI1169" s="6" t="e">
        <f t="shared" si="73"/>
        <v>#DIV/0!</v>
      </c>
      <c r="AK1169" s="47" t="e">
        <f>RATE(Table1[[#This Row],[Total No. of Coupons]],Table1[[#This Row],[Coupon Amount]],-Table1[[#This Row],[Ask Price]],Table1[[#This Row],[Face value]])</f>
        <v>#N/A</v>
      </c>
      <c r="AL1169" s="27" t="e">
        <f>Table1[[#This Row],[IRR]]*Table1[[#This Row],[Coupon Frequency2]]</f>
        <v>#N/A</v>
      </c>
      <c r="AM1169" s="5" t="e">
        <f t="shared" si="74"/>
        <v>#N/A</v>
      </c>
      <c r="AN1169" t="s">
        <v>64</v>
      </c>
      <c r="AO1169" t="s">
        <v>62</v>
      </c>
      <c r="AP1169" t="str">
        <f t="shared" si="75"/>
        <v/>
      </c>
    </row>
    <row r="1170" spans="4:42" x14ac:dyDescent="0.35">
      <c r="D1170" s="21"/>
      <c r="E1170" s="21"/>
      <c r="L1170" s="22"/>
      <c r="S1170">
        <f t="shared" si="72"/>
        <v>0</v>
      </c>
      <c r="T1170" s="5" t="e" cm="1">
        <f t="array" ref="T11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0" t="e">
        <f>Table1[[#This Row],[Term to Maturity (Years)]]*Table1[[#This Row],[Coupon Frequency2]]</f>
        <v>#N/A</v>
      </c>
      <c r="V1170">
        <f>Table1[[#This Row],[Face value]]*Table1[[#This Row],[Current coupon %]]</f>
        <v>0</v>
      </c>
      <c r="W1170" s="36" t="e">
        <f>RATE(Table1[[#This Row],[Total No. of Coupons]],Table1[[#This Row],[Coupon Amount]],-Table1[[#This Row],[Ask Price]],Table1[[#This Row],[Face value]])</f>
        <v>#N/A</v>
      </c>
      <c r="X1170" s="27" t="e">
        <f>Table1[[#This Row],[IRR]]*Table1[[#This Row],[Coupon Frequency2]]</f>
        <v>#N/A</v>
      </c>
      <c r="Y1170" s="19" t="e" cm="1">
        <f t="array" ref="Y11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0" s="33" t="e">
        <f>DURATION(Table1[[#This Row],[Issue date]],Table1[[#This Row],[Maturity date]],Table1[[#This Row],[Current coupon %]],Table1[[#This Row],[Yield (Annualised)]],Table1[[#This Row],[Coupon Frequency2]])</f>
        <v>#N/A</v>
      </c>
      <c r="AA1170" s="33" t="e">
        <f>Table1[[#This Row],[Macaulay Duration in Years]]/(1+Table1[[#This Row],[IRR]])</f>
        <v>#N/A</v>
      </c>
      <c r="AB1170" s="58" t="e">
        <f>VLOOKUP(Table1[[#This Row],[Yield Cluster]],'Cluster Details'!$B$3:$C$16,2,0)</f>
        <v>#N/A</v>
      </c>
      <c r="AC117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0" s="58" t="e">
        <f>IF(Table1[[#This Row],[Ask Price]]&gt;Table1[[#This Row],[Calculated Bond Price]],"Rich","Cheap")</f>
        <v>#N/A</v>
      </c>
      <c r="AE117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0" s="78" t="e">
        <f>(Table1[[#This Row],[P (+ shock)]]+Table1[[#This Row],[P (-shock)]]-2*Table1[[#This Row],[Ask Price]])/(2*Table1[[#This Row],[Ask Price]]*($AF$2^2))</f>
        <v>#N/A</v>
      </c>
      <c r="AH1170">
        <v>11.6105769230769</v>
      </c>
      <c r="AI1170" s="6" t="e">
        <f t="shared" si="73"/>
        <v>#DIV/0!</v>
      </c>
      <c r="AK1170" s="47" t="e">
        <f>RATE(Table1[[#This Row],[Total No. of Coupons]],Table1[[#This Row],[Coupon Amount]],-Table1[[#This Row],[Ask Price]],Table1[[#This Row],[Face value]])</f>
        <v>#N/A</v>
      </c>
      <c r="AL1170" s="27" t="e">
        <f>Table1[[#This Row],[IRR]]*Table1[[#This Row],[Coupon Frequency2]]</f>
        <v>#N/A</v>
      </c>
      <c r="AM1170" s="5" t="e">
        <f t="shared" si="74"/>
        <v>#N/A</v>
      </c>
      <c r="AN1170" t="s">
        <v>64</v>
      </c>
      <c r="AO1170" t="s">
        <v>62</v>
      </c>
      <c r="AP1170" t="str">
        <f t="shared" si="75"/>
        <v/>
      </c>
    </row>
    <row r="1171" spans="4:42" x14ac:dyDescent="0.35">
      <c r="D1171" s="21"/>
      <c r="E1171" s="21"/>
      <c r="L1171" s="22"/>
      <c r="S1171">
        <f t="shared" si="72"/>
        <v>0</v>
      </c>
      <c r="T1171" s="5" t="e" cm="1">
        <f t="array" ref="T11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1" t="e">
        <f>Table1[[#This Row],[Term to Maturity (Years)]]*Table1[[#This Row],[Coupon Frequency2]]</f>
        <v>#N/A</v>
      </c>
      <c r="V1171">
        <f>Table1[[#This Row],[Face value]]*Table1[[#This Row],[Current coupon %]]</f>
        <v>0</v>
      </c>
      <c r="W1171" s="36" t="e">
        <f>RATE(Table1[[#This Row],[Total No. of Coupons]],Table1[[#This Row],[Coupon Amount]],-Table1[[#This Row],[Ask Price]],Table1[[#This Row],[Face value]])</f>
        <v>#N/A</v>
      </c>
      <c r="X1171" s="27" t="e">
        <f>Table1[[#This Row],[IRR]]*Table1[[#This Row],[Coupon Frequency2]]</f>
        <v>#N/A</v>
      </c>
      <c r="Y1171" s="19" t="e" cm="1">
        <f t="array" ref="Y11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1" s="33" t="e">
        <f>DURATION(Table1[[#This Row],[Issue date]],Table1[[#This Row],[Maturity date]],Table1[[#This Row],[Current coupon %]],Table1[[#This Row],[Yield (Annualised)]],Table1[[#This Row],[Coupon Frequency2]])</f>
        <v>#N/A</v>
      </c>
      <c r="AA1171" s="33" t="e">
        <f>Table1[[#This Row],[Macaulay Duration in Years]]/(1+Table1[[#This Row],[IRR]])</f>
        <v>#N/A</v>
      </c>
      <c r="AB1171" s="58" t="e">
        <f>VLOOKUP(Table1[[#This Row],[Yield Cluster]],'Cluster Details'!$B$3:$C$16,2,0)</f>
        <v>#N/A</v>
      </c>
      <c r="AC117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1" s="58" t="e">
        <f>IF(Table1[[#This Row],[Ask Price]]&gt;Table1[[#This Row],[Calculated Bond Price]],"Rich","Cheap")</f>
        <v>#N/A</v>
      </c>
      <c r="AE117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1" s="78" t="e">
        <f>(Table1[[#This Row],[P (+ shock)]]+Table1[[#This Row],[P (-shock)]]-2*Table1[[#This Row],[Ask Price]])/(2*Table1[[#This Row],[Ask Price]]*($AF$2^2))</f>
        <v>#N/A</v>
      </c>
      <c r="AH1171">
        <v>11</v>
      </c>
      <c r="AI1171" s="6" t="e">
        <f t="shared" si="73"/>
        <v>#DIV/0!</v>
      </c>
      <c r="AK1171" s="47" t="e">
        <f>RATE(Table1[[#This Row],[Total No. of Coupons]],Table1[[#This Row],[Coupon Amount]],-Table1[[#This Row],[Ask Price]],Table1[[#This Row],[Face value]])</f>
        <v>#N/A</v>
      </c>
      <c r="AL1171" s="27" t="e">
        <f>Table1[[#This Row],[IRR]]*Table1[[#This Row],[Coupon Frequency2]]</f>
        <v>#N/A</v>
      </c>
      <c r="AM1171" s="5" t="e">
        <f t="shared" si="74"/>
        <v>#N/A</v>
      </c>
      <c r="AN1171" t="s">
        <v>64</v>
      </c>
      <c r="AO1171" t="s">
        <v>62</v>
      </c>
      <c r="AP1171" t="str">
        <f t="shared" si="75"/>
        <v/>
      </c>
    </row>
    <row r="1172" spans="4:42" x14ac:dyDescent="0.35">
      <c r="D1172" s="21"/>
      <c r="E1172" s="21"/>
      <c r="L1172" s="22"/>
      <c r="S1172">
        <f t="shared" si="72"/>
        <v>0</v>
      </c>
      <c r="T1172" s="5" t="e" cm="1">
        <f t="array" ref="T11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2" t="e">
        <f>Table1[[#This Row],[Term to Maturity (Years)]]*Table1[[#This Row],[Coupon Frequency2]]</f>
        <v>#N/A</v>
      </c>
      <c r="V1172">
        <f>Table1[[#This Row],[Face value]]*Table1[[#This Row],[Current coupon %]]</f>
        <v>0</v>
      </c>
      <c r="W1172" s="36" t="e">
        <f>RATE(Table1[[#This Row],[Total No. of Coupons]],Table1[[#This Row],[Coupon Amount]],-Table1[[#This Row],[Ask Price]],Table1[[#This Row],[Face value]])</f>
        <v>#N/A</v>
      </c>
      <c r="X1172" s="27" t="e">
        <f>Table1[[#This Row],[IRR]]*Table1[[#This Row],[Coupon Frequency2]]</f>
        <v>#N/A</v>
      </c>
      <c r="Y1172" s="19" t="e" cm="1">
        <f t="array" ref="Y11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2" s="33" t="e">
        <f>DURATION(Table1[[#This Row],[Issue date]],Table1[[#This Row],[Maturity date]],Table1[[#This Row],[Current coupon %]],Table1[[#This Row],[Yield (Annualised)]],Table1[[#This Row],[Coupon Frequency2]])</f>
        <v>#N/A</v>
      </c>
      <c r="AA1172" s="33" t="e">
        <f>Table1[[#This Row],[Macaulay Duration in Years]]/(1+Table1[[#This Row],[IRR]])</f>
        <v>#N/A</v>
      </c>
      <c r="AB1172" s="58" t="e">
        <f>VLOOKUP(Table1[[#This Row],[Yield Cluster]],'Cluster Details'!$B$3:$C$16,2,0)</f>
        <v>#N/A</v>
      </c>
      <c r="AC117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2" s="58" t="e">
        <f>IF(Table1[[#This Row],[Ask Price]]&gt;Table1[[#This Row],[Calculated Bond Price]],"Rich","Cheap")</f>
        <v>#N/A</v>
      </c>
      <c r="AE117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2" s="78" t="e">
        <f>(Table1[[#This Row],[P (+ shock)]]+Table1[[#This Row],[P (-shock)]]-2*Table1[[#This Row],[Ask Price]])/(2*Table1[[#This Row],[Ask Price]]*($AF$2^2))</f>
        <v>#N/A</v>
      </c>
      <c r="AH1172">
        <v>12.1750053602701</v>
      </c>
      <c r="AI1172" s="6" t="e">
        <f t="shared" si="73"/>
        <v>#DIV/0!</v>
      </c>
      <c r="AK1172" s="47" t="e">
        <f>RATE(Table1[[#This Row],[Total No. of Coupons]],Table1[[#This Row],[Coupon Amount]],-Table1[[#This Row],[Ask Price]],Table1[[#This Row],[Face value]])</f>
        <v>#N/A</v>
      </c>
      <c r="AL1172" s="27" t="e">
        <f>Table1[[#This Row],[IRR]]*Table1[[#This Row],[Coupon Frequency2]]</f>
        <v>#N/A</v>
      </c>
      <c r="AM1172" s="5" t="e">
        <f t="shared" si="74"/>
        <v>#N/A</v>
      </c>
      <c r="AN1172" t="s">
        <v>64</v>
      </c>
      <c r="AO1172" t="s">
        <v>62</v>
      </c>
      <c r="AP1172" t="str">
        <f t="shared" si="75"/>
        <v/>
      </c>
    </row>
    <row r="1173" spans="4:42" x14ac:dyDescent="0.35">
      <c r="D1173" s="21"/>
      <c r="E1173" s="21"/>
      <c r="L1173" s="22"/>
      <c r="S1173">
        <f t="shared" si="72"/>
        <v>0</v>
      </c>
      <c r="T1173" s="5" t="e" cm="1">
        <f t="array" ref="T11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3" t="e">
        <f>Table1[[#This Row],[Term to Maturity (Years)]]*Table1[[#This Row],[Coupon Frequency2]]</f>
        <v>#N/A</v>
      </c>
      <c r="V1173">
        <f>Table1[[#This Row],[Face value]]*Table1[[#This Row],[Current coupon %]]</f>
        <v>0</v>
      </c>
      <c r="W1173" s="36" t="e">
        <f>RATE(Table1[[#This Row],[Total No. of Coupons]],Table1[[#This Row],[Coupon Amount]],-Table1[[#This Row],[Ask Price]],Table1[[#This Row],[Face value]])</f>
        <v>#N/A</v>
      </c>
      <c r="X1173" s="27" t="e">
        <f>Table1[[#This Row],[IRR]]*Table1[[#This Row],[Coupon Frequency2]]</f>
        <v>#N/A</v>
      </c>
      <c r="Y1173" s="19" t="e" cm="1">
        <f t="array" ref="Y11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3" s="33" t="e">
        <f>DURATION(Table1[[#This Row],[Issue date]],Table1[[#This Row],[Maturity date]],Table1[[#This Row],[Current coupon %]],Table1[[#This Row],[Yield (Annualised)]],Table1[[#This Row],[Coupon Frequency2]])</f>
        <v>#N/A</v>
      </c>
      <c r="AA1173" s="33" t="e">
        <f>Table1[[#This Row],[Macaulay Duration in Years]]/(1+Table1[[#This Row],[IRR]])</f>
        <v>#N/A</v>
      </c>
      <c r="AB1173" s="58" t="e">
        <f>VLOOKUP(Table1[[#This Row],[Yield Cluster]],'Cluster Details'!$B$3:$C$16,2,0)</f>
        <v>#N/A</v>
      </c>
      <c r="AC11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3" s="58" t="e">
        <f>IF(Table1[[#This Row],[Ask Price]]&gt;Table1[[#This Row],[Calculated Bond Price]],"Rich","Cheap")</f>
        <v>#N/A</v>
      </c>
      <c r="AE11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3" s="78" t="e">
        <f>(Table1[[#This Row],[P (+ shock)]]+Table1[[#This Row],[P (-shock)]]-2*Table1[[#This Row],[Ask Price]])/(2*Table1[[#This Row],[Ask Price]]*($AF$2^2))</f>
        <v>#N/A</v>
      </c>
      <c r="AI1173" s="6" t="e">
        <f t="shared" si="73"/>
        <v>#DIV/0!</v>
      </c>
      <c r="AK1173" s="47" t="e">
        <f>RATE(Table1[[#This Row],[Total No. of Coupons]],Table1[[#This Row],[Coupon Amount]],-Table1[[#This Row],[Ask Price]],Table1[[#This Row],[Face value]])</f>
        <v>#N/A</v>
      </c>
      <c r="AL1173" s="27" t="e">
        <f>Table1[[#This Row],[IRR]]*Table1[[#This Row],[Coupon Frequency2]]</f>
        <v>#N/A</v>
      </c>
      <c r="AM1173" s="5" t="e">
        <f t="shared" si="74"/>
        <v>#N/A</v>
      </c>
      <c r="AN1173" t="s">
        <v>64</v>
      </c>
      <c r="AO1173" t="s">
        <v>62</v>
      </c>
      <c r="AP1173" t="str">
        <f t="shared" si="75"/>
        <v/>
      </c>
    </row>
    <row r="1174" spans="4:42" x14ac:dyDescent="0.35">
      <c r="D1174" s="21"/>
      <c r="E1174" s="21"/>
      <c r="L1174" s="22"/>
      <c r="S1174">
        <f t="shared" si="72"/>
        <v>0</v>
      </c>
      <c r="T1174" s="5" t="e" cm="1">
        <f t="array" ref="T11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4" t="e">
        <f>Table1[[#This Row],[Term to Maturity (Years)]]*Table1[[#This Row],[Coupon Frequency2]]</f>
        <v>#N/A</v>
      </c>
      <c r="V1174">
        <f>Table1[[#This Row],[Face value]]*Table1[[#This Row],[Current coupon %]]</f>
        <v>0</v>
      </c>
      <c r="W1174" s="36" t="e">
        <f>RATE(Table1[[#This Row],[Total No. of Coupons]],Table1[[#This Row],[Coupon Amount]],-Table1[[#This Row],[Ask Price]],Table1[[#This Row],[Face value]])</f>
        <v>#N/A</v>
      </c>
      <c r="X1174" s="27" t="e">
        <f>Table1[[#This Row],[IRR]]*Table1[[#This Row],[Coupon Frequency2]]</f>
        <v>#N/A</v>
      </c>
      <c r="Y1174" s="19" t="e" cm="1">
        <f t="array" ref="Y11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4" s="33" t="e">
        <f>DURATION(Table1[[#This Row],[Issue date]],Table1[[#This Row],[Maturity date]],Table1[[#This Row],[Current coupon %]],Table1[[#This Row],[Yield (Annualised)]],Table1[[#This Row],[Coupon Frequency2]])</f>
        <v>#N/A</v>
      </c>
      <c r="AA1174" s="33" t="e">
        <f>Table1[[#This Row],[Macaulay Duration in Years]]/(1+Table1[[#This Row],[IRR]])</f>
        <v>#N/A</v>
      </c>
      <c r="AB1174" s="58" t="e">
        <f>VLOOKUP(Table1[[#This Row],[Yield Cluster]],'Cluster Details'!$B$3:$C$16,2,0)</f>
        <v>#N/A</v>
      </c>
      <c r="AC11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4" s="58" t="e">
        <f>IF(Table1[[#This Row],[Ask Price]]&gt;Table1[[#This Row],[Calculated Bond Price]],"Rich","Cheap")</f>
        <v>#N/A</v>
      </c>
      <c r="AE11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4" s="78" t="e">
        <f>(Table1[[#This Row],[P (+ shock)]]+Table1[[#This Row],[P (-shock)]]-2*Table1[[#This Row],[Ask Price]])/(2*Table1[[#This Row],[Ask Price]]*($AF$2^2))</f>
        <v>#N/A</v>
      </c>
      <c r="AH1174">
        <v>14.332855582855499</v>
      </c>
      <c r="AI1174" s="6" t="e">
        <f t="shared" si="73"/>
        <v>#DIV/0!</v>
      </c>
      <c r="AK1174" s="47" t="e">
        <f>RATE(Table1[[#This Row],[Total No. of Coupons]],Table1[[#This Row],[Coupon Amount]],-Table1[[#This Row],[Ask Price]],Table1[[#This Row],[Face value]])</f>
        <v>#N/A</v>
      </c>
      <c r="AL1174" s="27" t="e">
        <f>Table1[[#This Row],[IRR]]*Table1[[#This Row],[Coupon Frequency2]]</f>
        <v>#N/A</v>
      </c>
      <c r="AM1174" s="5" t="e">
        <f t="shared" si="74"/>
        <v>#N/A</v>
      </c>
      <c r="AN1174" t="s">
        <v>64</v>
      </c>
      <c r="AO1174" t="s">
        <v>62</v>
      </c>
      <c r="AP1174" t="str">
        <f t="shared" si="75"/>
        <v/>
      </c>
    </row>
    <row r="1175" spans="4:42" x14ac:dyDescent="0.35">
      <c r="D1175" s="21"/>
      <c r="E1175" s="21"/>
      <c r="L1175" s="22"/>
      <c r="S1175">
        <f t="shared" si="72"/>
        <v>0</v>
      </c>
      <c r="T1175" s="5" t="e" cm="1">
        <f t="array" ref="T11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5" t="e">
        <f>Table1[[#This Row],[Term to Maturity (Years)]]*Table1[[#This Row],[Coupon Frequency2]]</f>
        <v>#N/A</v>
      </c>
      <c r="V1175">
        <f>Table1[[#This Row],[Face value]]*Table1[[#This Row],[Current coupon %]]</f>
        <v>0</v>
      </c>
      <c r="W1175" s="36" t="e">
        <f>RATE(Table1[[#This Row],[Total No. of Coupons]],Table1[[#This Row],[Coupon Amount]],-Table1[[#This Row],[Ask Price]],Table1[[#This Row],[Face value]])</f>
        <v>#N/A</v>
      </c>
      <c r="X1175" s="27" t="e">
        <f>Table1[[#This Row],[IRR]]*Table1[[#This Row],[Coupon Frequency2]]</f>
        <v>#N/A</v>
      </c>
      <c r="Y1175" s="19" t="e" cm="1">
        <f t="array" ref="Y11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5" s="33" t="e">
        <f>DURATION(Table1[[#This Row],[Issue date]],Table1[[#This Row],[Maturity date]],Table1[[#This Row],[Current coupon %]],Table1[[#This Row],[Yield (Annualised)]],Table1[[#This Row],[Coupon Frequency2]])</f>
        <v>#N/A</v>
      </c>
      <c r="AA1175" s="33" t="e">
        <f>Table1[[#This Row],[Macaulay Duration in Years]]/(1+Table1[[#This Row],[IRR]])</f>
        <v>#N/A</v>
      </c>
      <c r="AB1175" s="58" t="e">
        <f>VLOOKUP(Table1[[#This Row],[Yield Cluster]],'Cluster Details'!$B$3:$C$16,2,0)</f>
        <v>#N/A</v>
      </c>
      <c r="AC11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5" s="58" t="e">
        <f>IF(Table1[[#This Row],[Ask Price]]&gt;Table1[[#This Row],[Calculated Bond Price]],"Rich","Cheap")</f>
        <v>#N/A</v>
      </c>
      <c r="AE11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5" s="78" t="e">
        <f>(Table1[[#This Row],[P (+ shock)]]+Table1[[#This Row],[P (-shock)]]-2*Table1[[#This Row],[Ask Price]])/(2*Table1[[#This Row],[Ask Price]]*($AF$2^2))</f>
        <v>#N/A</v>
      </c>
      <c r="AH1175">
        <v>9.1232164723911993</v>
      </c>
      <c r="AI1175" s="6" t="e">
        <f t="shared" si="73"/>
        <v>#DIV/0!</v>
      </c>
      <c r="AK1175" s="47" t="e">
        <f>RATE(Table1[[#This Row],[Total No. of Coupons]],Table1[[#This Row],[Coupon Amount]],-Table1[[#This Row],[Ask Price]],Table1[[#This Row],[Face value]])</f>
        <v>#N/A</v>
      </c>
      <c r="AL1175" s="27" t="e">
        <f>Table1[[#This Row],[IRR]]*Table1[[#This Row],[Coupon Frequency2]]</f>
        <v>#N/A</v>
      </c>
      <c r="AM1175" s="5" t="e">
        <f t="shared" si="74"/>
        <v>#N/A</v>
      </c>
      <c r="AN1175" t="s">
        <v>64</v>
      </c>
      <c r="AO1175" t="s">
        <v>62</v>
      </c>
      <c r="AP1175" t="str">
        <f t="shared" si="75"/>
        <v/>
      </c>
    </row>
    <row r="1176" spans="4:42" x14ac:dyDescent="0.35">
      <c r="D1176" s="21"/>
      <c r="E1176" s="21"/>
      <c r="L1176" s="22"/>
      <c r="S1176">
        <f t="shared" si="72"/>
        <v>0</v>
      </c>
      <c r="T1176" s="5" t="e" cm="1">
        <f t="array" ref="T11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6" t="e">
        <f>Table1[[#This Row],[Term to Maturity (Years)]]*Table1[[#This Row],[Coupon Frequency2]]</f>
        <v>#N/A</v>
      </c>
      <c r="V1176">
        <f>Table1[[#This Row],[Face value]]*Table1[[#This Row],[Current coupon %]]</f>
        <v>0</v>
      </c>
      <c r="W1176" s="36" t="e">
        <f>RATE(Table1[[#This Row],[Total No. of Coupons]],Table1[[#This Row],[Coupon Amount]],-Table1[[#This Row],[Ask Price]],Table1[[#This Row],[Face value]])</f>
        <v>#N/A</v>
      </c>
      <c r="X1176" s="27" t="e">
        <f>Table1[[#This Row],[IRR]]*Table1[[#This Row],[Coupon Frequency2]]</f>
        <v>#N/A</v>
      </c>
      <c r="Y1176" s="19" t="e" cm="1">
        <f t="array" ref="Y11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6" s="33" t="e">
        <f>DURATION(Table1[[#This Row],[Issue date]],Table1[[#This Row],[Maturity date]],Table1[[#This Row],[Current coupon %]],Table1[[#This Row],[Yield (Annualised)]],Table1[[#This Row],[Coupon Frequency2]])</f>
        <v>#N/A</v>
      </c>
      <c r="AA1176" s="33" t="e">
        <f>Table1[[#This Row],[Macaulay Duration in Years]]/(1+Table1[[#This Row],[IRR]])</f>
        <v>#N/A</v>
      </c>
      <c r="AB1176" s="58" t="e">
        <f>VLOOKUP(Table1[[#This Row],[Yield Cluster]],'Cluster Details'!$B$3:$C$16,2,0)</f>
        <v>#N/A</v>
      </c>
      <c r="AC11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6" s="58" t="e">
        <f>IF(Table1[[#This Row],[Ask Price]]&gt;Table1[[#This Row],[Calculated Bond Price]],"Rich","Cheap")</f>
        <v>#N/A</v>
      </c>
      <c r="AE11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6" s="78" t="e">
        <f>(Table1[[#This Row],[P (+ shock)]]+Table1[[#This Row],[P (-shock)]]-2*Table1[[#This Row],[Ask Price]])/(2*Table1[[#This Row],[Ask Price]]*($AF$2^2))</f>
        <v>#N/A</v>
      </c>
      <c r="AH1176">
        <v>9.8541287132452897</v>
      </c>
      <c r="AI1176" s="6" t="e">
        <f t="shared" si="73"/>
        <v>#DIV/0!</v>
      </c>
      <c r="AK1176" s="47" t="e">
        <f>RATE(Table1[[#This Row],[Total No. of Coupons]],Table1[[#This Row],[Coupon Amount]],-Table1[[#This Row],[Ask Price]],Table1[[#This Row],[Face value]])</f>
        <v>#N/A</v>
      </c>
      <c r="AL1176" s="27" t="e">
        <f>Table1[[#This Row],[IRR]]*Table1[[#This Row],[Coupon Frequency2]]</f>
        <v>#N/A</v>
      </c>
      <c r="AM1176" s="5" t="e">
        <f t="shared" si="74"/>
        <v>#N/A</v>
      </c>
      <c r="AN1176" t="s">
        <v>64</v>
      </c>
      <c r="AO1176" t="s">
        <v>62</v>
      </c>
      <c r="AP1176" t="str">
        <f t="shared" si="75"/>
        <v/>
      </c>
    </row>
    <row r="1177" spans="4:42" x14ac:dyDescent="0.35">
      <c r="D1177" s="21"/>
      <c r="E1177" s="21"/>
      <c r="L1177" s="22"/>
      <c r="S1177">
        <f t="shared" si="72"/>
        <v>0</v>
      </c>
      <c r="T1177" s="5" t="e" cm="1">
        <f t="array" ref="T11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7" t="e">
        <f>Table1[[#This Row],[Term to Maturity (Years)]]*Table1[[#This Row],[Coupon Frequency2]]</f>
        <v>#N/A</v>
      </c>
      <c r="V1177">
        <f>Table1[[#This Row],[Face value]]*Table1[[#This Row],[Current coupon %]]</f>
        <v>0</v>
      </c>
      <c r="W1177" s="36" t="e">
        <f>RATE(Table1[[#This Row],[Total No. of Coupons]],Table1[[#This Row],[Coupon Amount]],-Table1[[#This Row],[Ask Price]],Table1[[#This Row],[Face value]])</f>
        <v>#N/A</v>
      </c>
      <c r="X1177" s="27" t="e">
        <f>Table1[[#This Row],[IRR]]*Table1[[#This Row],[Coupon Frequency2]]</f>
        <v>#N/A</v>
      </c>
      <c r="Y1177" s="19" t="e" cm="1">
        <f t="array" ref="Y11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7" s="33" t="e">
        <f>DURATION(Table1[[#This Row],[Issue date]],Table1[[#This Row],[Maturity date]],Table1[[#This Row],[Current coupon %]],Table1[[#This Row],[Yield (Annualised)]],Table1[[#This Row],[Coupon Frequency2]])</f>
        <v>#N/A</v>
      </c>
      <c r="AA1177" s="33" t="e">
        <f>Table1[[#This Row],[Macaulay Duration in Years]]/(1+Table1[[#This Row],[IRR]])</f>
        <v>#N/A</v>
      </c>
      <c r="AB1177" s="58" t="e">
        <f>VLOOKUP(Table1[[#This Row],[Yield Cluster]],'Cluster Details'!$B$3:$C$16,2,0)</f>
        <v>#N/A</v>
      </c>
      <c r="AC11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7" s="58" t="e">
        <f>IF(Table1[[#This Row],[Ask Price]]&gt;Table1[[#This Row],[Calculated Bond Price]],"Rich","Cheap")</f>
        <v>#N/A</v>
      </c>
      <c r="AE11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7" s="78" t="e">
        <f>(Table1[[#This Row],[P (+ shock)]]+Table1[[#This Row],[P (-shock)]]-2*Table1[[#This Row],[Ask Price]])/(2*Table1[[#This Row],[Ask Price]]*($AF$2^2))</f>
        <v>#N/A</v>
      </c>
      <c r="AH1177">
        <v>10.15</v>
      </c>
      <c r="AI1177" s="6" t="e">
        <f t="shared" si="73"/>
        <v>#DIV/0!</v>
      </c>
      <c r="AK1177" s="47" t="e">
        <f>RATE(Table1[[#This Row],[Total No. of Coupons]],Table1[[#This Row],[Coupon Amount]],-Table1[[#This Row],[Ask Price]],Table1[[#This Row],[Face value]])</f>
        <v>#N/A</v>
      </c>
      <c r="AL1177" s="27" t="e">
        <f>Table1[[#This Row],[IRR]]*Table1[[#This Row],[Coupon Frequency2]]</f>
        <v>#N/A</v>
      </c>
      <c r="AM1177" s="5" t="e">
        <f t="shared" si="74"/>
        <v>#N/A</v>
      </c>
      <c r="AN1177" t="s">
        <v>64</v>
      </c>
      <c r="AO1177" t="s">
        <v>62</v>
      </c>
      <c r="AP1177" t="str">
        <f t="shared" si="75"/>
        <v/>
      </c>
    </row>
    <row r="1178" spans="4:42" x14ac:dyDescent="0.35">
      <c r="D1178" s="21"/>
      <c r="E1178" s="21"/>
      <c r="L1178" s="22"/>
      <c r="S1178">
        <f t="shared" si="72"/>
        <v>0</v>
      </c>
      <c r="T1178" s="5" t="e" cm="1">
        <f t="array" ref="T11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8" t="e">
        <f>Table1[[#This Row],[Term to Maturity (Years)]]*Table1[[#This Row],[Coupon Frequency2]]</f>
        <v>#N/A</v>
      </c>
      <c r="V1178">
        <f>Table1[[#This Row],[Face value]]*Table1[[#This Row],[Current coupon %]]</f>
        <v>0</v>
      </c>
      <c r="W1178" s="36" t="e">
        <f>RATE(Table1[[#This Row],[Total No. of Coupons]],Table1[[#This Row],[Coupon Amount]],-Table1[[#This Row],[Ask Price]],Table1[[#This Row],[Face value]])</f>
        <v>#N/A</v>
      </c>
      <c r="X1178" s="27" t="e">
        <f>Table1[[#This Row],[IRR]]*Table1[[#This Row],[Coupon Frequency2]]</f>
        <v>#N/A</v>
      </c>
      <c r="Y1178" s="19" t="e" cm="1">
        <f t="array" ref="Y11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8" s="33" t="e">
        <f>DURATION(Table1[[#This Row],[Issue date]],Table1[[#This Row],[Maturity date]],Table1[[#This Row],[Current coupon %]],Table1[[#This Row],[Yield (Annualised)]],Table1[[#This Row],[Coupon Frequency2]])</f>
        <v>#N/A</v>
      </c>
      <c r="AA1178" s="33" t="e">
        <f>Table1[[#This Row],[Macaulay Duration in Years]]/(1+Table1[[#This Row],[IRR]])</f>
        <v>#N/A</v>
      </c>
      <c r="AB1178" s="58" t="e">
        <f>VLOOKUP(Table1[[#This Row],[Yield Cluster]],'Cluster Details'!$B$3:$C$16,2,0)</f>
        <v>#N/A</v>
      </c>
      <c r="AC11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8" s="58" t="e">
        <f>IF(Table1[[#This Row],[Ask Price]]&gt;Table1[[#This Row],[Calculated Bond Price]],"Rich","Cheap")</f>
        <v>#N/A</v>
      </c>
      <c r="AE11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8" s="78" t="e">
        <f>(Table1[[#This Row],[P (+ shock)]]+Table1[[#This Row],[P (-shock)]]-2*Table1[[#This Row],[Ask Price]])/(2*Table1[[#This Row],[Ask Price]]*($AF$2^2))</f>
        <v>#N/A</v>
      </c>
      <c r="AH1178">
        <v>10.3160927820739</v>
      </c>
      <c r="AI1178" s="6" t="e">
        <f t="shared" si="73"/>
        <v>#DIV/0!</v>
      </c>
      <c r="AK1178" s="47" t="e">
        <f>RATE(Table1[[#This Row],[Total No. of Coupons]],Table1[[#This Row],[Coupon Amount]],-Table1[[#This Row],[Ask Price]],Table1[[#This Row],[Face value]])</f>
        <v>#N/A</v>
      </c>
      <c r="AL1178" s="27" t="e">
        <f>Table1[[#This Row],[IRR]]*Table1[[#This Row],[Coupon Frequency2]]</f>
        <v>#N/A</v>
      </c>
      <c r="AM1178" s="5" t="e">
        <f t="shared" si="74"/>
        <v>#N/A</v>
      </c>
      <c r="AN1178" t="s">
        <v>64</v>
      </c>
      <c r="AO1178" t="s">
        <v>62</v>
      </c>
      <c r="AP1178" t="str">
        <f t="shared" si="75"/>
        <v/>
      </c>
    </row>
    <row r="1179" spans="4:42" x14ac:dyDescent="0.35">
      <c r="D1179" s="21"/>
      <c r="E1179" s="21"/>
      <c r="L1179" s="22"/>
      <c r="S1179">
        <f t="shared" si="72"/>
        <v>0</v>
      </c>
      <c r="T1179" s="5" t="e" cm="1">
        <f t="array" ref="T11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79" t="e">
        <f>Table1[[#This Row],[Term to Maturity (Years)]]*Table1[[#This Row],[Coupon Frequency2]]</f>
        <v>#N/A</v>
      </c>
      <c r="V1179">
        <f>Table1[[#This Row],[Face value]]*Table1[[#This Row],[Current coupon %]]</f>
        <v>0</v>
      </c>
      <c r="W1179" s="36" t="e">
        <f>RATE(Table1[[#This Row],[Total No. of Coupons]],Table1[[#This Row],[Coupon Amount]],-Table1[[#This Row],[Ask Price]],Table1[[#This Row],[Face value]])</f>
        <v>#N/A</v>
      </c>
      <c r="X1179" s="27" t="e">
        <f>Table1[[#This Row],[IRR]]*Table1[[#This Row],[Coupon Frequency2]]</f>
        <v>#N/A</v>
      </c>
      <c r="Y1179" s="19" t="e" cm="1">
        <f t="array" ref="Y11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79" s="33" t="e">
        <f>DURATION(Table1[[#This Row],[Issue date]],Table1[[#This Row],[Maturity date]],Table1[[#This Row],[Current coupon %]],Table1[[#This Row],[Yield (Annualised)]],Table1[[#This Row],[Coupon Frequency2]])</f>
        <v>#N/A</v>
      </c>
      <c r="AA1179" s="33" t="e">
        <f>Table1[[#This Row],[Macaulay Duration in Years]]/(1+Table1[[#This Row],[IRR]])</f>
        <v>#N/A</v>
      </c>
      <c r="AB1179" s="58" t="e">
        <f>VLOOKUP(Table1[[#This Row],[Yield Cluster]],'Cluster Details'!$B$3:$C$16,2,0)</f>
        <v>#N/A</v>
      </c>
      <c r="AC11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79" s="58" t="e">
        <f>IF(Table1[[#This Row],[Ask Price]]&gt;Table1[[#This Row],[Calculated Bond Price]],"Rich","Cheap")</f>
        <v>#N/A</v>
      </c>
      <c r="AE11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79" s="78" t="e">
        <f>(Table1[[#This Row],[P (+ shock)]]+Table1[[#This Row],[P (-shock)]]-2*Table1[[#This Row],[Ask Price]])/(2*Table1[[#This Row],[Ask Price]]*($AF$2^2))</f>
        <v>#N/A</v>
      </c>
      <c r="AH1179">
        <v>9.8905412659427405</v>
      </c>
      <c r="AI1179" s="6" t="e">
        <f t="shared" si="73"/>
        <v>#DIV/0!</v>
      </c>
      <c r="AK1179" s="47" t="e">
        <f>RATE(Table1[[#This Row],[Total No. of Coupons]],Table1[[#This Row],[Coupon Amount]],-Table1[[#This Row],[Ask Price]],Table1[[#This Row],[Face value]])</f>
        <v>#N/A</v>
      </c>
      <c r="AL1179" s="27" t="e">
        <f>Table1[[#This Row],[IRR]]*Table1[[#This Row],[Coupon Frequency2]]</f>
        <v>#N/A</v>
      </c>
      <c r="AM1179" s="5" t="e">
        <f t="shared" si="74"/>
        <v>#N/A</v>
      </c>
      <c r="AN1179" t="s">
        <v>64</v>
      </c>
      <c r="AO1179" t="s">
        <v>62</v>
      </c>
      <c r="AP1179" t="str">
        <f t="shared" si="75"/>
        <v/>
      </c>
    </row>
    <row r="1180" spans="4:42" x14ac:dyDescent="0.35">
      <c r="D1180" s="21"/>
      <c r="E1180" s="21"/>
      <c r="L1180" s="22"/>
      <c r="S1180">
        <f t="shared" si="72"/>
        <v>0</v>
      </c>
      <c r="T1180" s="5" t="e" cm="1">
        <f t="array" ref="T11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0" t="e">
        <f>Table1[[#This Row],[Term to Maturity (Years)]]*Table1[[#This Row],[Coupon Frequency2]]</f>
        <v>#N/A</v>
      </c>
      <c r="V1180">
        <f>Table1[[#This Row],[Face value]]*Table1[[#This Row],[Current coupon %]]</f>
        <v>0</v>
      </c>
      <c r="W1180" s="36" t="e">
        <f>RATE(Table1[[#This Row],[Total No. of Coupons]],Table1[[#This Row],[Coupon Amount]],-Table1[[#This Row],[Ask Price]],Table1[[#This Row],[Face value]])</f>
        <v>#N/A</v>
      </c>
      <c r="X1180" s="27" t="e">
        <f>Table1[[#This Row],[IRR]]*Table1[[#This Row],[Coupon Frequency2]]</f>
        <v>#N/A</v>
      </c>
      <c r="Y1180" s="19" t="e" cm="1">
        <f t="array" ref="Y11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0" s="33" t="e">
        <f>DURATION(Table1[[#This Row],[Issue date]],Table1[[#This Row],[Maturity date]],Table1[[#This Row],[Current coupon %]],Table1[[#This Row],[Yield (Annualised)]],Table1[[#This Row],[Coupon Frequency2]])</f>
        <v>#N/A</v>
      </c>
      <c r="AA1180" s="33" t="e">
        <f>Table1[[#This Row],[Macaulay Duration in Years]]/(1+Table1[[#This Row],[IRR]])</f>
        <v>#N/A</v>
      </c>
      <c r="AB1180" s="58" t="e">
        <f>VLOOKUP(Table1[[#This Row],[Yield Cluster]],'Cluster Details'!$B$3:$C$16,2,0)</f>
        <v>#N/A</v>
      </c>
      <c r="AC11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0" s="58" t="e">
        <f>IF(Table1[[#This Row],[Ask Price]]&gt;Table1[[#This Row],[Calculated Bond Price]],"Rich","Cheap")</f>
        <v>#N/A</v>
      </c>
      <c r="AE11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0" s="78" t="e">
        <f>(Table1[[#This Row],[P (+ shock)]]+Table1[[#This Row],[P (-shock)]]-2*Table1[[#This Row],[Ask Price]])/(2*Table1[[#This Row],[Ask Price]]*($AF$2^2))</f>
        <v>#N/A</v>
      </c>
      <c r="AH1180">
        <v>6.8991093002614496</v>
      </c>
      <c r="AI1180" s="6" t="e">
        <f t="shared" si="73"/>
        <v>#DIV/0!</v>
      </c>
      <c r="AK1180" s="47" t="e">
        <f>RATE(Table1[[#This Row],[Total No. of Coupons]],Table1[[#This Row],[Coupon Amount]],-Table1[[#This Row],[Ask Price]],Table1[[#This Row],[Face value]])</f>
        <v>#N/A</v>
      </c>
      <c r="AL1180" s="27" t="e">
        <f>Table1[[#This Row],[IRR]]*Table1[[#This Row],[Coupon Frequency2]]</f>
        <v>#N/A</v>
      </c>
      <c r="AM1180" s="5" t="e">
        <f t="shared" si="74"/>
        <v>#N/A</v>
      </c>
      <c r="AN1180" t="s">
        <v>64</v>
      </c>
      <c r="AO1180" t="s">
        <v>62</v>
      </c>
      <c r="AP1180" t="str">
        <f t="shared" si="75"/>
        <v/>
      </c>
    </row>
    <row r="1181" spans="4:42" x14ac:dyDescent="0.35">
      <c r="D1181" s="21"/>
      <c r="E1181" s="21"/>
      <c r="L1181" s="22"/>
      <c r="S1181">
        <f t="shared" si="72"/>
        <v>0</v>
      </c>
      <c r="T1181" s="5" t="e" cm="1">
        <f t="array" ref="T11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1" t="e">
        <f>Table1[[#This Row],[Term to Maturity (Years)]]*Table1[[#This Row],[Coupon Frequency2]]</f>
        <v>#N/A</v>
      </c>
      <c r="V1181">
        <f>Table1[[#This Row],[Face value]]*Table1[[#This Row],[Current coupon %]]</f>
        <v>0</v>
      </c>
      <c r="W1181" s="36" t="e">
        <f>RATE(Table1[[#This Row],[Total No. of Coupons]],Table1[[#This Row],[Coupon Amount]],-Table1[[#This Row],[Ask Price]],Table1[[#This Row],[Face value]])</f>
        <v>#N/A</v>
      </c>
      <c r="X1181" s="27" t="e">
        <f>Table1[[#This Row],[IRR]]*Table1[[#This Row],[Coupon Frequency2]]</f>
        <v>#N/A</v>
      </c>
      <c r="Y1181" s="19" t="e" cm="1">
        <f t="array" ref="Y11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1" s="33" t="e">
        <f>DURATION(Table1[[#This Row],[Issue date]],Table1[[#This Row],[Maturity date]],Table1[[#This Row],[Current coupon %]],Table1[[#This Row],[Yield (Annualised)]],Table1[[#This Row],[Coupon Frequency2]])</f>
        <v>#N/A</v>
      </c>
      <c r="AA1181" s="33" t="e">
        <f>Table1[[#This Row],[Macaulay Duration in Years]]/(1+Table1[[#This Row],[IRR]])</f>
        <v>#N/A</v>
      </c>
      <c r="AB1181" s="58" t="e">
        <f>VLOOKUP(Table1[[#This Row],[Yield Cluster]],'Cluster Details'!$B$3:$C$16,2,0)</f>
        <v>#N/A</v>
      </c>
      <c r="AC11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1" s="58" t="e">
        <f>IF(Table1[[#This Row],[Ask Price]]&gt;Table1[[#This Row],[Calculated Bond Price]],"Rich","Cheap")</f>
        <v>#N/A</v>
      </c>
      <c r="AE11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1" s="78" t="e">
        <f>(Table1[[#This Row],[P (+ shock)]]+Table1[[#This Row],[P (-shock)]]-2*Table1[[#This Row],[Ask Price]])/(2*Table1[[#This Row],[Ask Price]]*($AF$2^2))</f>
        <v>#N/A</v>
      </c>
      <c r="AH1181">
        <v>10.029999999999999</v>
      </c>
      <c r="AI1181" s="6" t="e">
        <f t="shared" si="73"/>
        <v>#DIV/0!</v>
      </c>
      <c r="AK1181" s="47" t="e">
        <f>RATE(Table1[[#This Row],[Total No. of Coupons]],Table1[[#This Row],[Coupon Amount]],-Table1[[#This Row],[Ask Price]],Table1[[#This Row],[Face value]])</f>
        <v>#N/A</v>
      </c>
      <c r="AL1181" s="27" t="e">
        <f>Table1[[#This Row],[IRR]]*Table1[[#This Row],[Coupon Frequency2]]</f>
        <v>#N/A</v>
      </c>
      <c r="AM1181" s="5" t="e">
        <f t="shared" si="74"/>
        <v>#N/A</v>
      </c>
      <c r="AN1181" t="s">
        <v>64</v>
      </c>
      <c r="AO1181" t="s">
        <v>62</v>
      </c>
      <c r="AP1181" t="str">
        <f t="shared" si="75"/>
        <v/>
      </c>
    </row>
    <row r="1182" spans="4:42" x14ac:dyDescent="0.35">
      <c r="D1182" s="21"/>
      <c r="E1182" s="21"/>
      <c r="L1182" s="22"/>
      <c r="S1182">
        <f t="shared" si="72"/>
        <v>0</v>
      </c>
      <c r="T1182" s="5" t="e" cm="1">
        <f t="array" ref="T11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2" t="e">
        <f>Table1[[#This Row],[Term to Maturity (Years)]]*Table1[[#This Row],[Coupon Frequency2]]</f>
        <v>#N/A</v>
      </c>
      <c r="V1182">
        <f>Table1[[#This Row],[Face value]]*Table1[[#This Row],[Current coupon %]]</f>
        <v>0</v>
      </c>
      <c r="W1182" s="36" t="e">
        <f>RATE(Table1[[#This Row],[Total No. of Coupons]],Table1[[#This Row],[Coupon Amount]],-Table1[[#This Row],[Ask Price]],Table1[[#This Row],[Face value]])</f>
        <v>#N/A</v>
      </c>
      <c r="X1182" s="27" t="e">
        <f>Table1[[#This Row],[IRR]]*Table1[[#This Row],[Coupon Frequency2]]</f>
        <v>#N/A</v>
      </c>
      <c r="Y1182" s="19" t="e" cm="1">
        <f t="array" ref="Y11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2" s="33" t="e">
        <f>DURATION(Table1[[#This Row],[Issue date]],Table1[[#This Row],[Maturity date]],Table1[[#This Row],[Current coupon %]],Table1[[#This Row],[Yield (Annualised)]],Table1[[#This Row],[Coupon Frequency2]])</f>
        <v>#N/A</v>
      </c>
      <c r="AA1182" s="33" t="e">
        <f>Table1[[#This Row],[Macaulay Duration in Years]]/(1+Table1[[#This Row],[IRR]])</f>
        <v>#N/A</v>
      </c>
      <c r="AB1182" s="58" t="e">
        <f>VLOOKUP(Table1[[#This Row],[Yield Cluster]],'Cluster Details'!$B$3:$C$16,2,0)</f>
        <v>#N/A</v>
      </c>
      <c r="AC11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2" s="58" t="e">
        <f>IF(Table1[[#This Row],[Ask Price]]&gt;Table1[[#This Row],[Calculated Bond Price]],"Rich","Cheap")</f>
        <v>#N/A</v>
      </c>
      <c r="AE11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2" s="78" t="e">
        <f>(Table1[[#This Row],[P (+ shock)]]+Table1[[#This Row],[P (-shock)]]-2*Table1[[#This Row],[Ask Price]])/(2*Table1[[#This Row],[Ask Price]]*($AF$2^2))</f>
        <v>#N/A</v>
      </c>
      <c r="AH1182">
        <v>10.0613163139297</v>
      </c>
      <c r="AI1182" s="6" t="e">
        <f t="shared" si="73"/>
        <v>#DIV/0!</v>
      </c>
      <c r="AK1182" s="47" t="e">
        <f>RATE(Table1[[#This Row],[Total No. of Coupons]],Table1[[#This Row],[Coupon Amount]],-Table1[[#This Row],[Ask Price]],Table1[[#This Row],[Face value]])</f>
        <v>#N/A</v>
      </c>
      <c r="AL1182" s="27" t="e">
        <f>Table1[[#This Row],[IRR]]*Table1[[#This Row],[Coupon Frequency2]]</f>
        <v>#N/A</v>
      </c>
      <c r="AM1182" s="5" t="e">
        <f t="shared" si="74"/>
        <v>#N/A</v>
      </c>
      <c r="AN1182" t="s">
        <v>64</v>
      </c>
      <c r="AO1182" t="s">
        <v>62</v>
      </c>
      <c r="AP1182" t="str">
        <f t="shared" si="75"/>
        <v/>
      </c>
    </row>
    <row r="1183" spans="4:42" x14ac:dyDescent="0.35">
      <c r="D1183" s="21"/>
      <c r="E1183" s="21"/>
      <c r="L1183" s="22"/>
      <c r="S1183">
        <f t="shared" si="72"/>
        <v>0</v>
      </c>
      <c r="T1183" s="5" t="e" cm="1">
        <f t="array" ref="T11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3" t="e">
        <f>Table1[[#This Row],[Term to Maturity (Years)]]*Table1[[#This Row],[Coupon Frequency2]]</f>
        <v>#N/A</v>
      </c>
      <c r="V1183">
        <f>Table1[[#This Row],[Face value]]*Table1[[#This Row],[Current coupon %]]</f>
        <v>0</v>
      </c>
      <c r="W1183" s="36" t="e">
        <f>RATE(Table1[[#This Row],[Total No. of Coupons]],Table1[[#This Row],[Coupon Amount]],-Table1[[#This Row],[Ask Price]],Table1[[#This Row],[Face value]])</f>
        <v>#N/A</v>
      </c>
      <c r="X1183" s="27" t="e">
        <f>Table1[[#This Row],[IRR]]*Table1[[#This Row],[Coupon Frequency2]]</f>
        <v>#N/A</v>
      </c>
      <c r="Y1183" s="19" t="e" cm="1">
        <f t="array" ref="Y11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3" s="33" t="e">
        <f>DURATION(Table1[[#This Row],[Issue date]],Table1[[#This Row],[Maturity date]],Table1[[#This Row],[Current coupon %]],Table1[[#This Row],[Yield (Annualised)]],Table1[[#This Row],[Coupon Frequency2]])</f>
        <v>#N/A</v>
      </c>
      <c r="AA1183" s="33" t="e">
        <f>Table1[[#This Row],[Macaulay Duration in Years]]/(1+Table1[[#This Row],[IRR]])</f>
        <v>#N/A</v>
      </c>
      <c r="AB1183" s="58" t="e">
        <f>VLOOKUP(Table1[[#This Row],[Yield Cluster]],'Cluster Details'!$B$3:$C$16,2,0)</f>
        <v>#N/A</v>
      </c>
      <c r="AC11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3" s="58" t="e">
        <f>IF(Table1[[#This Row],[Ask Price]]&gt;Table1[[#This Row],[Calculated Bond Price]],"Rich","Cheap")</f>
        <v>#N/A</v>
      </c>
      <c r="AE11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3" s="78" t="e">
        <f>(Table1[[#This Row],[P (+ shock)]]+Table1[[#This Row],[P (-shock)]]-2*Table1[[#This Row],[Ask Price]])/(2*Table1[[#This Row],[Ask Price]]*($AF$2^2))</f>
        <v>#N/A</v>
      </c>
      <c r="AH1183">
        <v>9.8677870275756892</v>
      </c>
      <c r="AI1183" s="6" t="e">
        <f t="shared" si="73"/>
        <v>#DIV/0!</v>
      </c>
      <c r="AK1183" s="47" t="e">
        <f>RATE(Table1[[#This Row],[Total No. of Coupons]],Table1[[#This Row],[Coupon Amount]],-Table1[[#This Row],[Ask Price]],Table1[[#This Row],[Face value]])</f>
        <v>#N/A</v>
      </c>
      <c r="AL1183" s="27" t="e">
        <f>Table1[[#This Row],[IRR]]*Table1[[#This Row],[Coupon Frequency2]]</f>
        <v>#N/A</v>
      </c>
      <c r="AM1183" s="5" t="e">
        <f t="shared" si="74"/>
        <v>#N/A</v>
      </c>
      <c r="AN1183" t="s">
        <v>64</v>
      </c>
      <c r="AO1183" t="s">
        <v>62</v>
      </c>
      <c r="AP1183" t="str">
        <f t="shared" si="75"/>
        <v/>
      </c>
    </row>
    <row r="1184" spans="4:42" x14ac:dyDescent="0.35">
      <c r="D1184" s="21"/>
      <c r="E1184" s="21"/>
      <c r="L1184" s="22"/>
      <c r="S1184">
        <f t="shared" si="72"/>
        <v>0</v>
      </c>
      <c r="T1184" s="5" t="e" cm="1">
        <f t="array" ref="T11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4" t="e">
        <f>Table1[[#This Row],[Term to Maturity (Years)]]*Table1[[#This Row],[Coupon Frequency2]]</f>
        <v>#N/A</v>
      </c>
      <c r="V1184">
        <f>Table1[[#This Row],[Face value]]*Table1[[#This Row],[Current coupon %]]</f>
        <v>0</v>
      </c>
      <c r="W1184" s="36" t="e">
        <f>RATE(Table1[[#This Row],[Total No. of Coupons]],Table1[[#This Row],[Coupon Amount]],-Table1[[#This Row],[Ask Price]],Table1[[#This Row],[Face value]])</f>
        <v>#N/A</v>
      </c>
      <c r="X1184" s="27" t="e">
        <f>Table1[[#This Row],[IRR]]*Table1[[#This Row],[Coupon Frequency2]]</f>
        <v>#N/A</v>
      </c>
      <c r="Y1184" s="19" t="e" cm="1">
        <f t="array" ref="Y11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4" s="33" t="e">
        <f>DURATION(Table1[[#This Row],[Issue date]],Table1[[#This Row],[Maturity date]],Table1[[#This Row],[Current coupon %]],Table1[[#This Row],[Yield (Annualised)]],Table1[[#This Row],[Coupon Frequency2]])</f>
        <v>#N/A</v>
      </c>
      <c r="AA1184" s="33" t="e">
        <f>Table1[[#This Row],[Macaulay Duration in Years]]/(1+Table1[[#This Row],[IRR]])</f>
        <v>#N/A</v>
      </c>
      <c r="AB1184" s="58" t="e">
        <f>VLOOKUP(Table1[[#This Row],[Yield Cluster]],'Cluster Details'!$B$3:$C$16,2,0)</f>
        <v>#N/A</v>
      </c>
      <c r="AC11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4" s="58" t="e">
        <f>IF(Table1[[#This Row],[Ask Price]]&gt;Table1[[#This Row],[Calculated Bond Price]],"Rich","Cheap")</f>
        <v>#N/A</v>
      </c>
      <c r="AE11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4" s="78" t="e">
        <f>(Table1[[#This Row],[P (+ shock)]]+Table1[[#This Row],[P (-shock)]]-2*Table1[[#This Row],[Ask Price]])/(2*Table1[[#This Row],[Ask Price]]*($AF$2^2))</f>
        <v>#N/A</v>
      </c>
      <c r="AH1184">
        <v>5.7531400431583002</v>
      </c>
      <c r="AI1184" s="6" t="e">
        <f t="shared" si="73"/>
        <v>#DIV/0!</v>
      </c>
      <c r="AK1184" s="47" t="e">
        <f>RATE(Table1[[#This Row],[Total No. of Coupons]],Table1[[#This Row],[Coupon Amount]],-Table1[[#This Row],[Ask Price]],Table1[[#This Row],[Face value]])</f>
        <v>#N/A</v>
      </c>
      <c r="AL1184" s="27" t="e">
        <f>Table1[[#This Row],[IRR]]*Table1[[#This Row],[Coupon Frequency2]]</f>
        <v>#N/A</v>
      </c>
      <c r="AM1184" s="5" t="e">
        <f t="shared" si="74"/>
        <v>#N/A</v>
      </c>
      <c r="AN1184" t="s">
        <v>64</v>
      </c>
      <c r="AO1184" t="s">
        <v>62</v>
      </c>
      <c r="AP1184" t="str">
        <f t="shared" si="75"/>
        <v/>
      </c>
    </row>
    <row r="1185" spans="4:42" x14ac:dyDescent="0.35">
      <c r="D1185" s="21"/>
      <c r="E1185" s="21"/>
      <c r="L1185" s="22"/>
      <c r="S1185">
        <f t="shared" si="72"/>
        <v>0</v>
      </c>
      <c r="T1185" s="5" t="e" cm="1">
        <f t="array" ref="T11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5" t="e">
        <f>Table1[[#This Row],[Term to Maturity (Years)]]*Table1[[#This Row],[Coupon Frequency2]]</f>
        <v>#N/A</v>
      </c>
      <c r="V1185">
        <f>Table1[[#This Row],[Face value]]*Table1[[#This Row],[Current coupon %]]</f>
        <v>0</v>
      </c>
      <c r="W1185" s="36" t="e">
        <f>RATE(Table1[[#This Row],[Total No. of Coupons]],Table1[[#This Row],[Coupon Amount]],-Table1[[#This Row],[Ask Price]],Table1[[#This Row],[Face value]])</f>
        <v>#N/A</v>
      </c>
      <c r="X1185" s="27" t="e">
        <f>Table1[[#This Row],[IRR]]*Table1[[#This Row],[Coupon Frequency2]]</f>
        <v>#N/A</v>
      </c>
      <c r="Y1185" s="19" t="e" cm="1">
        <f t="array" ref="Y11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5" s="33" t="e">
        <f>DURATION(Table1[[#This Row],[Issue date]],Table1[[#This Row],[Maturity date]],Table1[[#This Row],[Current coupon %]],Table1[[#This Row],[Yield (Annualised)]],Table1[[#This Row],[Coupon Frequency2]])</f>
        <v>#N/A</v>
      </c>
      <c r="AA1185" s="33" t="e">
        <f>Table1[[#This Row],[Macaulay Duration in Years]]/(1+Table1[[#This Row],[IRR]])</f>
        <v>#N/A</v>
      </c>
      <c r="AB1185" s="58" t="e">
        <f>VLOOKUP(Table1[[#This Row],[Yield Cluster]],'Cluster Details'!$B$3:$C$16,2,0)</f>
        <v>#N/A</v>
      </c>
      <c r="AC11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5" s="58" t="e">
        <f>IF(Table1[[#This Row],[Ask Price]]&gt;Table1[[#This Row],[Calculated Bond Price]],"Rich","Cheap")</f>
        <v>#N/A</v>
      </c>
      <c r="AE11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5" s="78" t="e">
        <f>(Table1[[#This Row],[P (+ shock)]]+Table1[[#This Row],[P (-shock)]]-2*Table1[[#This Row],[Ask Price]])/(2*Table1[[#This Row],[Ask Price]]*($AF$2^2))</f>
        <v>#N/A</v>
      </c>
      <c r="AH1185">
        <v>12.6825035414704</v>
      </c>
      <c r="AI1185" s="6" t="e">
        <f t="shared" si="73"/>
        <v>#DIV/0!</v>
      </c>
      <c r="AK1185" s="47" t="e">
        <f>RATE(Table1[[#This Row],[Total No. of Coupons]],Table1[[#This Row],[Coupon Amount]],-Table1[[#This Row],[Ask Price]],Table1[[#This Row],[Face value]])</f>
        <v>#N/A</v>
      </c>
      <c r="AL1185" s="27" t="e">
        <f>Table1[[#This Row],[IRR]]*Table1[[#This Row],[Coupon Frequency2]]</f>
        <v>#N/A</v>
      </c>
      <c r="AM1185" s="5" t="e">
        <f t="shared" si="74"/>
        <v>#N/A</v>
      </c>
      <c r="AN1185" t="s">
        <v>64</v>
      </c>
      <c r="AO1185" t="s">
        <v>62</v>
      </c>
      <c r="AP1185" t="str">
        <f t="shared" si="75"/>
        <v/>
      </c>
    </row>
    <row r="1186" spans="4:42" x14ac:dyDescent="0.35">
      <c r="D1186" s="21"/>
      <c r="E1186" s="21"/>
      <c r="L1186" s="22"/>
      <c r="S1186">
        <f t="shared" si="72"/>
        <v>0</v>
      </c>
      <c r="T1186" s="5" t="e" cm="1">
        <f t="array" ref="T11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6" t="e">
        <f>Table1[[#This Row],[Term to Maturity (Years)]]*Table1[[#This Row],[Coupon Frequency2]]</f>
        <v>#N/A</v>
      </c>
      <c r="V1186">
        <f>Table1[[#This Row],[Face value]]*Table1[[#This Row],[Current coupon %]]</f>
        <v>0</v>
      </c>
      <c r="W1186" s="36" t="e">
        <f>RATE(Table1[[#This Row],[Total No. of Coupons]],Table1[[#This Row],[Coupon Amount]],-Table1[[#This Row],[Ask Price]],Table1[[#This Row],[Face value]])</f>
        <v>#N/A</v>
      </c>
      <c r="X1186" s="27" t="e">
        <f>Table1[[#This Row],[IRR]]*Table1[[#This Row],[Coupon Frequency2]]</f>
        <v>#N/A</v>
      </c>
      <c r="Y1186" s="19" t="e" cm="1">
        <f t="array" ref="Y11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6" s="33" t="e">
        <f>DURATION(Table1[[#This Row],[Issue date]],Table1[[#This Row],[Maturity date]],Table1[[#This Row],[Current coupon %]],Table1[[#This Row],[Yield (Annualised)]],Table1[[#This Row],[Coupon Frequency2]])</f>
        <v>#N/A</v>
      </c>
      <c r="AA1186" s="33" t="e">
        <f>Table1[[#This Row],[Macaulay Duration in Years]]/(1+Table1[[#This Row],[IRR]])</f>
        <v>#N/A</v>
      </c>
      <c r="AB1186" s="58" t="e">
        <f>VLOOKUP(Table1[[#This Row],[Yield Cluster]],'Cluster Details'!$B$3:$C$16,2,0)</f>
        <v>#N/A</v>
      </c>
      <c r="AC11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6" s="58" t="e">
        <f>IF(Table1[[#This Row],[Ask Price]]&gt;Table1[[#This Row],[Calculated Bond Price]],"Rich","Cheap")</f>
        <v>#N/A</v>
      </c>
      <c r="AE11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6" s="78" t="e">
        <f>(Table1[[#This Row],[P (+ shock)]]+Table1[[#This Row],[P (-shock)]]-2*Table1[[#This Row],[Ask Price]])/(2*Table1[[#This Row],[Ask Price]]*($AF$2^2))</f>
        <v>#N/A</v>
      </c>
      <c r="AH1186">
        <v>8.4821537701026397</v>
      </c>
      <c r="AI1186" s="6" t="e">
        <f t="shared" si="73"/>
        <v>#DIV/0!</v>
      </c>
      <c r="AK1186" s="47" t="e">
        <f>RATE(Table1[[#This Row],[Total No. of Coupons]],Table1[[#This Row],[Coupon Amount]],-Table1[[#This Row],[Ask Price]],Table1[[#This Row],[Face value]])</f>
        <v>#N/A</v>
      </c>
      <c r="AL1186" s="27" t="e">
        <f>Table1[[#This Row],[IRR]]*Table1[[#This Row],[Coupon Frequency2]]</f>
        <v>#N/A</v>
      </c>
      <c r="AM1186" s="5" t="e">
        <f t="shared" si="74"/>
        <v>#N/A</v>
      </c>
      <c r="AN1186" t="s">
        <v>64</v>
      </c>
      <c r="AO1186" t="s">
        <v>62</v>
      </c>
      <c r="AP1186" t="str">
        <f t="shared" si="75"/>
        <v/>
      </c>
    </row>
    <row r="1187" spans="4:42" x14ac:dyDescent="0.35">
      <c r="D1187" s="21"/>
      <c r="E1187" s="21"/>
      <c r="L1187" s="22"/>
      <c r="S1187">
        <f t="shared" si="72"/>
        <v>0</v>
      </c>
      <c r="T1187" s="5" t="e" cm="1">
        <f t="array" ref="T11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7" t="e">
        <f>Table1[[#This Row],[Term to Maturity (Years)]]*Table1[[#This Row],[Coupon Frequency2]]</f>
        <v>#N/A</v>
      </c>
      <c r="V1187">
        <f>Table1[[#This Row],[Face value]]*Table1[[#This Row],[Current coupon %]]</f>
        <v>0</v>
      </c>
      <c r="W1187" s="36" t="e">
        <f>RATE(Table1[[#This Row],[Total No. of Coupons]],Table1[[#This Row],[Coupon Amount]],-Table1[[#This Row],[Ask Price]],Table1[[#This Row],[Face value]])</f>
        <v>#N/A</v>
      </c>
      <c r="X1187" s="27" t="e">
        <f>Table1[[#This Row],[IRR]]*Table1[[#This Row],[Coupon Frequency2]]</f>
        <v>#N/A</v>
      </c>
      <c r="Y1187" s="19" t="e" cm="1">
        <f t="array" ref="Y11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7" s="33" t="e">
        <f>DURATION(Table1[[#This Row],[Issue date]],Table1[[#This Row],[Maturity date]],Table1[[#This Row],[Current coupon %]],Table1[[#This Row],[Yield (Annualised)]],Table1[[#This Row],[Coupon Frequency2]])</f>
        <v>#N/A</v>
      </c>
      <c r="AA1187" s="33" t="e">
        <f>Table1[[#This Row],[Macaulay Duration in Years]]/(1+Table1[[#This Row],[IRR]])</f>
        <v>#N/A</v>
      </c>
      <c r="AB1187" s="58" t="e">
        <f>VLOOKUP(Table1[[#This Row],[Yield Cluster]],'Cluster Details'!$B$3:$C$16,2,0)</f>
        <v>#N/A</v>
      </c>
      <c r="AC11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7" s="58" t="e">
        <f>IF(Table1[[#This Row],[Ask Price]]&gt;Table1[[#This Row],[Calculated Bond Price]],"Rich","Cheap")</f>
        <v>#N/A</v>
      </c>
      <c r="AE11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7" s="78" t="e">
        <f>(Table1[[#This Row],[P (+ shock)]]+Table1[[#This Row],[P (-shock)]]-2*Table1[[#This Row],[Ask Price]])/(2*Table1[[#This Row],[Ask Price]]*($AF$2^2))</f>
        <v>#N/A</v>
      </c>
      <c r="AH1187">
        <v>11.167120530428599</v>
      </c>
      <c r="AI1187" s="6" t="e">
        <f t="shared" si="73"/>
        <v>#DIV/0!</v>
      </c>
      <c r="AK1187" s="47" t="e">
        <f>RATE(Table1[[#This Row],[Total No. of Coupons]],Table1[[#This Row],[Coupon Amount]],-Table1[[#This Row],[Ask Price]],Table1[[#This Row],[Face value]])</f>
        <v>#N/A</v>
      </c>
      <c r="AL1187" s="27" t="e">
        <f>Table1[[#This Row],[IRR]]*Table1[[#This Row],[Coupon Frequency2]]</f>
        <v>#N/A</v>
      </c>
      <c r="AM1187" s="5" t="e">
        <f t="shared" si="74"/>
        <v>#N/A</v>
      </c>
      <c r="AN1187" t="s">
        <v>64</v>
      </c>
      <c r="AO1187" t="s">
        <v>62</v>
      </c>
      <c r="AP1187" t="str">
        <f t="shared" si="75"/>
        <v/>
      </c>
    </row>
    <row r="1188" spans="4:42" x14ac:dyDescent="0.35">
      <c r="D1188" s="21"/>
      <c r="E1188" s="21"/>
      <c r="L1188" s="22"/>
      <c r="S1188">
        <f t="shared" si="72"/>
        <v>0</v>
      </c>
      <c r="T1188" s="5" t="e" cm="1">
        <f t="array" ref="T11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8" t="e">
        <f>Table1[[#This Row],[Term to Maturity (Years)]]*Table1[[#This Row],[Coupon Frequency2]]</f>
        <v>#N/A</v>
      </c>
      <c r="V1188">
        <f>Table1[[#This Row],[Face value]]*Table1[[#This Row],[Current coupon %]]</f>
        <v>0</v>
      </c>
      <c r="W1188" s="36" t="e">
        <f>RATE(Table1[[#This Row],[Total No. of Coupons]],Table1[[#This Row],[Coupon Amount]],-Table1[[#This Row],[Ask Price]],Table1[[#This Row],[Face value]])</f>
        <v>#N/A</v>
      </c>
      <c r="X1188" s="27" t="e">
        <f>Table1[[#This Row],[IRR]]*Table1[[#This Row],[Coupon Frequency2]]</f>
        <v>#N/A</v>
      </c>
      <c r="Y1188" s="19" t="e" cm="1">
        <f t="array" ref="Y11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8" s="33" t="e">
        <f>DURATION(Table1[[#This Row],[Issue date]],Table1[[#This Row],[Maturity date]],Table1[[#This Row],[Current coupon %]],Table1[[#This Row],[Yield (Annualised)]],Table1[[#This Row],[Coupon Frequency2]])</f>
        <v>#N/A</v>
      </c>
      <c r="AA1188" s="33" t="e">
        <f>Table1[[#This Row],[Macaulay Duration in Years]]/(1+Table1[[#This Row],[IRR]])</f>
        <v>#N/A</v>
      </c>
      <c r="AB1188" s="58" t="e">
        <f>VLOOKUP(Table1[[#This Row],[Yield Cluster]],'Cluster Details'!$B$3:$C$16,2,0)</f>
        <v>#N/A</v>
      </c>
      <c r="AC11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8" s="58" t="e">
        <f>IF(Table1[[#This Row],[Ask Price]]&gt;Table1[[#This Row],[Calculated Bond Price]],"Rich","Cheap")</f>
        <v>#N/A</v>
      </c>
      <c r="AE11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8" s="78" t="e">
        <f>(Table1[[#This Row],[P (+ shock)]]+Table1[[#This Row],[P (-shock)]]-2*Table1[[#This Row],[Ask Price]])/(2*Table1[[#This Row],[Ask Price]]*($AF$2^2))</f>
        <v>#N/A</v>
      </c>
      <c r="AH1188">
        <v>10.893458905497701</v>
      </c>
      <c r="AI1188" s="6" t="e">
        <f t="shared" si="73"/>
        <v>#DIV/0!</v>
      </c>
      <c r="AK1188" s="47" t="e">
        <f>RATE(Table1[[#This Row],[Total No. of Coupons]],Table1[[#This Row],[Coupon Amount]],-Table1[[#This Row],[Ask Price]],Table1[[#This Row],[Face value]])</f>
        <v>#N/A</v>
      </c>
      <c r="AL1188" s="27" t="e">
        <f>Table1[[#This Row],[IRR]]*Table1[[#This Row],[Coupon Frequency2]]</f>
        <v>#N/A</v>
      </c>
      <c r="AM1188" s="5" t="e">
        <f t="shared" si="74"/>
        <v>#N/A</v>
      </c>
      <c r="AN1188" t="s">
        <v>64</v>
      </c>
      <c r="AO1188" t="s">
        <v>62</v>
      </c>
      <c r="AP1188" t="str">
        <f t="shared" si="75"/>
        <v/>
      </c>
    </row>
    <row r="1189" spans="4:42" x14ac:dyDescent="0.35">
      <c r="D1189" s="21"/>
      <c r="E1189" s="21"/>
      <c r="L1189" s="22"/>
      <c r="S1189">
        <f t="shared" si="72"/>
        <v>0</v>
      </c>
      <c r="T1189" s="5" t="e" cm="1">
        <f t="array" ref="T11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89" t="e">
        <f>Table1[[#This Row],[Term to Maturity (Years)]]*Table1[[#This Row],[Coupon Frequency2]]</f>
        <v>#N/A</v>
      </c>
      <c r="V1189">
        <f>Table1[[#This Row],[Face value]]*Table1[[#This Row],[Current coupon %]]</f>
        <v>0</v>
      </c>
      <c r="W1189" s="36" t="e">
        <f>RATE(Table1[[#This Row],[Total No. of Coupons]],Table1[[#This Row],[Coupon Amount]],-Table1[[#This Row],[Ask Price]],Table1[[#This Row],[Face value]])</f>
        <v>#N/A</v>
      </c>
      <c r="X1189" s="27" t="e">
        <f>Table1[[#This Row],[IRR]]*Table1[[#This Row],[Coupon Frequency2]]</f>
        <v>#N/A</v>
      </c>
      <c r="Y1189" s="19" t="e" cm="1">
        <f t="array" ref="Y11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89" s="33" t="e">
        <f>DURATION(Table1[[#This Row],[Issue date]],Table1[[#This Row],[Maturity date]],Table1[[#This Row],[Current coupon %]],Table1[[#This Row],[Yield (Annualised)]],Table1[[#This Row],[Coupon Frequency2]])</f>
        <v>#N/A</v>
      </c>
      <c r="AA1189" s="33" t="e">
        <f>Table1[[#This Row],[Macaulay Duration in Years]]/(1+Table1[[#This Row],[IRR]])</f>
        <v>#N/A</v>
      </c>
      <c r="AB1189" s="58" t="e">
        <f>VLOOKUP(Table1[[#This Row],[Yield Cluster]],'Cluster Details'!$B$3:$C$16,2,0)</f>
        <v>#N/A</v>
      </c>
      <c r="AC11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89" s="58" t="e">
        <f>IF(Table1[[#This Row],[Ask Price]]&gt;Table1[[#This Row],[Calculated Bond Price]],"Rich","Cheap")</f>
        <v>#N/A</v>
      </c>
      <c r="AE11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89" s="78" t="e">
        <f>(Table1[[#This Row],[P (+ shock)]]+Table1[[#This Row],[P (-shock)]]-2*Table1[[#This Row],[Ask Price]])/(2*Table1[[#This Row],[Ask Price]]*($AF$2^2))</f>
        <v>#N/A</v>
      </c>
      <c r="AH1189">
        <v>10.1780745022632</v>
      </c>
      <c r="AI1189" s="6" t="e">
        <f t="shared" si="73"/>
        <v>#DIV/0!</v>
      </c>
      <c r="AK1189" s="47" t="e">
        <f>RATE(Table1[[#This Row],[Total No. of Coupons]],Table1[[#This Row],[Coupon Amount]],-Table1[[#This Row],[Ask Price]],Table1[[#This Row],[Face value]])</f>
        <v>#N/A</v>
      </c>
      <c r="AL1189" s="27" t="e">
        <f>Table1[[#This Row],[IRR]]*Table1[[#This Row],[Coupon Frequency2]]</f>
        <v>#N/A</v>
      </c>
      <c r="AM1189" s="5" t="e">
        <f t="shared" si="74"/>
        <v>#N/A</v>
      </c>
      <c r="AN1189" t="s">
        <v>64</v>
      </c>
      <c r="AO1189" t="s">
        <v>62</v>
      </c>
      <c r="AP1189" t="str">
        <f t="shared" si="75"/>
        <v/>
      </c>
    </row>
    <row r="1190" spans="4:42" x14ac:dyDescent="0.35">
      <c r="D1190" s="21"/>
      <c r="E1190" s="21"/>
      <c r="L1190" s="22"/>
      <c r="S1190">
        <f t="shared" si="72"/>
        <v>0</v>
      </c>
      <c r="T1190" s="5" t="e" cm="1">
        <f t="array" ref="T11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0" t="e">
        <f>Table1[[#This Row],[Term to Maturity (Years)]]*Table1[[#This Row],[Coupon Frequency2]]</f>
        <v>#N/A</v>
      </c>
      <c r="V1190">
        <f>Table1[[#This Row],[Face value]]*Table1[[#This Row],[Current coupon %]]</f>
        <v>0</v>
      </c>
      <c r="W1190" s="36" t="e">
        <f>RATE(Table1[[#This Row],[Total No. of Coupons]],Table1[[#This Row],[Coupon Amount]],-Table1[[#This Row],[Ask Price]],Table1[[#This Row],[Face value]])</f>
        <v>#N/A</v>
      </c>
      <c r="X1190" s="27" t="e">
        <f>Table1[[#This Row],[IRR]]*Table1[[#This Row],[Coupon Frequency2]]</f>
        <v>#N/A</v>
      </c>
      <c r="Y1190" s="19" t="e" cm="1">
        <f t="array" ref="Y11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0" s="33" t="e">
        <f>DURATION(Table1[[#This Row],[Issue date]],Table1[[#This Row],[Maturity date]],Table1[[#This Row],[Current coupon %]],Table1[[#This Row],[Yield (Annualised)]],Table1[[#This Row],[Coupon Frequency2]])</f>
        <v>#N/A</v>
      </c>
      <c r="AA1190" s="33" t="e">
        <f>Table1[[#This Row],[Macaulay Duration in Years]]/(1+Table1[[#This Row],[IRR]])</f>
        <v>#N/A</v>
      </c>
      <c r="AB1190" s="58" t="e">
        <f>VLOOKUP(Table1[[#This Row],[Yield Cluster]],'Cluster Details'!$B$3:$C$16,2,0)</f>
        <v>#N/A</v>
      </c>
      <c r="AC11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0" s="58" t="e">
        <f>IF(Table1[[#This Row],[Ask Price]]&gt;Table1[[#This Row],[Calculated Bond Price]],"Rich","Cheap")</f>
        <v>#N/A</v>
      </c>
      <c r="AE11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0" s="78" t="e">
        <f>(Table1[[#This Row],[P (+ shock)]]+Table1[[#This Row],[P (-shock)]]-2*Table1[[#This Row],[Ask Price]])/(2*Table1[[#This Row],[Ask Price]]*($AF$2^2))</f>
        <v>#N/A</v>
      </c>
      <c r="AH1190">
        <v>10.1043708712039</v>
      </c>
      <c r="AI1190" s="6" t="e">
        <f t="shared" si="73"/>
        <v>#DIV/0!</v>
      </c>
      <c r="AK1190" s="47" t="e">
        <f>RATE(Table1[[#This Row],[Total No. of Coupons]],Table1[[#This Row],[Coupon Amount]],-Table1[[#This Row],[Ask Price]],Table1[[#This Row],[Face value]])</f>
        <v>#N/A</v>
      </c>
      <c r="AL1190" s="27" t="e">
        <f>Table1[[#This Row],[IRR]]*Table1[[#This Row],[Coupon Frequency2]]</f>
        <v>#N/A</v>
      </c>
      <c r="AM1190" s="5" t="e">
        <f t="shared" si="74"/>
        <v>#N/A</v>
      </c>
      <c r="AN1190" t="s">
        <v>64</v>
      </c>
      <c r="AO1190" t="s">
        <v>62</v>
      </c>
      <c r="AP1190" t="str">
        <f t="shared" si="75"/>
        <v/>
      </c>
    </row>
    <row r="1191" spans="4:42" x14ac:dyDescent="0.35">
      <c r="D1191" s="21"/>
      <c r="E1191" s="21"/>
      <c r="L1191" s="22"/>
      <c r="S1191">
        <f t="shared" si="72"/>
        <v>0</v>
      </c>
      <c r="T1191" s="5" t="e" cm="1">
        <f t="array" ref="T11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1" t="e">
        <f>Table1[[#This Row],[Term to Maturity (Years)]]*Table1[[#This Row],[Coupon Frequency2]]</f>
        <v>#N/A</v>
      </c>
      <c r="V1191">
        <f>Table1[[#This Row],[Face value]]*Table1[[#This Row],[Current coupon %]]</f>
        <v>0</v>
      </c>
      <c r="W1191" s="36" t="e">
        <f>RATE(Table1[[#This Row],[Total No. of Coupons]],Table1[[#This Row],[Coupon Amount]],-Table1[[#This Row],[Ask Price]],Table1[[#This Row],[Face value]])</f>
        <v>#N/A</v>
      </c>
      <c r="X1191" s="27" t="e">
        <f>Table1[[#This Row],[IRR]]*Table1[[#This Row],[Coupon Frequency2]]</f>
        <v>#N/A</v>
      </c>
      <c r="Y1191" s="19" t="e" cm="1">
        <f t="array" ref="Y11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1" s="33" t="e">
        <f>DURATION(Table1[[#This Row],[Issue date]],Table1[[#This Row],[Maturity date]],Table1[[#This Row],[Current coupon %]],Table1[[#This Row],[Yield (Annualised)]],Table1[[#This Row],[Coupon Frequency2]])</f>
        <v>#N/A</v>
      </c>
      <c r="AA1191" s="33" t="e">
        <f>Table1[[#This Row],[Macaulay Duration in Years]]/(1+Table1[[#This Row],[IRR]])</f>
        <v>#N/A</v>
      </c>
      <c r="AB1191" s="58" t="e">
        <f>VLOOKUP(Table1[[#This Row],[Yield Cluster]],'Cluster Details'!$B$3:$C$16,2,0)</f>
        <v>#N/A</v>
      </c>
      <c r="AC11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1" s="58" t="e">
        <f>IF(Table1[[#This Row],[Ask Price]]&gt;Table1[[#This Row],[Calculated Bond Price]],"Rich","Cheap")</f>
        <v>#N/A</v>
      </c>
      <c r="AE11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1" s="78" t="e">
        <f>(Table1[[#This Row],[P (+ shock)]]+Table1[[#This Row],[P (-shock)]]-2*Table1[[#This Row],[Ask Price]])/(2*Table1[[#This Row],[Ask Price]]*($AF$2^2))</f>
        <v>#N/A</v>
      </c>
      <c r="AH1191">
        <v>10.4837042411562</v>
      </c>
      <c r="AI1191" s="6" t="e">
        <f t="shared" si="73"/>
        <v>#DIV/0!</v>
      </c>
      <c r="AK1191" s="47" t="e">
        <f>RATE(Table1[[#This Row],[Total No. of Coupons]],Table1[[#This Row],[Coupon Amount]],-Table1[[#This Row],[Ask Price]],Table1[[#This Row],[Face value]])</f>
        <v>#N/A</v>
      </c>
      <c r="AL1191" s="27" t="e">
        <f>Table1[[#This Row],[IRR]]*Table1[[#This Row],[Coupon Frequency2]]</f>
        <v>#N/A</v>
      </c>
      <c r="AM1191" s="5" t="e">
        <f t="shared" si="74"/>
        <v>#N/A</v>
      </c>
      <c r="AN1191" t="s">
        <v>64</v>
      </c>
      <c r="AO1191" t="s">
        <v>62</v>
      </c>
      <c r="AP1191" t="str">
        <f t="shared" si="75"/>
        <v/>
      </c>
    </row>
    <row r="1192" spans="4:42" x14ac:dyDescent="0.35">
      <c r="D1192" s="21"/>
      <c r="E1192" s="21"/>
      <c r="L1192" s="22"/>
      <c r="S1192">
        <f t="shared" si="72"/>
        <v>0</v>
      </c>
      <c r="T1192" s="5" t="e" cm="1">
        <f t="array" ref="T11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2" t="e">
        <f>Table1[[#This Row],[Term to Maturity (Years)]]*Table1[[#This Row],[Coupon Frequency2]]</f>
        <v>#N/A</v>
      </c>
      <c r="V1192">
        <f>Table1[[#This Row],[Face value]]*Table1[[#This Row],[Current coupon %]]</f>
        <v>0</v>
      </c>
      <c r="W1192" s="36" t="e">
        <f>RATE(Table1[[#This Row],[Total No. of Coupons]],Table1[[#This Row],[Coupon Amount]],-Table1[[#This Row],[Ask Price]],Table1[[#This Row],[Face value]])</f>
        <v>#N/A</v>
      </c>
      <c r="X1192" s="27" t="e">
        <f>Table1[[#This Row],[IRR]]*Table1[[#This Row],[Coupon Frequency2]]</f>
        <v>#N/A</v>
      </c>
      <c r="Y1192" s="19" t="e" cm="1">
        <f t="array" ref="Y11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2" s="33" t="e">
        <f>DURATION(Table1[[#This Row],[Issue date]],Table1[[#This Row],[Maturity date]],Table1[[#This Row],[Current coupon %]],Table1[[#This Row],[Yield (Annualised)]],Table1[[#This Row],[Coupon Frequency2]])</f>
        <v>#N/A</v>
      </c>
      <c r="AA1192" s="33" t="e">
        <f>Table1[[#This Row],[Macaulay Duration in Years]]/(1+Table1[[#This Row],[IRR]])</f>
        <v>#N/A</v>
      </c>
      <c r="AB1192" s="58" t="e">
        <f>VLOOKUP(Table1[[#This Row],[Yield Cluster]],'Cluster Details'!$B$3:$C$16,2,0)</f>
        <v>#N/A</v>
      </c>
      <c r="AC11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2" s="58" t="e">
        <f>IF(Table1[[#This Row],[Ask Price]]&gt;Table1[[#This Row],[Calculated Bond Price]],"Rich","Cheap")</f>
        <v>#N/A</v>
      </c>
      <c r="AE11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2" s="78" t="e">
        <f>(Table1[[#This Row],[P (+ shock)]]+Table1[[#This Row],[P (-shock)]]-2*Table1[[#This Row],[Ask Price]])/(2*Table1[[#This Row],[Ask Price]]*($AF$2^2))</f>
        <v>#N/A</v>
      </c>
      <c r="AH1192">
        <v>11.8214154226196</v>
      </c>
      <c r="AI1192" s="6" t="e">
        <f t="shared" si="73"/>
        <v>#DIV/0!</v>
      </c>
      <c r="AK1192" s="47" t="e">
        <f>RATE(Table1[[#This Row],[Total No. of Coupons]],Table1[[#This Row],[Coupon Amount]],-Table1[[#This Row],[Ask Price]],Table1[[#This Row],[Face value]])</f>
        <v>#N/A</v>
      </c>
      <c r="AL1192" s="27" t="e">
        <f>Table1[[#This Row],[IRR]]*Table1[[#This Row],[Coupon Frequency2]]</f>
        <v>#N/A</v>
      </c>
      <c r="AM1192" s="5" t="e">
        <f t="shared" si="74"/>
        <v>#N/A</v>
      </c>
      <c r="AN1192" t="s">
        <v>64</v>
      </c>
      <c r="AO1192" t="s">
        <v>62</v>
      </c>
      <c r="AP1192" t="str">
        <f t="shared" si="75"/>
        <v/>
      </c>
    </row>
    <row r="1193" spans="4:42" x14ac:dyDescent="0.35">
      <c r="D1193" s="21"/>
      <c r="E1193" s="21"/>
      <c r="L1193" s="22"/>
      <c r="S1193">
        <f t="shared" si="72"/>
        <v>0</v>
      </c>
      <c r="T1193" s="5" t="e" cm="1">
        <f t="array" ref="T11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3" t="e">
        <f>Table1[[#This Row],[Term to Maturity (Years)]]*Table1[[#This Row],[Coupon Frequency2]]</f>
        <v>#N/A</v>
      </c>
      <c r="V1193">
        <f>Table1[[#This Row],[Face value]]*Table1[[#This Row],[Current coupon %]]</f>
        <v>0</v>
      </c>
      <c r="W1193" s="36" t="e">
        <f>RATE(Table1[[#This Row],[Total No. of Coupons]],Table1[[#This Row],[Coupon Amount]],-Table1[[#This Row],[Ask Price]],Table1[[#This Row],[Face value]])</f>
        <v>#N/A</v>
      </c>
      <c r="X1193" s="27" t="e">
        <f>Table1[[#This Row],[IRR]]*Table1[[#This Row],[Coupon Frequency2]]</f>
        <v>#N/A</v>
      </c>
      <c r="Y1193" s="19" t="e" cm="1">
        <f t="array" ref="Y11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3" s="33" t="e">
        <f>DURATION(Table1[[#This Row],[Issue date]],Table1[[#This Row],[Maturity date]],Table1[[#This Row],[Current coupon %]],Table1[[#This Row],[Yield (Annualised)]],Table1[[#This Row],[Coupon Frequency2]])</f>
        <v>#N/A</v>
      </c>
      <c r="AA1193" s="33" t="e">
        <f>Table1[[#This Row],[Macaulay Duration in Years]]/(1+Table1[[#This Row],[IRR]])</f>
        <v>#N/A</v>
      </c>
      <c r="AB1193" s="58" t="e">
        <f>VLOOKUP(Table1[[#This Row],[Yield Cluster]],'Cluster Details'!$B$3:$C$16,2,0)</f>
        <v>#N/A</v>
      </c>
      <c r="AC11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3" s="58" t="e">
        <f>IF(Table1[[#This Row],[Ask Price]]&gt;Table1[[#This Row],[Calculated Bond Price]],"Rich","Cheap")</f>
        <v>#N/A</v>
      </c>
      <c r="AE11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3" s="78" t="e">
        <f>(Table1[[#This Row],[P (+ shock)]]+Table1[[#This Row],[P (-shock)]]-2*Table1[[#This Row],[Ask Price]])/(2*Table1[[#This Row],[Ask Price]]*($AF$2^2))</f>
        <v>#N/A</v>
      </c>
      <c r="AH1193">
        <v>6.4361445966793296</v>
      </c>
      <c r="AI1193" s="6" t="e">
        <f t="shared" si="73"/>
        <v>#DIV/0!</v>
      </c>
      <c r="AK1193" s="47" t="e">
        <f>RATE(Table1[[#This Row],[Total No. of Coupons]],Table1[[#This Row],[Coupon Amount]],-Table1[[#This Row],[Ask Price]],Table1[[#This Row],[Face value]])</f>
        <v>#N/A</v>
      </c>
      <c r="AL1193" s="27" t="e">
        <f>Table1[[#This Row],[IRR]]*Table1[[#This Row],[Coupon Frequency2]]</f>
        <v>#N/A</v>
      </c>
      <c r="AM1193" s="5" t="e">
        <f t="shared" si="74"/>
        <v>#N/A</v>
      </c>
      <c r="AN1193" t="s">
        <v>64</v>
      </c>
      <c r="AO1193" t="s">
        <v>62</v>
      </c>
      <c r="AP1193" t="str">
        <f t="shared" si="75"/>
        <v/>
      </c>
    </row>
    <row r="1194" spans="4:42" x14ac:dyDescent="0.35">
      <c r="D1194" s="21"/>
      <c r="E1194" s="21"/>
      <c r="L1194" s="22"/>
      <c r="S1194">
        <f t="shared" si="72"/>
        <v>0</v>
      </c>
      <c r="T1194" s="5" t="e" cm="1">
        <f t="array" ref="T11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4" t="e">
        <f>Table1[[#This Row],[Term to Maturity (Years)]]*Table1[[#This Row],[Coupon Frequency2]]</f>
        <v>#N/A</v>
      </c>
      <c r="V1194">
        <f>Table1[[#This Row],[Face value]]*Table1[[#This Row],[Current coupon %]]</f>
        <v>0</v>
      </c>
      <c r="W1194" s="36" t="e">
        <f>RATE(Table1[[#This Row],[Total No. of Coupons]],Table1[[#This Row],[Coupon Amount]],-Table1[[#This Row],[Ask Price]],Table1[[#This Row],[Face value]])</f>
        <v>#N/A</v>
      </c>
      <c r="X1194" s="27" t="e">
        <f>Table1[[#This Row],[IRR]]*Table1[[#This Row],[Coupon Frequency2]]</f>
        <v>#N/A</v>
      </c>
      <c r="Y1194" s="19" t="e" cm="1">
        <f t="array" ref="Y11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4" s="33" t="e">
        <f>DURATION(Table1[[#This Row],[Issue date]],Table1[[#This Row],[Maturity date]],Table1[[#This Row],[Current coupon %]],Table1[[#This Row],[Yield (Annualised)]],Table1[[#This Row],[Coupon Frequency2]])</f>
        <v>#N/A</v>
      </c>
      <c r="AA1194" s="33" t="e">
        <f>Table1[[#This Row],[Macaulay Duration in Years]]/(1+Table1[[#This Row],[IRR]])</f>
        <v>#N/A</v>
      </c>
      <c r="AB1194" s="58" t="e">
        <f>VLOOKUP(Table1[[#This Row],[Yield Cluster]],'Cluster Details'!$B$3:$C$16,2,0)</f>
        <v>#N/A</v>
      </c>
      <c r="AC11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4" s="58" t="e">
        <f>IF(Table1[[#This Row],[Ask Price]]&gt;Table1[[#This Row],[Calculated Bond Price]],"Rich","Cheap")</f>
        <v>#N/A</v>
      </c>
      <c r="AE11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4" s="78" t="e">
        <f>(Table1[[#This Row],[P (+ shock)]]+Table1[[#This Row],[P (-shock)]]-2*Table1[[#This Row],[Ask Price]])/(2*Table1[[#This Row],[Ask Price]]*($AF$2^2))</f>
        <v>#N/A</v>
      </c>
      <c r="AH1194">
        <v>11.1660354914669</v>
      </c>
      <c r="AI1194" s="6" t="e">
        <f t="shared" si="73"/>
        <v>#DIV/0!</v>
      </c>
      <c r="AK1194" s="47" t="e">
        <f>RATE(Table1[[#This Row],[Total No. of Coupons]],Table1[[#This Row],[Coupon Amount]],-Table1[[#This Row],[Ask Price]],Table1[[#This Row],[Face value]])</f>
        <v>#N/A</v>
      </c>
      <c r="AL1194" s="27" t="e">
        <f>Table1[[#This Row],[IRR]]*Table1[[#This Row],[Coupon Frequency2]]</f>
        <v>#N/A</v>
      </c>
      <c r="AM1194" s="5" t="e">
        <f t="shared" si="74"/>
        <v>#N/A</v>
      </c>
      <c r="AN1194" t="s">
        <v>64</v>
      </c>
      <c r="AO1194" t="s">
        <v>62</v>
      </c>
      <c r="AP1194" t="str">
        <f t="shared" si="75"/>
        <v/>
      </c>
    </row>
    <row r="1195" spans="4:42" x14ac:dyDescent="0.35">
      <c r="D1195" s="21"/>
      <c r="E1195" s="21"/>
      <c r="L1195" s="22"/>
      <c r="S1195">
        <f t="shared" si="72"/>
        <v>0</v>
      </c>
      <c r="T1195" s="5" t="e" cm="1">
        <f t="array" ref="T11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5" t="e">
        <f>Table1[[#This Row],[Term to Maturity (Years)]]*Table1[[#This Row],[Coupon Frequency2]]</f>
        <v>#N/A</v>
      </c>
      <c r="V1195">
        <f>Table1[[#This Row],[Face value]]*Table1[[#This Row],[Current coupon %]]</f>
        <v>0</v>
      </c>
      <c r="W1195" s="36" t="e">
        <f>RATE(Table1[[#This Row],[Total No. of Coupons]],Table1[[#This Row],[Coupon Amount]],-Table1[[#This Row],[Ask Price]],Table1[[#This Row],[Face value]])</f>
        <v>#N/A</v>
      </c>
      <c r="X1195" s="27" t="e">
        <f>Table1[[#This Row],[IRR]]*Table1[[#This Row],[Coupon Frequency2]]</f>
        <v>#N/A</v>
      </c>
      <c r="Y1195" s="19" t="e" cm="1">
        <f t="array" ref="Y11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5" s="33" t="e">
        <f>DURATION(Table1[[#This Row],[Issue date]],Table1[[#This Row],[Maturity date]],Table1[[#This Row],[Current coupon %]],Table1[[#This Row],[Yield (Annualised)]],Table1[[#This Row],[Coupon Frequency2]])</f>
        <v>#N/A</v>
      </c>
      <c r="AA1195" s="33" t="e">
        <f>Table1[[#This Row],[Macaulay Duration in Years]]/(1+Table1[[#This Row],[IRR]])</f>
        <v>#N/A</v>
      </c>
      <c r="AB1195" s="58" t="e">
        <f>VLOOKUP(Table1[[#This Row],[Yield Cluster]],'Cluster Details'!$B$3:$C$16,2,0)</f>
        <v>#N/A</v>
      </c>
      <c r="AC11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5" s="58" t="e">
        <f>IF(Table1[[#This Row],[Ask Price]]&gt;Table1[[#This Row],[Calculated Bond Price]],"Rich","Cheap")</f>
        <v>#N/A</v>
      </c>
      <c r="AE11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5" s="78" t="e">
        <f>(Table1[[#This Row],[P (+ shock)]]+Table1[[#This Row],[P (-shock)]]-2*Table1[[#This Row],[Ask Price]])/(2*Table1[[#This Row],[Ask Price]]*($AF$2^2))</f>
        <v>#N/A</v>
      </c>
      <c r="AI1195" s="6" t="e">
        <f t="shared" si="73"/>
        <v>#DIV/0!</v>
      </c>
      <c r="AK1195" s="47" t="e">
        <f>RATE(Table1[[#This Row],[Total No. of Coupons]],Table1[[#This Row],[Coupon Amount]],-Table1[[#This Row],[Ask Price]],Table1[[#This Row],[Face value]])</f>
        <v>#N/A</v>
      </c>
      <c r="AL1195" s="27" t="e">
        <f>Table1[[#This Row],[IRR]]*Table1[[#This Row],[Coupon Frequency2]]</f>
        <v>#N/A</v>
      </c>
      <c r="AM1195" s="5" t="e">
        <f t="shared" si="74"/>
        <v>#N/A</v>
      </c>
      <c r="AN1195" t="s">
        <v>69</v>
      </c>
      <c r="AO1195" t="s">
        <v>62</v>
      </c>
      <c r="AP1195" t="str">
        <f t="shared" si="75"/>
        <v/>
      </c>
    </row>
    <row r="1196" spans="4:42" x14ac:dyDescent="0.35">
      <c r="D1196" s="21"/>
      <c r="E1196" s="21"/>
      <c r="L1196" s="22"/>
      <c r="S1196">
        <f t="shared" si="72"/>
        <v>0</v>
      </c>
      <c r="T1196" s="5" t="e" cm="1">
        <f t="array" ref="T11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6" t="e">
        <f>Table1[[#This Row],[Term to Maturity (Years)]]*Table1[[#This Row],[Coupon Frequency2]]</f>
        <v>#N/A</v>
      </c>
      <c r="V1196">
        <f>Table1[[#This Row],[Face value]]*Table1[[#This Row],[Current coupon %]]</f>
        <v>0</v>
      </c>
      <c r="W1196" s="36" t="e">
        <f>RATE(Table1[[#This Row],[Total No. of Coupons]],Table1[[#This Row],[Coupon Amount]],-Table1[[#This Row],[Ask Price]],Table1[[#This Row],[Face value]])</f>
        <v>#N/A</v>
      </c>
      <c r="X1196" s="27" t="e">
        <f>Table1[[#This Row],[IRR]]*Table1[[#This Row],[Coupon Frequency2]]</f>
        <v>#N/A</v>
      </c>
      <c r="Y1196" s="19" t="e" cm="1">
        <f t="array" ref="Y11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6" s="33" t="e">
        <f>DURATION(Table1[[#This Row],[Issue date]],Table1[[#This Row],[Maturity date]],Table1[[#This Row],[Current coupon %]],Table1[[#This Row],[Yield (Annualised)]],Table1[[#This Row],[Coupon Frequency2]])</f>
        <v>#N/A</v>
      </c>
      <c r="AA1196" s="33" t="e">
        <f>Table1[[#This Row],[Macaulay Duration in Years]]/(1+Table1[[#This Row],[IRR]])</f>
        <v>#N/A</v>
      </c>
      <c r="AB1196" s="58" t="e">
        <f>VLOOKUP(Table1[[#This Row],[Yield Cluster]],'Cluster Details'!$B$3:$C$16,2,0)</f>
        <v>#N/A</v>
      </c>
      <c r="AC11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6" s="58" t="e">
        <f>IF(Table1[[#This Row],[Ask Price]]&gt;Table1[[#This Row],[Calculated Bond Price]],"Rich","Cheap")</f>
        <v>#N/A</v>
      </c>
      <c r="AE11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6" s="78" t="e">
        <f>(Table1[[#This Row],[P (+ shock)]]+Table1[[#This Row],[P (-shock)]]-2*Table1[[#This Row],[Ask Price]])/(2*Table1[[#This Row],[Ask Price]]*($AF$2^2))</f>
        <v>#N/A</v>
      </c>
      <c r="AI1196" s="6" t="e">
        <f t="shared" si="73"/>
        <v>#DIV/0!</v>
      </c>
      <c r="AK1196" s="47" t="e">
        <f>RATE(Table1[[#This Row],[Total No. of Coupons]],Table1[[#This Row],[Coupon Amount]],-Table1[[#This Row],[Ask Price]],Table1[[#This Row],[Face value]])</f>
        <v>#N/A</v>
      </c>
      <c r="AL1196" s="27" t="e">
        <f>Table1[[#This Row],[IRR]]*Table1[[#This Row],[Coupon Frequency2]]</f>
        <v>#N/A</v>
      </c>
      <c r="AM1196" s="5" t="e">
        <f t="shared" si="74"/>
        <v>#N/A</v>
      </c>
      <c r="AN1196" t="s">
        <v>69</v>
      </c>
      <c r="AO1196" t="s">
        <v>62</v>
      </c>
      <c r="AP1196" t="str">
        <f t="shared" si="75"/>
        <v/>
      </c>
    </row>
    <row r="1197" spans="4:42" x14ac:dyDescent="0.35">
      <c r="D1197" s="21"/>
      <c r="E1197" s="21"/>
      <c r="L1197" s="22"/>
      <c r="S1197">
        <f t="shared" si="72"/>
        <v>0</v>
      </c>
      <c r="T1197" s="5" t="e" cm="1">
        <f t="array" ref="T11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7" t="e">
        <f>Table1[[#This Row],[Term to Maturity (Years)]]*Table1[[#This Row],[Coupon Frequency2]]</f>
        <v>#N/A</v>
      </c>
      <c r="V1197">
        <f>Table1[[#This Row],[Face value]]*Table1[[#This Row],[Current coupon %]]</f>
        <v>0</v>
      </c>
      <c r="W1197" s="36" t="e">
        <f>RATE(Table1[[#This Row],[Total No. of Coupons]],Table1[[#This Row],[Coupon Amount]],-Table1[[#This Row],[Ask Price]],Table1[[#This Row],[Face value]])</f>
        <v>#N/A</v>
      </c>
      <c r="X1197" s="27" t="e">
        <f>Table1[[#This Row],[IRR]]*Table1[[#This Row],[Coupon Frequency2]]</f>
        <v>#N/A</v>
      </c>
      <c r="Y1197" s="19" t="e" cm="1">
        <f t="array" ref="Y11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7" s="33" t="e">
        <f>DURATION(Table1[[#This Row],[Issue date]],Table1[[#This Row],[Maturity date]],Table1[[#This Row],[Current coupon %]],Table1[[#This Row],[Yield (Annualised)]],Table1[[#This Row],[Coupon Frequency2]])</f>
        <v>#N/A</v>
      </c>
      <c r="AA1197" s="33" t="e">
        <f>Table1[[#This Row],[Macaulay Duration in Years]]/(1+Table1[[#This Row],[IRR]])</f>
        <v>#N/A</v>
      </c>
      <c r="AB1197" s="58" t="e">
        <f>VLOOKUP(Table1[[#This Row],[Yield Cluster]],'Cluster Details'!$B$3:$C$16,2,0)</f>
        <v>#N/A</v>
      </c>
      <c r="AC11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7" s="58" t="e">
        <f>IF(Table1[[#This Row],[Ask Price]]&gt;Table1[[#This Row],[Calculated Bond Price]],"Rich","Cheap")</f>
        <v>#N/A</v>
      </c>
      <c r="AE11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7" s="78" t="e">
        <f>(Table1[[#This Row],[P (+ shock)]]+Table1[[#This Row],[P (-shock)]]-2*Table1[[#This Row],[Ask Price]])/(2*Table1[[#This Row],[Ask Price]]*($AF$2^2))</f>
        <v>#N/A</v>
      </c>
      <c r="AH1197">
        <v>3.8242698892245701</v>
      </c>
      <c r="AI1197" s="6" t="e">
        <f t="shared" si="73"/>
        <v>#DIV/0!</v>
      </c>
      <c r="AK1197" s="47" t="e">
        <f>RATE(Table1[[#This Row],[Total No. of Coupons]],Table1[[#This Row],[Coupon Amount]],-Table1[[#This Row],[Ask Price]],Table1[[#This Row],[Face value]])</f>
        <v>#N/A</v>
      </c>
      <c r="AL1197" s="27" t="e">
        <f>Table1[[#This Row],[IRR]]*Table1[[#This Row],[Coupon Frequency2]]</f>
        <v>#N/A</v>
      </c>
      <c r="AM1197" s="5" t="e">
        <f t="shared" si="74"/>
        <v>#N/A</v>
      </c>
      <c r="AN1197" t="s">
        <v>64</v>
      </c>
      <c r="AO1197" t="s">
        <v>62</v>
      </c>
      <c r="AP1197" t="str">
        <f t="shared" si="75"/>
        <v/>
      </c>
    </row>
    <row r="1198" spans="4:42" x14ac:dyDescent="0.35">
      <c r="D1198" s="21"/>
      <c r="E1198" s="21"/>
      <c r="L1198" s="22"/>
      <c r="S1198">
        <f t="shared" si="72"/>
        <v>0</v>
      </c>
      <c r="T1198" s="5" t="e" cm="1">
        <f t="array" ref="T11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8" t="e">
        <f>Table1[[#This Row],[Term to Maturity (Years)]]*Table1[[#This Row],[Coupon Frequency2]]</f>
        <v>#N/A</v>
      </c>
      <c r="V1198">
        <f>Table1[[#This Row],[Face value]]*Table1[[#This Row],[Current coupon %]]</f>
        <v>0</v>
      </c>
      <c r="W1198" s="36" t="e">
        <f>RATE(Table1[[#This Row],[Total No. of Coupons]],Table1[[#This Row],[Coupon Amount]],-Table1[[#This Row],[Ask Price]],Table1[[#This Row],[Face value]])</f>
        <v>#N/A</v>
      </c>
      <c r="X1198" s="27" t="e">
        <f>Table1[[#This Row],[IRR]]*Table1[[#This Row],[Coupon Frequency2]]</f>
        <v>#N/A</v>
      </c>
      <c r="Y1198" s="19" t="e" cm="1">
        <f t="array" ref="Y11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8" s="33" t="e">
        <f>DURATION(Table1[[#This Row],[Issue date]],Table1[[#This Row],[Maturity date]],Table1[[#This Row],[Current coupon %]],Table1[[#This Row],[Yield (Annualised)]],Table1[[#This Row],[Coupon Frequency2]])</f>
        <v>#N/A</v>
      </c>
      <c r="AA1198" s="33" t="e">
        <f>Table1[[#This Row],[Macaulay Duration in Years]]/(1+Table1[[#This Row],[IRR]])</f>
        <v>#N/A</v>
      </c>
      <c r="AB1198" s="58" t="e">
        <f>VLOOKUP(Table1[[#This Row],[Yield Cluster]],'Cluster Details'!$B$3:$C$16,2,0)</f>
        <v>#N/A</v>
      </c>
      <c r="AC11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8" s="58" t="e">
        <f>IF(Table1[[#This Row],[Ask Price]]&gt;Table1[[#This Row],[Calculated Bond Price]],"Rich","Cheap")</f>
        <v>#N/A</v>
      </c>
      <c r="AE11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8" s="78" t="e">
        <f>(Table1[[#This Row],[P (+ shock)]]+Table1[[#This Row],[P (-shock)]]-2*Table1[[#This Row],[Ask Price]])/(2*Table1[[#This Row],[Ask Price]]*($AF$2^2))</f>
        <v>#N/A</v>
      </c>
      <c r="AH1198">
        <v>7.86200356983489</v>
      </c>
      <c r="AI1198" s="6" t="e">
        <f t="shared" si="73"/>
        <v>#DIV/0!</v>
      </c>
      <c r="AK1198" s="47" t="e">
        <f>RATE(Table1[[#This Row],[Total No. of Coupons]],Table1[[#This Row],[Coupon Amount]],-Table1[[#This Row],[Ask Price]],Table1[[#This Row],[Face value]])</f>
        <v>#N/A</v>
      </c>
      <c r="AL1198" s="27" t="e">
        <f>Table1[[#This Row],[IRR]]*Table1[[#This Row],[Coupon Frequency2]]</f>
        <v>#N/A</v>
      </c>
      <c r="AM1198" s="5" t="e">
        <f t="shared" si="74"/>
        <v>#N/A</v>
      </c>
      <c r="AN1198" t="s">
        <v>64</v>
      </c>
      <c r="AO1198" t="s">
        <v>62</v>
      </c>
      <c r="AP1198" t="str">
        <f t="shared" si="75"/>
        <v/>
      </c>
    </row>
    <row r="1199" spans="4:42" x14ac:dyDescent="0.35">
      <c r="D1199" s="21"/>
      <c r="E1199" s="21"/>
      <c r="L1199" s="22"/>
      <c r="S1199">
        <f t="shared" si="72"/>
        <v>0</v>
      </c>
      <c r="T1199" s="5" t="e" cm="1">
        <f t="array" ref="T11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199" t="e">
        <f>Table1[[#This Row],[Term to Maturity (Years)]]*Table1[[#This Row],[Coupon Frequency2]]</f>
        <v>#N/A</v>
      </c>
      <c r="V1199">
        <f>Table1[[#This Row],[Face value]]*Table1[[#This Row],[Current coupon %]]</f>
        <v>0</v>
      </c>
      <c r="W1199" s="36" t="e">
        <f>RATE(Table1[[#This Row],[Total No. of Coupons]],Table1[[#This Row],[Coupon Amount]],-Table1[[#This Row],[Ask Price]],Table1[[#This Row],[Face value]])</f>
        <v>#N/A</v>
      </c>
      <c r="X1199" s="27" t="e">
        <f>Table1[[#This Row],[IRR]]*Table1[[#This Row],[Coupon Frequency2]]</f>
        <v>#N/A</v>
      </c>
      <c r="Y1199" s="19" t="e" cm="1">
        <f t="array" ref="Y11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199" s="33" t="e">
        <f>DURATION(Table1[[#This Row],[Issue date]],Table1[[#This Row],[Maturity date]],Table1[[#This Row],[Current coupon %]],Table1[[#This Row],[Yield (Annualised)]],Table1[[#This Row],[Coupon Frequency2]])</f>
        <v>#N/A</v>
      </c>
      <c r="AA1199" s="33" t="e">
        <f>Table1[[#This Row],[Macaulay Duration in Years]]/(1+Table1[[#This Row],[IRR]])</f>
        <v>#N/A</v>
      </c>
      <c r="AB1199" s="58" t="e">
        <f>VLOOKUP(Table1[[#This Row],[Yield Cluster]],'Cluster Details'!$B$3:$C$16,2,0)</f>
        <v>#N/A</v>
      </c>
      <c r="AC11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199" s="58" t="e">
        <f>IF(Table1[[#This Row],[Ask Price]]&gt;Table1[[#This Row],[Calculated Bond Price]],"Rich","Cheap")</f>
        <v>#N/A</v>
      </c>
      <c r="AE11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1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199" s="78" t="e">
        <f>(Table1[[#This Row],[P (+ shock)]]+Table1[[#This Row],[P (-shock)]]-2*Table1[[#This Row],[Ask Price]])/(2*Table1[[#This Row],[Ask Price]]*($AF$2^2))</f>
        <v>#N/A</v>
      </c>
      <c r="AH1199">
        <v>10.088689774233099</v>
      </c>
      <c r="AI1199" s="6" t="e">
        <f t="shared" si="73"/>
        <v>#DIV/0!</v>
      </c>
      <c r="AK1199" s="47" t="e">
        <f>RATE(Table1[[#This Row],[Total No. of Coupons]],Table1[[#This Row],[Coupon Amount]],-Table1[[#This Row],[Ask Price]],Table1[[#This Row],[Face value]])</f>
        <v>#N/A</v>
      </c>
      <c r="AL1199" s="27" t="e">
        <f>Table1[[#This Row],[IRR]]*Table1[[#This Row],[Coupon Frequency2]]</f>
        <v>#N/A</v>
      </c>
      <c r="AM1199" s="5" t="e">
        <f t="shared" si="74"/>
        <v>#N/A</v>
      </c>
      <c r="AN1199" t="s">
        <v>64</v>
      </c>
      <c r="AO1199" t="s">
        <v>62</v>
      </c>
      <c r="AP1199" t="str">
        <f t="shared" si="75"/>
        <v/>
      </c>
    </row>
    <row r="1200" spans="4:42" x14ac:dyDescent="0.35">
      <c r="D1200" s="21"/>
      <c r="E1200" s="21"/>
      <c r="L1200" s="22"/>
      <c r="S1200">
        <f t="shared" si="72"/>
        <v>0</v>
      </c>
      <c r="T1200" s="5" t="e" cm="1">
        <f t="array" ref="T12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0" t="e">
        <f>Table1[[#This Row],[Term to Maturity (Years)]]*Table1[[#This Row],[Coupon Frequency2]]</f>
        <v>#N/A</v>
      </c>
      <c r="V1200">
        <f>Table1[[#This Row],[Face value]]*Table1[[#This Row],[Current coupon %]]</f>
        <v>0</v>
      </c>
      <c r="W1200" s="36" t="e">
        <f>RATE(Table1[[#This Row],[Total No. of Coupons]],Table1[[#This Row],[Coupon Amount]],-Table1[[#This Row],[Ask Price]],Table1[[#This Row],[Face value]])</f>
        <v>#N/A</v>
      </c>
      <c r="X1200" s="27" t="e">
        <f>Table1[[#This Row],[IRR]]*Table1[[#This Row],[Coupon Frequency2]]</f>
        <v>#N/A</v>
      </c>
      <c r="Y1200" s="19" t="e" cm="1">
        <f t="array" ref="Y12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0" s="33" t="e">
        <f>DURATION(Table1[[#This Row],[Issue date]],Table1[[#This Row],[Maturity date]],Table1[[#This Row],[Current coupon %]],Table1[[#This Row],[Yield (Annualised)]],Table1[[#This Row],[Coupon Frequency2]])</f>
        <v>#N/A</v>
      </c>
      <c r="AA1200" s="33" t="e">
        <f>Table1[[#This Row],[Macaulay Duration in Years]]/(1+Table1[[#This Row],[IRR]])</f>
        <v>#N/A</v>
      </c>
      <c r="AB1200" s="58" t="e">
        <f>VLOOKUP(Table1[[#This Row],[Yield Cluster]],'Cluster Details'!$B$3:$C$16,2,0)</f>
        <v>#N/A</v>
      </c>
      <c r="AC12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0" s="58" t="e">
        <f>IF(Table1[[#This Row],[Ask Price]]&gt;Table1[[#This Row],[Calculated Bond Price]],"Rich","Cheap")</f>
        <v>#N/A</v>
      </c>
      <c r="AE12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0" s="78" t="e">
        <f>(Table1[[#This Row],[P (+ shock)]]+Table1[[#This Row],[P (-shock)]]-2*Table1[[#This Row],[Ask Price]])/(2*Table1[[#This Row],[Ask Price]]*($AF$2^2))</f>
        <v>#N/A</v>
      </c>
      <c r="AH1200">
        <v>6.0626206895628796</v>
      </c>
      <c r="AI1200" s="6" t="e">
        <f t="shared" si="73"/>
        <v>#DIV/0!</v>
      </c>
      <c r="AK1200" s="47" t="e">
        <f>RATE(Table1[[#This Row],[Total No. of Coupons]],Table1[[#This Row],[Coupon Amount]],-Table1[[#This Row],[Ask Price]],Table1[[#This Row],[Face value]])</f>
        <v>#N/A</v>
      </c>
      <c r="AL1200" s="27" t="e">
        <f>Table1[[#This Row],[IRR]]*Table1[[#This Row],[Coupon Frequency2]]</f>
        <v>#N/A</v>
      </c>
      <c r="AM1200" s="5" t="e">
        <f t="shared" si="74"/>
        <v>#N/A</v>
      </c>
      <c r="AN1200" t="s">
        <v>64</v>
      </c>
      <c r="AO1200" t="s">
        <v>62</v>
      </c>
      <c r="AP1200" t="str">
        <f t="shared" si="75"/>
        <v/>
      </c>
    </row>
    <row r="1201" spans="4:42" x14ac:dyDescent="0.35">
      <c r="D1201" s="21"/>
      <c r="E1201" s="21"/>
      <c r="L1201" s="22"/>
      <c r="S1201">
        <f t="shared" si="72"/>
        <v>0</v>
      </c>
      <c r="T1201" s="5" t="e" cm="1">
        <f t="array" ref="T12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1" t="e">
        <f>Table1[[#This Row],[Term to Maturity (Years)]]*Table1[[#This Row],[Coupon Frequency2]]</f>
        <v>#N/A</v>
      </c>
      <c r="V1201">
        <f>Table1[[#This Row],[Face value]]*Table1[[#This Row],[Current coupon %]]</f>
        <v>0</v>
      </c>
      <c r="W1201" s="36" t="e">
        <f>RATE(Table1[[#This Row],[Total No. of Coupons]],Table1[[#This Row],[Coupon Amount]],-Table1[[#This Row],[Ask Price]],Table1[[#This Row],[Face value]])</f>
        <v>#N/A</v>
      </c>
      <c r="X1201" s="27" t="e">
        <f>Table1[[#This Row],[IRR]]*Table1[[#This Row],[Coupon Frequency2]]</f>
        <v>#N/A</v>
      </c>
      <c r="Y1201" s="19" t="e" cm="1">
        <f t="array" ref="Y12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1" s="33" t="e">
        <f>DURATION(Table1[[#This Row],[Issue date]],Table1[[#This Row],[Maturity date]],Table1[[#This Row],[Current coupon %]],Table1[[#This Row],[Yield (Annualised)]],Table1[[#This Row],[Coupon Frequency2]])</f>
        <v>#N/A</v>
      </c>
      <c r="AA1201" s="33" t="e">
        <f>Table1[[#This Row],[Macaulay Duration in Years]]/(1+Table1[[#This Row],[IRR]])</f>
        <v>#N/A</v>
      </c>
      <c r="AB1201" s="58" t="e">
        <f>VLOOKUP(Table1[[#This Row],[Yield Cluster]],'Cluster Details'!$B$3:$C$16,2,0)</f>
        <v>#N/A</v>
      </c>
      <c r="AC12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1" s="58" t="e">
        <f>IF(Table1[[#This Row],[Ask Price]]&gt;Table1[[#This Row],[Calculated Bond Price]],"Rich","Cheap")</f>
        <v>#N/A</v>
      </c>
      <c r="AE12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1" s="78" t="e">
        <f>(Table1[[#This Row],[P (+ shock)]]+Table1[[#This Row],[P (-shock)]]-2*Table1[[#This Row],[Ask Price]])/(2*Table1[[#This Row],[Ask Price]]*($AF$2^2))</f>
        <v>#N/A</v>
      </c>
      <c r="AI1201" s="6" t="e">
        <f t="shared" si="73"/>
        <v>#DIV/0!</v>
      </c>
      <c r="AK1201" s="47" t="e">
        <f>RATE(Table1[[#This Row],[Total No. of Coupons]],Table1[[#This Row],[Coupon Amount]],-Table1[[#This Row],[Ask Price]],Table1[[#This Row],[Face value]])</f>
        <v>#N/A</v>
      </c>
      <c r="AL1201" s="27" t="e">
        <f>Table1[[#This Row],[IRR]]*Table1[[#This Row],[Coupon Frequency2]]</f>
        <v>#N/A</v>
      </c>
      <c r="AM1201" s="5" t="e">
        <f t="shared" si="74"/>
        <v>#N/A</v>
      </c>
      <c r="AN1201" t="s">
        <v>69</v>
      </c>
      <c r="AO1201" t="s">
        <v>62</v>
      </c>
      <c r="AP1201" t="str">
        <f t="shared" si="75"/>
        <v/>
      </c>
    </row>
    <row r="1202" spans="4:42" x14ac:dyDescent="0.35">
      <c r="D1202" s="21"/>
      <c r="E1202" s="21"/>
      <c r="L1202" s="22"/>
      <c r="S1202">
        <f t="shared" si="72"/>
        <v>0</v>
      </c>
      <c r="T1202" s="5" t="e" cm="1">
        <f t="array" ref="T12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2" t="e">
        <f>Table1[[#This Row],[Term to Maturity (Years)]]*Table1[[#This Row],[Coupon Frequency2]]</f>
        <v>#N/A</v>
      </c>
      <c r="V1202">
        <f>Table1[[#This Row],[Face value]]*Table1[[#This Row],[Current coupon %]]</f>
        <v>0</v>
      </c>
      <c r="W1202" s="36" t="e">
        <f>RATE(Table1[[#This Row],[Total No. of Coupons]],Table1[[#This Row],[Coupon Amount]],-Table1[[#This Row],[Ask Price]],Table1[[#This Row],[Face value]])</f>
        <v>#N/A</v>
      </c>
      <c r="X1202" s="27" t="e">
        <f>Table1[[#This Row],[IRR]]*Table1[[#This Row],[Coupon Frequency2]]</f>
        <v>#N/A</v>
      </c>
      <c r="Y1202" s="19" t="e" cm="1">
        <f t="array" ref="Y12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2" s="33" t="e">
        <f>DURATION(Table1[[#This Row],[Issue date]],Table1[[#This Row],[Maturity date]],Table1[[#This Row],[Current coupon %]],Table1[[#This Row],[Yield (Annualised)]],Table1[[#This Row],[Coupon Frequency2]])</f>
        <v>#N/A</v>
      </c>
      <c r="AA1202" s="33" t="e">
        <f>Table1[[#This Row],[Macaulay Duration in Years]]/(1+Table1[[#This Row],[IRR]])</f>
        <v>#N/A</v>
      </c>
      <c r="AB1202" s="58" t="e">
        <f>VLOOKUP(Table1[[#This Row],[Yield Cluster]],'Cluster Details'!$B$3:$C$16,2,0)</f>
        <v>#N/A</v>
      </c>
      <c r="AC12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2" s="58" t="e">
        <f>IF(Table1[[#This Row],[Ask Price]]&gt;Table1[[#This Row],[Calculated Bond Price]],"Rich","Cheap")</f>
        <v>#N/A</v>
      </c>
      <c r="AE12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2" s="78" t="e">
        <f>(Table1[[#This Row],[P (+ shock)]]+Table1[[#This Row],[P (-shock)]]-2*Table1[[#This Row],[Ask Price]])/(2*Table1[[#This Row],[Ask Price]]*($AF$2^2))</f>
        <v>#N/A</v>
      </c>
      <c r="AI1202" s="6" t="e">
        <f t="shared" si="73"/>
        <v>#DIV/0!</v>
      </c>
      <c r="AK1202" s="47" t="e">
        <f>RATE(Table1[[#This Row],[Total No. of Coupons]],Table1[[#This Row],[Coupon Amount]],-Table1[[#This Row],[Ask Price]],Table1[[#This Row],[Face value]])</f>
        <v>#N/A</v>
      </c>
      <c r="AL1202" s="27" t="e">
        <f>Table1[[#This Row],[IRR]]*Table1[[#This Row],[Coupon Frequency2]]</f>
        <v>#N/A</v>
      </c>
      <c r="AM1202" s="5" t="e">
        <f t="shared" si="74"/>
        <v>#N/A</v>
      </c>
      <c r="AN1202" t="s">
        <v>69</v>
      </c>
      <c r="AO1202" t="s">
        <v>62</v>
      </c>
      <c r="AP1202" t="str">
        <f t="shared" si="75"/>
        <v/>
      </c>
    </row>
    <row r="1203" spans="4:42" x14ac:dyDescent="0.35">
      <c r="D1203" s="21"/>
      <c r="E1203" s="21"/>
      <c r="L1203" s="22"/>
      <c r="S1203">
        <f t="shared" si="72"/>
        <v>0</v>
      </c>
      <c r="T1203" s="5" t="e" cm="1">
        <f t="array" ref="T12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3" t="e">
        <f>Table1[[#This Row],[Term to Maturity (Years)]]*Table1[[#This Row],[Coupon Frequency2]]</f>
        <v>#N/A</v>
      </c>
      <c r="V1203">
        <f>Table1[[#This Row],[Face value]]*Table1[[#This Row],[Current coupon %]]</f>
        <v>0</v>
      </c>
      <c r="W1203" s="36" t="e">
        <f>RATE(Table1[[#This Row],[Total No. of Coupons]],Table1[[#This Row],[Coupon Amount]],-Table1[[#This Row],[Ask Price]],Table1[[#This Row],[Face value]])</f>
        <v>#N/A</v>
      </c>
      <c r="X1203" s="27" t="e">
        <f>Table1[[#This Row],[IRR]]*Table1[[#This Row],[Coupon Frequency2]]</f>
        <v>#N/A</v>
      </c>
      <c r="Y1203" s="19" t="e" cm="1">
        <f t="array" ref="Y12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3" s="33" t="e">
        <f>DURATION(Table1[[#This Row],[Issue date]],Table1[[#This Row],[Maturity date]],Table1[[#This Row],[Current coupon %]],Table1[[#This Row],[Yield (Annualised)]],Table1[[#This Row],[Coupon Frequency2]])</f>
        <v>#N/A</v>
      </c>
      <c r="AA1203" s="33" t="e">
        <f>Table1[[#This Row],[Macaulay Duration in Years]]/(1+Table1[[#This Row],[IRR]])</f>
        <v>#N/A</v>
      </c>
      <c r="AB1203" s="58" t="e">
        <f>VLOOKUP(Table1[[#This Row],[Yield Cluster]],'Cluster Details'!$B$3:$C$16,2,0)</f>
        <v>#N/A</v>
      </c>
      <c r="AC12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3" s="58" t="e">
        <f>IF(Table1[[#This Row],[Ask Price]]&gt;Table1[[#This Row],[Calculated Bond Price]],"Rich","Cheap")</f>
        <v>#N/A</v>
      </c>
      <c r="AE12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3" s="78" t="e">
        <f>(Table1[[#This Row],[P (+ shock)]]+Table1[[#This Row],[P (-shock)]]-2*Table1[[#This Row],[Ask Price]])/(2*Table1[[#This Row],[Ask Price]]*($AF$2^2))</f>
        <v>#N/A</v>
      </c>
      <c r="AI1203" s="6" t="e">
        <f t="shared" si="73"/>
        <v>#DIV/0!</v>
      </c>
      <c r="AK1203" s="47" t="e">
        <f>RATE(Table1[[#This Row],[Total No. of Coupons]],Table1[[#This Row],[Coupon Amount]],-Table1[[#This Row],[Ask Price]],Table1[[#This Row],[Face value]])</f>
        <v>#N/A</v>
      </c>
      <c r="AL1203" s="27" t="e">
        <f>Table1[[#This Row],[IRR]]*Table1[[#This Row],[Coupon Frequency2]]</f>
        <v>#N/A</v>
      </c>
      <c r="AM1203" s="5" t="e">
        <f t="shared" si="74"/>
        <v>#N/A</v>
      </c>
      <c r="AN1203" t="s">
        <v>64</v>
      </c>
      <c r="AO1203" t="s">
        <v>62</v>
      </c>
      <c r="AP1203" t="str">
        <f t="shared" si="75"/>
        <v/>
      </c>
    </row>
    <row r="1204" spans="4:42" x14ac:dyDescent="0.35">
      <c r="D1204" s="21"/>
      <c r="E1204" s="21"/>
      <c r="L1204" s="22"/>
      <c r="S1204">
        <f t="shared" si="72"/>
        <v>0</v>
      </c>
      <c r="T1204" s="5" t="e" cm="1">
        <f t="array" ref="T12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4" t="e">
        <f>Table1[[#This Row],[Term to Maturity (Years)]]*Table1[[#This Row],[Coupon Frequency2]]</f>
        <v>#N/A</v>
      </c>
      <c r="V1204">
        <f>Table1[[#This Row],[Face value]]*Table1[[#This Row],[Current coupon %]]</f>
        <v>0</v>
      </c>
      <c r="W1204" s="36" t="e">
        <f>RATE(Table1[[#This Row],[Total No. of Coupons]],Table1[[#This Row],[Coupon Amount]],-Table1[[#This Row],[Ask Price]],Table1[[#This Row],[Face value]])</f>
        <v>#N/A</v>
      </c>
      <c r="X1204" s="27" t="e">
        <f>Table1[[#This Row],[IRR]]*Table1[[#This Row],[Coupon Frequency2]]</f>
        <v>#N/A</v>
      </c>
      <c r="Y1204" s="19" t="e" cm="1">
        <f t="array" ref="Y12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4" s="33" t="e">
        <f>DURATION(Table1[[#This Row],[Issue date]],Table1[[#This Row],[Maturity date]],Table1[[#This Row],[Current coupon %]],Table1[[#This Row],[Yield (Annualised)]],Table1[[#This Row],[Coupon Frequency2]])</f>
        <v>#N/A</v>
      </c>
      <c r="AA1204" s="33" t="e">
        <f>Table1[[#This Row],[Macaulay Duration in Years]]/(1+Table1[[#This Row],[IRR]])</f>
        <v>#N/A</v>
      </c>
      <c r="AB1204" s="58" t="e">
        <f>VLOOKUP(Table1[[#This Row],[Yield Cluster]],'Cluster Details'!$B$3:$C$16,2,0)</f>
        <v>#N/A</v>
      </c>
      <c r="AC12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4" s="58" t="e">
        <f>IF(Table1[[#This Row],[Ask Price]]&gt;Table1[[#This Row],[Calculated Bond Price]],"Rich","Cheap")</f>
        <v>#N/A</v>
      </c>
      <c r="AE12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4" s="78" t="e">
        <f>(Table1[[#This Row],[P (+ shock)]]+Table1[[#This Row],[P (-shock)]]-2*Table1[[#This Row],[Ask Price]])/(2*Table1[[#This Row],[Ask Price]]*($AF$2^2))</f>
        <v>#N/A</v>
      </c>
      <c r="AI1204" s="6" t="e">
        <f t="shared" si="73"/>
        <v>#DIV/0!</v>
      </c>
      <c r="AK1204" s="47" t="e">
        <f>RATE(Table1[[#This Row],[Total No. of Coupons]],Table1[[#This Row],[Coupon Amount]],-Table1[[#This Row],[Ask Price]],Table1[[#This Row],[Face value]])</f>
        <v>#N/A</v>
      </c>
      <c r="AL1204" s="27" t="e">
        <f>Table1[[#This Row],[IRR]]*Table1[[#This Row],[Coupon Frequency2]]</f>
        <v>#N/A</v>
      </c>
      <c r="AM1204" s="5" t="e">
        <f t="shared" si="74"/>
        <v>#N/A</v>
      </c>
      <c r="AN1204" t="s">
        <v>64</v>
      </c>
      <c r="AO1204" t="s">
        <v>62</v>
      </c>
      <c r="AP1204" t="str">
        <f t="shared" si="75"/>
        <v/>
      </c>
    </row>
    <row r="1205" spans="4:42" x14ac:dyDescent="0.35">
      <c r="D1205" s="21"/>
      <c r="E1205" s="21"/>
      <c r="L1205" s="22"/>
      <c r="S1205">
        <f t="shared" si="72"/>
        <v>0</v>
      </c>
      <c r="T1205" s="5" t="e" cm="1">
        <f t="array" ref="T12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5" t="e">
        <f>Table1[[#This Row],[Term to Maturity (Years)]]*Table1[[#This Row],[Coupon Frequency2]]</f>
        <v>#N/A</v>
      </c>
      <c r="V1205">
        <f>Table1[[#This Row],[Face value]]*Table1[[#This Row],[Current coupon %]]</f>
        <v>0</v>
      </c>
      <c r="W1205" s="36" t="e">
        <f>RATE(Table1[[#This Row],[Total No. of Coupons]],Table1[[#This Row],[Coupon Amount]],-Table1[[#This Row],[Ask Price]],Table1[[#This Row],[Face value]])</f>
        <v>#N/A</v>
      </c>
      <c r="X1205" s="27" t="e">
        <f>Table1[[#This Row],[IRR]]*Table1[[#This Row],[Coupon Frequency2]]</f>
        <v>#N/A</v>
      </c>
      <c r="Y1205" s="19" t="e" cm="1">
        <f t="array" ref="Y12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5" s="33" t="e">
        <f>DURATION(Table1[[#This Row],[Issue date]],Table1[[#This Row],[Maturity date]],Table1[[#This Row],[Current coupon %]],Table1[[#This Row],[Yield (Annualised)]],Table1[[#This Row],[Coupon Frequency2]])</f>
        <v>#N/A</v>
      </c>
      <c r="AA1205" s="33" t="e">
        <f>Table1[[#This Row],[Macaulay Duration in Years]]/(1+Table1[[#This Row],[IRR]])</f>
        <v>#N/A</v>
      </c>
      <c r="AB1205" s="58" t="e">
        <f>VLOOKUP(Table1[[#This Row],[Yield Cluster]],'Cluster Details'!$B$3:$C$16,2,0)</f>
        <v>#N/A</v>
      </c>
      <c r="AC12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5" s="58" t="e">
        <f>IF(Table1[[#This Row],[Ask Price]]&gt;Table1[[#This Row],[Calculated Bond Price]],"Rich","Cheap")</f>
        <v>#N/A</v>
      </c>
      <c r="AE12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5" s="78" t="e">
        <f>(Table1[[#This Row],[P (+ shock)]]+Table1[[#This Row],[P (-shock)]]-2*Table1[[#This Row],[Ask Price]])/(2*Table1[[#This Row],[Ask Price]]*($AF$2^2))</f>
        <v>#N/A</v>
      </c>
      <c r="AI1205" s="6" t="e">
        <f t="shared" si="73"/>
        <v>#DIV/0!</v>
      </c>
      <c r="AK1205" s="47" t="e">
        <f>RATE(Table1[[#This Row],[Total No. of Coupons]],Table1[[#This Row],[Coupon Amount]],-Table1[[#This Row],[Ask Price]],Table1[[#This Row],[Face value]])</f>
        <v>#N/A</v>
      </c>
      <c r="AL1205" s="27" t="e">
        <f>Table1[[#This Row],[IRR]]*Table1[[#This Row],[Coupon Frequency2]]</f>
        <v>#N/A</v>
      </c>
      <c r="AM1205" s="5" t="e">
        <f t="shared" si="74"/>
        <v>#N/A</v>
      </c>
      <c r="AN1205" t="s">
        <v>64</v>
      </c>
      <c r="AO1205" t="s">
        <v>62</v>
      </c>
      <c r="AP1205" t="str">
        <f t="shared" si="75"/>
        <v/>
      </c>
    </row>
    <row r="1206" spans="4:42" x14ac:dyDescent="0.35">
      <c r="D1206" s="21"/>
      <c r="E1206" s="21"/>
      <c r="L1206" s="22"/>
      <c r="S1206">
        <f t="shared" si="72"/>
        <v>0</v>
      </c>
      <c r="T1206" s="5" t="e" cm="1">
        <f t="array" ref="T12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6" t="e">
        <f>Table1[[#This Row],[Term to Maturity (Years)]]*Table1[[#This Row],[Coupon Frequency2]]</f>
        <v>#N/A</v>
      </c>
      <c r="V1206">
        <f>Table1[[#This Row],[Face value]]*Table1[[#This Row],[Current coupon %]]</f>
        <v>0</v>
      </c>
      <c r="W1206" s="36" t="e">
        <f>RATE(Table1[[#This Row],[Total No. of Coupons]],Table1[[#This Row],[Coupon Amount]],-Table1[[#This Row],[Ask Price]],Table1[[#This Row],[Face value]])</f>
        <v>#N/A</v>
      </c>
      <c r="X1206" s="27" t="e">
        <f>Table1[[#This Row],[IRR]]*Table1[[#This Row],[Coupon Frequency2]]</f>
        <v>#N/A</v>
      </c>
      <c r="Y1206" s="19" t="e" cm="1">
        <f t="array" ref="Y12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6" s="33" t="e">
        <f>DURATION(Table1[[#This Row],[Issue date]],Table1[[#This Row],[Maturity date]],Table1[[#This Row],[Current coupon %]],Table1[[#This Row],[Yield (Annualised)]],Table1[[#This Row],[Coupon Frequency2]])</f>
        <v>#N/A</v>
      </c>
      <c r="AA1206" s="33" t="e">
        <f>Table1[[#This Row],[Macaulay Duration in Years]]/(1+Table1[[#This Row],[IRR]])</f>
        <v>#N/A</v>
      </c>
      <c r="AB1206" s="58" t="e">
        <f>VLOOKUP(Table1[[#This Row],[Yield Cluster]],'Cluster Details'!$B$3:$C$16,2,0)</f>
        <v>#N/A</v>
      </c>
      <c r="AC12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6" s="58" t="e">
        <f>IF(Table1[[#This Row],[Ask Price]]&gt;Table1[[#This Row],[Calculated Bond Price]],"Rich","Cheap")</f>
        <v>#N/A</v>
      </c>
      <c r="AE12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6" s="78" t="e">
        <f>(Table1[[#This Row],[P (+ shock)]]+Table1[[#This Row],[P (-shock)]]-2*Table1[[#This Row],[Ask Price]])/(2*Table1[[#This Row],[Ask Price]]*($AF$2^2))</f>
        <v>#N/A</v>
      </c>
      <c r="AI1206" s="6" t="e">
        <f t="shared" si="73"/>
        <v>#DIV/0!</v>
      </c>
      <c r="AK1206" s="47" t="e">
        <f>RATE(Table1[[#This Row],[Total No. of Coupons]],Table1[[#This Row],[Coupon Amount]],-Table1[[#This Row],[Ask Price]],Table1[[#This Row],[Face value]])</f>
        <v>#N/A</v>
      </c>
      <c r="AL1206" s="27" t="e">
        <f>Table1[[#This Row],[IRR]]*Table1[[#This Row],[Coupon Frequency2]]</f>
        <v>#N/A</v>
      </c>
      <c r="AM1206" s="5" t="e">
        <f t="shared" si="74"/>
        <v>#N/A</v>
      </c>
      <c r="AN1206" t="s">
        <v>64</v>
      </c>
      <c r="AO1206" t="s">
        <v>62</v>
      </c>
      <c r="AP1206" t="str">
        <f t="shared" si="75"/>
        <v/>
      </c>
    </row>
    <row r="1207" spans="4:42" x14ac:dyDescent="0.35">
      <c r="D1207" s="21"/>
      <c r="E1207" s="21"/>
      <c r="L1207" s="22"/>
      <c r="S1207">
        <f t="shared" si="72"/>
        <v>0</v>
      </c>
      <c r="T1207" s="5" t="e" cm="1">
        <f t="array" ref="T12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7" t="e">
        <f>Table1[[#This Row],[Term to Maturity (Years)]]*Table1[[#This Row],[Coupon Frequency2]]</f>
        <v>#N/A</v>
      </c>
      <c r="V1207">
        <f>Table1[[#This Row],[Face value]]*Table1[[#This Row],[Current coupon %]]</f>
        <v>0</v>
      </c>
      <c r="W1207" s="36" t="e">
        <f>RATE(Table1[[#This Row],[Total No. of Coupons]],Table1[[#This Row],[Coupon Amount]],-Table1[[#This Row],[Ask Price]],Table1[[#This Row],[Face value]])</f>
        <v>#N/A</v>
      </c>
      <c r="X1207" s="27" t="e">
        <f>Table1[[#This Row],[IRR]]*Table1[[#This Row],[Coupon Frequency2]]</f>
        <v>#N/A</v>
      </c>
      <c r="Y1207" s="19" t="e" cm="1">
        <f t="array" ref="Y12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7" s="33" t="e">
        <f>DURATION(Table1[[#This Row],[Issue date]],Table1[[#This Row],[Maturity date]],Table1[[#This Row],[Current coupon %]],Table1[[#This Row],[Yield (Annualised)]],Table1[[#This Row],[Coupon Frequency2]])</f>
        <v>#N/A</v>
      </c>
      <c r="AA1207" s="33" t="e">
        <f>Table1[[#This Row],[Macaulay Duration in Years]]/(1+Table1[[#This Row],[IRR]])</f>
        <v>#N/A</v>
      </c>
      <c r="AB1207" s="58" t="e">
        <f>VLOOKUP(Table1[[#This Row],[Yield Cluster]],'Cluster Details'!$B$3:$C$16,2,0)</f>
        <v>#N/A</v>
      </c>
      <c r="AC12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7" s="58" t="e">
        <f>IF(Table1[[#This Row],[Ask Price]]&gt;Table1[[#This Row],[Calculated Bond Price]],"Rich","Cheap")</f>
        <v>#N/A</v>
      </c>
      <c r="AE12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7" s="78" t="e">
        <f>(Table1[[#This Row],[P (+ shock)]]+Table1[[#This Row],[P (-shock)]]-2*Table1[[#This Row],[Ask Price]])/(2*Table1[[#This Row],[Ask Price]]*($AF$2^2))</f>
        <v>#N/A</v>
      </c>
      <c r="AH1207">
        <v>9.4499999999999993</v>
      </c>
      <c r="AI1207" s="6" t="e">
        <f t="shared" si="73"/>
        <v>#DIV/0!</v>
      </c>
      <c r="AK1207" s="47" t="e">
        <f>RATE(Table1[[#This Row],[Total No. of Coupons]],Table1[[#This Row],[Coupon Amount]],-Table1[[#This Row],[Ask Price]],Table1[[#This Row],[Face value]])</f>
        <v>#N/A</v>
      </c>
      <c r="AL1207" s="27" t="e">
        <f>Table1[[#This Row],[IRR]]*Table1[[#This Row],[Coupon Frequency2]]</f>
        <v>#N/A</v>
      </c>
      <c r="AM1207" s="5" t="e">
        <f t="shared" si="74"/>
        <v>#N/A</v>
      </c>
      <c r="AN1207" t="s">
        <v>64</v>
      </c>
      <c r="AO1207" t="s">
        <v>62</v>
      </c>
      <c r="AP1207" t="str">
        <f t="shared" si="75"/>
        <v/>
      </c>
    </row>
    <row r="1208" spans="4:42" x14ac:dyDescent="0.35">
      <c r="D1208" s="21"/>
      <c r="E1208" s="21"/>
      <c r="L1208" s="22"/>
      <c r="S1208">
        <f t="shared" si="72"/>
        <v>0</v>
      </c>
      <c r="T1208" s="5" t="e" cm="1">
        <f t="array" ref="T12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8" t="e">
        <f>Table1[[#This Row],[Term to Maturity (Years)]]*Table1[[#This Row],[Coupon Frequency2]]</f>
        <v>#N/A</v>
      </c>
      <c r="V1208">
        <f>Table1[[#This Row],[Face value]]*Table1[[#This Row],[Current coupon %]]</f>
        <v>0</v>
      </c>
      <c r="W1208" s="36" t="e">
        <f>RATE(Table1[[#This Row],[Total No. of Coupons]],Table1[[#This Row],[Coupon Amount]],-Table1[[#This Row],[Ask Price]],Table1[[#This Row],[Face value]])</f>
        <v>#N/A</v>
      </c>
      <c r="X1208" s="27" t="e">
        <f>Table1[[#This Row],[IRR]]*Table1[[#This Row],[Coupon Frequency2]]</f>
        <v>#N/A</v>
      </c>
      <c r="Y1208" s="19" t="e" cm="1">
        <f t="array" ref="Y12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8" s="33" t="e">
        <f>DURATION(Table1[[#This Row],[Issue date]],Table1[[#This Row],[Maturity date]],Table1[[#This Row],[Current coupon %]],Table1[[#This Row],[Yield (Annualised)]],Table1[[#This Row],[Coupon Frequency2]])</f>
        <v>#N/A</v>
      </c>
      <c r="AA1208" s="33" t="e">
        <f>Table1[[#This Row],[Macaulay Duration in Years]]/(1+Table1[[#This Row],[IRR]])</f>
        <v>#N/A</v>
      </c>
      <c r="AB1208" s="58" t="e">
        <f>VLOOKUP(Table1[[#This Row],[Yield Cluster]],'Cluster Details'!$B$3:$C$16,2,0)</f>
        <v>#N/A</v>
      </c>
      <c r="AC12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8" s="58" t="e">
        <f>IF(Table1[[#This Row],[Ask Price]]&gt;Table1[[#This Row],[Calculated Bond Price]],"Rich","Cheap")</f>
        <v>#N/A</v>
      </c>
      <c r="AE12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8" s="78" t="e">
        <f>(Table1[[#This Row],[P (+ shock)]]+Table1[[#This Row],[P (-shock)]]-2*Table1[[#This Row],[Ask Price]])/(2*Table1[[#This Row],[Ask Price]]*($AF$2^2))</f>
        <v>#N/A</v>
      </c>
      <c r="AH1208">
        <v>10.832637275879</v>
      </c>
      <c r="AI1208" s="6" t="e">
        <f t="shared" si="73"/>
        <v>#DIV/0!</v>
      </c>
      <c r="AK1208" s="47" t="e">
        <f>RATE(Table1[[#This Row],[Total No. of Coupons]],Table1[[#This Row],[Coupon Amount]],-Table1[[#This Row],[Ask Price]],Table1[[#This Row],[Face value]])</f>
        <v>#N/A</v>
      </c>
      <c r="AL1208" s="27" t="e">
        <f>Table1[[#This Row],[IRR]]*Table1[[#This Row],[Coupon Frequency2]]</f>
        <v>#N/A</v>
      </c>
      <c r="AM1208" s="5" t="e">
        <f t="shared" si="74"/>
        <v>#N/A</v>
      </c>
      <c r="AN1208" t="s">
        <v>64</v>
      </c>
      <c r="AO1208" t="s">
        <v>62</v>
      </c>
      <c r="AP1208" t="str">
        <f t="shared" si="75"/>
        <v/>
      </c>
    </row>
    <row r="1209" spans="4:42" x14ac:dyDescent="0.35">
      <c r="D1209" s="21"/>
      <c r="E1209" s="21"/>
      <c r="L1209" s="22"/>
      <c r="S1209">
        <f t="shared" si="72"/>
        <v>0</v>
      </c>
      <c r="T1209" s="5" t="e" cm="1">
        <f t="array" ref="T12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09" t="e">
        <f>Table1[[#This Row],[Term to Maturity (Years)]]*Table1[[#This Row],[Coupon Frequency2]]</f>
        <v>#N/A</v>
      </c>
      <c r="V1209">
        <f>Table1[[#This Row],[Face value]]*Table1[[#This Row],[Current coupon %]]</f>
        <v>0</v>
      </c>
      <c r="W1209" s="36" t="e">
        <f>RATE(Table1[[#This Row],[Total No. of Coupons]],Table1[[#This Row],[Coupon Amount]],-Table1[[#This Row],[Ask Price]],Table1[[#This Row],[Face value]])</f>
        <v>#N/A</v>
      </c>
      <c r="X1209" s="27" t="e">
        <f>Table1[[#This Row],[IRR]]*Table1[[#This Row],[Coupon Frequency2]]</f>
        <v>#N/A</v>
      </c>
      <c r="Y1209" s="19" t="e" cm="1">
        <f t="array" ref="Y12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09" s="33" t="e">
        <f>DURATION(Table1[[#This Row],[Issue date]],Table1[[#This Row],[Maturity date]],Table1[[#This Row],[Current coupon %]],Table1[[#This Row],[Yield (Annualised)]],Table1[[#This Row],[Coupon Frequency2]])</f>
        <v>#N/A</v>
      </c>
      <c r="AA1209" s="33" t="e">
        <f>Table1[[#This Row],[Macaulay Duration in Years]]/(1+Table1[[#This Row],[IRR]])</f>
        <v>#N/A</v>
      </c>
      <c r="AB1209" s="58" t="e">
        <f>VLOOKUP(Table1[[#This Row],[Yield Cluster]],'Cluster Details'!$B$3:$C$16,2,0)</f>
        <v>#N/A</v>
      </c>
      <c r="AC12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09" s="58" t="e">
        <f>IF(Table1[[#This Row],[Ask Price]]&gt;Table1[[#This Row],[Calculated Bond Price]],"Rich","Cheap")</f>
        <v>#N/A</v>
      </c>
      <c r="AE12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09" s="78" t="e">
        <f>(Table1[[#This Row],[P (+ shock)]]+Table1[[#This Row],[P (-shock)]]-2*Table1[[#This Row],[Ask Price]])/(2*Table1[[#This Row],[Ask Price]]*($AF$2^2))</f>
        <v>#N/A</v>
      </c>
      <c r="AH1209">
        <v>6.3040395151464104</v>
      </c>
      <c r="AI1209" s="6" t="e">
        <f t="shared" si="73"/>
        <v>#DIV/0!</v>
      </c>
      <c r="AK1209" s="47" t="e">
        <f>RATE(Table1[[#This Row],[Total No. of Coupons]],Table1[[#This Row],[Coupon Amount]],-Table1[[#This Row],[Ask Price]],Table1[[#This Row],[Face value]])</f>
        <v>#N/A</v>
      </c>
      <c r="AL1209" s="27" t="e">
        <f>Table1[[#This Row],[IRR]]*Table1[[#This Row],[Coupon Frequency2]]</f>
        <v>#N/A</v>
      </c>
      <c r="AM1209" s="5" t="e">
        <f t="shared" si="74"/>
        <v>#N/A</v>
      </c>
      <c r="AN1209" t="s">
        <v>64</v>
      </c>
      <c r="AO1209" t="s">
        <v>62</v>
      </c>
      <c r="AP1209" t="str">
        <f t="shared" si="75"/>
        <v/>
      </c>
    </row>
    <row r="1210" spans="4:42" x14ac:dyDescent="0.35">
      <c r="D1210" s="21"/>
      <c r="E1210" s="21"/>
      <c r="L1210" s="22"/>
      <c r="S1210">
        <f t="shared" si="72"/>
        <v>0</v>
      </c>
      <c r="T1210" s="5" t="e" cm="1">
        <f t="array" ref="T12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0" t="e">
        <f>Table1[[#This Row],[Term to Maturity (Years)]]*Table1[[#This Row],[Coupon Frequency2]]</f>
        <v>#N/A</v>
      </c>
      <c r="V1210">
        <f>Table1[[#This Row],[Face value]]*Table1[[#This Row],[Current coupon %]]</f>
        <v>0</v>
      </c>
      <c r="W1210" s="36" t="e">
        <f>RATE(Table1[[#This Row],[Total No. of Coupons]],Table1[[#This Row],[Coupon Amount]],-Table1[[#This Row],[Ask Price]],Table1[[#This Row],[Face value]])</f>
        <v>#N/A</v>
      </c>
      <c r="X1210" s="27" t="e">
        <f>Table1[[#This Row],[IRR]]*Table1[[#This Row],[Coupon Frequency2]]</f>
        <v>#N/A</v>
      </c>
      <c r="Y1210" s="19" t="e" cm="1">
        <f t="array" ref="Y12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0" s="33" t="e">
        <f>DURATION(Table1[[#This Row],[Issue date]],Table1[[#This Row],[Maturity date]],Table1[[#This Row],[Current coupon %]],Table1[[#This Row],[Yield (Annualised)]],Table1[[#This Row],[Coupon Frequency2]])</f>
        <v>#N/A</v>
      </c>
      <c r="AA1210" s="33" t="e">
        <f>Table1[[#This Row],[Macaulay Duration in Years]]/(1+Table1[[#This Row],[IRR]])</f>
        <v>#N/A</v>
      </c>
      <c r="AB1210" s="58" t="e">
        <f>VLOOKUP(Table1[[#This Row],[Yield Cluster]],'Cluster Details'!$B$3:$C$16,2,0)</f>
        <v>#N/A</v>
      </c>
      <c r="AC12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0" s="58" t="e">
        <f>IF(Table1[[#This Row],[Ask Price]]&gt;Table1[[#This Row],[Calculated Bond Price]],"Rich","Cheap")</f>
        <v>#N/A</v>
      </c>
      <c r="AE12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0" s="78" t="e">
        <f>(Table1[[#This Row],[P (+ shock)]]+Table1[[#This Row],[P (-shock)]]-2*Table1[[#This Row],[Ask Price]])/(2*Table1[[#This Row],[Ask Price]]*($AF$2^2))</f>
        <v>#N/A</v>
      </c>
      <c r="AI1210" s="6" t="e">
        <f t="shared" si="73"/>
        <v>#DIV/0!</v>
      </c>
      <c r="AK1210" s="47" t="e">
        <f>RATE(Table1[[#This Row],[Total No. of Coupons]],Table1[[#This Row],[Coupon Amount]],-Table1[[#This Row],[Ask Price]],Table1[[#This Row],[Face value]])</f>
        <v>#N/A</v>
      </c>
      <c r="AL1210" s="27" t="e">
        <f>Table1[[#This Row],[IRR]]*Table1[[#This Row],[Coupon Frequency2]]</f>
        <v>#N/A</v>
      </c>
      <c r="AM1210" s="5" t="e">
        <f t="shared" si="74"/>
        <v>#N/A</v>
      </c>
      <c r="AN1210" t="s">
        <v>503</v>
      </c>
      <c r="AO1210" t="s">
        <v>62</v>
      </c>
      <c r="AP1210" t="str">
        <f t="shared" si="75"/>
        <v/>
      </c>
    </row>
    <row r="1211" spans="4:42" x14ac:dyDescent="0.35">
      <c r="D1211" s="21"/>
      <c r="E1211" s="21"/>
      <c r="L1211" s="22"/>
      <c r="S1211">
        <f t="shared" si="72"/>
        <v>0</v>
      </c>
      <c r="T1211" s="5" t="e" cm="1">
        <f t="array" ref="T12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1" t="e">
        <f>Table1[[#This Row],[Term to Maturity (Years)]]*Table1[[#This Row],[Coupon Frequency2]]</f>
        <v>#N/A</v>
      </c>
      <c r="V1211">
        <f>Table1[[#This Row],[Face value]]*Table1[[#This Row],[Current coupon %]]</f>
        <v>0</v>
      </c>
      <c r="W1211" s="36" t="e">
        <f>RATE(Table1[[#This Row],[Total No. of Coupons]],Table1[[#This Row],[Coupon Amount]],-Table1[[#This Row],[Ask Price]],Table1[[#This Row],[Face value]])</f>
        <v>#N/A</v>
      </c>
      <c r="X1211" s="27" t="e">
        <f>Table1[[#This Row],[IRR]]*Table1[[#This Row],[Coupon Frequency2]]</f>
        <v>#N/A</v>
      </c>
      <c r="Y1211" s="19" t="e" cm="1">
        <f t="array" ref="Y12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1" s="33" t="e">
        <f>DURATION(Table1[[#This Row],[Issue date]],Table1[[#This Row],[Maturity date]],Table1[[#This Row],[Current coupon %]],Table1[[#This Row],[Yield (Annualised)]],Table1[[#This Row],[Coupon Frequency2]])</f>
        <v>#N/A</v>
      </c>
      <c r="AA1211" s="33" t="e">
        <f>Table1[[#This Row],[Macaulay Duration in Years]]/(1+Table1[[#This Row],[IRR]])</f>
        <v>#N/A</v>
      </c>
      <c r="AB1211" s="58" t="e">
        <f>VLOOKUP(Table1[[#This Row],[Yield Cluster]],'Cluster Details'!$B$3:$C$16,2,0)</f>
        <v>#N/A</v>
      </c>
      <c r="AC12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1" s="58" t="e">
        <f>IF(Table1[[#This Row],[Ask Price]]&gt;Table1[[#This Row],[Calculated Bond Price]],"Rich","Cheap")</f>
        <v>#N/A</v>
      </c>
      <c r="AE12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1" s="78" t="e">
        <f>(Table1[[#This Row],[P (+ shock)]]+Table1[[#This Row],[P (-shock)]]-2*Table1[[#This Row],[Ask Price]])/(2*Table1[[#This Row],[Ask Price]]*($AF$2^2))</f>
        <v>#N/A</v>
      </c>
      <c r="AH1211">
        <v>8.6012536649479294</v>
      </c>
      <c r="AI1211" s="6" t="e">
        <f t="shared" si="73"/>
        <v>#DIV/0!</v>
      </c>
      <c r="AK1211" s="47" t="e">
        <f>RATE(Table1[[#This Row],[Total No. of Coupons]],Table1[[#This Row],[Coupon Amount]],-Table1[[#This Row],[Ask Price]],Table1[[#This Row],[Face value]])</f>
        <v>#N/A</v>
      </c>
      <c r="AL1211" s="27" t="e">
        <f>Table1[[#This Row],[IRR]]*Table1[[#This Row],[Coupon Frequency2]]</f>
        <v>#N/A</v>
      </c>
      <c r="AM1211" s="5" t="e">
        <f t="shared" si="74"/>
        <v>#N/A</v>
      </c>
      <c r="AN1211" t="s">
        <v>64</v>
      </c>
      <c r="AO1211" t="s">
        <v>62</v>
      </c>
      <c r="AP1211" t="str">
        <f t="shared" si="75"/>
        <v/>
      </c>
    </row>
    <row r="1212" spans="4:42" x14ac:dyDescent="0.35">
      <c r="D1212" s="21"/>
      <c r="E1212" s="21"/>
      <c r="L1212" s="22"/>
      <c r="S1212">
        <f t="shared" si="72"/>
        <v>0</v>
      </c>
      <c r="T1212" s="5" t="e" cm="1">
        <f t="array" ref="T12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2" t="e">
        <f>Table1[[#This Row],[Term to Maturity (Years)]]*Table1[[#This Row],[Coupon Frequency2]]</f>
        <v>#N/A</v>
      </c>
      <c r="V1212">
        <f>Table1[[#This Row],[Face value]]*Table1[[#This Row],[Current coupon %]]</f>
        <v>0</v>
      </c>
      <c r="W1212" s="36" t="e">
        <f>RATE(Table1[[#This Row],[Total No. of Coupons]],Table1[[#This Row],[Coupon Amount]],-Table1[[#This Row],[Ask Price]],Table1[[#This Row],[Face value]])</f>
        <v>#N/A</v>
      </c>
      <c r="X1212" s="27" t="e">
        <f>Table1[[#This Row],[IRR]]*Table1[[#This Row],[Coupon Frequency2]]</f>
        <v>#N/A</v>
      </c>
      <c r="Y1212" s="19" t="e" cm="1">
        <f t="array" ref="Y12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2" s="33" t="e">
        <f>DURATION(Table1[[#This Row],[Issue date]],Table1[[#This Row],[Maturity date]],Table1[[#This Row],[Current coupon %]],Table1[[#This Row],[Yield (Annualised)]],Table1[[#This Row],[Coupon Frequency2]])</f>
        <v>#N/A</v>
      </c>
      <c r="AA1212" s="33" t="e">
        <f>Table1[[#This Row],[Macaulay Duration in Years]]/(1+Table1[[#This Row],[IRR]])</f>
        <v>#N/A</v>
      </c>
      <c r="AB1212" s="58" t="e">
        <f>VLOOKUP(Table1[[#This Row],[Yield Cluster]],'Cluster Details'!$B$3:$C$16,2,0)</f>
        <v>#N/A</v>
      </c>
      <c r="AC12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2" s="58" t="e">
        <f>IF(Table1[[#This Row],[Ask Price]]&gt;Table1[[#This Row],[Calculated Bond Price]],"Rich","Cheap")</f>
        <v>#N/A</v>
      </c>
      <c r="AE12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2" s="78" t="e">
        <f>(Table1[[#This Row],[P (+ shock)]]+Table1[[#This Row],[P (-shock)]]-2*Table1[[#This Row],[Ask Price]])/(2*Table1[[#This Row],[Ask Price]]*($AF$2^2))</f>
        <v>#N/A</v>
      </c>
      <c r="AH1212">
        <v>9.3275634008392601</v>
      </c>
      <c r="AI1212" s="6" t="e">
        <f t="shared" si="73"/>
        <v>#DIV/0!</v>
      </c>
      <c r="AK1212" s="47" t="e">
        <f>RATE(Table1[[#This Row],[Total No. of Coupons]],Table1[[#This Row],[Coupon Amount]],-Table1[[#This Row],[Ask Price]],Table1[[#This Row],[Face value]])</f>
        <v>#N/A</v>
      </c>
      <c r="AL1212" s="27" t="e">
        <f>Table1[[#This Row],[IRR]]*Table1[[#This Row],[Coupon Frequency2]]</f>
        <v>#N/A</v>
      </c>
      <c r="AM1212" s="5" t="e">
        <f t="shared" si="74"/>
        <v>#N/A</v>
      </c>
      <c r="AN1212" t="s">
        <v>64</v>
      </c>
      <c r="AO1212" t="s">
        <v>62</v>
      </c>
      <c r="AP1212" t="str">
        <f t="shared" si="75"/>
        <v/>
      </c>
    </row>
    <row r="1213" spans="4:42" x14ac:dyDescent="0.35">
      <c r="D1213" s="21"/>
      <c r="E1213" s="21"/>
      <c r="L1213" s="22"/>
      <c r="S1213">
        <f t="shared" si="72"/>
        <v>0</v>
      </c>
      <c r="T1213" s="5" t="e" cm="1">
        <f t="array" ref="T12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3" t="e">
        <f>Table1[[#This Row],[Term to Maturity (Years)]]*Table1[[#This Row],[Coupon Frequency2]]</f>
        <v>#N/A</v>
      </c>
      <c r="V1213">
        <f>Table1[[#This Row],[Face value]]*Table1[[#This Row],[Current coupon %]]</f>
        <v>0</v>
      </c>
      <c r="W1213" s="36" t="e">
        <f>RATE(Table1[[#This Row],[Total No. of Coupons]],Table1[[#This Row],[Coupon Amount]],-Table1[[#This Row],[Ask Price]],Table1[[#This Row],[Face value]])</f>
        <v>#N/A</v>
      </c>
      <c r="X1213" s="27" t="e">
        <f>Table1[[#This Row],[IRR]]*Table1[[#This Row],[Coupon Frequency2]]</f>
        <v>#N/A</v>
      </c>
      <c r="Y1213" s="19" t="e" cm="1">
        <f t="array" ref="Y12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3" s="33" t="e">
        <f>DURATION(Table1[[#This Row],[Issue date]],Table1[[#This Row],[Maturity date]],Table1[[#This Row],[Current coupon %]],Table1[[#This Row],[Yield (Annualised)]],Table1[[#This Row],[Coupon Frequency2]])</f>
        <v>#N/A</v>
      </c>
      <c r="AA1213" s="33" t="e">
        <f>Table1[[#This Row],[Macaulay Duration in Years]]/(1+Table1[[#This Row],[IRR]])</f>
        <v>#N/A</v>
      </c>
      <c r="AB1213" s="58" t="e">
        <f>VLOOKUP(Table1[[#This Row],[Yield Cluster]],'Cluster Details'!$B$3:$C$16,2,0)</f>
        <v>#N/A</v>
      </c>
      <c r="AC12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3" s="58" t="e">
        <f>IF(Table1[[#This Row],[Ask Price]]&gt;Table1[[#This Row],[Calculated Bond Price]],"Rich","Cheap")</f>
        <v>#N/A</v>
      </c>
      <c r="AE12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3" s="78" t="e">
        <f>(Table1[[#This Row],[P (+ shock)]]+Table1[[#This Row],[P (-shock)]]-2*Table1[[#This Row],[Ask Price]])/(2*Table1[[#This Row],[Ask Price]]*($AF$2^2))</f>
        <v>#N/A</v>
      </c>
      <c r="AH1213">
        <v>12.324353609756599</v>
      </c>
      <c r="AI1213" s="6" t="e">
        <f t="shared" si="73"/>
        <v>#DIV/0!</v>
      </c>
      <c r="AK1213" s="47" t="e">
        <f>RATE(Table1[[#This Row],[Total No. of Coupons]],Table1[[#This Row],[Coupon Amount]],-Table1[[#This Row],[Ask Price]],Table1[[#This Row],[Face value]])</f>
        <v>#N/A</v>
      </c>
      <c r="AL1213" s="27" t="e">
        <f>Table1[[#This Row],[IRR]]*Table1[[#This Row],[Coupon Frequency2]]</f>
        <v>#N/A</v>
      </c>
      <c r="AM1213" s="5" t="e">
        <f t="shared" si="74"/>
        <v>#N/A</v>
      </c>
      <c r="AN1213" t="s">
        <v>69</v>
      </c>
      <c r="AO1213" t="s">
        <v>62</v>
      </c>
      <c r="AP1213" t="str">
        <f t="shared" si="75"/>
        <v/>
      </c>
    </row>
    <row r="1214" spans="4:42" x14ac:dyDescent="0.35">
      <c r="D1214" s="21"/>
      <c r="E1214" s="21"/>
      <c r="L1214" s="22"/>
      <c r="S1214">
        <f t="shared" si="72"/>
        <v>0</v>
      </c>
      <c r="T1214" s="5" t="e" cm="1">
        <f t="array" ref="T12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4" t="e">
        <f>Table1[[#This Row],[Term to Maturity (Years)]]*Table1[[#This Row],[Coupon Frequency2]]</f>
        <v>#N/A</v>
      </c>
      <c r="V1214">
        <f>Table1[[#This Row],[Face value]]*Table1[[#This Row],[Current coupon %]]</f>
        <v>0</v>
      </c>
      <c r="W1214" s="36" t="e">
        <f>RATE(Table1[[#This Row],[Total No. of Coupons]],Table1[[#This Row],[Coupon Amount]],-Table1[[#This Row],[Ask Price]],Table1[[#This Row],[Face value]])</f>
        <v>#N/A</v>
      </c>
      <c r="X1214" s="27" t="e">
        <f>Table1[[#This Row],[IRR]]*Table1[[#This Row],[Coupon Frequency2]]</f>
        <v>#N/A</v>
      </c>
      <c r="Y1214" s="19" t="e" cm="1">
        <f t="array" ref="Y12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4" s="33" t="e">
        <f>DURATION(Table1[[#This Row],[Issue date]],Table1[[#This Row],[Maturity date]],Table1[[#This Row],[Current coupon %]],Table1[[#This Row],[Yield (Annualised)]],Table1[[#This Row],[Coupon Frequency2]])</f>
        <v>#N/A</v>
      </c>
      <c r="AA1214" s="33" t="e">
        <f>Table1[[#This Row],[Macaulay Duration in Years]]/(1+Table1[[#This Row],[IRR]])</f>
        <v>#N/A</v>
      </c>
      <c r="AB1214" s="58" t="e">
        <f>VLOOKUP(Table1[[#This Row],[Yield Cluster]],'Cluster Details'!$B$3:$C$16,2,0)</f>
        <v>#N/A</v>
      </c>
      <c r="AC12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4" s="58" t="e">
        <f>IF(Table1[[#This Row],[Ask Price]]&gt;Table1[[#This Row],[Calculated Bond Price]],"Rich","Cheap")</f>
        <v>#N/A</v>
      </c>
      <c r="AE12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4" s="78" t="e">
        <f>(Table1[[#This Row],[P (+ shock)]]+Table1[[#This Row],[P (-shock)]]-2*Table1[[#This Row],[Ask Price]])/(2*Table1[[#This Row],[Ask Price]]*($AF$2^2))</f>
        <v>#N/A</v>
      </c>
      <c r="AI1214" s="6" t="e">
        <f t="shared" si="73"/>
        <v>#DIV/0!</v>
      </c>
      <c r="AK1214" s="47" t="e">
        <f>RATE(Table1[[#This Row],[Total No. of Coupons]],Table1[[#This Row],[Coupon Amount]],-Table1[[#This Row],[Ask Price]],Table1[[#This Row],[Face value]])</f>
        <v>#N/A</v>
      </c>
      <c r="AL1214" s="27" t="e">
        <f>Table1[[#This Row],[IRR]]*Table1[[#This Row],[Coupon Frequency2]]</f>
        <v>#N/A</v>
      </c>
      <c r="AM1214" s="5" t="e">
        <f t="shared" si="74"/>
        <v>#N/A</v>
      </c>
      <c r="AN1214" t="s">
        <v>64</v>
      </c>
      <c r="AO1214" t="s">
        <v>62</v>
      </c>
      <c r="AP1214" t="str">
        <f t="shared" si="75"/>
        <v/>
      </c>
    </row>
    <row r="1215" spans="4:42" x14ac:dyDescent="0.35">
      <c r="D1215" s="21"/>
      <c r="E1215" s="21"/>
      <c r="L1215" s="22"/>
      <c r="S1215">
        <f t="shared" si="72"/>
        <v>0</v>
      </c>
      <c r="T1215" s="5" t="e" cm="1">
        <f t="array" ref="T12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5" t="e">
        <f>Table1[[#This Row],[Term to Maturity (Years)]]*Table1[[#This Row],[Coupon Frequency2]]</f>
        <v>#N/A</v>
      </c>
      <c r="V1215">
        <f>Table1[[#This Row],[Face value]]*Table1[[#This Row],[Current coupon %]]</f>
        <v>0</v>
      </c>
      <c r="W1215" s="36" t="e">
        <f>RATE(Table1[[#This Row],[Total No. of Coupons]],Table1[[#This Row],[Coupon Amount]],-Table1[[#This Row],[Ask Price]],Table1[[#This Row],[Face value]])</f>
        <v>#N/A</v>
      </c>
      <c r="X1215" s="27" t="e">
        <f>Table1[[#This Row],[IRR]]*Table1[[#This Row],[Coupon Frequency2]]</f>
        <v>#N/A</v>
      </c>
      <c r="Y1215" s="19" t="e" cm="1">
        <f t="array" ref="Y12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5" s="33" t="e">
        <f>DURATION(Table1[[#This Row],[Issue date]],Table1[[#This Row],[Maturity date]],Table1[[#This Row],[Current coupon %]],Table1[[#This Row],[Yield (Annualised)]],Table1[[#This Row],[Coupon Frequency2]])</f>
        <v>#N/A</v>
      </c>
      <c r="AA1215" s="33" t="e">
        <f>Table1[[#This Row],[Macaulay Duration in Years]]/(1+Table1[[#This Row],[IRR]])</f>
        <v>#N/A</v>
      </c>
      <c r="AB1215" s="58" t="e">
        <f>VLOOKUP(Table1[[#This Row],[Yield Cluster]],'Cluster Details'!$B$3:$C$16,2,0)</f>
        <v>#N/A</v>
      </c>
      <c r="AC12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5" s="58" t="e">
        <f>IF(Table1[[#This Row],[Ask Price]]&gt;Table1[[#This Row],[Calculated Bond Price]],"Rich","Cheap")</f>
        <v>#N/A</v>
      </c>
      <c r="AE12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5" s="78" t="e">
        <f>(Table1[[#This Row],[P (+ shock)]]+Table1[[#This Row],[P (-shock)]]-2*Table1[[#This Row],[Ask Price]])/(2*Table1[[#This Row],[Ask Price]]*($AF$2^2))</f>
        <v>#N/A</v>
      </c>
      <c r="AI1215" s="6" t="e">
        <f t="shared" si="73"/>
        <v>#DIV/0!</v>
      </c>
      <c r="AK1215" s="47" t="e">
        <f>RATE(Table1[[#This Row],[Total No. of Coupons]],Table1[[#This Row],[Coupon Amount]],-Table1[[#This Row],[Ask Price]],Table1[[#This Row],[Face value]])</f>
        <v>#N/A</v>
      </c>
      <c r="AL1215" s="27" t="e">
        <f>Table1[[#This Row],[IRR]]*Table1[[#This Row],[Coupon Frequency2]]</f>
        <v>#N/A</v>
      </c>
      <c r="AM1215" s="5" t="e">
        <f t="shared" si="74"/>
        <v>#N/A</v>
      </c>
      <c r="AN1215" t="s">
        <v>64</v>
      </c>
      <c r="AO1215" t="s">
        <v>62</v>
      </c>
      <c r="AP1215" t="str">
        <f t="shared" si="75"/>
        <v/>
      </c>
    </row>
    <row r="1216" spans="4:42" x14ac:dyDescent="0.35">
      <c r="D1216" s="21"/>
      <c r="E1216" s="21"/>
      <c r="L1216" s="22"/>
      <c r="S1216">
        <f t="shared" si="72"/>
        <v>0</v>
      </c>
      <c r="T1216" s="5" t="e" cm="1">
        <f t="array" ref="T12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6" t="e">
        <f>Table1[[#This Row],[Term to Maturity (Years)]]*Table1[[#This Row],[Coupon Frequency2]]</f>
        <v>#N/A</v>
      </c>
      <c r="V1216">
        <f>Table1[[#This Row],[Face value]]*Table1[[#This Row],[Current coupon %]]</f>
        <v>0</v>
      </c>
      <c r="W1216" s="36" t="e">
        <f>RATE(Table1[[#This Row],[Total No. of Coupons]],Table1[[#This Row],[Coupon Amount]],-Table1[[#This Row],[Ask Price]],Table1[[#This Row],[Face value]])</f>
        <v>#N/A</v>
      </c>
      <c r="X1216" s="27" t="e">
        <f>Table1[[#This Row],[IRR]]*Table1[[#This Row],[Coupon Frequency2]]</f>
        <v>#N/A</v>
      </c>
      <c r="Y1216" s="19" t="e" cm="1">
        <f t="array" ref="Y12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6" s="33" t="e">
        <f>DURATION(Table1[[#This Row],[Issue date]],Table1[[#This Row],[Maturity date]],Table1[[#This Row],[Current coupon %]],Table1[[#This Row],[Yield (Annualised)]],Table1[[#This Row],[Coupon Frequency2]])</f>
        <v>#N/A</v>
      </c>
      <c r="AA1216" s="33" t="e">
        <f>Table1[[#This Row],[Macaulay Duration in Years]]/(1+Table1[[#This Row],[IRR]])</f>
        <v>#N/A</v>
      </c>
      <c r="AB1216" s="58" t="e">
        <f>VLOOKUP(Table1[[#This Row],[Yield Cluster]],'Cluster Details'!$B$3:$C$16,2,0)</f>
        <v>#N/A</v>
      </c>
      <c r="AC12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6" s="58" t="e">
        <f>IF(Table1[[#This Row],[Ask Price]]&gt;Table1[[#This Row],[Calculated Bond Price]],"Rich","Cheap")</f>
        <v>#N/A</v>
      </c>
      <c r="AE12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6" s="78" t="e">
        <f>(Table1[[#This Row],[P (+ shock)]]+Table1[[#This Row],[P (-shock)]]-2*Table1[[#This Row],[Ask Price]])/(2*Table1[[#This Row],[Ask Price]]*($AF$2^2))</f>
        <v>#N/A</v>
      </c>
      <c r="AI1216" s="6" t="e">
        <f t="shared" si="73"/>
        <v>#DIV/0!</v>
      </c>
      <c r="AK1216" s="47" t="e">
        <f>RATE(Table1[[#This Row],[Total No. of Coupons]],Table1[[#This Row],[Coupon Amount]],-Table1[[#This Row],[Ask Price]],Table1[[#This Row],[Face value]])</f>
        <v>#N/A</v>
      </c>
      <c r="AL1216" s="27" t="e">
        <f>Table1[[#This Row],[IRR]]*Table1[[#This Row],[Coupon Frequency2]]</f>
        <v>#N/A</v>
      </c>
      <c r="AM1216" s="5" t="e">
        <f t="shared" si="74"/>
        <v>#N/A</v>
      </c>
      <c r="AN1216" t="s">
        <v>64</v>
      </c>
      <c r="AO1216" t="s">
        <v>62</v>
      </c>
      <c r="AP1216" t="str">
        <f t="shared" si="75"/>
        <v/>
      </c>
    </row>
    <row r="1217" spans="4:42" x14ac:dyDescent="0.35">
      <c r="D1217" s="21"/>
      <c r="E1217" s="21"/>
      <c r="L1217" s="22"/>
      <c r="S1217">
        <f t="shared" si="72"/>
        <v>0</v>
      </c>
      <c r="T1217" s="5" t="e" cm="1">
        <f t="array" ref="T12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7" t="e">
        <f>Table1[[#This Row],[Term to Maturity (Years)]]*Table1[[#This Row],[Coupon Frequency2]]</f>
        <v>#N/A</v>
      </c>
      <c r="V1217">
        <f>Table1[[#This Row],[Face value]]*Table1[[#This Row],[Current coupon %]]</f>
        <v>0</v>
      </c>
      <c r="W1217" s="36" t="e">
        <f>RATE(Table1[[#This Row],[Total No. of Coupons]],Table1[[#This Row],[Coupon Amount]],-Table1[[#This Row],[Ask Price]],Table1[[#This Row],[Face value]])</f>
        <v>#N/A</v>
      </c>
      <c r="X1217" s="27" t="e">
        <f>Table1[[#This Row],[IRR]]*Table1[[#This Row],[Coupon Frequency2]]</f>
        <v>#N/A</v>
      </c>
      <c r="Y1217" s="19" t="e" cm="1">
        <f t="array" ref="Y12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7" s="33" t="e">
        <f>DURATION(Table1[[#This Row],[Issue date]],Table1[[#This Row],[Maturity date]],Table1[[#This Row],[Current coupon %]],Table1[[#This Row],[Yield (Annualised)]],Table1[[#This Row],[Coupon Frequency2]])</f>
        <v>#N/A</v>
      </c>
      <c r="AA1217" s="33" t="e">
        <f>Table1[[#This Row],[Macaulay Duration in Years]]/(1+Table1[[#This Row],[IRR]])</f>
        <v>#N/A</v>
      </c>
      <c r="AB1217" s="58" t="e">
        <f>VLOOKUP(Table1[[#This Row],[Yield Cluster]],'Cluster Details'!$B$3:$C$16,2,0)</f>
        <v>#N/A</v>
      </c>
      <c r="AC12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7" s="58" t="e">
        <f>IF(Table1[[#This Row],[Ask Price]]&gt;Table1[[#This Row],[Calculated Bond Price]],"Rich","Cheap")</f>
        <v>#N/A</v>
      </c>
      <c r="AE12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7" s="78" t="e">
        <f>(Table1[[#This Row],[P (+ shock)]]+Table1[[#This Row],[P (-shock)]]-2*Table1[[#This Row],[Ask Price]])/(2*Table1[[#This Row],[Ask Price]]*($AF$2^2))</f>
        <v>#N/A</v>
      </c>
      <c r="AH1217">
        <v>11.75</v>
      </c>
      <c r="AI1217" s="6" t="e">
        <f t="shared" si="73"/>
        <v>#DIV/0!</v>
      </c>
      <c r="AK1217" s="47" t="e">
        <f>RATE(Table1[[#This Row],[Total No. of Coupons]],Table1[[#This Row],[Coupon Amount]],-Table1[[#This Row],[Ask Price]],Table1[[#This Row],[Face value]])</f>
        <v>#N/A</v>
      </c>
      <c r="AL1217" s="27" t="e">
        <f>Table1[[#This Row],[IRR]]*Table1[[#This Row],[Coupon Frequency2]]</f>
        <v>#N/A</v>
      </c>
      <c r="AM1217" s="5" t="e">
        <f t="shared" si="74"/>
        <v>#N/A</v>
      </c>
      <c r="AN1217" t="s">
        <v>69</v>
      </c>
      <c r="AO1217" t="s">
        <v>62</v>
      </c>
      <c r="AP1217" t="str">
        <f t="shared" si="75"/>
        <v/>
      </c>
    </row>
    <row r="1218" spans="4:42" x14ac:dyDescent="0.35">
      <c r="D1218" s="21"/>
      <c r="E1218" s="21"/>
      <c r="L1218" s="22"/>
      <c r="S1218">
        <f t="shared" si="72"/>
        <v>0</v>
      </c>
      <c r="T1218" s="5" t="e" cm="1">
        <f t="array" ref="T12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8" t="e">
        <f>Table1[[#This Row],[Term to Maturity (Years)]]*Table1[[#This Row],[Coupon Frequency2]]</f>
        <v>#N/A</v>
      </c>
      <c r="V1218">
        <f>Table1[[#This Row],[Face value]]*Table1[[#This Row],[Current coupon %]]</f>
        <v>0</v>
      </c>
      <c r="W1218" s="36" t="e">
        <f>RATE(Table1[[#This Row],[Total No. of Coupons]],Table1[[#This Row],[Coupon Amount]],-Table1[[#This Row],[Ask Price]],Table1[[#This Row],[Face value]])</f>
        <v>#N/A</v>
      </c>
      <c r="X1218" s="27" t="e">
        <f>Table1[[#This Row],[IRR]]*Table1[[#This Row],[Coupon Frequency2]]</f>
        <v>#N/A</v>
      </c>
      <c r="Y1218" s="19" t="e" cm="1">
        <f t="array" ref="Y12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8" s="33" t="e">
        <f>DURATION(Table1[[#This Row],[Issue date]],Table1[[#This Row],[Maturity date]],Table1[[#This Row],[Current coupon %]],Table1[[#This Row],[Yield (Annualised)]],Table1[[#This Row],[Coupon Frequency2]])</f>
        <v>#N/A</v>
      </c>
      <c r="AA1218" s="33" t="e">
        <f>Table1[[#This Row],[Macaulay Duration in Years]]/(1+Table1[[#This Row],[IRR]])</f>
        <v>#N/A</v>
      </c>
      <c r="AB1218" s="58" t="e">
        <f>VLOOKUP(Table1[[#This Row],[Yield Cluster]],'Cluster Details'!$B$3:$C$16,2,0)</f>
        <v>#N/A</v>
      </c>
      <c r="AC12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8" s="58" t="e">
        <f>IF(Table1[[#This Row],[Ask Price]]&gt;Table1[[#This Row],[Calculated Bond Price]],"Rich","Cheap")</f>
        <v>#N/A</v>
      </c>
      <c r="AE12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8" s="78" t="e">
        <f>(Table1[[#This Row],[P (+ shock)]]+Table1[[#This Row],[P (-shock)]]-2*Table1[[#This Row],[Ask Price]])/(2*Table1[[#This Row],[Ask Price]]*($AF$2^2))</f>
        <v>#N/A</v>
      </c>
      <c r="AH1218">
        <v>10.5</v>
      </c>
      <c r="AI1218" s="6" t="e">
        <f t="shared" si="73"/>
        <v>#DIV/0!</v>
      </c>
      <c r="AK1218" s="47" t="e">
        <f>RATE(Table1[[#This Row],[Total No. of Coupons]],Table1[[#This Row],[Coupon Amount]],-Table1[[#This Row],[Ask Price]],Table1[[#This Row],[Face value]])</f>
        <v>#N/A</v>
      </c>
      <c r="AL1218" s="27" t="e">
        <f>Table1[[#This Row],[IRR]]*Table1[[#This Row],[Coupon Frequency2]]</f>
        <v>#N/A</v>
      </c>
      <c r="AM1218" s="5" t="e">
        <f t="shared" si="74"/>
        <v>#N/A</v>
      </c>
      <c r="AN1218" t="s">
        <v>64</v>
      </c>
      <c r="AO1218" t="s">
        <v>62</v>
      </c>
      <c r="AP1218" t="str">
        <f t="shared" si="75"/>
        <v/>
      </c>
    </row>
    <row r="1219" spans="4:42" x14ac:dyDescent="0.35">
      <c r="D1219" s="21"/>
      <c r="E1219" s="21"/>
      <c r="L1219" s="22"/>
      <c r="S1219">
        <f t="shared" si="72"/>
        <v>0</v>
      </c>
      <c r="T1219" s="5" t="e" cm="1">
        <f t="array" ref="T12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19" t="e">
        <f>Table1[[#This Row],[Term to Maturity (Years)]]*Table1[[#This Row],[Coupon Frequency2]]</f>
        <v>#N/A</v>
      </c>
      <c r="V1219">
        <f>Table1[[#This Row],[Face value]]*Table1[[#This Row],[Current coupon %]]</f>
        <v>0</v>
      </c>
      <c r="W1219" s="36" t="e">
        <f>RATE(Table1[[#This Row],[Total No. of Coupons]],Table1[[#This Row],[Coupon Amount]],-Table1[[#This Row],[Ask Price]],Table1[[#This Row],[Face value]])</f>
        <v>#N/A</v>
      </c>
      <c r="X1219" s="27" t="e">
        <f>Table1[[#This Row],[IRR]]*Table1[[#This Row],[Coupon Frequency2]]</f>
        <v>#N/A</v>
      </c>
      <c r="Y1219" s="19" t="e" cm="1">
        <f t="array" ref="Y12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19" s="33" t="e">
        <f>DURATION(Table1[[#This Row],[Issue date]],Table1[[#This Row],[Maturity date]],Table1[[#This Row],[Current coupon %]],Table1[[#This Row],[Yield (Annualised)]],Table1[[#This Row],[Coupon Frequency2]])</f>
        <v>#N/A</v>
      </c>
      <c r="AA1219" s="33" t="e">
        <f>Table1[[#This Row],[Macaulay Duration in Years]]/(1+Table1[[#This Row],[IRR]])</f>
        <v>#N/A</v>
      </c>
      <c r="AB1219" s="58" t="e">
        <f>VLOOKUP(Table1[[#This Row],[Yield Cluster]],'Cluster Details'!$B$3:$C$16,2,0)</f>
        <v>#N/A</v>
      </c>
      <c r="AC12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19" s="58" t="e">
        <f>IF(Table1[[#This Row],[Ask Price]]&gt;Table1[[#This Row],[Calculated Bond Price]],"Rich","Cheap")</f>
        <v>#N/A</v>
      </c>
      <c r="AE12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19" s="78" t="e">
        <f>(Table1[[#This Row],[P (+ shock)]]+Table1[[#This Row],[P (-shock)]]-2*Table1[[#This Row],[Ask Price]])/(2*Table1[[#This Row],[Ask Price]]*($AF$2^2))</f>
        <v>#N/A</v>
      </c>
      <c r="AH1219">
        <v>10.9926831349684</v>
      </c>
      <c r="AI1219" s="6" t="e">
        <f t="shared" si="73"/>
        <v>#DIV/0!</v>
      </c>
      <c r="AK1219" s="47" t="e">
        <f>RATE(Table1[[#This Row],[Total No. of Coupons]],Table1[[#This Row],[Coupon Amount]],-Table1[[#This Row],[Ask Price]],Table1[[#This Row],[Face value]])</f>
        <v>#N/A</v>
      </c>
      <c r="AL1219" s="27" t="e">
        <f>Table1[[#This Row],[IRR]]*Table1[[#This Row],[Coupon Frequency2]]</f>
        <v>#N/A</v>
      </c>
      <c r="AM1219" s="5" t="e">
        <f t="shared" si="74"/>
        <v>#N/A</v>
      </c>
      <c r="AN1219" t="s">
        <v>64</v>
      </c>
      <c r="AO1219" t="s">
        <v>62</v>
      </c>
      <c r="AP1219" t="str">
        <f t="shared" si="75"/>
        <v/>
      </c>
    </row>
    <row r="1220" spans="4:42" x14ac:dyDescent="0.35">
      <c r="D1220" s="21"/>
      <c r="E1220" s="21"/>
      <c r="L1220" s="22"/>
      <c r="S1220">
        <f t="shared" ref="S1220:S1283" si="76">ROUND(YEARFRAC(D1220,E1220),0)</f>
        <v>0</v>
      </c>
      <c r="T1220" s="5" t="e" cm="1">
        <f t="array" ref="T12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0" t="e">
        <f>Table1[[#This Row],[Term to Maturity (Years)]]*Table1[[#This Row],[Coupon Frequency2]]</f>
        <v>#N/A</v>
      </c>
      <c r="V1220">
        <f>Table1[[#This Row],[Face value]]*Table1[[#This Row],[Current coupon %]]</f>
        <v>0</v>
      </c>
      <c r="W1220" s="36" t="e">
        <f>RATE(Table1[[#This Row],[Total No. of Coupons]],Table1[[#This Row],[Coupon Amount]],-Table1[[#This Row],[Ask Price]],Table1[[#This Row],[Face value]])</f>
        <v>#N/A</v>
      </c>
      <c r="X1220" s="27" t="e">
        <f>Table1[[#This Row],[IRR]]*Table1[[#This Row],[Coupon Frequency2]]</f>
        <v>#N/A</v>
      </c>
      <c r="Y1220" s="19" t="e" cm="1">
        <f t="array" ref="Y12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0" s="33" t="e">
        <f>DURATION(Table1[[#This Row],[Issue date]],Table1[[#This Row],[Maturity date]],Table1[[#This Row],[Current coupon %]],Table1[[#This Row],[Yield (Annualised)]],Table1[[#This Row],[Coupon Frequency2]])</f>
        <v>#N/A</v>
      </c>
      <c r="AA1220" s="33" t="e">
        <f>Table1[[#This Row],[Macaulay Duration in Years]]/(1+Table1[[#This Row],[IRR]])</f>
        <v>#N/A</v>
      </c>
      <c r="AB1220" s="58" t="e">
        <f>VLOOKUP(Table1[[#This Row],[Yield Cluster]],'Cluster Details'!$B$3:$C$16,2,0)</f>
        <v>#N/A</v>
      </c>
      <c r="AC12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0" s="58" t="e">
        <f>IF(Table1[[#This Row],[Ask Price]]&gt;Table1[[#This Row],[Calculated Bond Price]],"Rich","Cheap")</f>
        <v>#N/A</v>
      </c>
      <c r="AE12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0" s="78" t="e">
        <f>(Table1[[#This Row],[P (+ shock)]]+Table1[[#This Row],[P (-shock)]]-2*Table1[[#This Row],[Ask Price]])/(2*Table1[[#This Row],[Ask Price]]*($AF$2^2))</f>
        <v>#N/A</v>
      </c>
      <c r="AH1220">
        <v>10.25</v>
      </c>
      <c r="AI1220" s="6" t="e">
        <f t="shared" ref="AI1220:AI1283" si="77">(L1220*F1220)/H1220</f>
        <v>#DIV/0!</v>
      </c>
      <c r="AK1220" s="47" t="e">
        <f>RATE(Table1[[#This Row],[Total No. of Coupons]],Table1[[#This Row],[Coupon Amount]],-Table1[[#This Row],[Ask Price]],Table1[[#This Row],[Face value]])</f>
        <v>#N/A</v>
      </c>
      <c r="AL1220" s="27" t="e">
        <f>Table1[[#This Row],[IRR]]*Table1[[#This Row],[Coupon Frequency2]]</f>
        <v>#N/A</v>
      </c>
      <c r="AM1220" s="5" t="e">
        <f t="shared" ref="AM1220:AM1283" si="78">-AA1220*H1220</f>
        <v>#N/A</v>
      </c>
      <c r="AN1220" t="s">
        <v>64</v>
      </c>
      <c r="AO1220" t="s">
        <v>62</v>
      </c>
      <c r="AP1220" t="str">
        <f t="shared" ref="AP1220:AP1283" si="79">_xlfn.SWITCH(PROPER(TRIM(M1220)),
   "Annual",1,
   "Semi-Annual",2,
   "Quarterly",4,
   "Monthly",12,
   "")</f>
        <v/>
      </c>
    </row>
    <row r="1221" spans="4:42" x14ac:dyDescent="0.35">
      <c r="D1221" s="21"/>
      <c r="E1221" s="21"/>
      <c r="L1221" s="22"/>
      <c r="S1221">
        <f t="shared" si="76"/>
        <v>0</v>
      </c>
      <c r="T1221" s="5" t="e" cm="1">
        <f t="array" ref="T12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1" t="e">
        <f>Table1[[#This Row],[Term to Maturity (Years)]]*Table1[[#This Row],[Coupon Frequency2]]</f>
        <v>#N/A</v>
      </c>
      <c r="V1221">
        <f>Table1[[#This Row],[Face value]]*Table1[[#This Row],[Current coupon %]]</f>
        <v>0</v>
      </c>
      <c r="W1221" s="36" t="e">
        <f>RATE(Table1[[#This Row],[Total No. of Coupons]],Table1[[#This Row],[Coupon Amount]],-Table1[[#This Row],[Ask Price]],Table1[[#This Row],[Face value]])</f>
        <v>#N/A</v>
      </c>
      <c r="X1221" s="27" t="e">
        <f>Table1[[#This Row],[IRR]]*Table1[[#This Row],[Coupon Frequency2]]</f>
        <v>#N/A</v>
      </c>
      <c r="Y1221" s="19" t="e" cm="1">
        <f t="array" ref="Y12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1" s="33" t="e">
        <f>DURATION(Table1[[#This Row],[Issue date]],Table1[[#This Row],[Maturity date]],Table1[[#This Row],[Current coupon %]],Table1[[#This Row],[Yield (Annualised)]],Table1[[#This Row],[Coupon Frequency2]])</f>
        <v>#N/A</v>
      </c>
      <c r="AA1221" s="33" t="e">
        <f>Table1[[#This Row],[Macaulay Duration in Years]]/(1+Table1[[#This Row],[IRR]])</f>
        <v>#N/A</v>
      </c>
      <c r="AB1221" s="58" t="e">
        <f>VLOOKUP(Table1[[#This Row],[Yield Cluster]],'Cluster Details'!$B$3:$C$16,2,0)</f>
        <v>#N/A</v>
      </c>
      <c r="AC12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1" s="58" t="e">
        <f>IF(Table1[[#This Row],[Ask Price]]&gt;Table1[[#This Row],[Calculated Bond Price]],"Rich","Cheap")</f>
        <v>#N/A</v>
      </c>
      <c r="AE12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1" s="78" t="e">
        <f>(Table1[[#This Row],[P (+ shock)]]+Table1[[#This Row],[P (-shock)]]-2*Table1[[#This Row],[Ask Price]])/(2*Table1[[#This Row],[Ask Price]]*($AF$2^2))</f>
        <v>#N/A</v>
      </c>
      <c r="AH1221">
        <v>10.517867727277601</v>
      </c>
      <c r="AI1221" s="6" t="e">
        <f t="shared" si="77"/>
        <v>#DIV/0!</v>
      </c>
      <c r="AK1221" s="47" t="e">
        <f>RATE(Table1[[#This Row],[Total No. of Coupons]],Table1[[#This Row],[Coupon Amount]],-Table1[[#This Row],[Ask Price]],Table1[[#This Row],[Face value]])</f>
        <v>#N/A</v>
      </c>
      <c r="AL1221" s="27" t="e">
        <f>Table1[[#This Row],[IRR]]*Table1[[#This Row],[Coupon Frequency2]]</f>
        <v>#N/A</v>
      </c>
      <c r="AM1221" s="5" t="e">
        <f t="shared" si="78"/>
        <v>#N/A</v>
      </c>
      <c r="AN1221" t="s">
        <v>64</v>
      </c>
      <c r="AO1221" t="s">
        <v>62</v>
      </c>
      <c r="AP1221" t="str">
        <f t="shared" si="79"/>
        <v/>
      </c>
    </row>
    <row r="1222" spans="4:42" x14ac:dyDescent="0.35">
      <c r="D1222" s="21"/>
      <c r="E1222" s="21"/>
      <c r="L1222" s="22"/>
      <c r="S1222">
        <f t="shared" si="76"/>
        <v>0</v>
      </c>
      <c r="T1222" s="5" t="e" cm="1">
        <f t="array" ref="T12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2" t="e">
        <f>Table1[[#This Row],[Term to Maturity (Years)]]*Table1[[#This Row],[Coupon Frequency2]]</f>
        <v>#N/A</v>
      </c>
      <c r="V1222">
        <f>Table1[[#This Row],[Face value]]*Table1[[#This Row],[Current coupon %]]</f>
        <v>0</v>
      </c>
      <c r="W1222" s="36" t="e">
        <f>RATE(Table1[[#This Row],[Total No. of Coupons]],Table1[[#This Row],[Coupon Amount]],-Table1[[#This Row],[Ask Price]],Table1[[#This Row],[Face value]])</f>
        <v>#N/A</v>
      </c>
      <c r="X1222" s="27" t="e">
        <f>Table1[[#This Row],[IRR]]*Table1[[#This Row],[Coupon Frequency2]]</f>
        <v>#N/A</v>
      </c>
      <c r="Y1222" s="19" t="e" cm="1">
        <f t="array" ref="Y12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2" s="33" t="e">
        <f>DURATION(Table1[[#This Row],[Issue date]],Table1[[#This Row],[Maturity date]],Table1[[#This Row],[Current coupon %]],Table1[[#This Row],[Yield (Annualised)]],Table1[[#This Row],[Coupon Frequency2]])</f>
        <v>#N/A</v>
      </c>
      <c r="AA1222" s="33" t="e">
        <f>Table1[[#This Row],[Macaulay Duration in Years]]/(1+Table1[[#This Row],[IRR]])</f>
        <v>#N/A</v>
      </c>
      <c r="AB1222" s="58" t="e">
        <f>VLOOKUP(Table1[[#This Row],[Yield Cluster]],'Cluster Details'!$B$3:$C$16,2,0)</f>
        <v>#N/A</v>
      </c>
      <c r="AC122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2" s="58" t="e">
        <f>IF(Table1[[#This Row],[Ask Price]]&gt;Table1[[#This Row],[Calculated Bond Price]],"Rich","Cheap")</f>
        <v>#N/A</v>
      </c>
      <c r="AE122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2" s="78" t="e">
        <f>(Table1[[#This Row],[P (+ shock)]]+Table1[[#This Row],[P (-shock)]]-2*Table1[[#This Row],[Ask Price]])/(2*Table1[[#This Row],[Ask Price]]*($AF$2^2))</f>
        <v>#N/A</v>
      </c>
      <c r="AI1222" s="6" t="e">
        <f t="shared" si="77"/>
        <v>#DIV/0!</v>
      </c>
      <c r="AK1222" s="47" t="e">
        <f>RATE(Table1[[#This Row],[Total No. of Coupons]],Table1[[#This Row],[Coupon Amount]],-Table1[[#This Row],[Ask Price]],Table1[[#This Row],[Face value]])</f>
        <v>#N/A</v>
      </c>
      <c r="AL1222" s="27" t="e">
        <f>Table1[[#This Row],[IRR]]*Table1[[#This Row],[Coupon Frequency2]]</f>
        <v>#N/A</v>
      </c>
      <c r="AM1222" s="5" t="e">
        <f t="shared" si="78"/>
        <v>#N/A</v>
      </c>
      <c r="AN1222" t="s">
        <v>64</v>
      </c>
      <c r="AO1222" t="s">
        <v>62</v>
      </c>
      <c r="AP1222" t="str">
        <f t="shared" si="79"/>
        <v/>
      </c>
    </row>
    <row r="1223" spans="4:42" x14ac:dyDescent="0.35">
      <c r="D1223" s="21"/>
      <c r="E1223" s="21"/>
      <c r="L1223" s="22"/>
      <c r="S1223">
        <f t="shared" si="76"/>
        <v>0</v>
      </c>
      <c r="T1223" s="5" t="e" cm="1">
        <f t="array" ref="T12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3" t="e">
        <f>Table1[[#This Row],[Term to Maturity (Years)]]*Table1[[#This Row],[Coupon Frequency2]]</f>
        <v>#N/A</v>
      </c>
      <c r="V1223">
        <f>Table1[[#This Row],[Face value]]*Table1[[#This Row],[Current coupon %]]</f>
        <v>0</v>
      </c>
      <c r="W1223" s="36" t="e">
        <f>RATE(Table1[[#This Row],[Total No. of Coupons]],Table1[[#This Row],[Coupon Amount]],-Table1[[#This Row],[Ask Price]],Table1[[#This Row],[Face value]])</f>
        <v>#N/A</v>
      </c>
      <c r="X1223" s="27" t="e">
        <f>Table1[[#This Row],[IRR]]*Table1[[#This Row],[Coupon Frequency2]]</f>
        <v>#N/A</v>
      </c>
      <c r="Y1223" s="19" t="e" cm="1">
        <f t="array" ref="Y12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3" s="33" t="e">
        <f>DURATION(Table1[[#This Row],[Issue date]],Table1[[#This Row],[Maturity date]],Table1[[#This Row],[Current coupon %]],Table1[[#This Row],[Yield (Annualised)]],Table1[[#This Row],[Coupon Frequency2]])</f>
        <v>#N/A</v>
      </c>
      <c r="AA1223" s="33" t="e">
        <f>Table1[[#This Row],[Macaulay Duration in Years]]/(1+Table1[[#This Row],[IRR]])</f>
        <v>#N/A</v>
      </c>
      <c r="AB1223" s="58" t="e">
        <f>VLOOKUP(Table1[[#This Row],[Yield Cluster]],'Cluster Details'!$B$3:$C$16,2,0)</f>
        <v>#N/A</v>
      </c>
      <c r="AC122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3" s="58" t="e">
        <f>IF(Table1[[#This Row],[Ask Price]]&gt;Table1[[#This Row],[Calculated Bond Price]],"Rich","Cheap")</f>
        <v>#N/A</v>
      </c>
      <c r="AE122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3" s="78" t="e">
        <f>(Table1[[#This Row],[P (+ shock)]]+Table1[[#This Row],[P (-shock)]]-2*Table1[[#This Row],[Ask Price]])/(2*Table1[[#This Row],[Ask Price]]*($AF$2^2))</f>
        <v>#N/A</v>
      </c>
      <c r="AH1223">
        <v>9.7213713611508101</v>
      </c>
      <c r="AI1223" s="6" t="e">
        <f t="shared" si="77"/>
        <v>#DIV/0!</v>
      </c>
      <c r="AK1223" s="47" t="e">
        <f>RATE(Table1[[#This Row],[Total No. of Coupons]],Table1[[#This Row],[Coupon Amount]],-Table1[[#This Row],[Ask Price]],Table1[[#This Row],[Face value]])</f>
        <v>#N/A</v>
      </c>
      <c r="AL1223" s="27" t="e">
        <f>Table1[[#This Row],[IRR]]*Table1[[#This Row],[Coupon Frequency2]]</f>
        <v>#N/A</v>
      </c>
      <c r="AM1223" s="5" t="e">
        <f t="shared" si="78"/>
        <v>#N/A</v>
      </c>
      <c r="AN1223" t="s">
        <v>64</v>
      </c>
      <c r="AO1223" t="s">
        <v>62</v>
      </c>
      <c r="AP1223" t="str">
        <f t="shared" si="79"/>
        <v/>
      </c>
    </row>
    <row r="1224" spans="4:42" x14ac:dyDescent="0.35">
      <c r="D1224" s="21"/>
      <c r="E1224" s="21"/>
      <c r="L1224" s="22"/>
      <c r="S1224">
        <f t="shared" si="76"/>
        <v>0</v>
      </c>
      <c r="T1224" s="5" t="e" cm="1">
        <f t="array" ref="T12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4" t="e">
        <f>Table1[[#This Row],[Term to Maturity (Years)]]*Table1[[#This Row],[Coupon Frequency2]]</f>
        <v>#N/A</v>
      </c>
      <c r="V1224">
        <f>Table1[[#This Row],[Face value]]*Table1[[#This Row],[Current coupon %]]</f>
        <v>0</v>
      </c>
      <c r="W1224" s="36" t="e">
        <f>RATE(Table1[[#This Row],[Total No. of Coupons]],Table1[[#This Row],[Coupon Amount]],-Table1[[#This Row],[Ask Price]],Table1[[#This Row],[Face value]])</f>
        <v>#N/A</v>
      </c>
      <c r="X1224" s="27" t="e">
        <f>Table1[[#This Row],[IRR]]*Table1[[#This Row],[Coupon Frequency2]]</f>
        <v>#N/A</v>
      </c>
      <c r="Y1224" s="19" t="e" cm="1">
        <f t="array" ref="Y12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4" s="33" t="e">
        <f>DURATION(Table1[[#This Row],[Issue date]],Table1[[#This Row],[Maturity date]],Table1[[#This Row],[Current coupon %]],Table1[[#This Row],[Yield (Annualised)]],Table1[[#This Row],[Coupon Frequency2]])</f>
        <v>#N/A</v>
      </c>
      <c r="AA1224" s="33" t="e">
        <f>Table1[[#This Row],[Macaulay Duration in Years]]/(1+Table1[[#This Row],[IRR]])</f>
        <v>#N/A</v>
      </c>
      <c r="AB1224" s="58" t="e">
        <f>VLOOKUP(Table1[[#This Row],[Yield Cluster]],'Cluster Details'!$B$3:$C$16,2,0)</f>
        <v>#N/A</v>
      </c>
      <c r="AC122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4" s="58" t="e">
        <f>IF(Table1[[#This Row],[Ask Price]]&gt;Table1[[#This Row],[Calculated Bond Price]],"Rich","Cheap")</f>
        <v>#N/A</v>
      </c>
      <c r="AE122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4" s="78" t="e">
        <f>(Table1[[#This Row],[P (+ shock)]]+Table1[[#This Row],[P (-shock)]]-2*Table1[[#This Row],[Ask Price]])/(2*Table1[[#This Row],[Ask Price]]*($AF$2^2))</f>
        <v>#N/A</v>
      </c>
      <c r="AH1224">
        <v>10.25</v>
      </c>
      <c r="AI1224" s="6" t="e">
        <f t="shared" si="77"/>
        <v>#DIV/0!</v>
      </c>
      <c r="AK1224" s="47" t="e">
        <f>RATE(Table1[[#This Row],[Total No. of Coupons]],Table1[[#This Row],[Coupon Amount]],-Table1[[#This Row],[Ask Price]],Table1[[#This Row],[Face value]])</f>
        <v>#N/A</v>
      </c>
      <c r="AL1224" s="27" t="e">
        <f>Table1[[#This Row],[IRR]]*Table1[[#This Row],[Coupon Frequency2]]</f>
        <v>#N/A</v>
      </c>
      <c r="AM1224" s="5" t="e">
        <f t="shared" si="78"/>
        <v>#N/A</v>
      </c>
      <c r="AN1224" t="s">
        <v>64</v>
      </c>
      <c r="AO1224" t="s">
        <v>62</v>
      </c>
      <c r="AP1224" t="str">
        <f t="shared" si="79"/>
        <v/>
      </c>
    </row>
    <row r="1225" spans="4:42" x14ac:dyDescent="0.35">
      <c r="D1225" s="21"/>
      <c r="E1225" s="21"/>
      <c r="L1225" s="22"/>
      <c r="S1225">
        <f t="shared" si="76"/>
        <v>0</v>
      </c>
      <c r="T1225" s="5" t="e" cm="1">
        <f t="array" ref="T12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5" t="e">
        <f>Table1[[#This Row],[Term to Maturity (Years)]]*Table1[[#This Row],[Coupon Frequency2]]</f>
        <v>#N/A</v>
      </c>
      <c r="V1225">
        <f>Table1[[#This Row],[Face value]]*Table1[[#This Row],[Current coupon %]]</f>
        <v>0</v>
      </c>
      <c r="W1225" s="36" t="e">
        <f>RATE(Table1[[#This Row],[Total No. of Coupons]],Table1[[#This Row],[Coupon Amount]],-Table1[[#This Row],[Ask Price]],Table1[[#This Row],[Face value]])</f>
        <v>#N/A</v>
      </c>
      <c r="X1225" s="27" t="e">
        <f>Table1[[#This Row],[IRR]]*Table1[[#This Row],[Coupon Frequency2]]</f>
        <v>#N/A</v>
      </c>
      <c r="Y1225" s="19" t="e" cm="1">
        <f t="array" ref="Y12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5" s="33" t="e">
        <f>DURATION(Table1[[#This Row],[Issue date]],Table1[[#This Row],[Maturity date]],Table1[[#This Row],[Current coupon %]],Table1[[#This Row],[Yield (Annualised)]],Table1[[#This Row],[Coupon Frequency2]])</f>
        <v>#N/A</v>
      </c>
      <c r="AA1225" s="33" t="e">
        <f>Table1[[#This Row],[Macaulay Duration in Years]]/(1+Table1[[#This Row],[IRR]])</f>
        <v>#N/A</v>
      </c>
      <c r="AB1225" s="58" t="e">
        <f>VLOOKUP(Table1[[#This Row],[Yield Cluster]],'Cluster Details'!$B$3:$C$16,2,0)</f>
        <v>#N/A</v>
      </c>
      <c r="AC122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5" s="58" t="e">
        <f>IF(Table1[[#This Row],[Ask Price]]&gt;Table1[[#This Row],[Calculated Bond Price]],"Rich","Cheap")</f>
        <v>#N/A</v>
      </c>
      <c r="AE122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5" s="78" t="e">
        <f>(Table1[[#This Row],[P (+ shock)]]+Table1[[#This Row],[P (-shock)]]-2*Table1[[#This Row],[Ask Price]])/(2*Table1[[#This Row],[Ask Price]]*($AF$2^2))</f>
        <v>#N/A</v>
      </c>
      <c r="AI1225" s="6" t="e">
        <f t="shared" si="77"/>
        <v>#DIV/0!</v>
      </c>
      <c r="AK1225" s="47" t="e">
        <f>RATE(Table1[[#This Row],[Total No. of Coupons]],Table1[[#This Row],[Coupon Amount]],-Table1[[#This Row],[Ask Price]],Table1[[#This Row],[Face value]])</f>
        <v>#N/A</v>
      </c>
      <c r="AL1225" s="27" t="e">
        <f>Table1[[#This Row],[IRR]]*Table1[[#This Row],[Coupon Frequency2]]</f>
        <v>#N/A</v>
      </c>
      <c r="AM1225" s="5" t="e">
        <f t="shared" si="78"/>
        <v>#N/A</v>
      </c>
      <c r="AN1225" t="s">
        <v>64</v>
      </c>
      <c r="AO1225" t="s">
        <v>62</v>
      </c>
      <c r="AP1225" t="str">
        <f t="shared" si="79"/>
        <v/>
      </c>
    </row>
    <row r="1226" spans="4:42" x14ac:dyDescent="0.35">
      <c r="D1226" s="21"/>
      <c r="E1226" s="21"/>
      <c r="L1226" s="22"/>
      <c r="S1226">
        <f t="shared" si="76"/>
        <v>0</v>
      </c>
      <c r="T1226" s="5" t="e" cm="1">
        <f t="array" ref="T12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6" t="e">
        <f>Table1[[#This Row],[Term to Maturity (Years)]]*Table1[[#This Row],[Coupon Frequency2]]</f>
        <v>#N/A</v>
      </c>
      <c r="V1226">
        <f>Table1[[#This Row],[Face value]]*Table1[[#This Row],[Current coupon %]]</f>
        <v>0</v>
      </c>
      <c r="W1226" s="36" t="e">
        <f>RATE(Table1[[#This Row],[Total No. of Coupons]],Table1[[#This Row],[Coupon Amount]],-Table1[[#This Row],[Ask Price]],Table1[[#This Row],[Face value]])</f>
        <v>#N/A</v>
      </c>
      <c r="X1226" s="27" t="e">
        <f>Table1[[#This Row],[IRR]]*Table1[[#This Row],[Coupon Frequency2]]</f>
        <v>#N/A</v>
      </c>
      <c r="Y1226" s="19" t="e" cm="1">
        <f t="array" ref="Y12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6" s="33" t="e">
        <f>DURATION(Table1[[#This Row],[Issue date]],Table1[[#This Row],[Maturity date]],Table1[[#This Row],[Current coupon %]],Table1[[#This Row],[Yield (Annualised)]],Table1[[#This Row],[Coupon Frequency2]])</f>
        <v>#N/A</v>
      </c>
      <c r="AA1226" s="33" t="e">
        <f>Table1[[#This Row],[Macaulay Duration in Years]]/(1+Table1[[#This Row],[IRR]])</f>
        <v>#N/A</v>
      </c>
      <c r="AB1226" s="58" t="e">
        <f>VLOOKUP(Table1[[#This Row],[Yield Cluster]],'Cluster Details'!$B$3:$C$16,2,0)</f>
        <v>#N/A</v>
      </c>
      <c r="AC122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6" s="58" t="e">
        <f>IF(Table1[[#This Row],[Ask Price]]&gt;Table1[[#This Row],[Calculated Bond Price]],"Rich","Cheap")</f>
        <v>#N/A</v>
      </c>
      <c r="AE122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6" s="78" t="e">
        <f>(Table1[[#This Row],[P (+ shock)]]+Table1[[#This Row],[P (-shock)]]-2*Table1[[#This Row],[Ask Price]])/(2*Table1[[#This Row],[Ask Price]]*($AF$2^2))</f>
        <v>#N/A</v>
      </c>
      <c r="AI1226" s="6" t="e">
        <f t="shared" si="77"/>
        <v>#DIV/0!</v>
      </c>
      <c r="AK1226" s="47" t="e">
        <f>RATE(Table1[[#This Row],[Total No. of Coupons]],Table1[[#This Row],[Coupon Amount]],-Table1[[#This Row],[Ask Price]],Table1[[#This Row],[Face value]])</f>
        <v>#N/A</v>
      </c>
      <c r="AL1226" s="27" t="e">
        <f>Table1[[#This Row],[IRR]]*Table1[[#This Row],[Coupon Frequency2]]</f>
        <v>#N/A</v>
      </c>
      <c r="AM1226" s="5" t="e">
        <f t="shared" si="78"/>
        <v>#N/A</v>
      </c>
      <c r="AN1226" t="s">
        <v>64</v>
      </c>
      <c r="AO1226" t="s">
        <v>62</v>
      </c>
      <c r="AP1226" t="str">
        <f t="shared" si="79"/>
        <v/>
      </c>
    </row>
    <row r="1227" spans="4:42" x14ac:dyDescent="0.35">
      <c r="D1227" s="21"/>
      <c r="E1227" s="21"/>
      <c r="L1227" s="22"/>
      <c r="S1227">
        <f t="shared" si="76"/>
        <v>0</v>
      </c>
      <c r="T1227" s="5" t="e" cm="1">
        <f t="array" ref="T12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7" t="e">
        <f>Table1[[#This Row],[Term to Maturity (Years)]]*Table1[[#This Row],[Coupon Frequency2]]</f>
        <v>#N/A</v>
      </c>
      <c r="V1227">
        <f>Table1[[#This Row],[Face value]]*Table1[[#This Row],[Current coupon %]]</f>
        <v>0</v>
      </c>
      <c r="W1227" s="36" t="e">
        <f>RATE(Table1[[#This Row],[Total No. of Coupons]],Table1[[#This Row],[Coupon Amount]],-Table1[[#This Row],[Ask Price]],Table1[[#This Row],[Face value]])</f>
        <v>#N/A</v>
      </c>
      <c r="X1227" s="27" t="e">
        <f>Table1[[#This Row],[IRR]]*Table1[[#This Row],[Coupon Frequency2]]</f>
        <v>#N/A</v>
      </c>
      <c r="Y1227" s="19" t="e" cm="1">
        <f t="array" ref="Y12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7" s="33" t="e">
        <f>DURATION(Table1[[#This Row],[Issue date]],Table1[[#This Row],[Maturity date]],Table1[[#This Row],[Current coupon %]],Table1[[#This Row],[Yield (Annualised)]],Table1[[#This Row],[Coupon Frequency2]])</f>
        <v>#N/A</v>
      </c>
      <c r="AA1227" s="33" t="e">
        <f>Table1[[#This Row],[Macaulay Duration in Years]]/(1+Table1[[#This Row],[IRR]])</f>
        <v>#N/A</v>
      </c>
      <c r="AB1227" s="58" t="e">
        <f>VLOOKUP(Table1[[#This Row],[Yield Cluster]],'Cluster Details'!$B$3:$C$16,2,0)</f>
        <v>#N/A</v>
      </c>
      <c r="AC122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7" s="58" t="e">
        <f>IF(Table1[[#This Row],[Ask Price]]&gt;Table1[[#This Row],[Calculated Bond Price]],"Rich","Cheap")</f>
        <v>#N/A</v>
      </c>
      <c r="AE122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7" s="78" t="e">
        <f>(Table1[[#This Row],[P (+ shock)]]+Table1[[#This Row],[P (-shock)]]-2*Table1[[#This Row],[Ask Price]])/(2*Table1[[#This Row],[Ask Price]]*($AF$2^2))</f>
        <v>#N/A</v>
      </c>
      <c r="AI1227" s="6" t="e">
        <f t="shared" si="77"/>
        <v>#DIV/0!</v>
      </c>
      <c r="AK1227" s="47" t="e">
        <f>RATE(Table1[[#This Row],[Total No. of Coupons]],Table1[[#This Row],[Coupon Amount]],-Table1[[#This Row],[Ask Price]],Table1[[#This Row],[Face value]])</f>
        <v>#N/A</v>
      </c>
      <c r="AL1227" s="27" t="e">
        <f>Table1[[#This Row],[IRR]]*Table1[[#This Row],[Coupon Frequency2]]</f>
        <v>#N/A</v>
      </c>
      <c r="AM1227" s="5" t="e">
        <f t="shared" si="78"/>
        <v>#N/A</v>
      </c>
      <c r="AN1227" t="s">
        <v>64</v>
      </c>
      <c r="AO1227" t="s">
        <v>62</v>
      </c>
      <c r="AP1227" t="str">
        <f t="shared" si="79"/>
        <v/>
      </c>
    </row>
    <row r="1228" spans="4:42" x14ac:dyDescent="0.35">
      <c r="D1228" s="21"/>
      <c r="E1228" s="21"/>
      <c r="L1228" s="22"/>
      <c r="S1228">
        <f t="shared" si="76"/>
        <v>0</v>
      </c>
      <c r="T1228" s="5" t="e" cm="1">
        <f t="array" ref="T12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8" t="e">
        <f>Table1[[#This Row],[Term to Maturity (Years)]]*Table1[[#This Row],[Coupon Frequency2]]</f>
        <v>#N/A</v>
      </c>
      <c r="V1228">
        <f>Table1[[#This Row],[Face value]]*Table1[[#This Row],[Current coupon %]]</f>
        <v>0</v>
      </c>
      <c r="W1228" s="36" t="e">
        <f>RATE(Table1[[#This Row],[Total No. of Coupons]],Table1[[#This Row],[Coupon Amount]],-Table1[[#This Row],[Ask Price]],Table1[[#This Row],[Face value]])</f>
        <v>#N/A</v>
      </c>
      <c r="X1228" s="27" t="e">
        <f>Table1[[#This Row],[IRR]]*Table1[[#This Row],[Coupon Frequency2]]</f>
        <v>#N/A</v>
      </c>
      <c r="Y1228" s="19" t="e" cm="1">
        <f t="array" ref="Y12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8" s="33" t="e">
        <f>DURATION(Table1[[#This Row],[Issue date]],Table1[[#This Row],[Maturity date]],Table1[[#This Row],[Current coupon %]],Table1[[#This Row],[Yield (Annualised)]],Table1[[#This Row],[Coupon Frequency2]])</f>
        <v>#N/A</v>
      </c>
      <c r="AA1228" s="33" t="e">
        <f>Table1[[#This Row],[Macaulay Duration in Years]]/(1+Table1[[#This Row],[IRR]])</f>
        <v>#N/A</v>
      </c>
      <c r="AB1228" s="58" t="e">
        <f>VLOOKUP(Table1[[#This Row],[Yield Cluster]],'Cluster Details'!$B$3:$C$16,2,0)</f>
        <v>#N/A</v>
      </c>
      <c r="AC122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8" s="58" t="e">
        <f>IF(Table1[[#This Row],[Ask Price]]&gt;Table1[[#This Row],[Calculated Bond Price]],"Rich","Cheap")</f>
        <v>#N/A</v>
      </c>
      <c r="AE122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8" s="78" t="e">
        <f>(Table1[[#This Row],[P (+ shock)]]+Table1[[#This Row],[P (-shock)]]-2*Table1[[#This Row],[Ask Price]])/(2*Table1[[#This Row],[Ask Price]]*($AF$2^2))</f>
        <v>#N/A</v>
      </c>
      <c r="AH1228">
        <v>10.342845363163701</v>
      </c>
      <c r="AI1228" s="6" t="e">
        <f t="shared" si="77"/>
        <v>#DIV/0!</v>
      </c>
      <c r="AK1228" s="47" t="e">
        <f>RATE(Table1[[#This Row],[Total No. of Coupons]],Table1[[#This Row],[Coupon Amount]],-Table1[[#This Row],[Ask Price]],Table1[[#This Row],[Face value]])</f>
        <v>#N/A</v>
      </c>
      <c r="AL1228" s="27" t="e">
        <f>Table1[[#This Row],[IRR]]*Table1[[#This Row],[Coupon Frequency2]]</f>
        <v>#N/A</v>
      </c>
      <c r="AM1228" s="5" t="e">
        <f t="shared" si="78"/>
        <v>#N/A</v>
      </c>
      <c r="AN1228" t="s">
        <v>64</v>
      </c>
      <c r="AO1228" t="s">
        <v>62</v>
      </c>
      <c r="AP1228" t="str">
        <f t="shared" si="79"/>
        <v/>
      </c>
    </row>
    <row r="1229" spans="4:42" x14ac:dyDescent="0.35">
      <c r="D1229" s="21"/>
      <c r="E1229" s="21"/>
      <c r="L1229" s="22"/>
      <c r="S1229">
        <f t="shared" si="76"/>
        <v>0</v>
      </c>
      <c r="T1229" s="5" t="e" cm="1">
        <f t="array" ref="T12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29" t="e">
        <f>Table1[[#This Row],[Term to Maturity (Years)]]*Table1[[#This Row],[Coupon Frequency2]]</f>
        <v>#N/A</v>
      </c>
      <c r="V1229">
        <f>Table1[[#This Row],[Face value]]*Table1[[#This Row],[Current coupon %]]</f>
        <v>0</v>
      </c>
      <c r="W1229" s="36" t="e">
        <f>RATE(Table1[[#This Row],[Total No. of Coupons]],Table1[[#This Row],[Coupon Amount]],-Table1[[#This Row],[Ask Price]],Table1[[#This Row],[Face value]])</f>
        <v>#N/A</v>
      </c>
      <c r="X1229" s="27" t="e">
        <f>Table1[[#This Row],[IRR]]*Table1[[#This Row],[Coupon Frequency2]]</f>
        <v>#N/A</v>
      </c>
      <c r="Y1229" s="19" t="e" cm="1">
        <f t="array" ref="Y12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29" s="33" t="e">
        <f>DURATION(Table1[[#This Row],[Issue date]],Table1[[#This Row],[Maturity date]],Table1[[#This Row],[Current coupon %]],Table1[[#This Row],[Yield (Annualised)]],Table1[[#This Row],[Coupon Frequency2]])</f>
        <v>#N/A</v>
      </c>
      <c r="AA1229" s="33" t="e">
        <f>Table1[[#This Row],[Macaulay Duration in Years]]/(1+Table1[[#This Row],[IRR]])</f>
        <v>#N/A</v>
      </c>
      <c r="AB1229" s="58" t="e">
        <f>VLOOKUP(Table1[[#This Row],[Yield Cluster]],'Cluster Details'!$B$3:$C$16,2,0)</f>
        <v>#N/A</v>
      </c>
      <c r="AC122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29" s="58" t="e">
        <f>IF(Table1[[#This Row],[Ask Price]]&gt;Table1[[#This Row],[Calculated Bond Price]],"Rich","Cheap")</f>
        <v>#N/A</v>
      </c>
      <c r="AE122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2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29" s="78" t="e">
        <f>(Table1[[#This Row],[P (+ shock)]]+Table1[[#This Row],[P (-shock)]]-2*Table1[[#This Row],[Ask Price]])/(2*Table1[[#This Row],[Ask Price]]*($AF$2^2))</f>
        <v>#N/A</v>
      </c>
      <c r="AH1229">
        <v>10.029999999999999</v>
      </c>
      <c r="AI1229" s="6" t="e">
        <f t="shared" si="77"/>
        <v>#DIV/0!</v>
      </c>
      <c r="AK1229" s="47" t="e">
        <f>RATE(Table1[[#This Row],[Total No. of Coupons]],Table1[[#This Row],[Coupon Amount]],-Table1[[#This Row],[Ask Price]],Table1[[#This Row],[Face value]])</f>
        <v>#N/A</v>
      </c>
      <c r="AL1229" s="27" t="e">
        <f>Table1[[#This Row],[IRR]]*Table1[[#This Row],[Coupon Frequency2]]</f>
        <v>#N/A</v>
      </c>
      <c r="AM1229" s="5" t="e">
        <f t="shared" si="78"/>
        <v>#N/A</v>
      </c>
      <c r="AN1229" t="s">
        <v>64</v>
      </c>
      <c r="AO1229" t="s">
        <v>62</v>
      </c>
      <c r="AP1229" t="str">
        <f t="shared" si="79"/>
        <v/>
      </c>
    </row>
    <row r="1230" spans="4:42" x14ac:dyDescent="0.35">
      <c r="D1230" s="21"/>
      <c r="E1230" s="21"/>
      <c r="L1230" s="22"/>
      <c r="S1230">
        <f t="shared" si="76"/>
        <v>0</v>
      </c>
      <c r="T1230" s="5" t="e" cm="1">
        <f t="array" ref="T12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0" t="e">
        <f>Table1[[#This Row],[Term to Maturity (Years)]]*Table1[[#This Row],[Coupon Frequency2]]</f>
        <v>#N/A</v>
      </c>
      <c r="V1230">
        <f>Table1[[#This Row],[Face value]]*Table1[[#This Row],[Current coupon %]]</f>
        <v>0</v>
      </c>
      <c r="W1230" s="36" t="e">
        <f>RATE(Table1[[#This Row],[Total No. of Coupons]],Table1[[#This Row],[Coupon Amount]],-Table1[[#This Row],[Ask Price]],Table1[[#This Row],[Face value]])</f>
        <v>#N/A</v>
      </c>
      <c r="X1230" s="27" t="e">
        <f>Table1[[#This Row],[IRR]]*Table1[[#This Row],[Coupon Frequency2]]</f>
        <v>#N/A</v>
      </c>
      <c r="Y1230" s="19" t="e" cm="1">
        <f t="array" ref="Y12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0" s="33" t="e">
        <f>DURATION(Table1[[#This Row],[Issue date]],Table1[[#This Row],[Maturity date]],Table1[[#This Row],[Current coupon %]],Table1[[#This Row],[Yield (Annualised)]],Table1[[#This Row],[Coupon Frequency2]])</f>
        <v>#N/A</v>
      </c>
      <c r="AA1230" s="33" t="e">
        <f>Table1[[#This Row],[Macaulay Duration in Years]]/(1+Table1[[#This Row],[IRR]])</f>
        <v>#N/A</v>
      </c>
      <c r="AB1230" s="58" t="e">
        <f>VLOOKUP(Table1[[#This Row],[Yield Cluster]],'Cluster Details'!$B$3:$C$16,2,0)</f>
        <v>#N/A</v>
      </c>
      <c r="AC123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0" s="58" t="e">
        <f>IF(Table1[[#This Row],[Ask Price]]&gt;Table1[[#This Row],[Calculated Bond Price]],"Rich","Cheap")</f>
        <v>#N/A</v>
      </c>
      <c r="AE123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0" s="78" t="e">
        <f>(Table1[[#This Row],[P (+ shock)]]+Table1[[#This Row],[P (-shock)]]-2*Table1[[#This Row],[Ask Price]])/(2*Table1[[#This Row],[Ask Price]]*($AF$2^2))</f>
        <v>#N/A</v>
      </c>
      <c r="AH1230">
        <v>8.5861162121109</v>
      </c>
      <c r="AI1230" s="6" t="e">
        <f t="shared" si="77"/>
        <v>#DIV/0!</v>
      </c>
      <c r="AK1230" s="47" t="e">
        <f>RATE(Table1[[#This Row],[Total No. of Coupons]],Table1[[#This Row],[Coupon Amount]],-Table1[[#This Row],[Ask Price]],Table1[[#This Row],[Face value]])</f>
        <v>#N/A</v>
      </c>
      <c r="AL1230" s="27" t="e">
        <f>Table1[[#This Row],[IRR]]*Table1[[#This Row],[Coupon Frequency2]]</f>
        <v>#N/A</v>
      </c>
      <c r="AM1230" s="5" t="e">
        <f t="shared" si="78"/>
        <v>#N/A</v>
      </c>
      <c r="AN1230" t="s">
        <v>64</v>
      </c>
      <c r="AO1230" t="s">
        <v>62</v>
      </c>
      <c r="AP1230" t="str">
        <f t="shared" si="79"/>
        <v/>
      </c>
    </row>
    <row r="1231" spans="4:42" x14ac:dyDescent="0.35">
      <c r="D1231" s="21"/>
      <c r="E1231" s="21"/>
      <c r="L1231" s="22"/>
      <c r="S1231">
        <f t="shared" si="76"/>
        <v>0</v>
      </c>
      <c r="T1231" s="5" t="e" cm="1">
        <f t="array" ref="T12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1" t="e">
        <f>Table1[[#This Row],[Term to Maturity (Years)]]*Table1[[#This Row],[Coupon Frequency2]]</f>
        <v>#N/A</v>
      </c>
      <c r="V1231">
        <f>Table1[[#This Row],[Face value]]*Table1[[#This Row],[Current coupon %]]</f>
        <v>0</v>
      </c>
      <c r="W1231" s="36" t="e">
        <f>RATE(Table1[[#This Row],[Total No. of Coupons]],Table1[[#This Row],[Coupon Amount]],-Table1[[#This Row],[Ask Price]],Table1[[#This Row],[Face value]])</f>
        <v>#N/A</v>
      </c>
      <c r="X1231" s="27" t="e">
        <f>Table1[[#This Row],[IRR]]*Table1[[#This Row],[Coupon Frequency2]]</f>
        <v>#N/A</v>
      </c>
      <c r="Y1231" s="19" t="e" cm="1">
        <f t="array" ref="Y12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1" s="33" t="e">
        <f>DURATION(Table1[[#This Row],[Issue date]],Table1[[#This Row],[Maturity date]],Table1[[#This Row],[Current coupon %]],Table1[[#This Row],[Yield (Annualised)]],Table1[[#This Row],[Coupon Frequency2]])</f>
        <v>#N/A</v>
      </c>
      <c r="AA1231" s="33" t="e">
        <f>Table1[[#This Row],[Macaulay Duration in Years]]/(1+Table1[[#This Row],[IRR]])</f>
        <v>#N/A</v>
      </c>
      <c r="AB1231" s="58" t="e">
        <f>VLOOKUP(Table1[[#This Row],[Yield Cluster]],'Cluster Details'!$B$3:$C$16,2,0)</f>
        <v>#N/A</v>
      </c>
      <c r="AC123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1" s="58" t="e">
        <f>IF(Table1[[#This Row],[Ask Price]]&gt;Table1[[#This Row],[Calculated Bond Price]],"Rich","Cheap")</f>
        <v>#N/A</v>
      </c>
      <c r="AE123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1" s="78" t="e">
        <f>(Table1[[#This Row],[P (+ shock)]]+Table1[[#This Row],[P (-shock)]]-2*Table1[[#This Row],[Ask Price]])/(2*Table1[[#This Row],[Ask Price]]*($AF$2^2))</f>
        <v>#N/A</v>
      </c>
      <c r="AH1231">
        <v>10.2041279845555</v>
      </c>
      <c r="AI1231" s="6" t="e">
        <f t="shared" si="77"/>
        <v>#DIV/0!</v>
      </c>
      <c r="AK1231" s="47" t="e">
        <f>RATE(Table1[[#This Row],[Total No. of Coupons]],Table1[[#This Row],[Coupon Amount]],-Table1[[#This Row],[Ask Price]],Table1[[#This Row],[Face value]])</f>
        <v>#N/A</v>
      </c>
      <c r="AL1231" s="27" t="e">
        <f>Table1[[#This Row],[IRR]]*Table1[[#This Row],[Coupon Frequency2]]</f>
        <v>#N/A</v>
      </c>
      <c r="AM1231" s="5" t="e">
        <f t="shared" si="78"/>
        <v>#N/A</v>
      </c>
      <c r="AN1231" t="s">
        <v>64</v>
      </c>
      <c r="AO1231" t="s">
        <v>62</v>
      </c>
      <c r="AP1231" t="str">
        <f t="shared" si="79"/>
        <v/>
      </c>
    </row>
    <row r="1232" spans="4:42" x14ac:dyDescent="0.35">
      <c r="D1232" s="21"/>
      <c r="E1232" s="21"/>
      <c r="L1232" s="22"/>
      <c r="S1232">
        <f t="shared" si="76"/>
        <v>0</v>
      </c>
      <c r="T1232" s="5" t="e" cm="1">
        <f t="array" ref="T12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2" t="e">
        <f>Table1[[#This Row],[Term to Maturity (Years)]]*Table1[[#This Row],[Coupon Frequency2]]</f>
        <v>#N/A</v>
      </c>
      <c r="V1232">
        <f>Table1[[#This Row],[Face value]]*Table1[[#This Row],[Current coupon %]]</f>
        <v>0</v>
      </c>
      <c r="W1232" s="36" t="e">
        <f>RATE(Table1[[#This Row],[Total No. of Coupons]],Table1[[#This Row],[Coupon Amount]],-Table1[[#This Row],[Ask Price]],Table1[[#This Row],[Face value]])</f>
        <v>#N/A</v>
      </c>
      <c r="X1232" s="27" t="e">
        <f>Table1[[#This Row],[IRR]]*Table1[[#This Row],[Coupon Frequency2]]</f>
        <v>#N/A</v>
      </c>
      <c r="Y1232" s="19" t="e" cm="1">
        <f t="array" ref="Y12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2" s="33" t="e">
        <f>DURATION(Table1[[#This Row],[Issue date]],Table1[[#This Row],[Maturity date]],Table1[[#This Row],[Current coupon %]],Table1[[#This Row],[Yield (Annualised)]],Table1[[#This Row],[Coupon Frequency2]])</f>
        <v>#N/A</v>
      </c>
      <c r="AA1232" s="33" t="e">
        <f>Table1[[#This Row],[Macaulay Duration in Years]]/(1+Table1[[#This Row],[IRR]])</f>
        <v>#N/A</v>
      </c>
      <c r="AB1232" s="58" t="e">
        <f>VLOOKUP(Table1[[#This Row],[Yield Cluster]],'Cluster Details'!$B$3:$C$16,2,0)</f>
        <v>#N/A</v>
      </c>
      <c r="AC123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2" s="58" t="e">
        <f>IF(Table1[[#This Row],[Ask Price]]&gt;Table1[[#This Row],[Calculated Bond Price]],"Rich","Cheap")</f>
        <v>#N/A</v>
      </c>
      <c r="AE123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2" s="78" t="e">
        <f>(Table1[[#This Row],[P (+ shock)]]+Table1[[#This Row],[P (-shock)]]-2*Table1[[#This Row],[Ask Price]])/(2*Table1[[#This Row],[Ask Price]]*($AF$2^2))</f>
        <v>#N/A</v>
      </c>
      <c r="AH1232">
        <v>9.3985424907517299</v>
      </c>
      <c r="AI1232" s="6" t="e">
        <f t="shared" si="77"/>
        <v>#DIV/0!</v>
      </c>
      <c r="AK1232" s="47" t="e">
        <f>RATE(Table1[[#This Row],[Total No. of Coupons]],Table1[[#This Row],[Coupon Amount]],-Table1[[#This Row],[Ask Price]],Table1[[#This Row],[Face value]])</f>
        <v>#N/A</v>
      </c>
      <c r="AL1232" s="27" t="e">
        <f>Table1[[#This Row],[IRR]]*Table1[[#This Row],[Coupon Frequency2]]</f>
        <v>#N/A</v>
      </c>
      <c r="AM1232" s="5" t="e">
        <f t="shared" si="78"/>
        <v>#N/A</v>
      </c>
      <c r="AN1232" t="s">
        <v>64</v>
      </c>
      <c r="AO1232" t="s">
        <v>62</v>
      </c>
      <c r="AP1232" t="str">
        <f t="shared" si="79"/>
        <v/>
      </c>
    </row>
    <row r="1233" spans="4:42" x14ac:dyDescent="0.35">
      <c r="D1233" s="21"/>
      <c r="E1233" s="21"/>
      <c r="L1233" s="22"/>
      <c r="S1233">
        <f t="shared" si="76"/>
        <v>0</v>
      </c>
      <c r="T1233" s="5" t="e" cm="1">
        <f t="array" ref="T12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3" t="e">
        <f>Table1[[#This Row],[Term to Maturity (Years)]]*Table1[[#This Row],[Coupon Frequency2]]</f>
        <v>#N/A</v>
      </c>
      <c r="V1233">
        <f>Table1[[#This Row],[Face value]]*Table1[[#This Row],[Current coupon %]]</f>
        <v>0</v>
      </c>
      <c r="W1233" s="36" t="e">
        <f>RATE(Table1[[#This Row],[Total No. of Coupons]],Table1[[#This Row],[Coupon Amount]],-Table1[[#This Row],[Ask Price]],Table1[[#This Row],[Face value]])</f>
        <v>#N/A</v>
      </c>
      <c r="X1233" s="27" t="e">
        <f>Table1[[#This Row],[IRR]]*Table1[[#This Row],[Coupon Frequency2]]</f>
        <v>#N/A</v>
      </c>
      <c r="Y1233" s="19" t="e" cm="1">
        <f t="array" ref="Y12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3" s="33" t="e">
        <f>DURATION(Table1[[#This Row],[Issue date]],Table1[[#This Row],[Maturity date]],Table1[[#This Row],[Current coupon %]],Table1[[#This Row],[Yield (Annualised)]],Table1[[#This Row],[Coupon Frequency2]])</f>
        <v>#N/A</v>
      </c>
      <c r="AA1233" s="33" t="e">
        <f>Table1[[#This Row],[Macaulay Duration in Years]]/(1+Table1[[#This Row],[IRR]])</f>
        <v>#N/A</v>
      </c>
      <c r="AB1233" s="58" t="e">
        <f>VLOOKUP(Table1[[#This Row],[Yield Cluster]],'Cluster Details'!$B$3:$C$16,2,0)</f>
        <v>#N/A</v>
      </c>
      <c r="AC123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3" s="58" t="e">
        <f>IF(Table1[[#This Row],[Ask Price]]&gt;Table1[[#This Row],[Calculated Bond Price]],"Rich","Cheap")</f>
        <v>#N/A</v>
      </c>
      <c r="AE123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3" s="78" t="e">
        <f>(Table1[[#This Row],[P (+ shock)]]+Table1[[#This Row],[P (-shock)]]-2*Table1[[#This Row],[Ask Price]])/(2*Table1[[#This Row],[Ask Price]]*($AF$2^2))</f>
        <v>#N/A</v>
      </c>
      <c r="AH1233">
        <v>10.3425429006824</v>
      </c>
      <c r="AI1233" s="6" t="e">
        <f t="shared" si="77"/>
        <v>#DIV/0!</v>
      </c>
      <c r="AK1233" s="47" t="e">
        <f>RATE(Table1[[#This Row],[Total No. of Coupons]],Table1[[#This Row],[Coupon Amount]],-Table1[[#This Row],[Ask Price]],Table1[[#This Row],[Face value]])</f>
        <v>#N/A</v>
      </c>
      <c r="AL1233" s="27" t="e">
        <f>Table1[[#This Row],[IRR]]*Table1[[#This Row],[Coupon Frequency2]]</f>
        <v>#N/A</v>
      </c>
      <c r="AM1233" s="5" t="e">
        <f t="shared" si="78"/>
        <v>#N/A</v>
      </c>
      <c r="AN1233" t="s">
        <v>64</v>
      </c>
      <c r="AO1233" t="s">
        <v>62</v>
      </c>
      <c r="AP1233" t="str">
        <f t="shared" si="79"/>
        <v/>
      </c>
    </row>
    <row r="1234" spans="4:42" x14ac:dyDescent="0.35">
      <c r="D1234" s="21"/>
      <c r="E1234" s="21"/>
      <c r="L1234" s="22"/>
      <c r="S1234">
        <f t="shared" si="76"/>
        <v>0</v>
      </c>
      <c r="T1234" s="5" t="e" cm="1">
        <f t="array" ref="T12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4" t="e">
        <f>Table1[[#This Row],[Term to Maturity (Years)]]*Table1[[#This Row],[Coupon Frequency2]]</f>
        <v>#N/A</v>
      </c>
      <c r="V1234">
        <f>Table1[[#This Row],[Face value]]*Table1[[#This Row],[Current coupon %]]</f>
        <v>0</v>
      </c>
      <c r="W1234" s="36" t="e">
        <f>RATE(Table1[[#This Row],[Total No. of Coupons]],Table1[[#This Row],[Coupon Amount]],-Table1[[#This Row],[Ask Price]],Table1[[#This Row],[Face value]])</f>
        <v>#N/A</v>
      </c>
      <c r="X1234" s="27" t="e">
        <f>Table1[[#This Row],[IRR]]*Table1[[#This Row],[Coupon Frequency2]]</f>
        <v>#N/A</v>
      </c>
      <c r="Y1234" s="19" t="e" cm="1">
        <f t="array" ref="Y12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4" s="33" t="e">
        <f>DURATION(Table1[[#This Row],[Issue date]],Table1[[#This Row],[Maturity date]],Table1[[#This Row],[Current coupon %]],Table1[[#This Row],[Yield (Annualised)]],Table1[[#This Row],[Coupon Frequency2]])</f>
        <v>#N/A</v>
      </c>
      <c r="AA1234" s="33" t="e">
        <f>Table1[[#This Row],[Macaulay Duration in Years]]/(1+Table1[[#This Row],[IRR]])</f>
        <v>#N/A</v>
      </c>
      <c r="AB1234" s="58" t="e">
        <f>VLOOKUP(Table1[[#This Row],[Yield Cluster]],'Cluster Details'!$B$3:$C$16,2,0)</f>
        <v>#N/A</v>
      </c>
      <c r="AC123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4" s="58" t="e">
        <f>IF(Table1[[#This Row],[Ask Price]]&gt;Table1[[#This Row],[Calculated Bond Price]],"Rich","Cheap")</f>
        <v>#N/A</v>
      </c>
      <c r="AE123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4" s="78" t="e">
        <f>(Table1[[#This Row],[P (+ shock)]]+Table1[[#This Row],[P (-shock)]]-2*Table1[[#This Row],[Ask Price]])/(2*Table1[[#This Row],[Ask Price]]*($AF$2^2))</f>
        <v>#N/A</v>
      </c>
      <c r="AH1234">
        <v>10.3209249588598</v>
      </c>
      <c r="AI1234" s="6" t="e">
        <f t="shared" si="77"/>
        <v>#DIV/0!</v>
      </c>
      <c r="AK1234" s="47" t="e">
        <f>RATE(Table1[[#This Row],[Total No. of Coupons]],Table1[[#This Row],[Coupon Amount]],-Table1[[#This Row],[Ask Price]],Table1[[#This Row],[Face value]])</f>
        <v>#N/A</v>
      </c>
      <c r="AL1234" s="27" t="e">
        <f>Table1[[#This Row],[IRR]]*Table1[[#This Row],[Coupon Frequency2]]</f>
        <v>#N/A</v>
      </c>
      <c r="AM1234" s="5" t="e">
        <f t="shared" si="78"/>
        <v>#N/A</v>
      </c>
      <c r="AN1234" t="s">
        <v>64</v>
      </c>
      <c r="AO1234" t="s">
        <v>62</v>
      </c>
      <c r="AP1234" t="str">
        <f t="shared" si="79"/>
        <v/>
      </c>
    </row>
    <row r="1235" spans="4:42" x14ac:dyDescent="0.35">
      <c r="D1235" s="21"/>
      <c r="E1235" s="21"/>
      <c r="L1235" s="22"/>
      <c r="S1235">
        <f t="shared" si="76"/>
        <v>0</v>
      </c>
      <c r="T1235" s="5" t="e" cm="1">
        <f t="array" ref="T12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5" t="e">
        <f>Table1[[#This Row],[Term to Maturity (Years)]]*Table1[[#This Row],[Coupon Frequency2]]</f>
        <v>#N/A</v>
      </c>
      <c r="V1235">
        <f>Table1[[#This Row],[Face value]]*Table1[[#This Row],[Current coupon %]]</f>
        <v>0</v>
      </c>
      <c r="W1235" s="36" t="e">
        <f>RATE(Table1[[#This Row],[Total No. of Coupons]],Table1[[#This Row],[Coupon Amount]],-Table1[[#This Row],[Ask Price]],Table1[[#This Row],[Face value]])</f>
        <v>#N/A</v>
      </c>
      <c r="X1235" s="27" t="e">
        <f>Table1[[#This Row],[IRR]]*Table1[[#This Row],[Coupon Frequency2]]</f>
        <v>#N/A</v>
      </c>
      <c r="Y1235" s="19" t="e" cm="1">
        <f t="array" ref="Y12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5" s="33" t="e">
        <f>DURATION(Table1[[#This Row],[Issue date]],Table1[[#This Row],[Maturity date]],Table1[[#This Row],[Current coupon %]],Table1[[#This Row],[Yield (Annualised)]],Table1[[#This Row],[Coupon Frequency2]])</f>
        <v>#N/A</v>
      </c>
      <c r="AA1235" s="33" t="e">
        <f>Table1[[#This Row],[Macaulay Duration in Years]]/(1+Table1[[#This Row],[IRR]])</f>
        <v>#N/A</v>
      </c>
      <c r="AB1235" s="58" t="e">
        <f>VLOOKUP(Table1[[#This Row],[Yield Cluster]],'Cluster Details'!$B$3:$C$16,2,0)</f>
        <v>#N/A</v>
      </c>
      <c r="AC123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5" s="58" t="e">
        <f>IF(Table1[[#This Row],[Ask Price]]&gt;Table1[[#This Row],[Calculated Bond Price]],"Rich","Cheap")</f>
        <v>#N/A</v>
      </c>
      <c r="AE123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5" s="78" t="e">
        <f>(Table1[[#This Row],[P (+ shock)]]+Table1[[#This Row],[P (-shock)]]-2*Table1[[#This Row],[Ask Price]])/(2*Table1[[#This Row],[Ask Price]]*($AF$2^2))</f>
        <v>#N/A</v>
      </c>
      <c r="AH1235">
        <v>9.6103046029408308</v>
      </c>
      <c r="AI1235" s="6" t="e">
        <f t="shared" si="77"/>
        <v>#DIV/0!</v>
      </c>
      <c r="AK1235" s="47" t="e">
        <f>RATE(Table1[[#This Row],[Total No. of Coupons]],Table1[[#This Row],[Coupon Amount]],-Table1[[#This Row],[Ask Price]],Table1[[#This Row],[Face value]])</f>
        <v>#N/A</v>
      </c>
      <c r="AL1235" s="27" t="e">
        <f>Table1[[#This Row],[IRR]]*Table1[[#This Row],[Coupon Frequency2]]</f>
        <v>#N/A</v>
      </c>
      <c r="AM1235" s="5" t="e">
        <f t="shared" si="78"/>
        <v>#N/A</v>
      </c>
      <c r="AN1235" t="s">
        <v>64</v>
      </c>
      <c r="AO1235" t="s">
        <v>62</v>
      </c>
      <c r="AP1235" t="str">
        <f t="shared" si="79"/>
        <v/>
      </c>
    </row>
    <row r="1236" spans="4:42" x14ac:dyDescent="0.35">
      <c r="D1236" s="21"/>
      <c r="E1236" s="21"/>
      <c r="L1236" s="22"/>
      <c r="S1236">
        <f t="shared" si="76"/>
        <v>0</v>
      </c>
      <c r="T1236" s="5" t="e" cm="1">
        <f t="array" ref="T12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6" t="e">
        <f>Table1[[#This Row],[Term to Maturity (Years)]]*Table1[[#This Row],[Coupon Frequency2]]</f>
        <v>#N/A</v>
      </c>
      <c r="V1236">
        <f>Table1[[#This Row],[Face value]]*Table1[[#This Row],[Current coupon %]]</f>
        <v>0</v>
      </c>
      <c r="W1236" s="36" t="e">
        <f>RATE(Table1[[#This Row],[Total No. of Coupons]],Table1[[#This Row],[Coupon Amount]],-Table1[[#This Row],[Ask Price]],Table1[[#This Row],[Face value]])</f>
        <v>#N/A</v>
      </c>
      <c r="X1236" s="27" t="e">
        <f>Table1[[#This Row],[IRR]]*Table1[[#This Row],[Coupon Frequency2]]</f>
        <v>#N/A</v>
      </c>
      <c r="Y1236" s="19" t="e" cm="1">
        <f t="array" ref="Y12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6" s="33" t="e">
        <f>DURATION(Table1[[#This Row],[Issue date]],Table1[[#This Row],[Maturity date]],Table1[[#This Row],[Current coupon %]],Table1[[#This Row],[Yield (Annualised)]],Table1[[#This Row],[Coupon Frequency2]])</f>
        <v>#N/A</v>
      </c>
      <c r="AA1236" s="33" t="e">
        <f>Table1[[#This Row],[Macaulay Duration in Years]]/(1+Table1[[#This Row],[IRR]])</f>
        <v>#N/A</v>
      </c>
      <c r="AB1236" s="58" t="e">
        <f>VLOOKUP(Table1[[#This Row],[Yield Cluster]],'Cluster Details'!$B$3:$C$16,2,0)</f>
        <v>#N/A</v>
      </c>
      <c r="AC123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6" s="58" t="e">
        <f>IF(Table1[[#This Row],[Ask Price]]&gt;Table1[[#This Row],[Calculated Bond Price]],"Rich","Cheap")</f>
        <v>#N/A</v>
      </c>
      <c r="AE123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6" s="78" t="e">
        <f>(Table1[[#This Row],[P (+ shock)]]+Table1[[#This Row],[P (-shock)]]-2*Table1[[#This Row],[Ask Price]])/(2*Table1[[#This Row],[Ask Price]]*($AF$2^2))</f>
        <v>#N/A</v>
      </c>
      <c r="AH1236">
        <v>7.6571015071364297</v>
      </c>
      <c r="AI1236" s="6" t="e">
        <f t="shared" si="77"/>
        <v>#DIV/0!</v>
      </c>
      <c r="AK1236" s="47" t="e">
        <f>RATE(Table1[[#This Row],[Total No. of Coupons]],Table1[[#This Row],[Coupon Amount]],-Table1[[#This Row],[Ask Price]],Table1[[#This Row],[Face value]])</f>
        <v>#N/A</v>
      </c>
      <c r="AL1236" s="27" t="e">
        <f>Table1[[#This Row],[IRR]]*Table1[[#This Row],[Coupon Frequency2]]</f>
        <v>#N/A</v>
      </c>
      <c r="AM1236" s="5" t="e">
        <f t="shared" si="78"/>
        <v>#N/A</v>
      </c>
      <c r="AN1236" t="s">
        <v>64</v>
      </c>
      <c r="AO1236" t="s">
        <v>62</v>
      </c>
      <c r="AP1236" t="str">
        <f t="shared" si="79"/>
        <v/>
      </c>
    </row>
    <row r="1237" spans="4:42" x14ac:dyDescent="0.35">
      <c r="D1237" s="21"/>
      <c r="E1237" s="21"/>
      <c r="L1237" s="22"/>
      <c r="S1237">
        <f t="shared" si="76"/>
        <v>0</v>
      </c>
      <c r="T1237" s="5" t="e" cm="1">
        <f t="array" ref="T12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7" t="e">
        <f>Table1[[#This Row],[Term to Maturity (Years)]]*Table1[[#This Row],[Coupon Frequency2]]</f>
        <v>#N/A</v>
      </c>
      <c r="V1237">
        <f>Table1[[#This Row],[Face value]]*Table1[[#This Row],[Current coupon %]]</f>
        <v>0</v>
      </c>
      <c r="W1237" s="36" t="e">
        <f>RATE(Table1[[#This Row],[Total No. of Coupons]],Table1[[#This Row],[Coupon Amount]],-Table1[[#This Row],[Ask Price]],Table1[[#This Row],[Face value]])</f>
        <v>#N/A</v>
      </c>
      <c r="X1237" s="27" t="e">
        <f>Table1[[#This Row],[IRR]]*Table1[[#This Row],[Coupon Frequency2]]</f>
        <v>#N/A</v>
      </c>
      <c r="Y1237" s="19" t="e" cm="1">
        <f t="array" ref="Y12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7" s="33" t="e">
        <f>DURATION(Table1[[#This Row],[Issue date]],Table1[[#This Row],[Maturity date]],Table1[[#This Row],[Current coupon %]],Table1[[#This Row],[Yield (Annualised)]],Table1[[#This Row],[Coupon Frequency2]])</f>
        <v>#N/A</v>
      </c>
      <c r="AA1237" s="33" t="e">
        <f>Table1[[#This Row],[Macaulay Duration in Years]]/(1+Table1[[#This Row],[IRR]])</f>
        <v>#N/A</v>
      </c>
      <c r="AB1237" s="58" t="e">
        <f>VLOOKUP(Table1[[#This Row],[Yield Cluster]],'Cluster Details'!$B$3:$C$16,2,0)</f>
        <v>#N/A</v>
      </c>
      <c r="AC123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7" s="58" t="e">
        <f>IF(Table1[[#This Row],[Ask Price]]&gt;Table1[[#This Row],[Calculated Bond Price]],"Rich","Cheap")</f>
        <v>#N/A</v>
      </c>
      <c r="AE123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7" s="78" t="e">
        <f>(Table1[[#This Row],[P (+ shock)]]+Table1[[#This Row],[P (-shock)]]-2*Table1[[#This Row],[Ask Price]])/(2*Table1[[#This Row],[Ask Price]]*($AF$2^2))</f>
        <v>#N/A</v>
      </c>
      <c r="AH1237">
        <v>6.3787103990750698</v>
      </c>
      <c r="AI1237" s="6" t="e">
        <f t="shared" si="77"/>
        <v>#DIV/0!</v>
      </c>
      <c r="AK1237" s="47" t="e">
        <f>RATE(Table1[[#This Row],[Total No. of Coupons]],Table1[[#This Row],[Coupon Amount]],-Table1[[#This Row],[Ask Price]],Table1[[#This Row],[Face value]])</f>
        <v>#N/A</v>
      </c>
      <c r="AL1237" s="27" t="e">
        <f>Table1[[#This Row],[IRR]]*Table1[[#This Row],[Coupon Frequency2]]</f>
        <v>#N/A</v>
      </c>
      <c r="AM1237" s="5" t="e">
        <f t="shared" si="78"/>
        <v>#N/A</v>
      </c>
      <c r="AN1237" t="s">
        <v>64</v>
      </c>
      <c r="AO1237" t="s">
        <v>62</v>
      </c>
      <c r="AP1237" t="str">
        <f t="shared" si="79"/>
        <v/>
      </c>
    </row>
    <row r="1238" spans="4:42" x14ac:dyDescent="0.35">
      <c r="D1238" s="21"/>
      <c r="E1238" s="21"/>
      <c r="L1238" s="22"/>
      <c r="S1238">
        <f t="shared" si="76"/>
        <v>0</v>
      </c>
      <c r="T1238" s="5" t="e" cm="1">
        <f t="array" ref="T12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8" t="e">
        <f>Table1[[#This Row],[Term to Maturity (Years)]]*Table1[[#This Row],[Coupon Frequency2]]</f>
        <v>#N/A</v>
      </c>
      <c r="V1238">
        <f>Table1[[#This Row],[Face value]]*Table1[[#This Row],[Current coupon %]]</f>
        <v>0</v>
      </c>
      <c r="W1238" s="36" t="e">
        <f>RATE(Table1[[#This Row],[Total No. of Coupons]],Table1[[#This Row],[Coupon Amount]],-Table1[[#This Row],[Ask Price]],Table1[[#This Row],[Face value]])</f>
        <v>#N/A</v>
      </c>
      <c r="X1238" s="27" t="e">
        <f>Table1[[#This Row],[IRR]]*Table1[[#This Row],[Coupon Frequency2]]</f>
        <v>#N/A</v>
      </c>
      <c r="Y1238" s="19" t="e" cm="1">
        <f t="array" ref="Y12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8" s="33" t="e">
        <f>DURATION(Table1[[#This Row],[Issue date]],Table1[[#This Row],[Maturity date]],Table1[[#This Row],[Current coupon %]],Table1[[#This Row],[Yield (Annualised)]],Table1[[#This Row],[Coupon Frequency2]])</f>
        <v>#N/A</v>
      </c>
      <c r="AA1238" s="33" t="e">
        <f>Table1[[#This Row],[Macaulay Duration in Years]]/(1+Table1[[#This Row],[IRR]])</f>
        <v>#N/A</v>
      </c>
      <c r="AB1238" s="58" t="e">
        <f>VLOOKUP(Table1[[#This Row],[Yield Cluster]],'Cluster Details'!$B$3:$C$16,2,0)</f>
        <v>#N/A</v>
      </c>
      <c r="AC123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8" s="58" t="e">
        <f>IF(Table1[[#This Row],[Ask Price]]&gt;Table1[[#This Row],[Calculated Bond Price]],"Rich","Cheap")</f>
        <v>#N/A</v>
      </c>
      <c r="AE123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8" s="78" t="e">
        <f>(Table1[[#This Row],[P (+ shock)]]+Table1[[#This Row],[P (-shock)]]-2*Table1[[#This Row],[Ask Price]])/(2*Table1[[#This Row],[Ask Price]]*($AF$2^2))</f>
        <v>#N/A</v>
      </c>
      <c r="AI1238" s="6" t="e">
        <f t="shared" si="77"/>
        <v>#DIV/0!</v>
      </c>
      <c r="AK1238" s="47" t="e">
        <f>RATE(Table1[[#This Row],[Total No. of Coupons]],Table1[[#This Row],[Coupon Amount]],-Table1[[#This Row],[Ask Price]],Table1[[#This Row],[Face value]])</f>
        <v>#N/A</v>
      </c>
      <c r="AL1238" s="27" t="e">
        <f>Table1[[#This Row],[IRR]]*Table1[[#This Row],[Coupon Frequency2]]</f>
        <v>#N/A</v>
      </c>
      <c r="AM1238" s="5" t="e">
        <f t="shared" si="78"/>
        <v>#N/A</v>
      </c>
      <c r="AN1238" t="s">
        <v>64</v>
      </c>
      <c r="AO1238" t="s">
        <v>62</v>
      </c>
      <c r="AP1238" t="str">
        <f t="shared" si="79"/>
        <v/>
      </c>
    </row>
    <row r="1239" spans="4:42" x14ac:dyDescent="0.35">
      <c r="D1239" s="21"/>
      <c r="E1239" s="21"/>
      <c r="L1239" s="22"/>
      <c r="S1239">
        <f t="shared" si="76"/>
        <v>0</v>
      </c>
      <c r="T1239" s="5" t="e" cm="1">
        <f t="array" ref="T12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39" t="e">
        <f>Table1[[#This Row],[Term to Maturity (Years)]]*Table1[[#This Row],[Coupon Frequency2]]</f>
        <v>#N/A</v>
      </c>
      <c r="V1239">
        <f>Table1[[#This Row],[Face value]]*Table1[[#This Row],[Current coupon %]]</f>
        <v>0</v>
      </c>
      <c r="W1239" s="36" t="e">
        <f>RATE(Table1[[#This Row],[Total No. of Coupons]],Table1[[#This Row],[Coupon Amount]],-Table1[[#This Row],[Ask Price]],Table1[[#This Row],[Face value]])</f>
        <v>#N/A</v>
      </c>
      <c r="X1239" s="27" t="e">
        <f>Table1[[#This Row],[IRR]]*Table1[[#This Row],[Coupon Frequency2]]</f>
        <v>#N/A</v>
      </c>
      <c r="Y1239" s="19" t="e" cm="1">
        <f t="array" ref="Y12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39" s="33" t="e">
        <f>DURATION(Table1[[#This Row],[Issue date]],Table1[[#This Row],[Maturity date]],Table1[[#This Row],[Current coupon %]],Table1[[#This Row],[Yield (Annualised)]],Table1[[#This Row],[Coupon Frequency2]])</f>
        <v>#N/A</v>
      </c>
      <c r="AA1239" s="33" t="e">
        <f>Table1[[#This Row],[Macaulay Duration in Years]]/(1+Table1[[#This Row],[IRR]])</f>
        <v>#N/A</v>
      </c>
      <c r="AB1239" s="58" t="e">
        <f>VLOOKUP(Table1[[#This Row],[Yield Cluster]],'Cluster Details'!$B$3:$C$16,2,0)</f>
        <v>#N/A</v>
      </c>
      <c r="AC123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39" s="58" t="e">
        <f>IF(Table1[[#This Row],[Ask Price]]&gt;Table1[[#This Row],[Calculated Bond Price]],"Rich","Cheap")</f>
        <v>#N/A</v>
      </c>
      <c r="AE123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3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39" s="78" t="e">
        <f>(Table1[[#This Row],[P (+ shock)]]+Table1[[#This Row],[P (-shock)]]-2*Table1[[#This Row],[Ask Price]])/(2*Table1[[#This Row],[Ask Price]]*($AF$2^2))</f>
        <v>#N/A</v>
      </c>
      <c r="AH1239">
        <v>12.1721799509143</v>
      </c>
      <c r="AI1239" s="6" t="e">
        <f t="shared" si="77"/>
        <v>#DIV/0!</v>
      </c>
      <c r="AK1239" s="47" t="e">
        <f>RATE(Table1[[#This Row],[Total No. of Coupons]],Table1[[#This Row],[Coupon Amount]],-Table1[[#This Row],[Ask Price]],Table1[[#This Row],[Face value]])</f>
        <v>#N/A</v>
      </c>
      <c r="AL1239" s="27" t="e">
        <f>Table1[[#This Row],[IRR]]*Table1[[#This Row],[Coupon Frequency2]]</f>
        <v>#N/A</v>
      </c>
      <c r="AM1239" s="5" t="e">
        <f t="shared" si="78"/>
        <v>#N/A</v>
      </c>
      <c r="AN1239" t="s">
        <v>64</v>
      </c>
      <c r="AO1239" t="s">
        <v>62</v>
      </c>
      <c r="AP1239" t="str">
        <f t="shared" si="79"/>
        <v/>
      </c>
    </row>
    <row r="1240" spans="4:42" x14ac:dyDescent="0.35">
      <c r="D1240" s="21"/>
      <c r="E1240" s="21"/>
      <c r="L1240" s="22"/>
      <c r="S1240">
        <f t="shared" si="76"/>
        <v>0</v>
      </c>
      <c r="T1240" s="5" t="e" cm="1">
        <f t="array" ref="T12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0" t="e">
        <f>Table1[[#This Row],[Term to Maturity (Years)]]*Table1[[#This Row],[Coupon Frequency2]]</f>
        <v>#N/A</v>
      </c>
      <c r="V1240">
        <f>Table1[[#This Row],[Face value]]*Table1[[#This Row],[Current coupon %]]</f>
        <v>0</v>
      </c>
      <c r="W1240" s="36" t="e">
        <f>RATE(Table1[[#This Row],[Total No. of Coupons]],Table1[[#This Row],[Coupon Amount]],-Table1[[#This Row],[Ask Price]],Table1[[#This Row],[Face value]])</f>
        <v>#N/A</v>
      </c>
      <c r="X1240" s="27" t="e">
        <f>Table1[[#This Row],[IRR]]*Table1[[#This Row],[Coupon Frequency2]]</f>
        <v>#N/A</v>
      </c>
      <c r="Y1240" s="19" t="e" cm="1">
        <f t="array" ref="Y12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0" s="33" t="e">
        <f>DURATION(Table1[[#This Row],[Issue date]],Table1[[#This Row],[Maturity date]],Table1[[#This Row],[Current coupon %]],Table1[[#This Row],[Yield (Annualised)]],Table1[[#This Row],[Coupon Frequency2]])</f>
        <v>#N/A</v>
      </c>
      <c r="AA1240" s="33" t="e">
        <f>Table1[[#This Row],[Macaulay Duration in Years]]/(1+Table1[[#This Row],[IRR]])</f>
        <v>#N/A</v>
      </c>
      <c r="AB1240" s="58" t="e">
        <f>VLOOKUP(Table1[[#This Row],[Yield Cluster]],'Cluster Details'!$B$3:$C$16,2,0)</f>
        <v>#N/A</v>
      </c>
      <c r="AC124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0" s="58" t="e">
        <f>IF(Table1[[#This Row],[Ask Price]]&gt;Table1[[#This Row],[Calculated Bond Price]],"Rich","Cheap")</f>
        <v>#N/A</v>
      </c>
      <c r="AE124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0" s="78" t="e">
        <f>(Table1[[#This Row],[P (+ shock)]]+Table1[[#This Row],[P (-shock)]]-2*Table1[[#This Row],[Ask Price]])/(2*Table1[[#This Row],[Ask Price]]*($AF$2^2))</f>
        <v>#N/A</v>
      </c>
      <c r="AH1240">
        <v>9.9712539707885508</v>
      </c>
      <c r="AI1240" s="6" t="e">
        <f t="shared" si="77"/>
        <v>#DIV/0!</v>
      </c>
      <c r="AK1240" s="47" t="e">
        <f>RATE(Table1[[#This Row],[Total No. of Coupons]],Table1[[#This Row],[Coupon Amount]],-Table1[[#This Row],[Ask Price]],Table1[[#This Row],[Face value]])</f>
        <v>#N/A</v>
      </c>
      <c r="AL1240" s="27" t="e">
        <f>Table1[[#This Row],[IRR]]*Table1[[#This Row],[Coupon Frequency2]]</f>
        <v>#N/A</v>
      </c>
      <c r="AM1240" s="5" t="e">
        <f t="shared" si="78"/>
        <v>#N/A</v>
      </c>
      <c r="AN1240" t="s">
        <v>64</v>
      </c>
      <c r="AO1240" t="s">
        <v>62</v>
      </c>
      <c r="AP1240" t="str">
        <f t="shared" si="79"/>
        <v/>
      </c>
    </row>
    <row r="1241" spans="4:42" x14ac:dyDescent="0.35">
      <c r="D1241" s="21"/>
      <c r="E1241" s="21"/>
      <c r="L1241" s="22"/>
      <c r="S1241">
        <f t="shared" si="76"/>
        <v>0</v>
      </c>
      <c r="T1241" s="5" t="e" cm="1">
        <f t="array" ref="T12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1" t="e">
        <f>Table1[[#This Row],[Term to Maturity (Years)]]*Table1[[#This Row],[Coupon Frequency2]]</f>
        <v>#N/A</v>
      </c>
      <c r="V1241">
        <f>Table1[[#This Row],[Face value]]*Table1[[#This Row],[Current coupon %]]</f>
        <v>0</v>
      </c>
      <c r="W1241" s="36" t="e">
        <f>RATE(Table1[[#This Row],[Total No. of Coupons]],Table1[[#This Row],[Coupon Amount]],-Table1[[#This Row],[Ask Price]],Table1[[#This Row],[Face value]])</f>
        <v>#N/A</v>
      </c>
      <c r="X1241" s="27" t="e">
        <f>Table1[[#This Row],[IRR]]*Table1[[#This Row],[Coupon Frequency2]]</f>
        <v>#N/A</v>
      </c>
      <c r="Y1241" s="19" t="e" cm="1">
        <f t="array" ref="Y12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1" s="33" t="e">
        <f>DURATION(Table1[[#This Row],[Issue date]],Table1[[#This Row],[Maturity date]],Table1[[#This Row],[Current coupon %]],Table1[[#This Row],[Yield (Annualised)]],Table1[[#This Row],[Coupon Frequency2]])</f>
        <v>#N/A</v>
      </c>
      <c r="AA1241" s="33" t="e">
        <f>Table1[[#This Row],[Macaulay Duration in Years]]/(1+Table1[[#This Row],[IRR]])</f>
        <v>#N/A</v>
      </c>
      <c r="AB1241" s="58" t="e">
        <f>VLOOKUP(Table1[[#This Row],[Yield Cluster]],'Cluster Details'!$B$3:$C$16,2,0)</f>
        <v>#N/A</v>
      </c>
      <c r="AC124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1" s="58" t="e">
        <f>IF(Table1[[#This Row],[Ask Price]]&gt;Table1[[#This Row],[Calculated Bond Price]],"Rich","Cheap")</f>
        <v>#N/A</v>
      </c>
      <c r="AE124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1" s="78" t="e">
        <f>(Table1[[#This Row],[P (+ shock)]]+Table1[[#This Row],[P (-shock)]]-2*Table1[[#This Row],[Ask Price]])/(2*Table1[[#This Row],[Ask Price]]*($AF$2^2))</f>
        <v>#N/A</v>
      </c>
      <c r="AH1241">
        <v>10.2077109119362</v>
      </c>
      <c r="AI1241" s="6" t="e">
        <f t="shared" si="77"/>
        <v>#DIV/0!</v>
      </c>
      <c r="AK1241" s="47" t="e">
        <f>RATE(Table1[[#This Row],[Total No. of Coupons]],Table1[[#This Row],[Coupon Amount]],-Table1[[#This Row],[Ask Price]],Table1[[#This Row],[Face value]])</f>
        <v>#N/A</v>
      </c>
      <c r="AL1241" s="27" t="e">
        <f>Table1[[#This Row],[IRR]]*Table1[[#This Row],[Coupon Frequency2]]</f>
        <v>#N/A</v>
      </c>
      <c r="AM1241" s="5" t="e">
        <f t="shared" si="78"/>
        <v>#N/A</v>
      </c>
      <c r="AN1241" t="s">
        <v>64</v>
      </c>
      <c r="AO1241" t="s">
        <v>62</v>
      </c>
      <c r="AP1241" t="str">
        <f t="shared" si="79"/>
        <v/>
      </c>
    </row>
    <row r="1242" spans="4:42" x14ac:dyDescent="0.35">
      <c r="D1242" s="21"/>
      <c r="E1242" s="21"/>
      <c r="L1242" s="22"/>
      <c r="S1242">
        <f t="shared" si="76"/>
        <v>0</v>
      </c>
      <c r="T1242" s="5" t="e" cm="1">
        <f t="array" ref="T12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2" t="e">
        <f>Table1[[#This Row],[Term to Maturity (Years)]]*Table1[[#This Row],[Coupon Frequency2]]</f>
        <v>#N/A</v>
      </c>
      <c r="V1242">
        <f>Table1[[#This Row],[Face value]]*Table1[[#This Row],[Current coupon %]]</f>
        <v>0</v>
      </c>
      <c r="W1242" s="36" t="e">
        <f>RATE(Table1[[#This Row],[Total No. of Coupons]],Table1[[#This Row],[Coupon Amount]],-Table1[[#This Row],[Ask Price]],Table1[[#This Row],[Face value]])</f>
        <v>#N/A</v>
      </c>
      <c r="X1242" s="27" t="e">
        <f>Table1[[#This Row],[IRR]]*Table1[[#This Row],[Coupon Frequency2]]</f>
        <v>#N/A</v>
      </c>
      <c r="Y1242" s="19" t="e" cm="1">
        <f t="array" ref="Y12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2" s="33" t="e">
        <f>DURATION(Table1[[#This Row],[Issue date]],Table1[[#This Row],[Maturity date]],Table1[[#This Row],[Current coupon %]],Table1[[#This Row],[Yield (Annualised)]],Table1[[#This Row],[Coupon Frequency2]])</f>
        <v>#N/A</v>
      </c>
      <c r="AA1242" s="33" t="e">
        <f>Table1[[#This Row],[Macaulay Duration in Years]]/(1+Table1[[#This Row],[IRR]])</f>
        <v>#N/A</v>
      </c>
      <c r="AB1242" s="58" t="e">
        <f>VLOOKUP(Table1[[#This Row],[Yield Cluster]],'Cluster Details'!$B$3:$C$16,2,0)</f>
        <v>#N/A</v>
      </c>
      <c r="AC124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2" s="58" t="e">
        <f>IF(Table1[[#This Row],[Ask Price]]&gt;Table1[[#This Row],[Calculated Bond Price]],"Rich","Cheap")</f>
        <v>#N/A</v>
      </c>
      <c r="AE124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2" s="78" t="e">
        <f>(Table1[[#This Row],[P (+ shock)]]+Table1[[#This Row],[P (-shock)]]-2*Table1[[#This Row],[Ask Price]])/(2*Table1[[#This Row],[Ask Price]]*($AF$2^2))</f>
        <v>#N/A</v>
      </c>
      <c r="AI1242" s="6" t="e">
        <f t="shared" si="77"/>
        <v>#DIV/0!</v>
      </c>
      <c r="AK1242" s="47" t="e">
        <f>RATE(Table1[[#This Row],[Total No. of Coupons]],Table1[[#This Row],[Coupon Amount]],-Table1[[#This Row],[Ask Price]],Table1[[#This Row],[Face value]])</f>
        <v>#N/A</v>
      </c>
      <c r="AL1242" s="27" t="e">
        <f>Table1[[#This Row],[IRR]]*Table1[[#This Row],[Coupon Frequency2]]</f>
        <v>#N/A</v>
      </c>
      <c r="AM1242" s="5" t="e">
        <f t="shared" si="78"/>
        <v>#N/A</v>
      </c>
      <c r="AN1242" t="s">
        <v>64</v>
      </c>
      <c r="AO1242" t="s">
        <v>62</v>
      </c>
      <c r="AP1242" t="str">
        <f t="shared" si="79"/>
        <v/>
      </c>
    </row>
    <row r="1243" spans="4:42" x14ac:dyDescent="0.35">
      <c r="D1243" s="21"/>
      <c r="E1243" s="21"/>
      <c r="L1243" s="22"/>
      <c r="S1243">
        <f t="shared" si="76"/>
        <v>0</v>
      </c>
      <c r="T1243" s="5" t="e" cm="1">
        <f t="array" ref="T12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3" t="e">
        <f>Table1[[#This Row],[Term to Maturity (Years)]]*Table1[[#This Row],[Coupon Frequency2]]</f>
        <v>#N/A</v>
      </c>
      <c r="V1243">
        <f>Table1[[#This Row],[Face value]]*Table1[[#This Row],[Current coupon %]]</f>
        <v>0</v>
      </c>
      <c r="W1243" s="36" t="e">
        <f>RATE(Table1[[#This Row],[Total No. of Coupons]],Table1[[#This Row],[Coupon Amount]],-Table1[[#This Row],[Ask Price]],Table1[[#This Row],[Face value]])</f>
        <v>#N/A</v>
      </c>
      <c r="X1243" s="27" t="e">
        <f>Table1[[#This Row],[IRR]]*Table1[[#This Row],[Coupon Frequency2]]</f>
        <v>#N/A</v>
      </c>
      <c r="Y1243" s="19" t="e" cm="1">
        <f t="array" ref="Y12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3" s="33" t="e">
        <f>DURATION(Table1[[#This Row],[Issue date]],Table1[[#This Row],[Maturity date]],Table1[[#This Row],[Current coupon %]],Table1[[#This Row],[Yield (Annualised)]],Table1[[#This Row],[Coupon Frequency2]])</f>
        <v>#N/A</v>
      </c>
      <c r="AA1243" s="33" t="e">
        <f>Table1[[#This Row],[Macaulay Duration in Years]]/(1+Table1[[#This Row],[IRR]])</f>
        <v>#N/A</v>
      </c>
      <c r="AB1243" s="58" t="e">
        <f>VLOOKUP(Table1[[#This Row],[Yield Cluster]],'Cluster Details'!$B$3:$C$16,2,0)</f>
        <v>#N/A</v>
      </c>
      <c r="AC124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3" s="58" t="e">
        <f>IF(Table1[[#This Row],[Ask Price]]&gt;Table1[[#This Row],[Calculated Bond Price]],"Rich","Cheap")</f>
        <v>#N/A</v>
      </c>
      <c r="AE124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3" s="78" t="e">
        <f>(Table1[[#This Row],[P (+ shock)]]+Table1[[#This Row],[P (-shock)]]-2*Table1[[#This Row],[Ask Price]])/(2*Table1[[#This Row],[Ask Price]]*($AF$2^2))</f>
        <v>#N/A</v>
      </c>
      <c r="AH1243">
        <v>8.02</v>
      </c>
      <c r="AI1243" s="6" t="e">
        <f t="shared" si="77"/>
        <v>#DIV/0!</v>
      </c>
      <c r="AK1243" s="47" t="e">
        <f>RATE(Table1[[#This Row],[Total No. of Coupons]],Table1[[#This Row],[Coupon Amount]],-Table1[[#This Row],[Ask Price]],Table1[[#This Row],[Face value]])</f>
        <v>#N/A</v>
      </c>
      <c r="AL1243" s="27" t="e">
        <f>Table1[[#This Row],[IRR]]*Table1[[#This Row],[Coupon Frequency2]]</f>
        <v>#N/A</v>
      </c>
      <c r="AM1243" s="5" t="e">
        <f t="shared" si="78"/>
        <v>#N/A</v>
      </c>
      <c r="AN1243" t="s">
        <v>64</v>
      </c>
      <c r="AO1243" t="s">
        <v>62</v>
      </c>
      <c r="AP1243" t="str">
        <f t="shared" si="79"/>
        <v/>
      </c>
    </row>
    <row r="1244" spans="4:42" x14ac:dyDescent="0.35">
      <c r="D1244" s="21"/>
      <c r="E1244" s="21"/>
      <c r="L1244" s="22"/>
      <c r="S1244">
        <f t="shared" si="76"/>
        <v>0</v>
      </c>
      <c r="T1244" s="5" t="e" cm="1">
        <f t="array" ref="T12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4" t="e">
        <f>Table1[[#This Row],[Term to Maturity (Years)]]*Table1[[#This Row],[Coupon Frequency2]]</f>
        <v>#N/A</v>
      </c>
      <c r="V1244">
        <f>Table1[[#This Row],[Face value]]*Table1[[#This Row],[Current coupon %]]</f>
        <v>0</v>
      </c>
      <c r="W1244" s="36" t="e">
        <f>RATE(Table1[[#This Row],[Total No. of Coupons]],Table1[[#This Row],[Coupon Amount]],-Table1[[#This Row],[Ask Price]],Table1[[#This Row],[Face value]])</f>
        <v>#N/A</v>
      </c>
      <c r="X1244" s="27" t="e">
        <f>Table1[[#This Row],[IRR]]*Table1[[#This Row],[Coupon Frequency2]]</f>
        <v>#N/A</v>
      </c>
      <c r="Y1244" s="19" t="e" cm="1">
        <f t="array" ref="Y12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4" s="33" t="e">
        <f>DURATION(Table1[[#This Row],[Issue date]],Table1[[#This Row],[Maturity date]],Table1[[#This Row],[Current coupon %]],Table1[[#This Row],[Yield (Annualised)]],Table1[[#This Row],[Coupon Frequency2]])</f>
        <v>#N/A</v>
      </c>
      <c r="AA1244" s="33" t="e">
        <f>Table1[[#This Row],[Macaulay Duration in Years]]/(1+Table1[[#This Row],[IRR]])</f>
        <v>#N/A</v>
      </c>
      <c r="AB1244" s="58" t="e">
        <f>VLOOKUP(Table1[[#This Row],[Yield Cluster]],'Cluster Details'!$B$3:$C$16,2,0)</f>
        <v>#N/A</v>
      </c>
      <c r="AC124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4" s="58" t="e">
        <f>IF(Table1[[#This Row],[Ask Price]]&gt;Table1[[#This Row],[Calculated Bond Price]],"Rich","Cheap")</f>
        <v>#N/A</v>
      </c>
      <c r="AE124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4" s="78" t="e">
        <f>(Table1[[#This Row],[P (+ shock)]]+Table1[[#This Row],[P (-shock)]]-2*Table1[[#This Row],[Ask Price]])/(2*Table1[[#This Row],[Ask Price]]*($AF$2^2))</f>
        <v>#N/A</v>
      </c>
      <c r="AH1244">
        <v>6.6361074836174501</v>
      </c>
      <c r="AI1244" s="6" t="e">
        <f t="shared" si="77"/>
        <v>#DIV/0!</v>
      </c>
      <c r="AK1244" s="47" t="e">
        <f>RATE(Table1[[#This Row],[Total No. of Coupons]],Table1[[#This Row],[Coupon Amount]],-Table1[[#This Row],[Ask Price]],Table1[[#This Row],[Face value]])</f>
        <v>#N/A</v>
      </c>
      <c r="AL1244" s="27" t="e">
        <f>Table1[[#This Row],[IRR]]*Table1[[#This Row],[Coupon Frequency2]]</f>
        <v>#N/A</v>
      </c>
      <c r="AM1244" s="5" t="e">
        <f t="shared" si="78"/>
        <v>#N/A</v>
      </c>
      <c r="AN1244" t="s">
        <v>64</v>
      </c>
      <c r="AO1244" t="s">
        <v>62</v>
      </c>
      <c r="AP1244" t="str">
        <f t="shared" si="79"/>
        <v/>
      </c>
    </row>
    <row r="1245" spans="4:42" x14ac:dyDescent="0.35">
      <c r="D1245" s="21"/>
      <c r="E1245" s="21"/>
      <c r="L1245" s="22"/>
      <c r="S1245">
        <f t="shared" si="76"/>
        <v>0</v>
      </c>
      <c r="T1245" s="5" t="e" cm="1">
        <f t="array" ref="T12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5" t="e">
        <f>Table1[[#This Row],[Term to Maturity (Years)]]*Table1[[#This Row],[Coupon Frequency2]]</f>
        <v>#N/A</v>
      </c>
      <c r="V1245">
        <f>Table1[[#This Row],[Face value]]*Table1[[#This Row],[Current coupon %]]</f>
        <v>0</v>
      </c>
      <c r="W1245" s="36" t="e">
        <f>RATE(Table1[[#This Row],[Total No. of Coupons]],Table1[[#This Row],[Coupon Amount]],-Table1[[#This Row],[Ask Price]],Table1[[#This Row],[Face value]])</f>
        <v>#N/A</v>
      </c>
      <c r="X1245" s="27" t="e">
        <f>Table1[[#This Row],[IRR]]*Table1[[#This Row],[Coupon Frequency2]]</f>
        <v>#N/A</v>
      </c>
      <c r="Y1245" s="19" t="e" cm="1">
        <f t="array" ref="Y12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5" s="33" t="e">
        <f>DURATION(Table1[[#This Row],[Issue date]],Table1[[#This Row],[Maturity date]],Table1[[#This Row],[Current coupon %]],Table1[[#This Row],[Yield (Annualised)]],Table1[[#This Row],[Coupon Frequency2]])</f>
        <v>#N/A</v>
      </c>
      <c r="AA1245" s="33" t="e">
        <f>Table1[[#This Row],[Macaulay Duration in Years]]/(1+Table1[[#This Row],[IRR]])</f>
        <v>#N/A</v>
      </c>
      <c r="AB1245" s="58" t="e">
        <f>VLOOKUP(Table1[[#This Row],[Yield Cluster]],'Cluster Details'!$B$3:$C$16,2,0)</f>
        <v>#N/A</v>
      </c>
      <c r="AC124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5" s="58" t="e">
        <f>IF(Table1[[#This Row],[Ask Price]]&gt;Table1[[#This Row],[Calculated Bond Price]],"Rich","Cheap")</f>
        <v>#N/A</v>
      </c>
      <c r="AE124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5" s="78" t="e">
        <f>(Table1[[#This Row],[P (+ shock)]]+Table1[[#This Row],[P (-shock)]]-2*Table1[[#This Row],[Ask Price]])/(2*Table1[[#This Row],[Ask Price]]*($AF$2^2))</f>
        <v>#N/A</v>
      </c>
      <c r="AH1245">
        <v>7.2915628207960301</v>
      </c>
      <c r="AI1245" s="6" t="e">
        <f t="shared" si="77"/>
        <v>#DIV/0!</v>
      </c>
      <c r="AK1245" s="47" t="e">
        <f>RATE(Table1[[#This Row],[Total No. of Coupons]],Table1[[#This Row],[Coupon Amount]],-Table1[[#This Row],[Ask Price]],Table1[[#This Row],[Face value]])</f>
        <v>#N/A</v>
      </c>
      <c r="AL1245" s="27" t="e">
        <f>Table1[[#This Row],[IRR]]*Table1[[#This Row],[Coupon Frequency2]]</f>
        <v>#N/A</v>
      </c>
      <c r="AM1245" s="5" t="e">
        <f t="shared" si="78"/>
        <v>#N/A</v>
      </c>
      <c r="AN1245" t="s">
        <v>64</v>
      </c>
      <c r="AO1245" t="s">
        <v>62</v>
      </c>
      <c r="AP1245" t="str">
        <f t="shared" si="79"/>
        <v/>
      </c>
    </row>
    <row r="1246" spans="4:42" x14ac:dyDescent="0.35">
      <c r="D1246" s="21"/>
      <c r="E1246" s="21"/>
      <c r="L1246" s="22"/>
      <c r="S1246">
        <f t="shared" si="76"/>
        <v>0</v>
      </c>
      <c r="T1246" s="5" t="e" cm="1">
        <f t="array" ref="T12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6" t="e">
        <f>Table1[[#This Row],[Term to Maturity (Years)]]*Table1[[#This Row],[Coupon Frequency2]]</f>
        <v>#N/A</v>
      </c>
      <c r="V1246">
        <f>Table1[[#This Row],[Face value]]*Table1[[#This Row],[Current coupon %]]</f>
        <v>0</v>
      </c>
      <c r="W1246" s="36" t="e">
        <f>RATE(Table1[[#This Row],[Total No. of Coupons]],Table1[[#This Row],[Coupon Amount]],-Table1[[#This Row],[Ask Price]],Table1[[#This Row],[Face value]])</f>
        <v>#N/A</v>
      </c>
      <c r="X1246" s="27" t="e">
        <f>Table1[[#This Row],[IRR]]*Table1[[#This Row],[Coupon Frequency2]]</f>
        <v>#N/A</v>
      </c>
      <c r="Y1246" s="19" t="e" cm="1">
        <f t="array" ref="Y12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6" s="33" t="e">
        <f>DURATION(Table1[[#This Row],[Issue date]],Table1[[#This Row],[Maturity date]],Table1[[#This Row],[Current coupon %]],Table1[[#This Row],[Yield (Annualised)]],Table1[[#This Row],[Coupon Frequency2]])</f>
        <v>#N/A</v>
      </c>
      <c r="AA1246" s="33" t="e">
        <f>Table1[[#This Row],[Macaulay Duration in Years]]/(1+Table1[[#This Row],[IRR]])</f>
        <v>#N/A</v>
      </c>
      <c r="AB1246" s="58" t="e">
        <f>VLOOKUP(Table1[[#This Row],[Yield Cluster]],'Cluster Details'!$B$3:$C$16,2,0)</f>
        <v>#N/A</v>
      </c>
      <c r="AC124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6" s="58" t="e">
        <f>IF(Table1[[#This Row],[Ask Price]]&gt;Table1[[#This Row],[Calculated Bond Price]],"Rich","Cheap")</f>
        <v>#N/A</v>
      </c>
      <c r="AE124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6" s="78" t="e">
        <f>(Table1[[#This Row],[P (+ shock)]]+Table1[[#This Row],[P (-shock)]]-2*Table1[[#This Row],[Ask Price]])/(2*Table1[[#This Row],[Ask Price]]*($AF$2^2))</f>
        <v>#N/A</v>
      </c>
      <c r="AI1246" s="6" t="e">
        <f t="shared" si="77"/>
        <v>#DIV/0!</v>
      </c>
      <c r="AK1246" s="47" t="e">
        <f>RATE(Table1[[#This Row],[Total No. of Coupons]],Table1[[#This Row],[Coupon Amount]],-Table1[[#This Row],[Ask Price]],Table1[[#This Row],[Face value]])</f>
        <v>#N/A</v>
      </c>
      <c r="AL1246" s="27" t="e">
        <f>Table1[[#This Row],[IRR]]*Table1[[#This Row],[Coupon Frequency2]]</f>
        <v>#N/A</v>
      </c>
      <c r="AM1246" s="5" t="e">
        <f t="shared" si="78"/>
        <v>#N/A</v>
      </c>
      <c r="AN1246" t="s">
        <v>69</v>
      </c>
      <c r="AO1246" t="s">
        <v>62</v>
      </c>
      <c r="AP1246" t="str">
        <f t="shared" si="79"/>
        <v/>
      </c>
    </row>
    <row r="1247" spans="4:42" x14ac:dyDescent="0.35">
      <c r="D1247" s="21"/>
      <c r="E1247" s="21"/>
      <c r="L1247" s="22"/>
      <c r="S1247">
        <f t="shared" si="76"/>
        <v>0</v>
      </c>
      <c r="T1247" s="5" t="e" cm="1">
        <f t="array" ref="T12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7" t="e">
        <f>Table1[[#This Row],[Term to Maturity (Years)]]*Table1[[#This Row],[Coupon Frequency2]]</f>
        <v>#N/A</v>
      </c>
      <c r="V1247">
        <f>Table1[[#This Row],[Face value]]*Table1[[#This Row],[Current coupon %]]</f>
        <v>0</v>
      </c>
      <c r="W1247" s="36" t="e">
        <f>RATE(Table1[[#This Row],[Total No. of Coupons]],Table1[[#This Row],[Coupon Amount]],-Table1[[#This Row],[Ask Price]],Table1[[#This Row],[Face value]])</f>
        <v>#N/A</v>
      </c>
      <c r="X1247" s="27" t="e">
        <f>Table1[[#This Row],[IRR]]*Table1[[#This Row],[Coupon Frequency2]]</f>
        <v>#N/A</v>
      </c>
      <c r="Y1247" s="19" t="e" cm="1">
        <f t="array" ref="Y12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7" s="33" t="e">
        <f>DURATION(Table1[[#This Row],[Issue date]],Table1[[#This Row],[Maturity date]],Table1[[#This Row],[Current coupon %]],Table1[[#This Row],[Yield (Annualised)]],Table1[[#This Row],[Coupon Frequency2]])</f>
        <v>#N/A</v>
      </c>
      <c r="AA1247" s="33" t="e">
        <f>Table1[[#This Row],[Macaulay Duration in Years]]/(1+Table1[[#This Row],[IRR]])</f>
        <v>#N/A</v>
      </c>
      <c r="AB1247" s="58" t="e">
        <f>VLOOKUP(Table1[[#This Row],[Yield Cluster]],'Cluster Details'!$B$3:$C$16,2,0)</f>
        <v>#N/A</v>
      </c>
      <c r="AC124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7" s="58" t="e">
        <f>IF(Table1[[#This Row],[Ask Price]]&gt;Table1[[#This Row],[Calculated Bond Price]],"Rich","Cheap")</f>
        <v>#N/A</v>
      </c>
      <c r="AE124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7" s="78" t="e">
        <f>(Table1[[#This Row],[P (+ shock)]]+Table1[[#This Row],[P (-shock)]]-2*Table1[[#This Row],[Ask Price]])/(2*Table1[[#This Row],[Ask Price]]*($AF$2^2))</f>
        <v>#N/A</v>
      </c>
      <c r="AH1247">
        <v>12.129901993704999</v>
      </c>
      <c r="AI1247" s="6" t="e">
        <f t="shared" si="77"/>
        <v>#DIV/0!</v>
      </c>
      <c r="AK1247" s="47" t="e">
        <f>RATE(Table1[[#This Row],[Total No. of Coupons]],Table1[[#This Row],[Coupon Amount]],-Table1[[#This Row],[Ask Price]],Table1[[#This Row],[Face value]])</f>
        <v>#N/A</v>
      </c>
      <c r="AL1247" s="27" t="e">
        <f>Table1[[#This Row],[IRR]]*Table1[[#This Row],[Coupon Frequency2]]</f>
        <v>#N/A</v>
      </c>
      <c r="AM1247" s="5" t="e">
        <f t="shared" si="78"/>
        <v>#N/A</v>
      </c>
      <c r="AN1247" t="s">
        <v>64</v>
      </c>
      <c r="AO1247" t="s">
        <v>62</v>
      </c>
      <c r="AP1247" t="str">
        <f t="shared" si="79"/>
        <v/>
      </c>
    </row>
    <row r="1248" spans="4:42" x14ac:dyDescent="0.35">
      <c r="D1248" s="21"/>
      <c r="E1248" s="21"/>
      <c r="L1248" s="22"/>
      <c r="S1248">
        <f t="shared" si="76"/>
        <v>0</v>
      </c>
      <c r="T1248" s="5" t="e" cm="1">
        <f t="array" ref="T12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8" t="e">
        <f>Table1[[#This Row],[Term to Maturity (Years)]]*Table1[[#This Row],[Coupon Frequency2]]</f>
        <v>#N/A</v>
      </c>
      <c r="V1248">
        <f>Table1[[#This Row],[Face value]]*Table1[[#This Row],[Current coupon %]]</f>
        <v>0</v>
      </c>
      <c r="W1248" s="36" t="e">
        <f>RATE(Table1[[#This Row],[Total No. of Coupons]],Table1[[#This Row],[Coupon Amount]],-Table1[[#This Row],[Ask Price]],Table1[[#This Row],[Face value]])</f>
        <v>#N/A</v>
      </c>
      <c r="X1248" s="27" t="e">
        <f>Table1[[#This Row],[IRR]]*Table1[[#This Row],[Coupon Frequency2]]</f>
        <v>#N/A</v>
      </c>
      <c r="Y1248" s="19" t="e" cm="1">
        <f t="array" ref="Y12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8" s="33" t="e">
        <f>DURATION(Table1[[#This Row],[Issue date]],Table1[[#This Row],[Maturity date]],Table1[[#This Row],[Current coupon %]],Table1[[#This Row],[Yield (Annualised)]],Table1[[#This Row],[Coupon Frequency2]])</f>
        <v>#N/A</v>
      </c>
      <c r="AA1248" s="33" t="e">
        <f>Table1[[#This Row],[Macaulay Duration in Years]]/(1+Table1[[#This Row],[IRR]])</f>
        <v>#N/A</v>
      </c>
      <c r="AB1248" s="58" t="e">
        <f>VLOOKUP(Table1[[#This Row],[Yield Cluster]],'Cluster Details'!$B$3:$C$16,2,0)</f>
        <v>#N/A</v>
      </c>
      <c r="AC124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8" s="58" t="e">
        <f>IF(Table1[[#This Row],[Ask Price]]&gt;Table1[[#This Row],[Calculated Bond Price]],"Rich","Cheap")</f>
        <v>#N/A</v>
      </c>
      <c r="AE124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8" s="78" t="e">
        <f>(Table1[[#This Row],[P (+ shock)]]+Table1[[#This Row],[P (-shock)]]-2*Table1[[#This Row],[Ask Price]])/(2*Table1[[#This Row],[Ask Price]]*($AF$2^2))</f>
        <v>#N/A</v>
      </c>
      <c r="AH1248">
        <v>8.1385151242026801</v>
      </c>
      <c r="AI1248" s="6" t="e">
        <f t="shared" si="77"/>
        <v>#DIV/0!</v>
      </c>
      <c r="AK1248" s="47" t="e">
        <f>RATE(Table1[[#This Row],[Total No. of Coupons]],Table1[[#This Row],[Coupon Amount]],-Table1[[#This Row],[Ask Price]],Table1[[#This Row],[Face value]])</f>
        <v>#N/A</v>
      </c>
      <c r="AL1248" s="27" t="e">
        <f>Table1[[#This Row],[IRR]]*Table1[[#This Row],[Coupon Frequency2]]</f>
        <v>#N/A</v>
      </c>
      <c r="AM1248" s="5" t="e">
        <f t="shared" si="78"/>
        <v>#N/A</v>
      </c>
      <c r="AN1248" t="s">
        <v>64</v>
      </c>
      <c r="AO1248" t="s">
        <v>62</v>
      </c>
      <c r="AP1248" t="str">
        <f t="shared" si="79"/>
        <v/>
      </c>
    </row>
    <row r="1249" spans="4:42" x14ac:dyDescent="0.35">
      <c r="D1249" s="21"/>
      <c r="E1249" s="21"/>
      <c r="L1249" s="22"/>
      <c r="S1249">
        <f t="shared" si="76"/>
        <v>0</v>
      </c>
      <c r="T1249" s="5" t="e" cm="1">
        <f t="array" ref="T12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49" t="e">
        <f>Table1[[#This Row],[Term to Maturity (Years)]]*Table1[[#This Row],[Coupon Frequency2]]</f>
        <v>#N/A</v>
      </c>
      <c r="V1249">
        <f>Table1[[#This Row],[Face value]]*Table1[[#This Row],[Current coupon %]]</f>
        <v>0</v>
      </c>
      <c r="W1249" s="36" t="e">
        <f>RATE(Table1[[#This Row],[Total No. of Coupons]],Table1[[#This Row],[Coupon Amount]],-Table1[[#This Row],[Ask Price]],Table1[[#This Row],[Face value]])</f>
        <v>#N/A</v>
      </c>
      <c r="X1249" s="27" t="e">
        <f>Table1[[#This Row],[IRR]]*Table1[[#This Row],[Coupon Frequency2]]</f>
        <v>#N/A</v>
      </c>
      <c r="Y1249" s="19" t="e" cm="1">
        <f t="array" ref="Y12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49" s="33" t="e">
        <f>DURATION(Table1[[#This Row],[Issue date]],Table1[[#This Row],[Maturity date]],Table1[[#This Row],[Current coupon %]],Table1[[#This Row],[Yield (Annualised)]],Table1[[#This Row],[Coupon Frequency2]])</f>
        <v>#N/A</v>
      </c>
      <c r="AA1249" s="33" t="e">
        <f>Table1[[#This Row],[Macaulay Duration in Years]]/(1+Table1[[#This Row],[IRR]])</f>
        <v>#N/A</v>
      </c>
      <c r="AB1249" s="58" t="e">
        <f>VLOOKUP(Table1[[#This Row],[Yield Cluster]],'Cluster Details'!$B$3:$C$16,2,0)</f>
        <v>#N/A</v>
      </c>
      <c r="AC124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49" s="58" t="e">
        <f>IF(Table1[[#This Row],[Ask Price]]&gt;Table1[[#This Row],[Calculated Bond Price]],"Rich","Cheap")</f>
        <v>#N/A</v>
      </c>
      <c r="AE124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4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49" s="78" t="e">
        <f>(Table1[[#This Row],[P (+ shock)]]+Table1[[#This Row],[P (-shock)]]-2*Table1[[#This Row],[Ask Price]])/(2*Table1[[#This Row],[Ask Price]]*($AF$2^2))</f>
        <v>#N/A</v>
      </c>
      <c r="AH1249">
        <v>11.429776097702799</v>
      </c>
      <c r="AI1249" s="6" t="e">
        <f t="shared" si="77"/>
        <v>#DIV/0!</v>
      </c>
      <c r="AK1249" s="47" t="e">
        <f>RATE(Table1[[#This Row],[Total No. of Coupons]],Table1[[#This Row],[Coupon Amount]],-Table1[[#This Row],[Ask Price]],Table1[[#This Row],[Face value]])</f>
        <v>#N/A</v>
      </c>
      <c r="AL1249" s="27" t="e">
        <f>Table1[[#This Row],[IRR]]*Table1[[#This Row],[Coupon Frequency2]]</f>
        <v>#N/A</v>
      </c>
      <c r="AM1249" s="5" t="e">
        <f t="shared" si="78"/>
        <v>#N/A</v>
      </c>
      <c r="AN1249" t="s">
        <v>64</v>
      </c>
      <c r="AO1249" t="s">
        <v>62</v>
      </c>
      <c r="AP1249" t="str">
        <f t="shared" si="79"/>
        <v/>
      </c>
    </row>
    <row r="1250" spans="4:42" x14ac:dyDescent="0.35">
      <c r="D1250" s="21"/>
      <c r="E1250" s="21"/>
      <c r="L1250" s="22"/>
      <c r="S1250">
        <f t="shared" si="76"/>
        <v>0</v>
      </c>
      <c r="T1250" s="5" t="e" cm="1">
        <f t="array" ref="T12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0" t="e">
        <f>Table1[[#This Row],[Term to Maturity (Years)]]*Table1[[#This Row],[Coupon Frequency2]]</f>
        <v>#N/A</v>
      </c>
      <c r="V1250">
        <f>Table1[[#This Row],[Face value]]*Table1[[#This Row],[Current coupon %]]</f>
        <v>0</v>
      </c>
      <c r="W1250" s="36" t="e">
        <f>RATE(Table1[[#This Row],[Total No. of Coupons]],Table1[[#This Row],[Coupon Amount]],-Table1[[#This Row],[Ask Price]],Table1[[#This Row],[Face value]])</f>
        <v>#N/A</v>
      </c>
      <c r="X1250" s="27" t="e">
        <f>Table1[[#This Row],[IRR]]*Table1[[#This Row],[Coupon Frequency2]]</f>
        <v>#N/A</v>
      </c>
      <c r="Y1250" s="19" t="e" cm="1">
        <f t="array" ref="Y12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0" s="33" t="e">
        <f>DURATION(Table1[[#This Row],[Issue date]],Table1[[#This Row],[Maturity date]],Table1[[#This Row],[Current coupon %]],Table1[[#This Row],[Yield (Annualised)]],Table1[[#This Row],[Coupon Frequency2]])</f>
        <v>#N/A</v>
      </c>
      <c r="AA1250" s="33" t="e">
        <f>Table1[[#This Row],[Macaulay Duration in Years]]/(1+Table1[[#This Row],[IRR]])</f>
        <v>#N/A</v>
      </c>
      <c r="AB1250" s="58" t="e">
        <f>VLOOKUP(Table1[[#This Row],[Yield Cluster]],'Cluster Details'!$B$3:$C$16,2,0)</f>
        <v>#N/A</v>
      </c>
      <c r="AC125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0" s="58" t="e">
        <f>IF(Table1[[#This Row],[Ask Price]]&gt;Table1[[#This Row],[Calculated Bond Price]],"Rich","Cheap")</f>
        <v>#N/A</v>
      </c>
      <c r="AE125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0" s="78" t="e">
        <f>(Table1[[#This Row],[P (+ shock)]]+Table1[[#This Row],[P (-shock)]]-2*Table1[[#This Row],[Ask Price]])/(2*Table1[[#This Row],[Ask Price]]*($AF$2^2))</f>
        <v>#N/A</v>
      </c>
      <c r="AH1250">
        <v>11.5657086541987</v>
      </c>
      <c r="AI1250" s="6" t="e">
        <f t="shared" si="77"/>
        <v>#DIV/0!</v>
      </c>
      <c r="AK1250" s="47" t="e">
        <f>RATE(Table1[[#This Row],[Total No. of Coupons]],Table1[[#This Row],[Coupon Amount]],-Table1[[#This Row],[Ask Price]],Table1[[#This Row],[Face value]])</f>
        <v>#N/A</v>
      </c>
      <c r="AL1250" s="27" t="e">
        <f>Table1[[#This Row],[IRR]]*Table1[[#This Row],[Coupon Frequency2]]</f>
        <v>#N/A</v>
      </c>
      <c r="AM1250" s="5" t="e">
        <f t="shared" si="78"/>
        <v>#N/A</v>
      </c>
      <c r="AN1250" t="s">
        <v>64</v>
      </c>
      <c r="AO1250" t="s">
        <v>62</v>
      </c>
      <c r="AP1250" t="str">
        <f t="shared" si="79"/>
        <v/>
      </c>
    </row>
    <row r="1251" spans="4:42" x14ac:dyDescent="0.35">
      <c r="D1251" s="21"/>
      <c r="E1251" s="21"/>
      <c r="L1251" s="22"/>
      <c r="S1251">
        <f t="shared" si="76"/>
        <v>0</v>
      </c>
      <c r="T1251" s="5" t="e" cm="1">
        <f t="array" ref="T12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1" t="e">
        <f>Table1[[#This Row],[Term to Maturity (Years)]]*Table1[[#This Row],[Coupon Frequency2]]</f>
        <v>#N/A</v>
      </c>
      <c r="V1251">
        <f>Table1[[#This Row],[Face value]]*Table1[[#This Row],[Current coupon %]]</f>
        <v>0</v>
      </c>
      <c r="W1251" s="36" t="e">
        <f>RATE(Table1[[#This Row],[Total No. of Coupons]],Table1[[#This Row],[Coupon Amount]],-Table1[[#This Row],[Ask Price]],Table1[[#This Row],[Face value]])</f>
        <v>#N/A</v>
      </c>
      <c r="X1251" s="27" t="e">
        <f>Table1[[#This Row],[IRR]]*Table1[[#This Row],[Coupon Frequency2]]</f>
        <v>#N/A</v>
      </c>
      <c r="Y1251" s="19" t="e" cm="1">
        <f t="array" ref="Y12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1" s="33" t="e">
        <f>DURATION(Table1[[#This Row],[Issue date]],Table1[[#This Row],[Maturity date]],Table1[[#This Row],[Current coupon %]],Table1[[#This Row],[Yield (Annualised)]],Table1[[#This Row],[Coupon Frequency2]])</f>
        <v>#N/A</v>
      </c>
      <c r="AA1251" s="33" t="e">
        <f>Table1[[#This Row],[Macaulay Duration in Years]]/(1+Table1[[#This Row],[IRR]])</f>
        <v>#N/A</v>
      </c>
      <c r="AB1251" s="58" t="e">
        <f>VLOOKUP(Table1[[#This Row],[Yield Cluster]],'Cluster Details'!$B$3:$C$16,2,0)</f>
        <v>#N/A</v>
      </c>
      <c r="AC125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1" s="58" t="e">
        <f>IF(Table1[[#This Row],[Ask Price]]&gt;Table1[[#This Row],[Calculated Bond Price]],"Rich","Cheap")</f>
        <v>#N/A</v>
      </c>
      <c r="AE125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1" s="78" t="e">
        <f>(Table1[[#This Row],[P (+ shock)]]+Table1[[#This Row],[P (-shock)]]-2*Table1[[#This Row],[Ask Price]])/(2*Table1[[#This Row],[Ask Price]]*($AF$2^2))</f>
        <v>#N/A</v>
      </c>
      <c r="AH1251">
        <v>9.7259636923184996</v>
      </c>
      <c r="AI1251" s="6" t="e">
        <f t="shared" si="77"/>
        <v>#DIV/0!</v>
      </c>
      <c r="AK1251" s="47" t="e">
        <f>RATE(Table1[[#This Row],[Total No. of Coupons]],Table1[[#This Row],[Coupon Amount]],-Table1[[#This Row],[Ask Price]],Table1[[#This Row],[Face value]])</f>
        <v>#N/A</v>
      </c>
      <c r="AL1251" s="27" t="e">
        <f>Table1[[#This Row],[IRR]]*Table1[[#This Row],[Coupon Frequency2]]</f>
        <v>#N/A</v>
      </c>
      <c r="AM1251" s="5" t="e">
        <f t="shared" si="78"/>
        <v>#N/A</v>
      </c>
      <c r="AN1251" t="s">
        <v>64</v>
      </c>
      <c r="AO1251" t="s">
        <v>62</v>
      </c>
      <c r="AP1251" t="str">
        <f t="shared" si="79"/>
        <v/>
      </c>
    </row>
    <row r="1252" spans="4:42" x14ac:dyDescent="0.35">
      <c r="D1252" s="21"/>
      <c r="E1252" s="21"/>
      <c r="L1252" s="22"/>
      <c r="S1252">
        <f t="shared" si="76"/>
        <v>0</v>
      </c>
      <c r="T1252" s="5" t="e" cm="1">
        <f t="array" ref="T12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2" t="e">
        <f>Table1[[#This Row],[Term to Maturity (Years)]]*Table1[[#This Row],[Coupon Frequency2]]</f>
        <v>#N/A</v>
      </c>
      <c r="V1252">
        <f>Table1[[#This Row],[Face value]]*Table1[[#This Row],[Current coupon %]]</f>
        <v>0</v>
      </c>
      <c r="W1252" s="36" t="e">
        <f>RATE(Table1[[#This Row],[Total No. of Coupons]],Table1[[#This Row],[Coupon Amount]],-Table1[[#This Row],[Ask Price]],Table1[[#This Row],[Face value]])</f>
        <v>#N/A</v>
      </c>
      <c r="X1252" s="27" t="e">
        <f>Table1[[#This Row],[IRR]]*Table1[[#This Row],[Coupon Frequency2]]</f>
        <v>#N/A</v>
      </c>
      <c r="Y1252" s="19" t="e" cm="1">
        <f t="array" ref="Y12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2" s="33" t="e">
        <f>DURATION(Table1[[#This Row],[Issue date]],Table1[[#This Row],[Maturity date]],Table1[[#This Row],[Current coupon %]],Table1[[#This Row],[Yield (Annualised)]],Table1[[#This Row],[Coupon Frequency2]])</f>
        <v>#N/A</v>
      </c>
      <c r="AA1252" s="33" t="e">
        <f>Table1[[#This Row],[Macaulay Duration in Years]]/(1+Table1[[#This Row],[IRR]])</f>
        <v>#N/A</v>
      </c>
      <c r="AB1252" s="58" t="e">
        <f>VLOOKUP(Table1[[#This Row],[Yield Cluster]],'Cluster Details'!$B$3:$C$16,2,0)</f>
        <v>#N/A</v>
      </c>
      <c r="AC125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2" s="58" t="e">
        <f>IF(Table1[[#This Row],[Ask Price]]&gt;Table1[[#This Row],[Calculated Bond Price]],"Rich","Cheap")</f>
        <v>#N/A</v>
      </c>
      <c r="AE125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2" s="78" t="e">
        <f>(Table1[[#This Row],[P (+ shock)]]+Table1[[#This Row],[P (-shock)]]-2*Table1[[#This Row],[Ask Price]])/(2*Table1[[#This Row],[Ask Price]]*($AF$2^2))</f>
        <v>#N/A</v>
      </c>
      <c r="AH1252">
        <v>6.3238983006467402</v>
      </c>
      <c r="AI1252" s="6" t="e">
        <f t="shared" si="77"/>
        <v>#DIV/0!</v>
      </c>
      <c r="AK1252" s="47" t="e">
        <f>RATE(Table1[[#This Row],[Total No. of Coupons]],Table1[[#This Row],[Coupon Amount]],-Table1[[#This Row],[Ask Price]],Table1[[#This Row],[Face value]])</f>
        <v>#N/A</v>
      </c>
      <c r="AL1252" s="27" t="e">
        <f>Table1[[#This Row],[IRR]]*Table1[[#This Row],[Coupon Frequency2]]</f>
        <v>#N/A</v>
      </c>
      <c r="AM1252" s="5" t="e">
        <f t="shared" si="78"/>
        <v>#N/A</v>
      </c>
      <c r="AN1252" t="s">
        <v>64</v>
      </c>
      <c r="AO1252" t="s">
        <v>62</v>
      </c>
      <c r="AP1252" t="str">
        <f t="shared" si="79"/>
        <v/>
      </c>
    </row>
    <row r="1253" spans="4:42" x14ac:dyDescent="0.35">
      <c r="D1253" s="21"/>
      <c r="E1253" s="21"/>
      <c r="L1253" s="22"/>
      <c r="S1253">
        <f t="shared" si="76"/>
        <v>0</v>
      </c>
      <c r="T1253" s="5" t="e" cm="1">
        <f t="array" ref="T12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3" t="e">
        <f>Table1[[#This Row],[Term to Maturity (Years)]]*Table1[[#This Row],[Coupon Frequency2]]</f>
        <v>#N/A</v>
      </c>
      <c r="V1253">
        <f>Table1[[#This Row],[Face value]]*Table1[[#This Row],[Current coupon %]]</f>
        <v>0</v>
      </c>
      <c r="W1253" s="36" t="e">
        <f>RATE(Table1[[#This Row],[Total No. of Coupons]],Table1[[#This Row],[Coupon Amount]],-Table1[[#This Row],[Ask Price]],Table1[[#This Row],[Face value]])</f>
        <v>#N/A</v>
      </c>
      <c r="X1253" s="27" t="e">
        <f>Table1[[#This Row],[IRR]]*Table1[[#This Row],[Coupon Frequency2]]</f>
        <v>#N/A</v>
      </c>
      <c r="Y1253" s="19" t="e" cm="1">
        <f t="array" ref="Y12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3" s="33" t="e">
        <f>DURATION(Table1[[#This Row],[Issue date]],Table1[[#This Row],[Maturity date]],Table1[[#This Row],[Current coupon %]],Table1[[#This Row],[Yield (Annualised)]],Table1[[#This Row],[Coupon Frequency2]])</f>
        <v>#N/A</v>
      </c>
      <c r="AA1253" s="33" t="e">
        <f>Table1[[#This Row],[Macaulay Duration in Years]]/(1+Table1[[#This Row],[IRR]])</f>
        <v>#N/A</v>
      </c>
      <c r="AB1253" s="58" t="e">
        <f>VLOOKUP(Table1[[#This Row],[Yield Cluster]],'Cluster Details'!$B$3:$C$16,2,0)</f>
        <v>#N/A</v>
      </c>
      <c r="AC125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3" s="58" t="e">
        <f>IF(Table1[[#This Row],[Ask Price]]&gt;Table1[[#This Row],[Calculated Bond Price]],"Rich","Cheap")</f>
        <v>#N/A</v>
      </c>
      <c r="AE125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3" s="78" t="e">
        <f>(Table1[[#This Row],[P (+ shock)]]+Table1[[#This Row],[P (-shock)]]-2*Table1[[#This Row],[Ask Price]])/(2*Table1[[#This Row],[Ask Price]]*($AF$2^2))</f>
        <v>#N/A</v>
      </c>
      <c r="AH1253">
        <v>13.972181404870399</v>
      </c>
      <c r="AI1253" s="6" t="e">
        <f t="shared" si="77"/>
        <v>#DIV/0!</v>
      </c>
      <c r="AK1253" s="47" t="e">
        <f>RATE(Table1[[#This Row],[Total No. of Coupons]],Table1[[#This Row],[Coupon Amount]],-Table1[[#This Row],[Ask Price]],Table1[[#This Row],[Face value]])</f>
        <v>#N/A</v>
      </c>
      <c r="AL1253" s="27" t="e">
        <f>Table1[[#This Row],[IRR]]*Table1[[#This Row],[Coupon Frequency2]]</f>
        <v>#N/A</v>
      </c>
      <c r="AM1253" s="5" t="e">
        <f t="shared" si="78"/>
        <v>#N/A</v>
      </c>
      <c r="AN1253" t="s">
        <v>64</v>
      </c>
      <c r="AO1253" t="s">
        <v>62</v>
      </c>
      <c r="AP1253" t="str">
        <f t="shared" si="79"/>
        <v/>
      </c>
    </row>
    <row r="1254" spans="4:42" x14ac:dyDescent="0.35">
      <c r="D1254" s="21"/>
      <c r="E1254" s="21"/>
      <c r="L1254" s="22"/>
      <c r="S1254">
        <f t="shared" si="76"/>
        <v>0</v>
      </c>
      <c r="T1254" s="5" t="e" cm="1">
        <f t="array" ref="T12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4" t="e">
        <f>Table1[[#This Row],[Term to Maturity (Years)]]*Table1[[#This Row],[Coupon Frequency2]]</f>
        <v>#N/A</v>
      </c>
      <c r="V1254">
        <f>Table1[[#This Row],[Face value]]*Table1[[#This Row],[Current coupon %]]</f>
        <v>0</v>
      </c>
      <c r="W1254" s="36" t="e">
        <f>RATE(Table1[[#This Row],[Total No. of Coupons]],Table1[[#This Row],[Coupon Amount]],-Table1[[#This Row],[Ask Price]],Table1[[#This Row],[Face value]])</f>
        <v>#N/A</v>
      </c>
      <c r="X1254" s="27" t="e">
        <f>Table1[[#This Row],[IRR]]*Table1[[#This Row],[Coupon Frequency2]]</f>
        <v>#N/A</v>
      </c>
      <c r="Y1254" s="19" t="e" cm="1">
        <f t="array" ref="Y12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4" s="33" t="e">
        <f>DURATION(Table1[[#This Row],[Issue date]],Table1[[#This Row],[Maturity date]],Table1[[#This Row],[Current coupon %]],Table1[[#This Row],[Yield (Annualised)]],Table1[[#This Row],[Coupon Frequency2]])</f>
        <v>#N/A</v>
      </c>
      <c r="AA1254" s="33" t="e">
        <f>Table1[[#This Row],[Macaulay Duration in Years]]/(1+Table1[[#This Row],[IRR]])</f>
        <v>#N/A</v>
      </c>
      <c r="AB1254" s="58" t="e">
        <f>VLOOKUP(Table1[[#This Row],[Yield Cluster]],'Cluster Details'!$B$3:$C$16,2,0)</f>
        <v>#N/A</v>
      </c>
      <c r="AC125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4" s="58" t="e">
        <f>IF(Table1[[#This Row],[Ask Price]]&gt;Table1[[#This Row],[Calculated Bond Price]],"Rich","Cheap")</f>
        <v>#N/A</v>
      </c>
      <c r="AE125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4" s="78" t="e">
        <f>(Table1[[#This Row],[P (+ shock)]]+Table1[[#This Row],[P (-shock)]]-2*Table1[[#This Row],[Ask Price]])/(2*Table1[[#This Row],[Ask Price]]*($AF$2^2))</f>
        <v>#N/A</v>
      </c>
      <c r="AH1254">
        <v>11.2113352504582</v>
      </c>
      <c r="AI1254" s="6" t="e">
        <f t="shared" si="77"/>
        <v>#DIV/0!</v>
      </c>
      <c r="AK1254" s="47" t="e">
        <f>RATE(Table1[[#This Row],[Total No. of Coupons]],Table1[[#This Row],[Coupon Amount]],-Table1[[#This Row],[Ask Price]],Table1[[#This Row],[Face value]])</f>
        <v>#N/A</v>
      </c>
      <c r="AL1254" s="27" t="e">
        <f>Table1[[#This Row],[IRR]]*Table1[[#This Row],[Coupon Frequency2]]</f>
        <v>#N/A</v>
      </c>
      <c r="AM1254" s="5" t="e">
        <f t="shared" si="78"/>
        <v>#N/A</v>
      </c>
      <c r="AN1254" t="s">
        <v>64</v>
      </c>
      <c r="AO1254" t="s">
        <v>62</v>
      </c>
      <c r="AP1254" t="str">
        <f t="shared" si="79"/>
        <v/>
      </c>
    </row>
    <row r="1255" spans="4:42" x14ac:dyDescent="0.35">
      <c r="D1255" s="21"/>
      <c r="E1255" s="21"/>
      <c r="L1255" s="22"/>
      <c r="S1255">
        <f t="shared" si="76"/>
        <v>0</v>
      </c>
      <c r="T1255" s="5" t="e" cm="1">
        <f t="array" ref="T12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5" t="e">
        <f>Table1[[#This Row],[Term to Maturity (Years)]]*Table1[[#This Row],[Coupon Frequency2]]</f>
        <v>#N/A</v>
      </c>
      <c r="V1255">
        <f>Table1[[#This Row],[Face value]]*Table1[[#This Row],[Current coupon %]]</f>
        <v>0</v>
      </c>
      <c r="W1255" s="36" t="e">
        <f>RATE(Table1[[#This Row],[Total No. of Coupons]],Table1[[#This Row],[Coupon Amount]],-Table1[[#This Row],[Ask Price]],Table1[[#This Row],[Face value]])</f>
        <v>#N/A</v>
      </c>
      <c r="X1255" s="27" t="e">
        <f>Table1[[#This Row],[IRR]]*Table1[[#This Row],[Coupon Frequency2]]</f>
        <v>#N/A</v>
      </c>
      <c r="Y1255" s="19" t="e" cm="1">
        <f t="array" ref="Y12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5" s="33" t="e">
        <f>DURATION(Table1[[#This Row],[Issue date]],Table1[[#This Row],[Maturity date]],Table1[[#This Row],[Current coupon %]],Table1[[#This Row],[Yield (Annualised)]],Table1[[#This Row],[Coupon Frequency2]])</f>
        <v>#N/A</v>
      </c>
      <c r="AA1255" s="33" t="e">
        <f>Table1[[#This Row],[Macaulay Duration in Years]]/(1+Table1[[#This Row],[IRR]])</f>
        <v>#N/A</v>
      </c>
      <c r="AB1255" s="58" t="e">
        <f>VLOOKUP(Table1[[#This Row],[Yield Cluster]],'Cluster Details'!$B$3:$C$16,2,0)</f>
        <v>#N/A</v>
      </c>
      <c r="AC125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5" s="58" t="e">
        <f>IF(Table1[[#This Row],[Ask Price]]&gt;Table1[[#This Row],[Calculated Bond Price]],"Rich","Cheap")</f>
        <v>#N/A</v>
      </c>
      <c r="AE125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5" s="78" t="e">
        <f>(Table1[[#This Row],[P (+ shock)]]+Table1[[#This Row],[P (-shock)]]-2*Table1[[#This Row],[Ask Price]])/(2*Table1[[#This Row],[Ask Price]]*($AF$2^2))</f>
        <v>#N/A</v>
      </c>
      <c r="AH1255">
        <v>6.2420749581604298</v>
      </c>
      <c r="AI1255" s="6" t="e">
        <f t="shared" si="77"/>
        <v>#DIV/0!</v>
      </c>
      <c r="AK1255" s="47" t="e">
        <f>RATE(Table1[[#This Row],[Total No. of Coupons]],Table1[[#This Row],[Coupon Amount]],-Table1[[#This Row],[Ask Price]],Table1[[#This Row],[Face value]])</f>
        <v>#N/A</v>
      </c>
      <c r="AL1255" s="27" t="e">
        <f>Table1[[#This Row],[IRR]]*Table1[[#This Row],[Coupon Frequency2]]</f>
        <v>#N/A</v>
      </c>
      <c r="AM1255" s="5" t="e">
        <f t="shared" si="78"/>
        <v>#N/A</v>
      </c>
      <c r="AN1255" t="s">
        <v>64</v>
      </c>
      <c r="AO1255" t="s">
        <v>62</v>
      </c>
      <c r="AP1255" t="str">
        <f t="shared" si="79"/>
        <v/>
      </c>
    </row>
    <row r="1256" spans="4:42" x14ac:dyDescent="0.35">
      <c r="D1256" s="21"/>
      <c r="E1256" s="21"/>
      <c r="L1256" s="22"/>
      <c r="S1256">
        <f t="shared" si="76"/>
        <v>0</v>
      </c>
      <c r="T1256" s="5" t="e" cm="1">
        <f t="array" ref="T12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6" t="e">
        <f>Table1[[#This Row],[Term to Maturity (Years)]]*Table1[[#This Row],[Coupon Frequency2]]</f>
        <v>#N/A</v>
      </c>
      <c r="V1256">
        <f>Table1[[#This Row],[Face value]]*Table1[[#This Row],[Current coupon %]]</f>
        <v>0</v>
      </c>
      <c r="W1256" s="36" t="e">
        <f>RATE(Table1[[#This Row],[Total No. of Coupons]],Table1[[#This Row],[Coupon Amount]],-Table1[[#This Row],[Ask Price]],Table1[[#This Row],[Face value]])</f>
        <v>#N/A</v>
      </c>
      <c r="X1256" s="27" t="e">
        <f>Table1[[#This Row],[IRR]]*Table1[[#This Row],[Coupon Frequency2]]</f>
        <v>#N/A</v>
      </c>
      <c r="Y1256" s="19" t="e" cm="1">
        <f t="array" ref="Y12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6" s="33" t="e">
        <f>DURATION(Table1[[#This Row],[Issue date]],Table1[[#This Row],[Maturity date]],Table1[[#This Row],[Current coupon %]],Table1[[#This Row],[Yield (Annualised)]],Table1[[#This Row],[Coupon Frequency2]])</f>
        <v>#N/A</v>
      </c>
      <c r="AA1256" s="33" t="e">
        <f>Table1[[#This Row],[Macaulay Duration in Years]]/(1+Table1[[#This Row],[IRR]])</f>
        <v>#N/A</v>
      </c>
      <c r="AB1256" s="58" t="e">
        <f>VLOOKUP(Table1[[#This Row],[Yield Cluster]],'Cluster Details'!$B$3:$C$16,2,0)</f>
        <v>#N/A</v>
      </c>
      <c r="AC125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6" s="58" t="e">
        <f>IF(Table1[[#This Row],[Ask Price]]&gt;Table1[[#This Row],[Calculated Bond Price]],"Rich","Cheap")</f>
        <v>#N/A</v>
      </c>
      <c r="AE125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6" s="78" t="e">
        <f>(Table1[[#This Row],[P (+ shock)]]+Table1[[#This Row],[P (-shock)]]-2*Table1[[#This Row],[Ask Price]])/(2*Table1[[#This Row],[Ask Price]]*($AF$2^2))</f>
        <v>#N/A</v>
      </c>
      <c r="AH1256">
        <v>11.15</v>
      </c>
      <c r="AI1256" s="6" t="e">
        <f t="shared" si="77"/>
        <v>#DIV/0!</v>
      </c>
      <c r="AK1256" s="47" t="e">
        <f>RATE(Table1[[#This Row],[Total No. of Coupons]],Table1[[#This Row],[Coupon Amount]],-Table1[[#This Row],[Ask Price]],Table1[[#This Row],[Face value]])</f>
        <v>#N/A</v>
      </c>
      <c r="AL1256" s="27" t="e">
        <f>Table1[[#This Row],[IRR]]*Table1[[#This Row],[Coupon Frequency2]]</f>
        <v>#N/A</v>
      </c>
      <c r="AM1256" s="5" t="e">
        <f t="shared" si="78"/>
        <v>#N/A</v>
      </c>
      <c r="AN1256" t="s">
        <v>64</v>
      </c>
      <c r="AO1256" t="s">
        <v>62</v>
      </c>
      <c r="AP1256" t="str">
        <f t="shared" si="79"/>
        <v/>
      </c>
    </row>
    <row r="1257" spans="4:42" x14ac:dyDescent="0.35">
      <c r="D1257" s="21"/>
      <c r="E1257" s="21"/>
      <c r="L1257" s="22"/>
      <c r="S1257">
        <f t="shared" si="76"/>
        <v>0</v>
      </c>
      <c r="T1257" s="5" t="e" cm="1">
        <f t="array" ref="T12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7" t="e">
        <f>Table1[[#This Row],[Term to Maturity (Years)]]*Table1[[#This Row],[Coupon Frequency2]]</f>
        <v>#N/A</v>
      </c>
      <c r="V1257">
        <f>Table1[[#This Row],[Face value]]*Table1[[#This Row],[Current coupon %]]</f>
        <v>0</v>
      </c>
      <c r="W1257" s="36" t="e">
        <f>RATE(Table1[[#This Row],[Total No. of Coupons]],Table1[[#This Row],[Coupon Amount]],-Table1[[#This Row],[Ask Price]],Table1[[#This Row],[Face value]])</f>
        <v>#N/A</v>
      </c>
      <c r="X1257" s="27" t="e">
        <f>Table1[[#This Row],[IRR]]*Table1[[#This Row],[Coupon Frequency2]]</f>
        <v>#N/A</v>
      </c>
      <c r="Y1257" s="19" t="e" cm="1">
        <f t="array" ref="Y12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7" s="33" t="e">
        <f>DURATION(Table1[[#This Row],[Issue date]],Table1[[#This Row],[Maturity date]],Table1[[#This Row],[Current coupon %]],Table1[[#This Row],[Yield (Annualised)]],Table1[[#This Row],[Coupon Frequency2]])</f>
        <v>#N/A</v>
      </c>
      <c r="AA1257" s="33" t="e">
        <f>Table1[[#This Row],[Macaulay Duration in Years]]/(1+Table1[[#This Row],[IRR]])</f>
        <v>#N/A</v>
      </c>
      <c r="AB1257" s="58" t="e">
        <f>VLOOKUP(Table1[[#This Row],[Yield Cluster]],'Cluster Details'!$B$3:$C$16,2,0)</f>
        <v>#N/A</v>
      </c>
      <c r="AC125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7" s="58" t="e">
        <f>IF(Table1[[#This Row],[Ask Price]]&gt;Table1[[#This Row],[Calculated Bond Price]],"Rich","Cheap")</f>
        <v>#N/A</v>
      </c>
      <c r="AE125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7" s="78" t="e">
        <f>(Table1[[#This Row],[P (+ shock)]]+Table1[[#This Row],[P (-shock)]]-2*Table1[[#This Row],[Ask Price]])/(2*Table1[[#This Row],[Ask Price]]*($AF$2^2))</f>
        <v>#N/A</v>
      </c>
      <c r="AH1257">
        <v>8.0501234658902394</v>
      </c>
      <c r="AI1257" s="6" t="e">
        <f t="shared" si="77"/>
        <v>#DIV/0!</v>
      </c>
      <c r="AK1257" s="47" t="e">
        <f>RATE(Table1[[#This Row],[Total No. of Coupons]],Table1[[#This Row],[Coupon Amount]],-Table1[[#This Row],[Ask Price]],Table1[[#This Row],[Face value]])</f>
        <v>#N/A</v>
      </c>
      <c r="AL1257" s="27" t="e">
        <f>Table1[[#This Row],[IRR]]*Table1[[#This Row],[Coupon Frequency2]]</f>
        <v>#N/A</v>
      </c>
      <c r="AM1257" s="5" t="e">
        <f t="shared" si="78"/>
        <v>#N/A</v>
      </c>
      <c r="AN1257" t="s">
        <v>64</v>
      </c>
      <c r="AO1257" t="s">
        <v>62</v>
      </c>
      <c r="AP1257" t="str">
        <f t="shared" si="79"/>
        <v/>
      </c>
    </row>
    <row r="1258" spans="4:42" x14ac:dyDescent="0.35">
      <c r="D1258" s="21"/>
      <c r="E1258" s="21"/>
      <c r="L1258" s="22"/>
      <c r="S1258">
        <f t="shared" si="76"/>
        <v>0</v>
      </c>
      <c r="T1258" s="5" t="e" cm="1">
        <f t="array" ref="T12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8" t="e">
        <f>Table1[[#This Row],[Term to Maturity (Years)]]*Table1[[#This Row],[Coupon Frequency2]]</f>
        <v>#N/A</v>
      </c>
      <c r="V1258">
        <f>Table1[[#This Row],[Face value]]*Table1[[#This Row],[Current coupon %]]</f>
        <v>0</v>
      </c>
      <c r="W1258" s="36" t="e">
        <f>RATE(Table1[[#This Row],[Total No. of Coupons]],Table1[[#This Row],[Coupon Amount]],-Table1[[#This Row],[Ask Price]],Table1[[#This Row],[Face value]])</f>
        <v>#N/A</v>
      </c>
      <c r="X1258" s="27" t="e">
        <f>Table1[[#This Row],[IRR]]*Table1[[#This Row],[Coupon Frequency2]]</f>
        <v>#N/A</v>
      </c>
      <c r="Y1258" s="19" t="e" cm="1">
        <f t="array" ref="Y12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8" s="33" t="e">
        <f>DURATION(Table1[[#This Row],[Issue date]],Table1[[#This Row],[Maturity date]],Table1[[#This Row],[Current coupon %]],Table1[[#This Row],[Yield (Annualised)]],Table1[[#This Row],[Coupon Frequency2]])</f>
        <v>#N/A</v>
      </c>
      <c r="AA1258" s="33" t="e">
        <f>Table1[[#This Row],[Macaulay Duration in Years]]/(1+Table1[[#This Row],[IRR]])</f>
        <v>#N/A</v>
      </c>
      <c r="AB1258" s="58" t="e">
        <f>VLOOKUP(Table1[[#This Row],[Yield Cluster]],'Cluster Details'!$B$3:$C$16,2,0)</f>
        <v>#N/A</v>
      </c>
      <c r="AC125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8" s="58" t="e">
        <f>IF(Table1[[#This Row],[Ask Price]]&gt;Table1[[#This Row],[Calculated Bond Price]],"Rich","Cheap")</f>
        <v>#N/A</v>
      </c>
      <c r="AE125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8" s="78" t="e">
        <f>(Table1[[#This Row],[P (+ shock)]]+Table1[[#This Row],[P (-shock)]]-2*Table1[[#This Row],[Ask Price]])/(2*Table1[[#This Row],[Ask Price]]*($AF$2^2))</f>
        <v>#N/A</v>
      </c>
      <c r="AH1258">
        <v>9.65</v>
      </c>
      <c r="AI1258" s="6" t="e">
        <f t="shared" si="77"/>
        <v>#DIV/0!</v>
      </c>
      <c r="AK1258" s="47" t="e">
        <f>RATE(Table1[[#This Row],[Total No. of Coupons]],Table1[[#This Row],[Coupon Amount]],-Table1[[#This Row],[Ask Price]],Table1[[#This Row],[Face value]])</f>
        <v>#N/A</v>
      </c>
      <c r="AL1258" s="27" t="e">
        <f>Table1[[#This Row],[IRR]]*Table1[[#This Row],[Coupon Frequency2]]</f>
        <v>#N/A</v>
      </c>
      <c r="AM1258" s="5" t="e">
        <f t="shared" si="78"/>
        <v>#N/A</v>
      </c>
      <c r="AN1258" t="s">
        <v>64</v>
      </c>
      <c r="AO1258" t="s">
        <v>62</v>
      </c>
      <c r="AP1258" t="str">
        <f t="shared" si="79"/>
        <v/>
      </c>
    </row>
    <row r="1259" spans="4:42" x14ac:dyDescent="0.35">
      <c r="D1259" s="21"/>
      <c r="E1259" s="21"/>
      <c r="L1259" s="22"/>
      <c r="S1259">
        <f t="shared" si="76"/>
        <v>0</v>
      </c>
      <c r="T1259" s="5" t="e" cm="1">
        <f t="array" ref="T12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59" t="e">
        <f>Table1[[#This Row],[Term to Maturity (Years)]]*Table1[[#This Row],[Coupon Frequency2]]</f>
        <v>#N/A</v>
      </c>
      <c r="V1259">
        <f>Table1[[#This Row],[Face value]]*Table1[[#This Row],[Current coupon %]]</f>
        <v>0</v>
      </c>
      <c r="W1259" s="36" t="e">
        <f>RATE(Table1[[#This Row],[Total No. of Coupons]],Table1[[#This Row],[Coupon Amount]],-Table1[[#This Row],[Ask Price]],Table1[[#This Row],[Face value]])</f>
        <v>#N/A</v>
      </c>
      <c r="X1259" s="27" t="e">
        <f>Table1[[#This Row],[IRR]]*Table1[[#This Row],[Coupon Frequency2]]</f>
        <v>#N/A</v>
      </c>
      <c r="Y1259" s="19" t="e" cm="1">
        <f t="array" ref="Y12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59" s="33" t="e">
        <f>DURATION(Table1[[#This Row],[Issue date]],Table1[[#This Row],[Maturity date]],Table1[[#This Row],[Current coupon %]],Table1[[#This Row],[Yield (Annualised)]],Table1[[#This Row],[Coupon Frequency2]])</f>
        <v>#N/A</v>
      </c>
      <c r="AA1259" s="33" t="e">
        <f>Table1[[#This Row],[Macaulay Duration in Years]]/(1+Table1[[#This Row],[IRR]])</f>
        <v>#N/A</v>
      </c>
      <c r="AB1259" s="58" t="e">
        <f>VLOOKUP(Table1[[#This Row],[Yield Cluster]],'Cluster Details'!$B$3:$C$16,2,0)</f>
        <v>#N/A</v>
      </c>
      <c r="AC125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59" s="58" t="e">
        <f>IF(Table1[[#This Row],[Ask Price]]&gt;Table1[[#This Row],[Calculated Bond Price]],"Rich","Cheap")</f>
        <v>#N/A</v>
      </c>
      <c r="AE125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5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59" s="78" t="e">
        <f>(Table1[[#This Row],[P (+ shock)]]+Table1[[#This Row],[P (-shock)]]-2*Table1[[#This Row],[Ask Price]])/(2*Table1[[#This Row],[Ask Price]]*($AF$2^2))</f>
        <v>#N/A</v>
      </c>
      <c r="AH1259">
        <v>13.7575784299239</v>
      </c>
      <c r="AI1259" s="6" t="e">
        <f t="shared" si="77"/>
        <v>#DIV/0!</v>
      </c>
      <c r="AK1259" s="47" t="e">
        <f>RATE(Table1[[#This Row],[Total No. of Coupons]],Table1[[#This Row],[Coupon Amount]],-Table1[[#This Row],[Ask Price]],Table1[[#This Row],[Face value]])</f>
        <v>#N/A</v>
      </c>
      <c r="AL1259" s="27" t="e">
        <f>Table1[[#This Row],[IRR]]*Table1[[#This Row],[Coupon Frequency2]]</f>
        <v>#N/A</v>
      </c>
      <c r="AM1259" s="5" t="e">
        <f t="shared" si="78"/>
        <v>#N/A</v>
      </c>
      <c r="AN1259" t="s">
        <v>64</v>
      </c>
      <c r="AO1259" t="s">
        <v>62</v>
      </c>
      <c r="AP1259" t="str">
        <f t="shared" si="79"/>
        <v/>
      </c>
    </row>
    <row r="1260" spans="4:42" x14ac:dyDescent="0.35">
      <c r="D1260" s="21"/>
      <c r="E1260" s="21"/>
      <c r="L1260" s="22"/>
      <c r="S1260">
        <f t="shared" si="76"/>
        <v>0</v>
      </c>
      <c r="T1260" s="5" t="e" cm="1">
        <f t="array" ref="T12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0" t="e">
        <f>Table1[[#This Row],[Term to Maturity (Years)]]*Table1[[#This Row],[Coupon Frequency2]]</f>
        <v>#N/A</v>
      </c>
      <c r="V1260">
        <f>Table1[[#This Row],[Face value]]*Table1[[#This Row],[Current coupon %]]</f>
        <v>0</v>
      </c>
      <c r="W1260" s="36" t="e">
        <f>RATE(Table1[[#This Row],[Total No. of Coupons]],Table1[[#This Row],[Coupon Amount]],-Table1[[#This Row],[Ask Price]],Table1[[#This Row],[Face value]])</f>
        <v>#N/A</v>
      </c>
      <c r="X1260" s="27" t="e">
        <f>Table1[[#This Row],[IRR]]*Table1[[#This Row],[Coupon Frequency2]]</f>
        <v>#N/A</v>
      </c>
      <c r="Y1260" s="19" t="e" cm="1">
        <f t="array" ref="Y12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0" s="33" t="e">
        <f>DURATION(Table1[[#This Row],[Issue date]],Table1[[#This Row],[Maturity date]],Table1[[#This Row],[Current coupon %]],Table1[[#This Row],[Yield (Annualised)]],Table1[[#This Row],[Coupon Frequency2]])</f>
        <v>#N/A</v>
      </c>
      <c r="AA1260" s="33" t="e">
        <f>Table1[[#This Row],[Macaulay Duration in Years]]/(1+Table1[[#This Row],[IRR]])</f>
        <v>#N/A</v>
      </c>
      <c r="AB1260" s="58" t="e">
        <f>VLOOKUP(Table1[[#This Row],[Yield Cluster]],'Cluster Details'!$B$3:$C$16,2,0)</f>
        <v>#N/A</v>
      </c>
      <c r="AC126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0" s="58" t="e">
        <f>IF(Table1[[#This Row],[Ask Price]]&gt;Table1[[#This Row],[Calculated Bond Price]],"Rich","Cheap")</f>
        <v>#N/A</v>
      </c>
      <c r="AE126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0" s="78" t="e">
        <f>(Table1[[#This Row],[P (+ shock)]]+Table1[[#This Row],[P (-shock)]]-2*Table1[[#This Row],[Ask Price]])/(2*Table1[[#This Row],[Ask Price]]*($AF$2^2))</f>
        <v>#N/A</v>
      </c>
      <c r="AH1260">
        <v>15.8543341292552</v>
      </c>
      <c r="AI1260" s="6" t="e">
        <f t="shared" si="77"/>
        <v>#DIV/0!</v>
      </c>
      <c r="AK1260" s="47" t="e">
        <f>RATE(Table1[[#This Row],[Total No. of Coupons]],Table1[[#This Row],[Coupon Amount]],-Table1[[#This Row],[Ask Price]],Table1[[#This Row],[Face value]])</f>
        <v>#N/A</v>
      </c>
      <c r="AL1260" s="27" t="e">
        <f>Table1[[#This Row],[IRR]]*Table1[[#This Row],[Coupon Frequency2]]</f>
        <v>#N/A</v>
      </c>
      <c r="AM1260" s="5" t="e">
        <f t="shared" si="78"/>
        <v>#N/A</v>
      </c>
      <c r="AN1260" t="s">
        <v>64</v>
      </c>
      <c r="AO1260" t="s">
        <v>62</v>
      </c>
      <c r="AP1260" t="str">
        <f t="shared" si="79"/>
        <v/>
      </c>
    </row>
    <row r="1261" spans="4:42" x14ac:dyDescent="0.35">
      <c r="D1261" s="21"/>
      <c r="E1261" s="21"/>
      <c r="L1261" s="22"/>
      <c r="S1261">
        <f t="shared" si="76"/>
        <v>0</v>
      </c>
      <c r="T1261" s="5" t="e" cm="1">
        <f t="array" ref="T12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1" t="e">
        <f>Table1[[#This Row],[Term to Maturity (Years)]]*Table1[[#This Row],[Coupon Frequency2]]</f>
        <v>#N/A</v>
      </c>
      <c r="V1261">
        <f>Table1[[#This Row],[Face value]]*Table1[[#This Row],[Current coupon %]]</f>
        <v>0</v>
      </c>
      <c r="W1261" s="36" t="e">
        <f>RATE(Table1[[#This Row],[Total No. of Coupons]],Table1[[#This Row],[Coupon Amount]],-Table1[[#This Row],[Ask Price]],Table1[[#This Row],[Face value]])</f>
        <v>#N/A</v>
      </c>
      <c r="X1261" s="27" t="e">
        <f>Table1[[#This Row],[IRR]]*Table1[[#This Row],[Coupon Frequency2]]</f>
        <v>#N/A</v>
      </c>
      <c r="Y1261" s="19" t="e" cm="1">
        <f t="array" ref="Y12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1" s="33" t="e">
        <f>DURATION(Table1[[#This Row],[Issue date]],Table1[[#This Row],[Maturity date]],Table1[[#This Row],[Current coupon %]],Table1[[#This Row],[Yield (Annualised)]],Table1[[#This Row],[Coupon Frequency2]])</f>
        <v>#N/A</v>
      </c>
      <c r="AA1261" s="33" t="e">
        <f>Table1[[#This Row],[Macaulay Duration in Years]]/(1+Table1[[#This Row],[IRR]])</f>
        <v>#N/A</v>
      </c>
      <c r="AB1261" s="58" t="e">
        <f>VLOOKUP(Table1[[#This Row],[Yield Cluster]],'Cluster Details'!$B$3:$C$16,2,0)</f>
        <v>#N/A</v>
      </c>
      <c r="AC126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1" s="58" t="e">
        <f>IF(Table1[[#This Row],[Ask Price]]&gt;Table1[[#This Row],[Calculated Bond Price]],"Rich","Cheap")</f>
        <v>#N/A</v>
      </c>
      <c r="AE126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1" s="78" t="e">
        <f>(Table1[[#This Row],[P (+ shock)]]+Table1[[#This Row],[P (-shock)]]-2*Table1[[#This Row],[Ask Price]])/(2*Table1[[#This Row],[Ask Price]]*($AF$2^2))</f>
        <v>#N/A</v>
      </c>
      <c r="AH1261">
        <v>9.5851615967600008</v>
      </c>
      <c r="AI1261" s="6" t="e">
        <f t="shared" si="77"/>
        <v>#DIV/0!</v>
      </c>
      <c r="AK1261" s="47" t="e">
        <f>RATE(Table1[[#This Row],[Total No. of Coupons]],Table1[[#This Row],[Coupon Amount]],-Table1[[#This Row],[Ask Price]],Table1[[#This Row],[Face value]])</f>
        <v>#N/A</v>
      </c>
      <c r="AL1261" s="27" t="e">
        <f>Table1[[#This Row],[IRR]]*Table1[[#This Row],[Coupon Frequency2]]</f>
        <v>#N/A</v>
      </c>
      <c r="AM1261" s="5" t="e">
        <f t="shared" si="78"/>
        <v>#N/A</v>
      </c>
      <c r="AN1261" t="s">
        <v>64</v>
      </c>
      <c r="AO1261" t="s">
        <v>62</v>
      </c>
      <c r="AP1261" t="str">
        <f t="shared" si="79"/>
        <v/>
      </c>
    </row>
    <row r="1262" spans="4:42" x14ac:dyDescent="0.35">
      <c r="D1262" s="21"/>
      <c r="E1262" s="21"/>
      <c r="L1262" s="22"/>
      <c r="S1262">
        <f t="shared" si="76"/>
        <v>0</v>
      </c>
      <c r="T1262" s="5" t="e" cm="1">
        <f t="array" ref="T12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2" t="e">
        <f>Table1[[#This Row],[Term to Maturity (Years)]]*Table1[[#This Row],[Coupon Frequency2]]</f>
        <v>#N/A</v>
      </c>
      <c r="V1262">
        <f>Table1[[#This Row],[Face value]]*Table1[[#This Row],[Current coupon %]]</f>
        <v>0</v>
      </c>
      <c r="W1262" s="36" t="e">
        <f>RATE(Table1[[#This Row],[Total No. of Coupons]],Table1[[#This Row],[Coupon Amount]],-Table1[[#This Row],[Ask Price]],Table1[[#This Row],[Face value]])</f>
        <v>#N/A</v>
      </c>
      <c r="X1262" s="27" t="e">
        <f>Table1[[#This Row],[IRR]]*Table1[[#This Row],[Coupon Frequency2]]</f>
        <v>#N/A</v>
      </c>
      <c r="Y1262" s="19" t="e" cm="1">
        <f t="array" ref="Y12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2" s="33" t="e">
        <f>DURATION(Table1[[#This Row],[Issue date]],Table1[[#This Row],[Maturity date]],Table1[[#This Row],[Current coupon %]],Table1[[#This Row],[Yield (Annualised)]],Table1[[#This Row],[Coupon Frequency2]])</f>
        <v>#N/A</v>
      </c>
      <c r="AA1262" s="33" t="e">
        <f>Table1[[#This Row],[Macaulay Duration in Years]]/(1+Table1[[#This Row],[IRR]])</f>
        <v>#N/A</v>
      </c>
      <c r="AB1262" s="58" t="e">
        <f>VLOOKUP(Table1[[#This Row],[Yield Cluster]],'Cluster Details'!$B$3:$C$16,2,0)</f>
        <v>#N/A</v>
      </c>
      <c r="AC126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2" s="58" t="e">
        <f>IF(Table1[[#This Row],[Ask Price]]&gt;Table1[[#This Row],[Calculated Bond Price]],"Rich","Cheap")</f>
        <v>#N/A</v>
      </c>
      <c r="AE126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2" s="78" t="e">
        <f>(Table1[[#This Row],[P (+ shock)]]+Table1[[#This Row],[P (-shock)]]-2*Table1[[#This Row],[Ask Price]])/(2*Table1[[#This Row],[Ask Price]]*($AF$2^2))</f>
        <v>#N/A</v>
      </c>
      <c r="AH1262">
        <v>4.1492612007912397</v>
      </c>
      <c r="AI1262" s="6" t="e">
        <f t="shared" si="77"/>
        <v>#DIV/0!</v>
      </c>
      <c r="AK1262" s="47" t="e">
        <f>RATE(Table1[[#This Row],[Total No. of Coupons]],Table1[[#This Row],[Coupon Amount]],-Table1[[#This Row],[Ask Price]],Table1[[#This Row],[Face value]])</f>
        <v>#N/A</v>
      </c>
      <c r="AL1262" s="27" t="e">
        <f>Table1[[#This Row],[IRR]]*Table1[[#This Row],[Coupon Frequency2]]</f>
        <v>#N/A</v>
      </c>
      <c r="AM1262" s="5" t="e">
        <f t="shared" si="78"/>
        <v>#N/A</v>
      </c>
      <c r="AN1262" t="s">
        <v>64</v>
      </c>
      <c r="AO1262" t="s">
        <v>62</v>
      </c>
      <c r="AP1262" t="str">
        <f t="shared" si="79"/>
        <v/>
      </c>
    </row>
    <row r="1263" spans="4:42" x14ac:dyDescent="0.35">
      <c r="D1263" s="21"/>
      <c r="E1263" s="21"/>
      <c r="L1263" s="22"/>
      <c r="S1263">
        <f t="shared" si="76"/>
        <v>0</v>
      </c>
      <c r="T1263" s="5" t="e" cm="1">
        <f t="array" ref="T12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3" t="e">
        <f>Table1[[#This Row],[Term to Maturity (Years)]]*Table1[[#This Row],[Coupon Frequency2]]</f>
        <v>#N/A</v>
      </c>
      <c r="V1263">
        <f>Table1[[#This Row],[Face value]]*Table1[[#This Row],[Current coupon %]]</f>
        <v>0</v>
      </c>
      <c r="W1263" s="36" t="e">
        <f>RATE(Table1[[#This Row],[Total No. of Coupons]],Table1[[#This Row],[Coupon Amount]],-Table1[[#This Row],[Ask Price]],Table1[[#This Row],[Face value]])</f>
        <v>#N/A</v>
      </c>
      <c r="X1263" s="27" t="e">
        <f>Table1[[#This Row],[IRR]]*Table1[[#This Row],[Coupon Frequency2]]</f>
        <v>#N/A</v>
      </c>
      <c r="Y1263" s="19" t="e" cm="1">
        <f t="array" ref="Y12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3" s="33" t="e">
        <f>DURATION(Table1[[#This Row],[Issue date]],Table1[[#This Row],[Maturity date]],Table1[[#This Row],[Current coupon %]],Table1[[#This Row],[Yield (Annualised)]],Table1[[#This Row],[Coupon Frequency2]])</f>
        <v>#N/A</v>
      </c>
      <c r="AA1263" s="33" t="e">
        <f>Table1[[#This Row],[Macaulay Duration in Years]]/(1+Table1[[#This Row],[IRR]])</f>
        <v>#N/A</v>
      </c>
      <c r="AB1263" s="58" t="e">
        <f>VLOOKUP(Table1[[#This Row],[Yield Cluster]],'Cluster Details'!$B$3:$C$16,2,0)</f>
        <v>#N/A</v>
      </c>
      <c r="AC126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3" s="58" t="e">
        <f>IF(Table1[[#This Row],[Ask Price]]&gt;Table1[[#This Row],[Calculated Bond Price]],"Rich","Cheap")</f>
        <v>#N/A</v>
      </c>
      <c r="AE126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3" s="78" t="e">
        <f>(Table1[[#This Row],[P (+ shock)]]+Table1[[#This Row],[P (-shock)]]-2*Table1[[#This Row],[Ask Price]])/(2*Table1[[#This Row],[Ask Price]]*($AF$2^2))</f>
        <v>#N/A</v>
      </c>
      <c r="AH1263">
        <v>4.05378169669752</v>
      </c>
      <c r="AI1263" s="6" t="e">
        <f t="shared" si="77"/>
        <v>#DIV/0!</v>
      </c>
      <c r="AK1263" s="47" t="e">
        <f>RATE(Table1[[#This Row],[Total No. of Coupons]],Table1[[#This Row],[Coupon Amount]],-Table1[[#This Row],[Ask Price]],Table1[[#This Row],[Face value]])</f>
        <v>#N/A</v>
      </c>
      <c r="AL1263" s="27" t="e">
        <f>Table1[[#This Row],[IRR]]*Table1[[#This Row],[Coupon Frequency2]]</f>
        <v>#N/A</v>
      </c>
      <c r="AM1263" s="5" t="e">
        <f t="shared" si="78"/>
        <v>#N/A</v>
      </c>
      <c r="AN1263" t="s">
        <v>64</v>
      </c>
      <c r="AO1263" t="s">
        <v>62</v>
      </c>
      <c r="AP1263" t="str">
        <f t="shared" si="79"/>
        <v/>
      </c>
    </row>
    <row r="1264" spans="4:42" x14ac:dyDescent="0.35">
      <c r="D1264" s="21"/>
      <c r="E1264" s="21"/>
      <c r="L1264" s="22"/>
      <c r="S1264">
        <f t="shared" si="76"/>
        <v>0</v>
      </c>
      <c r="T1264" s="5" t="e" cm="1">
        <f t="array" ref="T12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4" t="e">
        <f>Table1[[#This Row],[Term to Maturity (Years)]]*Table1[[#This Row],[Coupon Frequency2]]</f>
        <v>#N/A</v>
      </c>
      <c r="V1264">
        <f>Table1[[#This Row],[Face value]]*Table1[[#This Row],[Current coupon %]]</f>
        <v>0</v>
      </c>
      <c r="W1264" s="36" t="e">
        <f>RATE(Table1[[#This Row],[Total No. of Coupons]],Table1[[#This Row],[Coupon Amount]],-Table1[[#This Row],[Ask Price]],Table1[[#This Row],[Face value]])</f>
        <v>#N/A</v>
      </c>
      <c r="X1264" s="27" t="e">
        <f>Table1[[#This Row],[IRR]]*Table1[[#This Row],[Coupon Frequency2]]</f>
        <v>#N/A</v>
      </c>
      <c r="Y1264" s="19" t="e" cm="1">
        <f t="array" ref="Y12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4" s="33" t="e">
        <f>DURATION(Table1[[#This Row],[Issue date]],Table1[[#This Row],[Maturity date]],Table1[[#This Row],[Current coupon %]],Table1[[#This Row],[Yield (Annualised)]],Table1[[#This Row],[Coupon Frequency2]])</f>
        <v>#N/A</v>
      </c>
      <c r="AA1264" s="33" t="e">
        <f>Table1[[#This Row],[Macaulay Duration in Years]]/(1+Table1[[#This Row],[IRR]])</f>
        <v>#N/A</v>
      </c>
      <c r="AB1264" s="58" t="e">
        <f>VLOOKUP(Table1[[#This Row],[Yield Cluster]],'Cluster Details'!$B$3:$C$16,2,0)</f>
        <v>#N/A</v>
      </c>
      <c r="AC126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4" s="58" t="e">
        <f>IF(Table1[[#This Row],[Ask Price]]&gt;Table1[[#This Row],[Calculated Bond Price]],"Rich","Cheap")</f>
        <v>#N/A</v>
      </c>
      <c r="AE126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4" s="78" t="e">
        <f>(Table1[[#This Row],[P (+ shock)]]+Table1[[#This Row],[P (-shock)]]-2*Table1[[#This Row],[Ask Price]])/(2*Table1[[#This Row],[Ask Price]]*($AF$2^2))</f>
        <v>#N/A</v>
      </c>
      <c r="AI1264" s="6" t="e">
        <f t="shared" si="77"/>
        <v>#DIV/0!</v>
      </c>
      <c r="AK1264" s="47" t="e">
        <f>RATE(Table1[[#This Row],[Total No. of Coupons]],Table1[[#This Row],[Coupon Amount]],-Table1[[#This Row],[Ask Price]],Table1[[#This Row],[Face value]])</f>
        <v>#N/A</v>
      </c>
      <c r="AL1264" s="27" t="e">
        <f>Table1[[#This Row],[IRR]]*Table1[[#This Row],[Coupon Frequency2]]</f>
        <v>#N/A</v>
      </c>
      <c r="AM1264" s="5" t="e">
        <f t="shared" si="78"/>
        <v>#N/A</v>
      </c>
      <c r="AN1264" t="s">
        <v>64</v>
      </c>
      <c r="AO1264" t="s">
        <v>62</v>
      </c>
      <c r="AP1264" t="str">
        <f t="shared" si="79"/>
        <v/>
      </c>
    </row>
    <row r="1265" spans="4:42" x14ac:dyDescent="0.35">
      <c r="D1265" s="21"/>
      <c r="E1265" s="21"/>
      <c r="L1265" s="22"/>
      <c r="S1265">
        <f t="shared" si="76"/>
        <v>0</v>
      </c>
      <c r="T1265" s="5" t="e" cm="1">
        <f t="array" ref="T12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5" t="e">
        <f>Table1[[#This Row],[Term to Maturity (Years)]]*Table1[[#This Row],[Coupon Frequency2]]</f>
        <v>#N/A</v>
      </c>
      <c r="V1265">
        <f>Table1[[#This Row],[Face value]]*Table1[[#This Row],[Current coupon %]]</f>
        <v>0</v>
      </c>
      <c r="W1265" s="36" t="e">
        <f>RATE(Table1[[#This Row],[Total No. of Coupons]],Table1[[#This Row],[Coupon Amount]],-Table1[[#This Row],[Ask Price]],Table1[[#This Row],[Face value]])</f>
        <v>#N/A</v>
      </c>
      <c r="X1265" s="27" t="e">
        <f>Table1[[#This Row],[IRR]]*Table1[[#This Row],[Coupon Frequency2]]</f>
        <v>#N/A</v>
      </c>
      <c r="Y1265" s="19" t="e" cm="1">
        <f t="array" ref="Y12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5" s="33" t="e">
        <f>DURATION(Table1[[#This Row],[Issue date]],Table1[[#This Row],[Maturity date]],Table1[[#This Row],[Current coupon %]],Table1[[#This Row],[Yield (Annualised)]],Table1[[#This Row],[Coupon Frequency2]])</f>
        <v>#N/A</v>
      </c>
      <c r="AA1265" s="33" t="e">
        <f>Table1[[#This Row],[Macaulay Duration in Years]]/(1+Table1[[#This Row],[IRR]])</f>
        <v>#N/A</v>
      </c>
      <c r="AB1265" s="58" t="e">
        <f>VLOOKUP(Table1[[#This Row],[Yield Cluster]],'Cluster Details'!$B$3:$C$16,2,0)</f>
        <v>#N/A</v>
      </c>
      <c r="AC126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5" s="58" t="e">
        <f>IF(Table1[[#This Row],[Ask Price]]&gt;Table1[[#This Row],[Calculated Bond Price]],"Rich","Cheap")</f>
        <v>#N/A</v>
      </c>
      <c r="AE126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5" s="78" t="e">
        <f>(Table1[[#This Row],[P (+ shock)]]+Table1[[#This Row],[P (-shock)]]-2*Table1[[#This Row],[Ask Price]])/(2*Table1[[#This Row],[Ask Price]]*($AF$2^2))</f>
        <v>#N/A</v>
      </c>
      <c r="AH1265">
        <v>4.53304022536601</v>
      </c>
      <c r="AI1265" s="6" t="e">
        <f t="shared" si="77"/>
        <v>#DIV/0!</v>
      </c>
      <c r="AK1265" s="47" t="e">
        <f>RATE(Table1[[#This Row],[Total No. of Coupons]],Table1[[#This Row],[Coupon Amount]],-Table1[[#This Row],[Ask Price]],Table1[[#This Row],[Face value]])</f>
        <v>#N/A</v>
      </c>
      <c r="AL1265" s="27" t="e">
        <f>Table1[[#This Row],[IRR]]*Table1[[#This Row],[Coupon Frequency2]]</f>
        <v>#N/A</v>
      </c>
      <c r="AM1265" s="5" t="e">
        <f t="shared" si="78"/>
        <v>#N/A</v>
      </c>
      <c r="AN1265" t="s">
        <v>64</v>
      </c>
      <c r="AO1265" t="s">
        <v>62</v>
      </c>
      <c r="AP1265" t="str">
        <f t="shared" si="79"/>
        <v/>
      </c>
    </row>
    <row r="1266" spans="4:42" x14ac:dyDescent="0.35">
      <c r="D1266" s="21"/>
      <c r="E1266" s="21"/>
      <c r="L1266" s="22"/>
      <c r="S1266">
        <f t="shared" si="76"/>
        <v>0</v>
      </c>
      <c r="T1266" s="5" t="e" cm="1">
        <f t="array" ref="T12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6" t="e">
        <f>Table1[[#This Row],[Term to Maturity (Years)]]*Table1[[#This Row],[Coupon Frequency2]]</f>
        <v>#N/A</v>
      </c>
      <c r="V1266">
        <f>Table1[[#This Row],[Face value]]*Table1[[#This Row],[Current coupon %]]</f>
        <v>0</v>
      </c>
      <c r="W1266" s="36" t="e">
        <f>RATE(Table1[[#This Row],[Total No. of Coupons]],Table1[[#This Row],[Coupon Amount]],-Table1[[#This Row],[Ask Price]],Table1[[#This Row],[Face value]])</f>
        <v>#N/A</v>
      </c>
      <c r="X1266" s="27" t="e">
        <f>Table1[[#This Row],[IRR]]*Table1[[#This Row],[Coupon Frequency2]]</f>
        <v>#N/A</v>
      </c>
      <c r="Y1266" s="19" t="e" cm="1">
        <f t="array" ref="Y12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6" s="33" t="e">
        <f>DURATION(Table1[[#This Row],[Issue date]],Table1[[#This Row],[Maturity date]],Table1[[#This Row],[Current coupon %]],Table1[[#This Row],[Yield (Annualised)]],Table1[[#This Row],[Coupon Frequency2]])</f>
        <v>#N/A</v>
      </c>
      <c r="AA1266" s="33" t="e">
        <f>Table1[[#This Row],[Macaulay Duration in Years]]/(1+Table1[[#This Row],[IRR]])</f>
        <v>#N/A</v>
      </c>
      <c r="AB1266" s="58" t="e">
        <f>VLOOKUP(Table1[[#This Row],[Yield Cluster]],'Cluster Details'!$B$3:$C$16,2,0)</f>
        <v>#N/A</v>
      </c>
      <c r="AC126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6" s="58" t="e">
        <f>IF(Table1[[#This Row],[Ask Price]]&gt;Table1[[#This Row],[Calculated Bond Price]],"Rich","Cheap")</f>
        <v>#N/A</v>
      </c>
      <c r="AE126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6" s="78" t="e">
        <f>(Table1[[#This Row],[P (+ shock)]]+Table1[[#This Row],[P (-shock)]]-2*Table1[[#This Row],[Ask Price]])/(2*Table1[[#This Row],[Ask Price]]*($AF$2^2))</f>
        <v>#N/A</v>
      </c>
      <c r="AH1266">
        <v>9.4092981016250903</v>
      </c>
      <c r="AI1266" s="6" t="e">
        <f t="shared" si="77"/>
        <v>#DIV/0!</v>
      </c>
      <c r="AK1266" s="47" t="e">
        <f>RATE(Table1[[#This Row],[Total No. of Coupons]],Table1[[#This Row],[Coupon Amount]],-Table1[[#This Row],[Ask Price]],Table1[[#This Row],[Face value]])</f>
        <v>#N/A</v>
      </c>
      <c r="AL1266" s="27" t="e">
        <f>Table1[[#This Row],[IRR]]*Table1[[#This Row],[Coupon Frequency2]]</f>
        <v>#N/A</v>
      </c>
      <c r="AM1266" s="5" t="e">
        <f t="shared" si="78"/>
        <v>#N/A</v>
      </c>
      <c r="AN1266" t="s">
        <v>64</v>
      </c>
      <c r="AO1266" t="s">
        <v>62</v>
      </c>
      <c r="AP1266" t="str">
        <f t="shared" si="79"/>
        <v/>
      </c>
    </row>
    <row r="1267" spans="4:42" x14ac:dyDescent="0.35">
      <c r="D1267" s="21"/>
      <c r="E1267" s="21"/>
      <c r="L1267" s="22"/>
      <c r="S1267">
        <f t="shared" si="76"/>
        <v>0</v>
      </c>
      <c r="T1267" s="5" t="e" cm="1">
        <f t="array" ref="T12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7" t="e">
        <f>Table1[[#This Row],[Term to Maturity (Years)]]*Table1[[#This Row],[Coupon Frequency2]]</f>
        <v>#N/A</v>
      </c>
      <c r="V1267">
        <f>Table1[[#This Row],[Face value]]*Table1[[#This Row],[Current coupon %]]</f>
        <v>0</v>
      </c>
      <c r="W1267" s="36" t="e">
        <f>RATE(Table1[[#This Row],[Total No. of Coupons]],Table1[[#This Row],[Coupon Amount]],-Table1[[#This Row],[Ask Price]],Table1[[#This Row],[Face value]])</f>
        <v>#N/A</v>
      </c>
      <c r="X1267" s="27" t="e">
        <f>Table1[[#This Row],[IRR]]*Table1[[#This Row],[Coupon Frequency2]]</f>
        <v>#N/A</v>
      </c>
      <c r="Y1267" s="19" t="e" cm="1">
        <f t="array" ref="Y12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7" s="33" t="e">
        <f>DURATION(Table1[[#This Row],[Issue date]],Table1[[#This Row],[Maturity date]],Table1[[#This Row],[Current coupon %]],Table1[[#This Row],[Yield (Annualised)]],Table1[[#This Row],[Coupon Frequency2]])</f>
        <v>#N/A</v>
      </c>
      <c r="AA1267" s="33" t="e">
        <f>Table1[[#This Row],[Macaulay Duration in Years]]/(1+Table1[[#This Row],[IRR]])</f>
        <v>#N/A</v>
      </c>
      <c r="AB1267" s="58" t="e">
        <f>VLOOKUP(Table1[[#This Row],[Yield Cluster]],'Cluster Details'!$B$3:$C$16,2,0)</f>
        <v>#N/A</v>
      </c>
      <c r="AC126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7" s="58" t="e">
        <f>IF(Table1[[#This Row],[Ask Price]]&gt;Table1[[#This Row],[Calculated Bond Price]],"Rich","Cheap")</f>
        <v>#N/A</v>
      </c>
      <c r="AE126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7" s="78" t="e">
        <f>(Table1[[#This Row],[P (+ shock)]]+Table1[[#This Row],[P (-shock)]]-2*Table1[[#This Row],[Ask Price]])/(2*Table1[[#This Row],[Ask Price]]*($AF$2^2))</f>
        <v>#N/A</v>
      </c>
      <c r="AH1267">
        <v>9.65</v>
      </c>
      <c r="AI1267" s="6" t="e">
        <f t="shared" si="77"/>
        <v>#DIV/0!</v>
      </c>
      <c r="AK1267" s="47" t="e">
        <f>RATE(Table1[[#This Row],[Total No. of Coupons]],Table1[[#This Row],[Coupon Amount]],-Table1[[#This Row],[Ask Price]],Table1[[#This Row],[Face value]])</f>
        <v>#N/A</v>
      </c>
      <c r="AL1267" s="27" t="e">
        <f>Table1[[#This Row],[IRR]]*Table1[[#This Row],[Coupon Frequency2]]</f>
        <v>#N/A</v>
      </c>
      <c r="AM1267" s="5" t="e">
        <f t="shared" si="78"/>
        <v>#N/A</v>
      </c>
      <c r="AN1267" t="s">
        <v>64</v>
      </c>
      <c r="AO1267" t="s">
        <v>62</v>
      </c>
      <c r="AP1267" t="str">
        <f t="shared" si="79"/>
        <v/>
      </c>
    </row>
    <row r="1268" spans="4:42" x14ac:dyDescent="0.35">
      <c r="D1268" s="21"/>
      <c r="E1268" s="21"/>
      <c r="L1268" s="22"/>
      <c r="S1268">
        <f t="shared" si="76"/>
        <v>0</v>
      </c>
      <c r="T1268" s="5" t="e" cm="1">
        <f t="array" ref="T12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8" t="e">
        <f>Table1[[#This Row],[Term to Maturity (Years)]]*Table1[[#This Row],[Coupon Frequency2]]</f>
        <v>#N/A</v>
      </c>
      <c r="V1268">
        <f>Table1[[#This Row],[Face value]]*Table1[[#This Row],[Current coupon %]]</f>
        <v>0</v>
      </c>
      <c r="W1268" s="36" t="e">
        <f>RATE(Table1[[#This Row],[Total No. of Coupons]],Table1[[#This Row],[Coupon Amount]],-Table1[[#This Row],[Ask Price]],Table1[[#This Row],[Face value]])</f>
        <v>#N/A</v>
      </c>
      <c r="X1268" s="27" t="e">
        <f>Table1[[#This Row],[IRR]]*Table1[[#This Row],[Coupon Frequency2]]</f>
        <v>#N/A</v>
      </c>
      <c r="Y1268" s="19" t="e" cm="1">
        <f t="array" ref="Y12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8" s="33" t="e">
        <f>DURATION(Table1[[#This Row],[Issue date]],Table1[[#This Row],[Maturity date]],Table1[[#This Row],[Current coupon %]],Table1[[#This Row],[Yield (Annualised)]],Table1[[#This Row],[Coupon Frequency2]])</f>
        <v>#N/A</v>
      </c>
      <c r="AA1268" s="33" t="e">
        <f>Table1[[#This Row],[Macaulay Duration in Years]]/(1+Table1[[#This Row],[IRR]])</f>
        <v>#N/A</v>
      </c>
      <c r="AB1268" s="58" t="e">
        <f>VLOOKUP(Table1[[#This Row],[Yield Cluster]],'Cluster Details'!$B$3:$C$16,2,0)</f>
        <v>#N/A</v>
      </c>
      <c r="AC126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8" s="58" t="e">
        <f>IF(Table1[[#This Row],[Ask Price]]&gt;Table1[[#This Row],[Calculated Bond Price]],"Rich","Cheap")</f>
        <v>#N/A</v>
      </c>
      <c r="AE126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8" s="78" t="e">
        <f>(Table1[[#This Row],[P (+ shock)]]+Table1[[#This Row],[P (-shock)]]-2*Table1[[#This Row],[Ask Price]])/(2*Table1[[#This Row],[Ask Price]]*($AF$2^2))</f>
        <v>#N/A</v>
      </c>
      <c r="AH1268">
        <v>10.069094625451701</v>
      </c>
      <c r="AI1268" s="6" t="e">
        <f t="shared" si="77"/>
        <v>#DIV/0!</v>
      </c>
      <c r="AK1268" s="47" t="e">
        <f>RATE(Table1[[#This Row],[Total No. of Coupons]],Table1[[#This Row],[Coupon Amount]],-Table1[[#This Row],[Ask Price]],Table1[[#This Row],[Face value]])</f>
        <v>#N/A</v>
      </c>
      <c r="AL1268" s="27" t="e">
        <f>Table1[[#This Row],[IRR]]*Table1[[#This Row],[Coupon Frequency2]]</f>
        <v>#N/A</v>
      </c>
      <c r="AM1268" s="5" t="e">
        <f t="shared" si="78"/>
        <v>#N/A</v>
      </c>
      <c r="AN1268" t="s">
        <v>64</v>
      </c>
      <c r="AO1268" t="s">
        <v>62</v>
      </c>
      <c r="AP1268" t="str">
        <f t="shared" si="79"/>
        <v/>
      </c>
    </row>
    <row r="1269" spans="4:42" x14ac:dyDescent="0.35">
      <c r="D1269" s="21"/>
      <c r="E1269" s="21"/>
      <c r="L1269" s="22"/>
      <c r="S1269">
        <f t="shared" si="76"/>
        <v>0</v>
      </c>
      <c r="T1269" s="5" t="e" cm="1">
        <f t="array" ref="T12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69" t="e">
        <f>Table1[[#This Row],[Term to Maturity (Years)]]*Table1[[#This Row],[Coupon Frequency2]]</f>
        <v>#N/A</v>
      </c>
      <c r="V1269">
        <f>Table1[[#This Row],[Face value]]*Table1[[#This Row],[Current coupon %]]</f>
        <v>0</v>
      </c>
      <c r="W1269" s="36" t="e">
        <f>RATE(Table1[[#This Row],[Total No. of Coupons]],Table1[[#This Row],[Coupon Amount]],-Table1[[#This Row],[Ask Price]],Table1[[#This Row],[Face value]])</f>
        <v>#N/A</v>
      </c>
      <c r="X1269" s="27" t="e">
        <f>Table1[[#This Row],[IRR]]*Table1[[#This Row],[Coupon Frequency2]]</f>
        <v>#N/A</v>
      </c>
      <c r="Y1269" s="19" t="e" cm="1">
        <f t="array" ref="Y12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69" s="33" t="e">
        <f>DURATION(Table1[[#This Row],[Issue date]],Table1[[#This Row],[Maturity date]],Table1[[#This Row],[Current coupon %]],Table1[[#This Row],[Yield (Annualised)]],Table1[[#This Row],[Coupon Frequency2]])</f>
        <v>#N/A</v>
      </c>
      <c r="AA1269" s="33" t="e">
        <f>Table1[[#This Row],[Macaulay Duration in Years]]/(1+Table1[[#This Row],[IRR]])</f>
        <v>#N/A</v>
      </c>
      <c r="AB1269" s="58" t="e">
        <f>VLOOKUP(Table1[[#This Row],[Yield Cluster]],'Cluster Details'!$B$3:$C$16,2,0)</f>
        <v>#N/A</v>
      </c>
      <c r="AC126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69" s="58" t="e">
        <f>IF(Table1[[#This Row],[Ask Price]]&gt;Table1[[#This Row],[Calculated Bond Price]],"Rich","Cheap")</f>
        <v>#N/A</v>
      </c>
      <c r="AE126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6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69" s="78" t="e">
        <f>(Table1[[#This Row],[P (+ shock)]]+Table1[[#This Row],[P (-shock)]]-2*Table1[[#This Row],[Ask Price]])/(2*Table1[[#This Row],[Ask Price]]*($AF$2^2))</f>
        <v>#N/A</v>
      </c>
      <c r="AH1269">
        <v>4.6545403494156998</v>
      </c>
      <c r="AI1269" s="6" t="e">
        <f t="shared" si="77"/>
        <v>#DIV/0!</v>
      </c>
      <c r="AK1269" s="47" t="e">
        <f>RATE(Table1[[#This Row],[Total No. of Coupons]],Table1[[#This Row],[Coupon Amount]],-Table1[[#This Row],[Ask Price]],Table1[[#This Row],[Face value]])</f>
        <v>#N/A</v>
      </c>
      <c r="AL1269" s="27" t="e">
        <f>Table1[[#This Row],[IRR]]*Table1[[#This Row],[Coupon Frequency2]]</f>
        <v>#N/A</v>
      </c>
      <c r="AM1269" s="5" t="e">
        <f t="shared" si="78"/>
        <v>#N/A</v>
      </c>
      <c r="AN1269" t="s">
        <v>64</v>
      </c>
      <c r="AO1269" t="s">
        <v>62</v>
      </c>
      <c r="AP1269" t="str">
        <f t="shared" si="79"/>
        <v/>
      </c>
    </row>
    <row r="1270" spans="4:42" x14ac:dyDescent="0.35">
      <c r="D1270" s="21"/>
      <c r="E1270" s="21"/>
      <c r="L1270" s="22"/>
      <c r="S1270">
        <f t="shared" si="76"/>
        <v>0</v>
      </c>
      <c r="T1270" s="5" t="e" cm="1">
        <f t="array" ref="T12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0" t="e">
        <f>Table1[[#This Row],[Term to Maturity (Years)]]*Table1[[#This Row],[Coupon Frequency2]]</f>
        <v>#N/A</v>
      </c>
      <c r="V1270">
        <f>Table1[[#This Row],[Face value]]*Table1[[#This Row],[Current coupon %]]</f>
        <v>0</v>
      </c>
      <c r="W1270" s="36" t="e">
        <f>RATE(Table1[[#This Row],[Total No. of Coupons]],Table1[[#This Row],[Coupon Amount]],-Table1[[#This Row],[Ask Price]],Table1[[#This Row],[Face value]])</f>
        <v>#N/A</v>
      </c>
      <c r="X1270" s="27" t="e">
        <f>Table1[[#This Row],[IRR]]*Table1[[#This Row],[Coupon Frequency2]]</f>
        <v>#N/A</v>
      </c>
      <c r="Y1270" s="19" t="e" cm="1">
        <f t="array" ref="Y12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0" s="33" t="e">
        <f>DURATION(Table1[[#This Row],[Issue date]],Table1[[#This Row],[Maturity date]],Table1[[#This Row],[Current coupon %]],Table1[[#This Row],[Yield (Annualised)]],Table1[[#This Row],[Coupon Frequency2]])</f>
        <v>#N/A</v>
      </c>
      <c r="AA1270" s="33" t="e">
        <f>Table1[[#This Row],[Macaulay Duration in Years]]/(1+Table1[[#This Row],[IRR]])</f>
        <v>#N/A</v>
      </c>
      <c r="AB1270" s="58" t="e">
        <f>VLOOKUP(Table1[[#This Row],[Yield Cluster]],'Cluster Details'!$B$3:$C$16,2,0)</f>
        <v>#N/A</v>
      </c>
      <c r="AC127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0" s="58" t="e">
        <f>IF(Table1[[#This Row],[Ask Price]]&gt;Table1[[#This Row],[Calculated Bond Price]],"Rich","Cheap")</f>
        <v>#N/A</v>
      </c>
      <c r="AE127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0" s="78" t="e">
        <f>(Table1[[#This Row],[P (+ shock)]]+Table1[[#This Row],[P (-shock)]]-2*Table1[[#This Row],[Ask Price]])/(2*Table1[[#This Row],[Ask Price]]*($AF$2^2))</f>
        <v>#N/A</v>
      </c>
      <c r="AH1270">
        <v>5.61384829708126</v>
      </c>
      <c r="AI1270" s="6" t="e">
        <f t="shared" si="77"/>
        <v>#DIV/0!</v>
      </c>
      <c r="AK1270" s="47" t="e">
        <f>RATE(Table1[[#This Row],[Total No. of Coupons]],Table1[[#This Row],[Coupon Amount]],-Table1[[#This Row],[Ask Price]],Table1[[#This Row],[Face value]])</f>
        <v>#N/A</v>
      </c>
      <c r="AL1270" s="27" t="e">
        <f>Table1[[#This Row],[IRR]]*Table1[[#This Row],[Coupon Frequency2]]</f>
        <v>#N/A</v>
      </c>
      <c r="AM1270" s="5" t="e">
        <f t="shared" si="78"/>
        <v>#N/A</v>
      </c>
      <c r="AN1270" t="s">
        <v>64</v>
      </c>
      <c r="AO1270" t="s">
        <v>62</v>
      </c>
      <c r="AP1270" t="str">
        <f t="shared" si="79"/>
        <v/>
      </c>
    </row>
    <row r="1271" spans="4:42" x14ac:dyDescent="0.35">
      <c r="D1271" s="21"/>
      <c r="E1271" s="21"/>
      <c r="L1271" s="22"/>
      <c r="S1271">
        <f t="shared" si="76"/>
        <v>0</v>
      </c>
      <c r="T1271" s="5" t="e" cm="1">
        <f t="array" ref="T12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1" t="e">
        <f>Table1[[#This Row],[Term to Maturity (Years)]]*Table1[[#This Row],[Coupon Frequency2]]</f>
        <v>#N/A</v>
      </c>
      <c r="V1271">
        <f>Table1[[#This Row],[Face value]]*Table1[[#This Row],[Current coupon %]]</f>
        <v>0</v>
      </c>
      <c r="W1271" s="36" t="e">
        <f>RATE(Table1[[#This Row],[Total No. of Coupons]],Table1[[#This Row],[Coupon Amount]],-Table1[[#This Row],[Ask Price]],Table1[[#This Row],[Face value]])</f>
        <v>#N/A</v>
      </c>
      <c r="X1271" s="27" t="e">
        <f>Table1[[#This Row],[IRR]]*Table1[[#This Row],[Coupon Frequency2]]</f>
        <v>#N/A</v>
      </c>
      <c r="Y1271" s="19" t="e" cm="1">
        <f t="array" ref="Y12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1" s="33" t="e">
        <f>DURATION(Table1[[#This Row],[Issue date]],Table1[[#This Row],[Maturity date]],Table1[[#This Row],[Current coupon %]],Table1[[#This Row],[Yield (Annualised)]],Table1[[#This Row],[Coupon Frequency2]])</f>
        <v>#N/A</v>
      </c>
      <c r="AA1271" s="33" t="e">
        <f>Table1[[#This Row],[Macaulay Duration in Years]]/(1+Table1[[#This Row],[IRR]])</f>
        <v>#N/A</v>
      </c>
      <c r="AB1271" s="58" t="e">
        <f>VLOOKUP(Table1[[#This Row],[Yield Cluster]],'Cluster Details'!$B$3:$C$16,2,0)</f>
        <v>#N/A</v>
      </c>
      <c r="AC127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1" s="58" t="e">
        <f>IF(Table1[[#This Row],[Ask Price]]&gt;Table1[[#This Row],[Calculated Bond Price]],"Rich","Cheap")</f>
        <v>#N/A</v>
      </c>
      <c r="AE127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1" s="78" t="e">
        <f>(Table1[[#This Row],[P (+ shock)]]+Table1[[#This Row],[P (-shock)]]-2*Table1[[#This Row],[Ask Price]])/(2*Table1[[#This Row],[Ask Price]]*($AF$2^2))</f>
        <v>#N/A</v>
      </c>
      <c r="AH1271">
        <v>8.3921800887889901</v>
      </c>
      <c r="AI1271" s="6" t="e">
        <f t="shared" si="77"/>
        <v>#DIV/0!</v>
      </c>
      <c r="AK1271" s="47" t="e">
        <f>RATE(Table1[[#This Row],[Total No. of Coupons]],Table1[[#This Row],[Coupon Amount]],-Table1[[#This Row],[Ask Price]],Table1[[#This Row],[Face value]])</f>
        <v>#N/A</v>
      </c>
      <c r="AL1271" s="27" t="e">
        <f>Table1[[#This Row],[IRR]]*Table1[[#This Row],[Coupon Frequency2]]</f>
        <v>#N/A</v>
      </c>
      <c r="AM1271" s="5" t="e">
        <f t="shared" si="78"/>
        <v>#N/A</v>
      </c>
      <c r="AN1271" t="s">
        <v>64</v>
      </c>
      <c r="AO1271" t="s">
        <v>62</v>
      </c>
      <c r="AP1271" t="str">
        <f t="shared" si="79"/>
        <v/>
      </c>
    </row>
    <row r="1272" spans="4:42" x14ac:dyDescent="0.35">
      <c r="D1272" s="21"/>
      <c r="E1272" s="21"/>
      <c r="L1272" s="22"/>
      <c r="S1272">
        <f t="shared" si="76"/>
        <v>0</v>
      </c>
      <c r="T1272" s="5" t="e" cm="1">
        <f t="array" ref="T12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2" t="e">
        <f>Table1[[#This Row],[Term to Maturity (Years)]]*Table1[[#This Row],[Coupon Frequency2]]</f>
        <v>#N/A</v>
      </c>
      <c r="V1272">
        <f>Table1[[#This Row],[Face value]]*Table1[[#This Row],[Current coupon %]]</f>
        <v>0</v>
      </c>
      <c r="W1272" s="36" t="e">
        <f>RATE(Table1[[#This Row],[Total No. of Coupons]],Table1[[#This Row],[Coupon Amount]],-Table1[[#This Row],[Ask Price]],Table1[[#This Row],[Face value]])</f>
        <v>#N/A</v>
      </c>
      <c r="X1272" s="27" t="e">
        <f>Table1[[#This Row],[IRR]]*Table1[[#This Row],[Coupon Frequency2]]</f>
        <v>#N/A</v>
      </c>
      <c r="Y1272" s="19" t="e" cm="1">
        <f t="array" ref="Y12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2" s="33" t="e">
        <f>DURATION(Table1[[#This Row],[Issue date]],Table1[[#This Row],[Maturity date]],Table1[[#This Row],[Current coupon %]],Table1[[#This Row],[Yield (Annualised)]],Table1[[#This Row],[Coupon Frequency2]])</f>
        <v>#N/A</v>
      </c>
      <c r="AA1272" s="33" t="e">
        <f>Table1[[#This Row],[Macaulay Duration in Years]]/(1+Table1[[#This Row],[IRR]])</f>
        <v>#N/A</v>
      </c>
      <c r="AB1272" s="58" t="e">
        <f>VLOOKUP(Table1[[#This Row],[Yield Cluster]],'Cluster Details'!$B$3:$C$16,2,0)</f>
        <v>#N/A</v>
      </c>
      <c r="AC127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2" s="58" t="e">
        <f>IF(Table1[[#This Row],[Ask Price]]&gt;Table1[[#This Row],[Calculated Bond Price]],"Rich","Cheap")</f>
        <v>#N/A</v>
      </c>
      <c r="AE127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2" s="78" t="e">
        <f>(Table1[[#This Row],[P (+ shock)]]+Table1[[#This Row],[P (-shock)]]-2*Table1[[#This Row],[Ask Price]])/(2*Table1[[#This Row],[Ask Price]]*($AF$2^2))</f>
        <v>#N/A</v>
      </c>
      <c r="AH1272">
        <v>17.116013796564001</v>
      </c>
      <c r="AI1272" s="6" t="e">
        <f t="shared" si="77"/>
        <v>#DIV/0!</v>
      </c>
      <c r="AK1272" s="47" t="e">
        <f>RATE(Table1[[#This Row],[Total No. of Coupons]],Table1[[#This Row],[Coupon Amount]],-Table1[[#This Row],[Ask Price]],Table1[[#This Row],[Face value]])</f>
        <v>#N/A</v>
      </c>
      <c r="AL1272" s="27" t="e">
        <f>Table1[[#This Row],[IRR]]*Table1[[#This Row],[Coupon Frequency2]]</f>
        <v>#N/A</v>
      </c>
      <c r="AM1272" s="5" t="e">
        <f t="shared" si="78"/>
        <v>#N/A</v>
      </c>
      <c r="AN1272" t="s">
        <v>64</v>
      </c>
      <c r="AO1272" t="s">
        <v>62</v>
      </c>
      <c r="AP1272" t="str">
        <f t="shared" si="79"/>
        <v/>
      </c>
    </row>
    <row r="1273" spans="4:42" x14ac:dyDescent="0.35">
      <c r="D1273" s="21"/>
      <c r="E1273" s="21"/>
      <c r="L1273" s="22"/>
      <c r="S1273">
        <f t="shared" si="76"/>
        <v>0</v>
      </c>
      <c r="T1273" s="5" t="e" cm="1">
        <f t="array" ref="T12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3" t="e">
        <f>Table1[[#This Row],[Term to Maturity (Years)]]*Table1[[#This Row],[Coupon Frequency2]]</f>
        <v>#N/A</v>
      </c>
      <c r="V1273">
        <f>Table1[[#This Row],[Face value]]*Table1[[#This Row],[Current coupon %]]</f>
        <v>0</v>
      </c>
      <c r="W1273" s="36" t="e">
        <f>RATE(Table1[[#This Row],[Total No. of Coupons]],Table1[[#This Row],[Coupon Amount]],-Table1[[#This Row],[Ask Price]],Table1[[#This Row],[Face value]])</f>
        <v>#N/A</v>
      </c>
      <c r="X1273" s="27" t="e">
        <f>Table1[[#This Row],[IRR]]*Table1[[#This Row],[Coupon Frequency2]]</f>
        <v>#N/A</v>
      </c>
      <c r="Y1273" s="19" t="e" cm="1">
        <f t="array" ref="Y12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3" s="33" t="e">
        <f>DURATION(Table1[[#This Row],[Issue date]],Table1[[#This Row],[Maturity date]],Table1[[#This Row],[Current coupon %]],Table1[[#This Row],[Yield (Annualised)]],Table1[[#This Row],[Coupon Frequency2]])</f>
        <v>#N/A</v>
      </c>
      <c r="AA1273" s="33" t="e">
        <f>Table1[[#This Row],[Macaulay Duration in Years]]/(1+Table1[[#This Row],[IRR]])</f>
        <v>#N/A</v>
      </c>
      <c r="AB1273" s="58" t="e">
        <f>VLOOKUP(Table1[[#This Row],[Yield Cluster]],'Cluster Details'!$B$3:$C$16,2,0)</f>
        <v>#N/A</v>
      </c>
      <c r="AC12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3" s="58" t="e">
        <f>IF(Table1[[#This Row],[Ask Price]]&gt;Table1[[#This Row],[Calculated Bond Price]],"Rich","Cheap")</f>
        <v>#N/A</v>
      </c>
      <c r="AE12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3" s="78" t="e">
        <f>(Table1[[#This Row],[P (+ shock)]]+Table1[[#This Row],[P (-shock)]]-2*Table1[[#This Row],[Ask Price]])/(2*Table1[[#This Row],[Ask Price]]*($AF$2^2))</f>
        <v>#N/A</v>
      </c>
      <c r="AI1273" s="6" t="e">
        <f t="shared" si="77"/>
        <v>#DIV/0!</v>
      </c>
      <c r="AK1273" s="47" t="e">
        <f>RATE(Table1[[#This Row],[Total No. of Coupons]],Table1[[#This Row],[Coupon Amount]],-Table1[[#This Row],[Ask Price]],Table1[[#This Row],[Face value]])</f>
        <v>#N/A</v>
      </c>
      <c r="AL1273" s="27" t="e">
        <f>Table1[[#This Row],[IRR]]*Table1[[#This Row],[Coupon Frequency2]]</f>
        <v>#N/A</v>
      </c>
      <c r="AM1273" s="5" t="e">
        <f t="shared" si="78"/>
        <v>#N/A</v>
      </c>
      <c r="AN1273" t="s">
        <v>64</v>
      </c>
      <c r="AO1273" t="s">
        <v>62</v>
      </c>
      <c r="AP1273" t="str">
        <f t="shared" si="79"/>
        <v/>
      </c>
    </row>
    <row r="1274" spans="4:42" x14ac:dyDescent="0.35">
      <c r="D1274" s="21"/>
      <c r="E1274" s="21"/>
      <c r="L1274" s="22"/>
      <c r="S1274">
        <f t="shared" si="76"/>
        <v>0</v>
      </c>
      <c r="T1274" s="5" t="e" cm="1">
        <f t="array" ref="T12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4" t="e">
        <f>Table1[[#This Row],[Term to Maturity (Years)]]*Table1[[#This Row],[Coupon Frequency2]]</f>
        <v>#N/A</v>
      </c>
      <c r="V1274">
        <f>Table1[[#This Row],[Face value]]*Table1[[#This Row],[Current coupon %]]</f>
        <v>0</v>
      </c>
      <c r="W1274" s="36" t="e">
        <f>RATE(Table1[[#This Row],[Total No. of Coupons]],Table1[[#This Row],[Coupon Amount]],-Table1[[#This Row],[Ask Price]],Table1[[#This Row],[Face value]])</f>
        <v>#N/A</v>
      </c>
      <c r="X1274" s="27" t="e">
        <f>Table1[[#This Row],[IRR]]*Table1[[#This Row],[Coupon Frequency2]]</f>
        <v>#N/A</v>
      </c>
      <c r="Y1274" s="19" t="e" cm="1">
        <f t="array" ref="Y12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4" s="33" t="e">
        <f>DURATION(Table1[[#This Row],[Issue date]],Table1[[#This Row],[Maturity date]],Table1[[#This Row],[Current coupon %]],Table1[[#This Row],[Yield (Annualised)]],Table1[[#This Row],[Coupon Frequency2]])</f>
        <v>#N/A</v>
      </c>
      <c r="AA1274" s="33" t="e">
        <f>Table1[[#This Row],[Macaulay Duration in Years]]/(1+Table1[[#This Row],[IRR]])</f>
        <v>#N/A</v>
      </c>
      <c r="AB1274" s="58" t="e">
        <f>VLOOKUP(Table1[[#This Row],[Yield Cluster]],'Cluster Details'!$B$3:$C$16,2,0)</f>
        <v>#N/A</v>
      </c>
      <c r="AC12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4" s="58" t="e">
        <f>IF(Table1[[#This Row],[Ask Price]]&gt;Table1[[#This Row],[Calculated Bond Price]],"Rich","Cheap")</f>
        <v>#N/A</v>
      </c>
      <c r="AE12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4" s="78" t="e">
        <f>(Table1[[#This Row],[P (+ shock)]]+Table1[[#This Row],[P (-shock)]]-2*Table1[[#This Row],[Ask Price]])/(2*Table1[[#This Row],[Ask Price]]*($AF$2^2))</f>
        <v>#N/A</v>
      </c>
      <c r="AI1274" s="6" t="e">
        <f t="shared" si="77"/>
        <v>#DIV/0!</v>
      </c>
      <c r="AK1274" s="47" t="e">
        <f>RATE(Table1[[#This Row],[Total No. of Coupons]],Table1[[#This Row],[Coupon Amount]],-Table1[[#This Row],[Ask Price]],Table1[[#This Row],[Face value]])</f>
        <v>#N/A</v>
      </c>
      <c r="AL1274" s="27" t="e">
        <f>Table1[[#This Row],[IRR]]*Table1[[#This Row],[Coupon Frequency2]]</f>
        <v>#N/A</v>
      </c>
      <c r="AM1274" s="5" t="e">
        <f t="shared" si="78"/>
        <v>#N/A</v>
      </c>
      <c r="AN1274" t="s">
        <v>64</v>
      </c>
      <c r="AO1274" t="s">
        <v>62</v>
      </c>
      <c r="AP1274" t="str">
        <f t="shared" si="79"/>
        <v/>
      </c>
    </row>
    <row r="1275" spans="4:42" x14ac:dyDescent="0.35">
      <c r="D1275" s="21"/>
      <c r="E1275" s="21"/>
      <c r="L1275" s="22"/>
      <c r="S1275">
        <f t="shared" si="76"/>
        <v>0</v>
      </c>
      <c r="T1275" s="5" t="e" cm="1">
        <f t="array" ref="T12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5" t="e">
        <f>Table1[[#This Row],[Term to Maturity (Years)]]*Table1[[#This Row],[Coupon Frequency2]]</f>
        <v>#N/A</v>
      </c>
      <c r="V1275">
        <f>Table1[[#This Row],[Face value]]*Table1[[#This Row],[Current coupon %]]</f>
        <v>0</v>
      </c>
      <c r="W1275" s="36" t="e">
        <f>RATE(Table1[[#This Row],[Total No. of Coupons]],Table1[[#This Row],[Coupon Amount]],-Table1[[#This Row],[Ask Price]],Table1[[#This Row],[Face value]])</f>
        <v>#N/A</v>
      </c>
      <c r="X1275" s="27" t="e">
        <f>Table1[[#This Row],[IRR]]*Table1[[#This Row],[Coupon Frequency2]]</f>
        <v>#N/A</v>
      </c>
      <c r="Y1275" s="19" t="e" cm="1">
        <f t="array" ref="Y12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5" s="33" t="e">
        <f>DURATION(Table1[[#This Row],[Issue date]],Table1[[#This Row],[Maturity date]],Table1[[#This Row],[Current coupon %]],Table1[[#This Row],[Yield (Annualised)]],Table1[[#This Row],[Coupon Frequency2]])</f>
        <v>#N/A</v>
      </c>
      <c r="AA1275" s="33" t="e">
        <f>Table1[[#This Row],[Macaulay Duration in Years]]/(1+Table1[[#This Row],[IRR]])</f>
        <v>#N/A</v>
      </c>
      <c r="AB1275" s="58" t="e">
        <f>VLOOKUP(Table1[[#This Row],[Yield Cluster]],'Cluster Details'!$B$3:$C$16,2,0)</f>
        <v>#N/A</v>
      </c>
      <c r="AC12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5" s="58" t="e">
        <f>IF(Table1[[#This Row],[Ask Price]]&gt;Table1[[#This Row],[Calculated Bond Price]],"Rich","Cheap")</f>
        <v>#N/A</v>
      </c>
      <c r="AE12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5" s="78" t="e">
        <f>(Table1[[#This Row],[P (+ shock)]]+Table1[[#This Row],[P (-shock)]]-2*Table1[[#This Row],[Ask Price]])/(2*Table1[[#This Row],[Ask Price]]*($AF$2^2))</f>
        <v>#N/A</v>
      </c>
      <c r="AH1275">
        <v>4.3402524755547196</v>
      </c>
      <c r="AI1275" s="6" t="e">
        <f t="shared" si="77"/>
        <v>#DIV/0!</v>
      </c>
      <c r="AK1275" s="47" t="e">
        <f>RATE(Table1[[#This Row],[Total No. of Coupons]],Table1[[#This Row],[Coupon Amount]],-Table1[[#This Row],[Ask Price]],Table1[[#This Row],[Face value]])</f>
        <v>#N/A</v>
      </c>
      <c r="AL1275" s="27" t="e">
        <f>Table1[[#This Row],[IRR]]*Table1[[#This Row],[Coupon Frequency2]]</f>
        <v>#N/A</v>
      </c>
      <c r="AM1275" s="5" t="e">
        <f t="shared" si="78"/>
        <v>#N/A</v>
      </c>
      <c r="AN1275" t="s">
        <v>64</v>
      </c>
      <c r="AO1275" t="s">
        <v>62</v>
      </c>
      <c r="AP1275" t="str">
        <f t="shared" si="79"/>
        <v/>
      </c>
    </row>
    <row r="1276" spans="4:42" x14ac:dyDescent="0.35">
      <c r="D1276" s="21"/>
      <c r="E1276" s="21"/>
      <c r="L1276" s="22"/>
      <c r="S1276">
        <f t="shared" si="76"/>
        <v>0</v>
      </c>
      <c r="T1276" s="5" t="e" cm="1">
        <f t="array" ref="T12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6" t="e">
        <f>Table1[[#This Row],[Term to Maturity (Years)]]*Table1[[#This Row],[Coupon Frequency2]]</f>
        <v>#N/A</v>
      </c>
      <c r="V1276">
        <f>Table1[[#This Row],[Face value]]*Table1[[#This Row],[Current coupon %]]</f>
        <v>0</v>
      </c>
      <c r="W1276" s="36" t="e">
        <f>RATE(Table1[[#This Row],[Total No. of Coupons]],Table1[[#This Row],[Coupon Amount]],-Table1[[#This Row],[Ask Price]],Table1[[#This Row],[Face value]])</f>
        <v>#N/A</v>
      </c>
      <c r="X1276" s="27" t="e">
        <f>Table1[[#This Row],[IRR]]*Table1[[#This Row],[Coupon Frequency2]]</f>
        <v>#N/A</v>
      </c>
      <c r="Y1276" s="19" t="e" cm="1">
        <f t="array" ref="Y12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6" s="33" t="e">
        <f>DURATION(Table1[[#This Row],[Issue date]],Table1[[#This Row],[Maturity date]],Table1[[#This Row],[Current coupon %]],Table1[[#This Row],[Yield (Annualised)]],Table1[[#This Row],[Coupon Frequency2]])</f>
        <v>#N/A</v>
      </c>
      <c r="AA1276" s="33" t="e">
        <f>Table1[[#This Row],[Macaulay Duration in Years]]/(1+Table1[[#This Row],[IRR]])</f>
        <v>#N/A</v>
      </c>
      <c r="AB1276" s="58" t="e">
        <f>VLOOKUP(Table1[[#This Row],[Yield Cluster]],'Cluster Details'!$B$3:$C$16,2,0)</f>
        <v>#N/A</v>
      </c>
      <c r="AC12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6" s="58" t="e">
        <f>IF(Table1[[#This Row],[Ask Price]]&gt;Table1[[#This Row],[Calculated Bond Price]],"Rich","Cheap")</f>
        <v>#N/A</v>
      </c>
      <c r="AE12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6" s="78" t="e">
        <f>(Table1[[#This Row],[P (+ shock)]]+Table1[[#This Row],[P (-shock)]]-2*Table1[[#This Row],[Ask Price]])/(2*Table1[[#This Row],[Ask Price]]*($AF$2^2))</f>
        <v>#N/A</v>
      </c>
      <c r="AH1276">
        <v>4.2918898581896796</v>
      </c>
      <c r="AI1276" s="6" t="e">
        <f t="shared" si="77"/>
        <v>#DIV/0!</v>
      </c>
      <c r="AK1276" s="47" t="e">
        <f>RATE(Table1[[#This Row],[Total No. of Coupons]],Table1[[#This Row],[Coupon Amount]],-Table1[[#This Row],[Ask Price]],Table1[[#This Row],[Face value]])</f>
        <v>#N/A</v>
      </c>
      <c r="AL1276" s="27" t="e">
        <f>Table1[[#This Row],[IRR]]*Table1[[#This Row],[Coupon Frequency2]]</f>
        <v>#N/A</v>
      </c>
      <c r="AM1276" s="5" t="e">
        <f t="shared" si="78"/>
        <v>#N/A</v>
      </c>
      <c r="AN1276" t="s">
        <v>64</v>
      </c>
      <c r="AO1276" t="s">
        <v>62</v>
      </c>
      <c r="AP1276" t="str">
        <f t="shared" si="79"/>
        <v/>
      </c>
    </row>
    <row r="1277" spans="4:42" x14ac:dyDescent="0.35">
      <c r="D1277" s="21"/>
      <c r="E1277" s="21"/>
      <c r="L1277" s="22"/>
      <c r="S1277">
        <f t="shared" si="76"/>
        <v>0</v>
      </c>
      <c r="T1277" s="5" t="e" cm="1">
        <f t="array" ref="T12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7" t="e">
        <f>Table1[[#This Row],[Term to Maturity (Years)]]*Table1[[#This Row],[Coupon Frequency2]]</f>
        <v>#N/A</v>
      </c>
      <c r="V1277">
        <f>Table1[[#This Row],[Face value]]*Table1[[#This Row],[Current coupon %]]</f>
        <v>0</v>
      </c>
      <c r="W1277" s="36" t="e">
        <f>RATE(Table1[[#This Row],[Total No. of Coupons]],Table1[[#This Row],[Coupon Amount]],-Table1[[#This Row],[Ask Price]],Table1[[#This Row],[Face value]])</f>
        <v>#N/A</v>
      </c>
      <c r="X1277" s="27" t="e">
        <f>Table1[[#This Row],[IRR]]*Table1[[#This Row],[Coupon Frequency2]]</f>
        <v>#N/A</v>
      </c>
      <c r="Y1277" s="19" t="e" cm="1">
        <f t="array" ref="Y12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7" s="33" t="e">
        <f>DURATION(Table1[[#This Row],[Issue date]],Table1[[#This Row],[Maturity date]],Table1[[#This Row],[Current coupon %]],Table1[[#This Row],[Yield (Annualised)]],Table1[[#This Row],[Coupon Frequency2]])</f>
        <v>#N/A</v>
      </c>
      <c r="AA1277" s="33" t="e">
        <f>Table1[[#This Row],[Macaulay Duration in Years]]/(1+Table1[[#This Row],[IRR]])</f>
        <v>#N/A</v>
      </c>
      <c r="AB1277" s="58" t="e">
        <f>VLOOKUP(Table1[[#This Row],[Yield Cluster]],'Cluster Details'!$B$3:$C$16,2,0)</f>
        <v>#N/A</v>
      </c>
      <c r="AC12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7" s="58" t="e">
        <f>IF(Table1[[#This Row],[Ask Price]]&gt;Table1[[#This Row],[Calculated Bond Price]],"Rich","Cheap")</f>
        <v>#N/A</v>
      </c>
      <c r="AE12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7" s="78" t="e">
        <f>(Table1[[#This Row],[P (+ shock)]]+Table1[[#This Row],[P (-shock)]]-2*Table1[[#This Row],[Ask Price]])/(2*Table1[[#This Row],[Ask Price]]*($AF$2^2))</f>
        <v>#N/A</v>
      </c>
      <c r="AH1277">
        <v>6.9589082784483196</v>
      </c>
      <c r="AI1277" s="6" t="e">
        <f t="shared" si="77"/>
        <v>#DIV/0!</v>
      </c>
      <c r="AK1277" s="47" t="e">
        <f>RATE(Table1[[#This Row],[Total No. of Coupons]],Table1[[#This Row],[Coupon Amount]],-Table1[[#This Row],[Ask Price]],Table1[[#This Row],[Face value]])</f>
        <v>#N/A</v>
      </c>
      <c r="AL1277" s="27" t="e">
        <f>Table1[[#This Row],[IRR]]*Table1[[#This Row],[Coupon Frequency2]]</f>
        <v>#N/A</v>
      </c>
      <c r="AM1277" s="5" t="e">
        <f t="shared" si="78"/>
        <v>#N/A</v>
      </c>
      <c r="AN1277" t="s">
        <v>64</v>
      </c>
      <c r="AO1277" t="s">
        <v>62</v>
      </c>
      <c r="AP1277" t="str">
        <f t="shared" si="79"/>
        <v/>
      </c>
    </row>
    <row r="1278" spans="4:42" x14ac:dyDescent="0.35">
      <c r="D1278" s="21"/>
      <c r="E1278" s="21"/>
      <c r="L1278" s="22"/>
      <c r="S1278">
        <f t="shared" si="76"/>
        <v>0</v>
      </c>
      <c r="T1278" s="5" t="e" cm="1">
        <f t="array" ref="T12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8" t="e">
        <f>Table1[[#This Row],[Term to Maturity (Years)]]*Table1[[#This Row],[Coupon Frequency2]]</f>
        <v>#N/A</v>
      </c>
      <c r="V1278">
        <f>Table1[[#This Row],[Face value]]*Table1[[#This Row],[Current coupon %]]</f>
        <v>0</v>
      </c>
      <c r="W1278" s="36" t="e">
        <f>RATE(Table1[[#This Row],[Total No. of Coupons]],Table1[[#This Row],[Coupon Amount]],-Table1[[#This Row],[Ask Price]],Table1[[#This Row],[Face value]])</f>
        <v>#N/A</v>
      </c>
      <c r="X1278" s="27" t="e">
        <f>Table1[[#This Row],[IRR]]*Table1[[#This Row],[Coupon Frequency2]]</f>
        <v>#N/A</v>
      </c>
      <c r="Y1278" s="19" t="e" cm="1">
        <f t="array" ref="Y12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8" s="33" t="e">
        <f>DURATION(Table1[[#This Row],[Issue date]],Table1[[#This Row],[Maturity date]],Table1[[#This Row],[Current coupon %]],Table1[[#This Row],[Yield (Annualised)]],Table1[[#This Row],[Coupon Frequency2]])</f>
        <v>#N/A</v>
      </c>
      <c r="AA1278" s="33" t="e">
        <f>Table1[[#This Row],[Macaulay Duration in Years]]/(1+Table1[[#This Row],[IRR]])</f>
        <v>#N/A</v>
      </c>
      <c r="AB1278" s="58" t="e">
        <f>VLOOKUP(Table1[[#This Row],[Yield Cluster]],'Cluster Details'!$B$3:$C$16,2,0)</f>
        <v>#N/A</v>
      </c>
      <c r="AC12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8" s="58" t="e">
        <f>IF(Table1[[#This Row],[Ask Price]]&gt;Table1[[#This Row],[Calculated Bond Price]],"Rich","Cheap")</f>
        <v>#N/A</v>
      </c>
      <c r="AE12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8" s="78" t="e">
        <f>(Table1[[#This Row],[P (+ shock)]]+Table1[[#This Row],[P (-shock)]]-2*Table1[[#This Row],[Ask Price]])/(2*Table1[[#This Row],[Ask Price]]*($AF$2^2))</f>
        <v>#N/A</v>
      </c>
      <c r="AH1278">
        <v>10.1030443670921</v>
      </c>
      <c r="AI1278" s="6" t="e">
        <f t="shared" si="77"/>
        <v>#DIV/0!</v>
      </c>
      <c r="AK1278" s="47" t="e">
        <f>RATE(Table1[[#This Row],[Total No. of Coupons]],Table1[[#This Row],[Coupon Amount]],-Table1[[#This Row],[Ask Price]],Table1[[#This Row],[Face value]])</f>
        <v>#N/A</v>
      </c>
      <c r="AL1278" s="27" t="e">
        <f>Table1[[#This Row],[IRR]]*Table1[[#This Row],[Coupon Frequency2]]</f>
        <v>#N/A</v>
      </c>
      <c r="AM1278" s="5" t="e">
        <f t="shared" si="78"/>
        <v>#N/A</v>
      </c>
      <c r="AN1278" t="s">
        <v>64</v>
      </c>
      <c r="AO1278" t="s">
        <v>62</v>
      </c>
      <c r="AP1278" t="str">
        <f t="shared" si="79"/>
        <v/>
      </c>
    </row>
    <row r="1279" spans="4:42" x14ac:dyDescent="0.35">
      <c r="D1279" s="21"/>
      <c r="E1279" s="21"/>
      <c r="L1279" s="22"/>
      <c r="S1279">
        <f t="shared" si="76"/>
        <v>0</v>
      </c>
      <c r="T1279" s="5" t="e" cm="1">
        <f t="array" ref="T12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79" t="e">
        <f>Table1[[#This Row],[Term to Maturity (Years)]]*Table1[[#This Row],[Coupon Frequency2]]</f>
        <v>#N/A</v>
      </c>
      <c r="V1279">
        <f>Table1[[#This Row],[Face value]]*Table1[[#This Row],[Current coupon %]]</f>
        <v>0</v>
      </c>
      <c r="W1279" s="36" t="e">
        <f>RATE(Table1[[#This Row],[Total No. of Coupons]],Table1[[#This Row],[Coupon Amount]],-Table1[[#This Row],[Ask Price]],Table1[[#This Row],[Face value]])</f>
        <v>#N/A</v>
      </c>
      <c r="X1279" s="27" t="e">
        <f>Table1[[#This Row],[IRR]]*Table1[[#This Row],[Coupon Frequency2]]</f>
        <v>#N/A</v>
      </c>
      <c r="Y1279" s="19" t="e" cm="1">
        <f t="array" ref="Y12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79" s="33" t="e">
        <f>DURATION(Table1[[#This Row],[Issue date]],Table1[[#This Row],[Maturity date]],Table1[[#This Row],[Current coupon %]],Table1[[#This Row],[Yield (Annualised)]],Table1[[#This Row],[Coupon Frequency2]])</f>
        <v>#N/A</v>
      </c>
      <c r="AA1279" s="33" t="e">
        <f>Table1[[#This Row],[Macaulay Duration in Years]]/(1+Table1[[#This Row],[IRR]])</f>
        <v>#N/A</v>
      </c>
      <c r="AB1279" s="58" t="e">
        <f>VLOOKUP(Table1[[#This Row],[Yield Cluster]],'Cluster Details'!$B$3:$C$16,2,0)</f>
        <v>#N/A</v>
      </c>
      <c r="AC12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79" s="58" t="e">
        <f>IF(Table1[[#This Row],[Ask Price]]&gt;Table1[[#This Row],[Calculated Bond Price]],"Rich","Cheap")</f>
        <v>#N/A</v>
      </c>
      <c r="AE12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79" s="78" t="e">
        <f>(Table1[[#This Row],[P (+ shock)]]+Table1[[#This Row],[P (-shock)]]-2*Table1[[#This Row],[Ask Price]])/(2*Table1[[#This Row],[Ask Price]]*($AF$2^2))</f>
        <v>#N/A</v>
      </c>
      <c r="AH1279">
        <v>10.322633369086599</v>
      </c>
      <c r="AI1279" s="6" t="e">
        <f t="shared" si="77"/>
        <v>#DIV/0!</v>
      </c>
      <c r="AK1279" s="47" t="e">
        <f>RATE(Table1[[#This Row],[Total No. of Coupons]],Table1[[#This Row],[Coupon Amount]],-Table1[[#This Row],[Ask Price]],Table1[[#This Row],[Face value]])</f>
        <v>#N/A</v>
      </c>
      <c r="AL1279" s="27" t="e">
        <f>Table1[[#This Row],[IRR]]*Table1[[#This Row],[Coupon Frequency2]]</f>
        <v>#N/A</v>
      </c>
      <c r="AM1279" s="5" t="e">
        <f t="shared" si="78"/>
        <v>#N/A</v>
      </c>
      <c r="AN1279" t="s">
        <v>64</v>
      </c>
      <c r="AO1279" t="s">
        <v>62</v>
      </c>
      <c r="AP1279" t="str">
        <f t="shared" si="79"/>
        <v/>
      </c>
    </row>
    <row r="1280" spans="4:42" x14ac:dyDescent="0.35">
      <c r="D1280" s="21"/>
      <c r="E1280" s="21"/>
      <c r="L1280" s="22"/>
      <c r="S1280">
        <f t="shared" si="76"/>
        <v>0</v>
      </c>
      <c r="T1280" s="5" t="e" cm="1">
        <f t="array" ref="T12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0" t="e">
        <f>Table1[[#This Row],[Term to Maturity (Years)]]*Table1[[#This Row],[Coupon Frequency2]]</f>
        <v>#N/A</v>
      </c>
      <c r="V1280">
        <f>Table1[[#This Row],[Face value]]*Table1[[#This Row],[Current coupon %]]</f>
        <v>0</v>
      </c>
      <c r="W1280" s="36" t="e">
        <f>RATE(Table1[[#This Row],[Total No. of Coupons]],Table1[[#This Row],[Coupon Amount]],-Table1[[#This Row],[Ask Price]],Table1[[#This Row],[Face value]])</f>
        <v>#N/A</v>
      </c>
      <c r="X1280" s="27" t="e">
        <f>Table1[[#This Row],[IRR]]*Table1[[#This Row],[Coupon Frequency2]]</f>
        <v>#N/A</v>
      </c>
      <c r="Y1280" s="19" t="e" cm="1">
        <f t="array" ref="Y12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0" s="33" t="e">
        <f>DURATION(Table1[[#This Row],[Issue date]],Table1[[#This Row],[Maturity date]],Table1[[#This Row],[Current coupon %]],Table1[[#This Row],[Yield (Annualised)]],Table1[[#This Row],[Coupon Frequency2]])</f>
        <v>#N/A</v>
      </c>
      <c r="AA1280" s="33" t="e">
        <f>Table1[[#This Row],[Macaulay Duration in Years]]/(1+Table1[[#This Row],[IRR]])</f>
        <v>#N/A</v>
      </c>
      <c r="AB1280" s="58" t="e">
        <f>VLOOKUP(Table1[[#This Row],[Yield Cluster]],'Cluster Details'!$B$3:$C$16,2,0)</f>
        <v>#N/A</v>
      </c>
      <c r="AC12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0" s="58" t="e">
        <f>IF(Table1[[#This Row],[Ask Price]]&gt;Table1[[#This Row],[Calculated Bond Price]],"Rich","Cheap")</f>
        <v>#N/A</v>
      </c>
      <c r="AE12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0" s="78" t="e">
        <f>(Table1[[#This Row],[P (+ shock)]]+Table1[[#This Row],[P (-shock)]]-2*Table1[[#This Row],[Ask Price]])/(2*Table1[[#This Row],[Ask Price]]*($AF$2^2))</f>
        <v>#N/A</v>
      </c>
      <c r="AH1280">
        <v>11.1147501476875</v>
      </c>
      <c r="AI1280" s="6" t="e">
        <f t="shared" si="77"/>
        <v>#DIV/0!</v>
      </c>
      <c r="AK1280" s="47" t="e">
        <f>RATE(Table1[[#This Row],[Total No. of Coupons]],Table1[[#This Row],[Coupon Amount]],-Table1[[#This Row],[Ask Price]],Table1[[#This Row],[Face value]])</f>
        <v>#N/A</v>
      </c>
      <c r="AL1280" s="27" t="e">
        <f>Table1[[#This Row],[IRR]]*Table1[[#This Row],[Coupon Frequency2]]</f>
        <v>#N/A</v>
      </c>
      <c r="AM1280" s="5" t="e">
        <f t="shared" si="78"/>
        <v>#N/A</v>
      </c>
      <c r="AN1280" t="s">
        <v>64</v>
      </c>
      <c r="AO1280" t="s">
        <v>62</v>
      </c>
      <c r="AP1280" t="str">
        <f t="shared" si="79"/>
        <v/>
      </c>
    </row>
    <row r="1281" spans="4:42" x14ac:dyDescent="0.35">
      <c r="D1281" s="21"/>
      <c r="E1281" s="21"/>
      <c r="L1281" s="22"/>
      <c r="S1281">
        <f t="shared" si="76"/>
        <v>0</v>
      </c>
      <c r="T1281" s="5" t="e" cm="1">
        <f t="array" ref="T12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1" t="e">
        <f>Table1[[#This Row],[Term to Maturity (Years)]]*Table1[[#This Row],[Coupon Frequency2]]</f>
        <v>#N/A</v>
      </c>
      <c r="V1281">
        <f>Table1[[#This Row],[Face value]]*Table1[[#This Row],[Current coupon %]]</f>
        <v>0</v>
      </c>
      <c r="W1281" s="36" t="e">
        <f>RATE(Table1[[#This Row],[Total No. of Coupons]],Table1[[#This Row],[Coupon Amount]],-Table1[[#This Row],[Ask Price]],Table1[[#This Row],[Face value]])</f>
        <v>#N/A</v>
      </c>
      <c r="X1281" s="27" t="e">
        <f>Table1[[#This Row],[IRR]]*Table1[[#This Row],[Coupon Frequency2]]</f>
        <v>#N/A</v>
      </c>
      <c r="Y1281" s="19" t="e" cm="1">
        <f t="array" ref="Y12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1" s="33" t="e">
        <f>DURATION(Table1[[#This Row],[Issue date]],Table1[[#This Row],[Maturity date]],Table1[[#This Row],[Current coupon %]],Table1[[#This Row],[Yield (Annualised)]],Table1[[#This Row],[Coupon Frequency2]])</f>
        <v>#N/A</v>
      </c>
      <c r="AA1281" s="33" t="e">
        <f>Table1[[#This Row],[Macaulay Duration in Years]]/(1+Table1[[#This Row],[IRR]])</f>
        <v>#N/A</v>
      </c>
      <c r="AB1281" s="58" t="e">
        <f>VLOOKUP(Table1[[#This Row],[Yield Cluster]],'Cluster Details'!$B$3:$C$16,2,0)</f>
        <v>#N/A</v>
      </c>
      <c r="AC12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1" s="58" t="e">
        <f>IF(Table1[[#This Row],[Ask Price]]&gt;Table1[[#This Row],[Calculated Bond Price]],"Rich","Cheap")</f>
        <v>#N/A</v>
      </c>
      <c r="AE12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1" s="78" t="e">
        <f>(Table1[[#This Row],[P (+ shock)]]+Table1[[#This Row],[P (-shock)]]-2*Table1[[#This Row],[Ask Price]])/(2*Table1[[#This Row],[Ask Price]]*($AF$2^2))</f>
        <v>#N/A</v>
      </c>
      <c r="AH1281">
        <v>10.032775982794901</v>
      </c>
      <c r="AI1281" s="6" t="e">
        <f t="shared" si="77"/>
        <v>#DIV/0!</v>
      </c>
      <c r="AK1281" s="47" t="e">
        <f>RATE(Table1[[#This Row],[Total No. of Coupons]],Table1[[#This Row],[Coupon Amount]],-Table1[[#This Row],[Ask Price]],Table1[[#This Row],[Face value]])</f>
        <v>#N/A</v>
      </c>
      <c r="AL1281" s="27" t="e">
        <f>Table1[[#This Row],[IRR]]*Table1[[#This Row],[Coupon Frequency2]]</f>
        <v>#N/A</v>
      </c>
      <c r="AM1281" s="5" t="e">
        <f t="shared" si="78"/>
        <v>#N/A</v>
      </c>
      <c r="AN1281" t="s">
        <v>64</v>
      </c>
      <c r="AO1281" t="s">
        <v>62</v>
      </c>
      <c r="AP1281" t="str">
        <f t="shared" si="79"/>
        <v/>
      </c>
    </row>
    <row r="1282" spans="4:42" x14ac:dyDescent="0.35">
      <c r="D1282" s="21"/>
      <c r="E1282" s="21"/>
      <c r="L1282" s="22"/>
      <c r="S1282">
        <f t="shared" si="76"/>
        <v>0</v>
      </c>
      <c r="T1282" s="5" t="e" cm="1">
        <f t="array" ref="T12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2" t="e">
        <f>Table1[[#This Row],[Term to Maturity (Years)]]*Table1[[#This Row],[Coupon Frequency2]]</f>
        <v>#N/A</v>
      </c>
      <c r="V1282">
        <f>Table1[[#This Row],[Face value]]*Table1[[#This Row],[Current coupon %]]</f>
        <v>0</v>
      </c>
      <c r="W1282" s="36" t="e">
        <f>RATE(Table1[[#This Row],[Total No. of Coupons]],Table1[[#This Row],[Coupon Amount]],-Table1[[#This Row],[Ask Price]],Table1[[#This Row],[Face value]])</f>
        <v>#N/A</v>
      </c>
      <c r="X1282" s="27" t="e">
        <f>Table1[[#This Row],[IRR]]*Table1[[#This Row],[Coupon Frequency2]]</f>
        <v>#N/A</v>
      </c>
      <c r="Y1282" s="19" t="e" cm="1">
        <f t="array" ref="Y12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2" s="33" t="e">
        <f>DURATION(Table1[[#This Row],[Issue date]],Table1[[#This Row],[Maturity date]],Table1[[#This Row],[Current coupon %]],Table1[[#This Row],[Yield (Annualised)]],Table1[[#This Row],[Coupon Frequency2]])</f>
        <v>#N/A</v>
      </c>
      <c r="AA1282" s="33" t="e">
        <f>Table1[[#This Row],[Macaulay Duration in Years]]/(1+Table1[[#This Row],[IRR]])</f>
        <v>#N/A</v>
      </c>
      <c r="AB1282" s="58" t="e">
        <f>VLOOKUP(Table1[[#This Row],[Yield Cluster]],'Cluster Details'!$B$3:$C$16,2,0)</f>
        <v>#N/A</v>
      </c>
      <c r="AC12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2" s="58" t="e">
        <f>IF(Table1[[#This Row],[Ask Price]]&gt;Table1[[#This Row],[Calculated Bond Price]],"Rich","Cheap")</f>
        <v>#N/A</v>
      </c>
      <c r="AE12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2" s="78" t="e">
        <f>(Table1[[#This Row],[P (+ shock)]]+Table1[[#This Row],[P (-shock)]]-2*Table1[[#This Row],[Ask Price]])/(2*Table1[[#This Row],[Ask Price]]*($AF$2^2))</f>
        <v>#N/A</v>
      </c>
      <c r="AI1282" s="6" t="e">
        <f t="shared" si="77"/>
        <v>#DIV/0!</v>
      </c>
      <c r="AK1282" s="47" t="e">
        <f>RATE(Table1[[#This Row],[Total No. of Coupons]],Table1[[#This Row],[Coupon Amount]],-Table1[[#This Row],[Ask Price]],Table1[[#This Row],[Face value]])</f>
        <v>#N/A</v>
      </c>
      <c r="AL1282" s="27" t="e">
        <f>Table1[[#This Row],[IRR]]*Table1[[#This Row],[Coupon Frequency2]]</f>
        <v>#N/A</v>
      </c>
      <c r="AM1282" s="5" t="e">
        <f t="shared" si="78"/>
        <v>#N/A</v>
      </c>
      <c r="AN1282" t="s">
        <v>64</v>
      </c>
      <c r="AO1282" t="s">
        <v>62</v>
      </c>
      <c r="AP1282" t="str">
        <f t="shared" si="79"/>
        <v/>
      </c>
    </row>
    <row r="1283" spans="4:42" x14ac:dyDescent="0.35">
      <c r="D1283" s="21"/>
      <c r="E1283" s="21"/>
      <c r="L1283" s="22"/>
      <c r="S1283">
        <f t="shared" si="76"/>
        <v>0</v>
      </c>
      <c r="T1283" s="5" t="e" cm="1">
        <f t="array" ref="T12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3" t="e">
        <f>Table1[[#This Row],[Term to Maturity (Years)]]*Table1[[#This Row],[Coupon Frequency2]]</f>
        <v>#N/A</v>
      </c>
      <c r="V1283">
        <f>Table1[[#This Row],[Face value]]*Table1[[#This Row],[Current coupon %]]</f>
        <v>0</v>
      </c>
      <c r="W1283" s="36" t="e">
        <f>RATE(Table1[[#This Row],[Total No. of Coupons]],Table1[[#This Row],[Coupon Amount]],-Table1[[#This Row],[Ask Price]],Table1[[#This Row],[Face value]])</f>
        <v>#N/A</v>
      </c>
      <c r="X1283" s="27" t="e">
        <f>Table1[[#This Row],[IRR]]*Table1[[#This Row],[Coupon Frequency2]]</f>
        <v>#N/A</v>
      </c>
      <c r="Y1283" s="19" t="e" cm="1">
        <f t="array" ref="Y12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3" s="33" t="e">
        <f>DURATION(Table1[[#This Row],[Issue date]],Table1[[#This Row],[Maturity date]],Table1[[#This Row],[Current coupon %]],Table1[[#This Row],[Yield (Annualised)]],Table1[[#This Row],[Coupon Frequency2]])</f>
        <v>#N/A</v>
      </c>
      <c r="AA1283" s="33" t="e">
        <f>Table1[[#This Row],[Macaulay Duration in Years]]/(1+Table1[[#This Row],[IRR]])</f>
        <v>#N/A</v>
      </c>
      <c r="AB1283" s="58" t="e">
        <f>VLOOKUP(Table1[[#This Row],[Yield Cluster]],'Cluster Details'!$B$3:$C$16,2,0)</f>
        <v>#N/A</v>
      </c>
      <c r="AC12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3" s="58" t="e">
        <f>IF(Table1[[#This Row],[Ask Price]]&gt;Table1[[#This Row],[Calculated Bond Price]],"Rich","Cheap")</f>
        <v>#N/A</v>
      </c>
      <c r="AE12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3" s="78" t="e">
        <f>(Table1[[#This Row],[P (+ shock)]]+Table1[[#This Row],[P (-shock)]]-2*Table1[[#This Row],[Ask Price]])/(2*Table1[[#This Row],[Ask Price]]*($AF$2^2))</f>
        <v>#N/A</v>
      </c>
      <c r="AH1283">
        <v>10.615318490922</v>
      </c>
      <c r="AI1283" s="6" t="e">
        <f t="shared" si="77"/>
        <v>#DIV/0!</v>
      </c>
      <c r="AK1283" s="47" t="e">
        <f>RATE(Table1[[#This Row],[Total No. of Coupons]],Table1[[#This Row],[Coupon Amount]],-Table1[[#This Row],[Ask Price]],Table1[[#This Row],[Face value]])</f>
        <v>#N/A</v>
      </c>
      <c r="AL1283" s="27" t="e">
        <f>Table1[[#This Row],[IRR]]*Table1[[#This Row],[Coupon Frequency2]]</f>
        <v>#N/A</v>
      </c>
      <c r="AM1283" s="5" t="e">
        <f t="shared" si="78"/>
        <v>#N/A</v>
      </c>
      <c r="AN1283" t="s">
        <v>64</v>
      </c>
      <c r="AO1283" t="s">
        <v>62</v>
      </c>
      <c r="AP1283" t="str">
        <f t="shared" si="79"/>
        <v/>
      </c>
    </row>
    <row r="1284" spans="4:42" x14ac:dyDescent="0.35">
      <c r="D1284" s="21"/>
      <c r="E1284" s="21"/>
      <c r="L1284" s="22"/>
      <c r="S1284">
        <f t="shared" ref="S1284:S1347" si="80">ROUND(YEARFRAC(D1284,E1284),0)</f>
        <v>0</v>
      </c>
      <c r="T1284" s="5" t="e" cm="1">
        <f t="array" ref="T12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4" t="e">
        <f>Table1[[#This Row],[Term to Maturity (Years)]]*Table1[[#This Row],[Coupon Frequency2]]</f>
        <v>#N/A</v>
      </c>
      <c r="V1284">
        <f>Table1[[#This Row],[Face value]]*Table1[[#This Row],[Current coupon %]]</f>
        <v>0</v>
      </c>
      <c r="W1284" s="36" t="e">
        <f>RATE(Table1[[#This Row],[Total No. of Coupons]],Table1[[#This Row],[Coupon Amount]],-Table1[[#This Row],[Ask Price]],Table1[[#This Row],[Face value]])</f>
        <v>#N/A</v>
      </c>
      <c r="X1284" s="27" t="e">
        <f>Table1[[#This Row],[IRR]]*Table1[[#This Row],[Coupon Frequency2]]</f>
        <v>#N/A</v>
      </c>
      <c r="Y1284" s="19" t="e" cm="1">
        <f t="array" ref="Y12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4" s="33" t="e">
        <f>DURATION(Table1[[#This Row],[Issue date]],Table1[[#This Row],[Maturity date]],Table1[[#This Row],[Current coupon %]],Table1[[#This Row],[Yield (Annualised)]],Table1[[#This Row],[Coupon Frequency2]])</f>
        <v>#N/A</v>
      </c>
      <c r="AA1284" s="33" t="e">
        <f>Table1[[#This Row],[Macaulay Duration in Years]]/(1+Table1[[#This Row],[IRR]])</f>
        <v>#N/A</v>
      </c>
      <c r="AB1284" s="58" t="e">
        <f>VLOOKUP(Table1[[#This Row],[Yield Cluster]],'Cluster Details'!$B$3:$C$16,2,0)</f>
        <v>#N/A</v>
      </c>
      <c r="AC12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4" s="58" t="e">
        <f>IF(Table1[[#This Row],[Ask Price]]&gt;Table1[[#This Row],[Calculated Bond Price]],"Rich","Cheap")</f>
        <v>#N/A</v>
      </c>
      <c r="AE12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4" s="78" t="e">
        <f>(Table1[[#This Row],[P (+ shock)]]+Table1[[#This Row],[P (-shock)]]-2*Table1[[#This Row],[Ask Price]])/(2*Table1[[#This Row],[Ask Price]]*($AF$2^2))</f>
        <v>#N/A</v>
      </c>
      <c r="AH1284">
        <v>10.3891752577319</v>
      </c>
      <c r="AI1284" s="6" t="e">
        <f t="shared" ref="AI1284:AI1347" si="81">(L1284*F1284)/H1284</f>
        <v>#DIV/0!</v>
      </c>
      <c r="AK1284" s="47" t="e">
        <f>RATE(Table1[[#This Row],[Total No. of Coupons]],Table1[[#This Row],[Coupon Amount]],-Table1[[#This Row],[Ask Price]],Table1[[#This Row],[Face value]])</f>
        <v>#N/A</v>
      </c>
      <c r="AL1284" s="27" t="e">
        <f>Table1[[#This Row],[IRR]]*Table1[[#This Row],[Coupon Frequency2]]</f>
        <v>#N/A</v>
      </c>
      <c r="AM1284" s="5" t="e">
        <f t="shared" ref="AM1284:AM1347" si="82">-AA1284*H1284</f>
        <v>#N/A</v>
      </c>
      <c r="AN1284" t="s">
        <v>64</v>
      </c>
      <c r="AO1284" t="s">
        <v>62</v>
      </c>
      <c r="AP1284" t="str">
        <f t="shared" ref="AP1284:AP1347" si="83">_xlfn.SWITCH(PROPER(TRIM(M1284)),
   "Annual",1,
   "Semi-Annual",2,
   "Quarterly",4,
   "Monthly",12,
   "")</f>
        <v/>
      </c>
    </row>
    <row r="1285" spans="4:42" x14ac:dyDescent="0.35">
      <c r="D1285" s="21"/>
      <c r="E1285" s="21"/>
      <c r="L1285" s="22"/>
      <c r="S1285">
        <f t="shared" si="80"/>
        <v>0</v>
      </c>
      <c r="T1285" s="5" t="e" cm="1">
        <f t="array" ref="T12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5" t="e">
        <f>Table1[[#This Row],[Term to Maturity (Years)]]*Table1[[#This Row],[Coupon Frequency2]]</f>
        <v>#N/A</v>
      </c>
      <c r="V1285">
        <f>Table1[[#This Row],[Face value]]*Table1[[#This Row],[Current coupon %]]</f>
        <v>0</v>
      </c>
      <c r="W1285" s="36" t="e">
        <f>RATE(Table1[[#This Row],[Total No. of Coupons]],Table1[[#This Row],[Coupon Amount]],-Table1[[#This Row],[Ask Price]],Table1[[#This Row],[Face value]])</f>
        <v>#N/A</v>
      </c>
      <c r="X1285" s="27" t="e">
        <f>Table1[[#This Row],[IRR]]*Table1[[#This Row],[Coupon Frequency2]]</f>
        <v>#N/A</v>
      </c>
      <c r="Y1285" s="19" t="e" cm="1">
        <f t="array" ref="Y12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5" s="33" t="e">
        <f>DURATION(Table1[[#This Row],[Issue date]],Table1[[#This Row],[Maturity date]],Table1[[#This Row],[Current coupon %]],Table1[[#This Row],[Yield (Annualised)]],Table1[[#This Row],[Coupon Frequency2]])</f>
        <v>#N/A</v>
      </c>
      <c r="AA1285" s="33" t="e">
        <f>Table1[[#This Row],[Macaulay Duration in Years]]/(1+Table1[[#This Row],[IRR]])</f>
        <v>#N/A</v>
      </c>
      <c r="AB1285" s="58" t="e">
        <f>VLOOKUP(Table1[[#This Row],[Yield Cluster]],'Cluster Details'!$B$3:$C$16,2,0)</f>
        <v>#N/A</v>
      </c>
      <c r="AC12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5" s="58" t="e">
        <f>IF(Table1[[#This Row],[Ask Price]]&gt;Table1[[#This Row],[Calculated Bond Price]],"Rich","Cheap")</f>
        <v>#N/A</v>
      </c>
      <c r="AE12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5" s="78" t="e">
        <f>(Table1[[#This Row],[P (+ shock)]]+Table1[[#This Row],[P (-shock)]]-2*Table1[[#This Row],[Ask Price]])/(2*Table1[[#This Row],[Ask Price]]*($AF$2^2))</f>
        <v>#N/A</v>
      </c>
      <c r="AI1285" s="6" t="e">
        <f t="shared" si="81"/>
        <v>#DIV/0!</v>
      </c>
      <c r="AK1285" s="47" t="e">
        <f>RATE(Table1[[#This Row],[Total No. of Coupons]],Table1[[#This Row],[Coupon Amount]],-Table1[[#This Row],[Ask Price]],Table1[[#This Row],[Face value]])</f>
        <v>#N/A</v>
      </c>
      <c r="AL1285" s="27" t="e">
        <f>Table1[[#This Row],[IRR]]*Table1[[#This Row],[Coupon Frequency2]]</f>
        <v>#N/A</v>
      </c>
      <c r="AM1285" s="5" t="e">
        <f t="shared" si="82"/>
        <v>#N/A</v>
      </c>
      <c r="AN1285" t="s">
        <v>64</v>
      </c>
      <c r="AO1285" t="s">
        <v>62</v>
      </c>
      <c r="AP1285" t="str">
        <f t="shared" si="83"/>
        <v/>
      </c>
    </row>
    <row r="1286" spans="4:42" x14ac:dyDescent="0.35">
      <c r="D1286" s="21"/>
      <c r="E1286" s="21"/>
      <c r="L1286" s="22"/>
      <c r="S1286">
        <f t="shared" si="80"/>
        <v>0</v>
      </c>
      <c r="T1286" s="5" t="e" cm="1">
        <f t="array" ref="T12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6" t="e">
        <f>Table1[[#This Row],[Term to Maturity (Years)]]*Table1[[#This Row],[Coupon Frequency2]]</f>
        <v>#N/A</v>
      </c>
      <c r="V1286">
        <f>Table1[[#This Row],[Face value]]*Table1[[#This Row],[Current coupon %]]</f>
        <v>0</v>
      </c>
      <c r="W1286" s="36" t="e">
        <f>RATE(Table1[[#This Row],[Total No. of Coupons]],Table1[[#This Row],[Coupon Amount]],-Table1[[#This Row],[Ask Price]],Table1[[#This Row],[Face value]])</f>
        <v>#N/A</v>
      </c>
      <c r="X1286" s="27" t="e">
        <f>Table1[[#This Row],[IRR]]*Table1[[#This Row],[Coupon Frequency2]]</f>
        <v>#N/A</v>
      </c>
      <c r="Y1286" s="19" t="e" cm="1">
        <f t="array" ref="Y12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6" s="33" t="e">
        <f>DURATION(Table1[[#This Row],[Issue date]],Table1[[#This Row],[Maturity date]],Table1[[#This Row],[Current coupon %]],Table1[[#This Row],[Yield (Annualised)]],Table1[[#This Row],[Coupon Frequency2]])</f>
        <v>#N/A</v>
      </c>
      <c r="AA1286" s="33" t="e">
        <f>Table1[[#This Row],[Macaulay Duration in Years]]/(1+Table1[[#This Row],[IRR]])</f>
        <v>#N/A</v>
      </c>
      <c r="AB1286" s="58" t="e">
        <f>VLOOKUP(Table1[[#This Row],[Yield Cluster]],'Cluster Details'!$B$3:$C$16,2,0)</f>
        <v>#N/A</v>
      </c>
      <c r="AC12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6" s="58" t="e">
        <f>IF(Table1[[#This Row],[Ask Price]]&gt;Table1[[#This Row],[Calculated Bond Price]],"Rich","Cheap")</f>
        <v>#N/A</v>
      </c>
      <c r="AE12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6" s="78" t="e">
        <f>(Table1[[#This Row],[P (+ shock)]]+Table1[[#This Row],[P (-shock)]]-2*Table1[[#This Row],[Ask Price]])/(2*Table1[[#This Row],[Ask Price]]*($AF$2^2))</f>
        <v>#N/A</v>
      </c>
      <c r="AH1286">
        <v>9.65</v>
      </c>
      <c r="AI1286" s="6" t="e">
        <f t="shared" si="81"/>
        <v>#DIV/0!</v>
      </c>
      <c r="AK1286" s="47" t="e">
        <f>RATE(Table1[[#This Row],[Total No. of Coupons]],Table1[[#This Row],[Coupon Amount]],-Table1[[#This Row],[Ask Price]],Table1[[#This Row],[Face value]])</f>
        <v>#N/A</v>
      </c>
      <c r="AL1286" s="27" t="e">
        <f>Table1[[#This Row],[IRR]]*Table1[[#This Row],[Coupon Frequency2]]</f>
        <v>#N/A</v>
      </c>
      <c r="AM1286" s="5" t="e">
        <f t="shared" si="82"/>
        <v>#N/A</v>
      </c>
      <c r="AN1286" t="s">
        <v>64</v>
      </c>
      <c r="AO1286" t="s">
        <v>62</v>
      </c>
      <c r="AP1286" t="str">
        <f t="shared" si="83"/>
        <v/>
      </c>
    </row>
    <row r="1287" spans="4:42" x14ac:dyDescent="0.35">
      <c r="D1287" s="21"/>
      <c r="E1287" s="21"/>
      <c r="L1287" s="22"/>
      <c r="S1287">
        <f t="shared" si="80"/>
        <v>0</v>
      </c>
      <c r="T1287" s="5" t="e" cm="1">
        <f t="array" ref="T12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7" t="e">
        <f>Table1[[#This Row],[Term to Maturity (Years)]]*Table1[[#This Row],[Coupon Frequency2]]</f>
        <v>#N/A</v>
      </c>
      <c r="V1287">
        <f>Table1[[#This Row],[Face value]]*Table1[[#This Row],[Current coupon %]]</f>
        <v>0</v>
      </c>
      <c r="W1287" s="36" t="e">
        <f>RATE(Table1[[#This Row],[Total No. of Coupons]],Table1[[#This Row],[Coupon Amount]],-Table1[[#This Row],[Ask Price]],Table1[[#This Row],[Face value]])</f>
        <v>#N/A</v>
      </c>
      <c r="X1287" s="27" t="e">
        <f>Table1[[#This Row],[IRR]]*Table1[[#This Row],[Coupon Frequency2]]</f>
        <v>#N/A</v>
      </c>
      <c r="Y1287" s="19" t="e" cm="1">
        <f t="array" ref="Y12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7" s="33" t="e">
        <f>DURATION(Table1[[#This Row],[Issue date]],Table1[[#This Row],[Maturity date]],Table1[[#This Row],[Current coupon %]],Table1[[#This Row],[Yield (Annualised)]],Table1[[#This Row],[Coupon Frequency2]])</f>
        <v>#N/A</v>
      </c>
      <c r="AA1287" s="33" t="e">
        <f>Table1[[#This Row],[Macaulay Duration in Years]]/(1+Table1[[#This Row],[IRR]])</f>
        <v>#N/A</v>
      </c>
      <c r="AB1287" s="58" t="e">
        <f>VLOOKUP(Table1[[#This Row],[Yield Cluster]],'Cluster Details'!$B$3:$C$16,2,0)</f>
        <v>#N/A</v>
      </c>
      <c r="AC12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7" s="58" t="e">
        <f>IF(Table1[[#This Row],[Ask Price]]&gt;Table1[[#This Row],[Calculated Bond Price]],"Rich","Cheap")</f>
        <v>#N/A</v>
      </c>
      <c r="AE12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7" s="78" t="e">
        <f>(Table1[[#This Row],[P (+ shock)]]+Table1[[#This Row],[P (-shock)]]-2*Table1[[#This Row],[Ask Price]])/(2*Table1[[#This Row],[Ask Price]]*($AF$2^2))</f>
        <v>#N/A</v>
      </c>
      <c r="AH1287">
        <v>9.8062676392650694</v>
      </c>
      <c r="AI1287" s="6" t="e">
        <f t="shared" si="81"/>
        <v>#DIV/0!</v>
      </c>
      <c r="AK1287" s="47" t="e">
        <f>RATE(Table1[[#This Row],[Total No. of Coupons]],Table1[[#This Row],[Coupon Amount]],-Table1[[#This Row],[Ask Price]],Table1[[#This Row],[Face value]])</f>
        <v>#N/A</v>
      </c>
      <c r="AL1287" s="27" t="e">
        <f>Table1[[#This Row],[IRR]]*Table1[[#This Row],[Coupon Frequency2]]</f>
        <v>#N/A</v>
      </c>
      <c r="AM1287" s="5" t="e">
        <f t="shared" si="82"/>
        <v>#N/A</v>
      </c>
      <c r="AN1287" t="s">
        <v>64</v>
      </c>
      <c r="AO1287" t="s">
        <v>62</v>
      </c>
      <c r="AP1287" t="str">
        <f t="shared" si="83"/>
        <v/>
      </c>
    </row>
    <row r="1288" spans="4:42" x14ac:dyDescent="0.35">
      <c r="D1288" s="21"/>
      <c r="E1288" s="21"/>
      <c r="L1288" s="22"/>
      <c r="S1288">
        <f t="shared" si="80"/>
        <v>0</v>
      </c>
      <c r="T1288" s="5" t="e" cm="1">
        <f t="array" ref="T12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8" t="e">
        <f>Table1[[#This Row],[Term to Maturity (Years)]]*Table1[[#This Row],[Coupon Frequency2]]</f>
        <v>#N/A</v>
      </c>
      <c r="V1288">
        <f>Table1[[#This Row],[Face value]]*Table1[[#This Row],[Current coupon %]]</f>
        <v>0</v>
      </c>
      <c r="W1288" s="36" t="e">
        <f>RATE(Table1[[#This Row],[Total No. of Coupons]],Table1[[#This Row],[Coupon Amount]],-Table1[[#This Row],[Ask Price]],Table1[[#This Row],[Face value]])</f>
        <v>#N/A</v>
      </c>
      <c r="X1288" s="27" t="e">
        <f>Table1[[#This Row],[IRR]]*Table1[[#This Row],[Coupon Frequency2]]</f>
        <v>#N/A</v>
      </c>
      <c r="Y1288" s="19" t="e" cm="1">
        <f t="array" ref="Y12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8" s="33" t="e">
        <f>DURATION(Table1[[#This Row],[Issue date]],Table1[[#This Row],[Maturity date]],Table1[[#This Row],[Current coupon %]],Table1[[#This Row],[Yield (Annualised)]],Table1[[#This Row],[Coupon Frequency2]])</f>
        <v>#N/A</v>
      </c>
      <c r="AA1288" s="33" t="e">
        <f>Table1[[#This Row],[Macaulay Duration in Years]]/(1+Table1[[#This Row],[IRR]])</f>
        <v>#N/A</v>
      </c>
      <c r="AB1288" s="58" t="e">
        <f>VLOOKUP(Table1[[#This Row],[Yield Cluster]],'Cluster Details'!$B$3:$C$16,2,0)</f>
        <v>#N/A</v>
      </c>
      <c r="AC12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8" s="58" t="e">
        <f>IF(Table1[[#This Row],[Ask Price]]&gt;Table1[[#This Row],[Calculated Bond Price]],"Rich","Cheap")</f>
        <v>#N/A</v>
      </c>
      <c r="AE12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8" s="78" t="e">
        <f>(Table1[[#This Row],[P (+ shock)]]+Table1[[#This Row],[P (-shock)]]-2*Table1[[#This Row],[Ask Price]])/(2*Table1[[#This Row],[Ask Price]]*($AF$2^2))</f>
        <v>#N/A</v>
      </c>
      <c r="AH1288">
        <v>7.4135877936899703</v>
      </c>
      <c r="AI1288" s="6" t="e">
        <f t="shared" si="81"/>
        <v>#DIV/0!</v>
      </c>
      <c r="AK1288" s="47" t="e">
        <f>RATE(Table1[[#This Row],[Total No. of Coupons]],Table1[[#This Row],[Coupon Amount]],-Table1[[#This Row],[Ask Price]],Table1[[#This Row],[Face value]])</f>
        <v>#N/A</v>
      </c>
      <c r="AL1288" s="27" t="e">
        <f>Table1[[#This Row],[IRR]]*Table1[[#This Row],[Coupon Frequency2]]</f>
        <v>#N/A</v>
      </c>
      <c r="AM1288" s="5" t="e">
        <f t="shared" si="82"/>
        <v>#N/A</v>
      </c>
      <c r="AN1288" t="s">
        <v>64</v>
      </c>
      <c r="AO1288" t="s">
        <v>62</v>
      </c>
      <c r="AP1288" t="str">
        <f t="shared" si="83"/>
        <v/>
      </c>
    </row>
    <row r="1289" spans="4:42" x14ac:dyDescent="0.35">
      <c r="D1289" s="21"/>
      <c r="E1289" s="21"/>
      <c r="L1289" s="22"/>
      <c r="S1289">
        <f t="shared" si="80"/>
        <v>0</v>
      </c>
      <c r="T1289" s="5" t="e" cm="1">
        <f t="array" ref="T12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89" t="e">
        <f>Table1[[#This Row],[Term to Maturity (Years)]]*Table1[[#This Row],[Coupon Frequency2]]</f>
        <v>#N/A</v>
      </c>
      <c r="V1289">
        <f>Table1[[#This Row],[Face value]]*Table1[[#This Row],[Current coupon %]]</f>
        <v>0</v>
      </c>
      <c r="W1289" s="36" t="e">
        <f>RATE(Table1[[#This Row],[Total No. of Coupons]],Table1[[#This Row],[Coupon Amount]],-Table1[[#This Row],[Ask Price]],Table1[[#This Row],[Face value]])</f>
        <v>#N/A</v>
      </c>
      <c r="X1289" s="27" t="e">
        <f>Table1[[#This Row],[IRR]]*Table1[[#This Row],[Coupon Frequency2]]</f>
        <v>#N/A</v>
      </c>
      <c r="Y1289" s="19" t="e" cm="1">
        <f t="array" ref="Y12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89" s="33" t="e">
        <f>DURATION(Table1[[#This Row],[Issue date]],Table1[[#This Row],[Maturity date]],Table1[[#This Row],[Current coupon %]],Table1[[#This Row],[Yield (Annualised)]],Table1[[#This Row],[Coupon Frequency2]])</f>
        <v>#N/A</v>
      </c>
      <c r="AA1289" s="33" t="e">
        <f>Table1[[#This Row],[Macaulay Duration in Years]]/(1+Table1[[#This Row],[IRR]])</f>
        <v>#N/A</v>
      </c>
      <c r="AB1289" s="58" t="e">
        <f>VLOOKUP(Table1[[#This Row],[Yield Cluster]],'Cluster Details'!$B$3:$C$16,2,0)</f>
        <v>#N/A</v>
      </c>
      <c r="AC12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89" s="58" t="e">
        <f>IF(Table1[[#This Row],[Ask Price]]&gt;Table1[[#This Row],[Calculated Bond Price]],"Rich","Cheap")</f>
        <v>#N/A</v>
      </c>
      <c r="AE12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89" s="78" t="e">
        <f>(Table1[[#This Row],[P (+ shock)]]+Table1[[#This Row],[P (-shock)]]-2*Table1[[#This Row],[Ask Price]])/(2*Table1[[#This Row],[Ask Price]]*($AF$2^2))</f>
        <v>#N/A</v>
      </c>
      <c r="AI1289" s="6" t="e">
        <f t="shared" si="81"/>
        <v>#DIV/0!</v>
      </c>
      <c r="AK1289" s="47" t="e">
        <f>RATE(Table1[[#This Row],[Total No. of Coupons]],Table1[[#This Row],[Coupon Amount]],-Table1[[#This Row],[Ask Price]],Table1[[#This Row],[Face value]])</f>
        <v>#N/A</v>
      </c>
      <c r="AL1289" s="27" t="e">
        <f>Table1[[#This Row],[IRR]]*Table1[[#This Row],[Coupon Frequency2]]</f>
        <v>#N/A</v>
      </c>
      <c r="AM1289" s="5" t="e">
        <f t="shared" si="82"/>
        <v>#N/A</v>
      </c>
      <c r="AN1289" t="s">
        <v>64</v>
      </c>
      <c r="AO1289" t="s">
        <v>62</v>
      </c>
      <c r="AP1289" t="str">
        <f t="shared" si="83"/>
        <v/>
      </c>
    </row>
    <row r="1290" spans="4:42" x14ac:dyDescent="0.35">
      <c r="D1290" s="21"/>
      <c r="E1290" s="21"/>
      <c r="L1290" s="22"/>
      <c r="S1290">
        <f t="shared" si="80"/>
        <v>0</v>
      </c>
      <c r="T1290" s="5" t="e" cm="1">
        <f t="array" ref="T12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0" t="e">
        <f>Table1[[#This Row],[Term to Maturity (Years)]]*Table1[[#This Row],[Coupon Frequency2]]</f>
        <v>#N/A</v>
      </c>
      <c r="V1290">
        <f>Table1[[#This Row],[Face value]]*Table1[[#This Row],[Current coupon %]]</f>
        <v>0</v>
      </c>
      <c r="W1290" s="36" t="e">
        <f>RATE(Table1[[#This Row],[Total No. of Coupons]],Table1[[#This Row],[Coupon Amount]],-Table1[[#This Row],[Ask Price]],Table1[[#This Row],[Face value]])</f>
        <v>#N/A</v>
      </c>
      <c r="X1290" s="27" t="e">
        <f>Table1[[#This Row],[IRR]]*Table1[[#This Row],[Coupon Frequency2]]</f>
        <v>#N/A</v>
      </c>
      <c r="Y1290" s="19" t="e" cm="1">
        <f t="array" ref="Y12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0" s="33" t="e">
        <f>DURATION(Table1[[#This Row],[Issue date]],Table1[[#This Row],[Maturity date]],Table1[[#This Row],[Current coupon %]],Table1[[#This Row],[Yield (Annualised)]],Table1[[#This Row],[Coupon Frequency2]])</f>
        <v>#N/A</v>
      </c>
      <c r="AA1290" s="33" t="e">
        <f>Table1[[#This Row],[Macaulay Duration in Years]]/(1+Table1[[#This Row],[IRR]])</f>
        <v>#N/A</v>
      </c>
      <c r="AB1290" s="58" t="e">
        <f>VLOOKUP(Table1[[#This Row],[Yield Cluster]],'Cluster Details'!$B$3:$C$16,2,0)</f>
        <v>#N/A</v>
      </c>
      <c r="AC12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0" s="58" t="e">
        <f>IF(Table1[[#This Row],[Ask Price]]&gt;Table1[[#This Row],[Calculated Bond Price]],"Rich","Cheap")</f>
        <v>#N/A</v>
      </c>
      <c r="AE12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0" s="78" t="e">
        <f>(Table1[[#This Row],[P (+ shock)]]+Table1[[#This Row],[P (-shock)]]-2*Table1[[#This Row],[Ask Price]])/(2*Table1[[#This Row],[Ask Price]]*($AF$2^2))</f>
        <v>#N/A</v>
      </c>
      <c r="AH1290">
        <v>6.3861404169044098</v>
      </c>
      <c r="AI1290" s="6" t="e">
        <f t="shared" si="81"/>
        <v>#DIV/0!</v>
      </c>
      <c r="AK1290" s="47" t="e">
        <f>RATE(Table1[[#This Row],[Total No. of Coupons]],Table1[[#This Row],[Coupon Amount]],-Table1[[#This Row],[Ask Price]],Table1[[#This Row],[Face value]])</f>
        <v>#N/A</v>
      </c>
      <c r="AL1290" s="27" t="e">
        <f>Table1[[#This Row],[IRR]]*Table1[[#This Row],[Coupon Frequency2]]</f>
        <v>#N/A</v>
      </c>
      <c r="AM1290" s="5" t="e">
        <f t="shared" si="82"/>
        <v>#N/A</v>
      </c>
      <c r="AN1290" t="s">
        <v>64</v>
      </c>
      <c r="AO1290" t="s">
        <v>62</v>
      </c>
      <c r="AP1290" t="str">
        <f t="shared" si="83"/>
        <v/>
      </c>
    </row>
    <row r="1291" spans="4:42" x14ac:dyDescent="0.35">
      <c r="D1291" s="21"/>
      <c r="E1291" s="21"/>
      <c r="L1291" s="22"/>
      <c r="S1291">
        <f t="shared" si="80"/>
        <v>0</v>
      </c>
      <c r="T1291" s="5" t="e" cm="1">
        <f t="array" ref="T12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1" t="e">
        <f>Table1[[#This Row],[Term to Maturity (Years)]]*Table1[[#This Row],[Coupon Frequency2]]</f>
        <v>#N/A</v>
      </c>
      <c r="V1291">
        <f>Table1[[#This Row],[Face value]]*Table1[[#This Row],[Current coupon %]]</f>
        <v>0</v>
      </c>
      <c r="W1291" s="36" t="e">
        <f>RATE(Table1[[#This Row],[Total No. of Coupons]],Table1[[#This Row],[Coupon Amount]],-Table1[[#This Row],[Ask Price]],Table1[[#This Row],[Face value]])</f>
        <v>#N/A</v>
      </c>
      <c r="X1291" s="27" t="e">
        <f>Table1[[#This Row],[IRR]]*Table1[[#This Row],[Coupon Frequency2]]</f>
        <v>#N/A</v>
      </c>
      <c r="Y1291" s="19" t="e" cm="1">
        <f t="array" ref="Y12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1" s="33" t="e">
        <f>DURATION(Table1[[#This Row],[Issue date]],Table1[[#This Row],[Maturity date]],Table1[[#This Row],[Current coupon %]],Table1[[#This Row],[Yield (Annualised)]],Table1[[#This Row],[Coupon Frequency2]])</f>
        <v>#N/A</v>
      </c>
      <c r="AA1291" s="33" t="e">
        <f>Table1[[#This Row],[Macaulay Duration in Years]]/(1+Table1[[#This Row],[IRR]])</f>
        <v>#N/A</v>
      </c>
      <c r="AB1291" s="58" t="e">
        <f>VLOOKUP(Table1[[#This Row],[Yield Cluster]],'Cluster Details'!$B$3:$C$16,2,0)</f>
        <v>#N/A</v>
      </c>
      <c r="AC12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1" s="58" t="e">
        <f>IF(Table1[[#This Row],[Ask Price]]&gt;Table1[[#This Row],[Calculated Bond Price]],"Rich","Cheap")</f>
        <v>#N/A</v>
      </c>
      <c r="AE12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1" s="78" t="e">
        <f>(Table1[[#This Row],[P (+ shock)]]+Table1[[#This Row],[P (-shock)]]-2*Table1[[#This Row],[Ask Price]])/(2*Table1[[#This Row],[Ask Price]]*($AF$2^2))</f>
        <v>#N/A</v>
      </c>
      <c r="AI1291" s="6" t="e">
        <f t="shared" si="81"/>
        <v>#DIV/0!</v>
      </c>
      <c r="AK1291" s="47" t="e">
        <f>RATE(Table1[[#This Row],[Total No. of Coupons]],Table1[[#This Row],[Coupon Amount]],-Table1[[#This Row],[Ask Price]],Table1[[#This Row],[Face value]])</f>
        <v>#N/A</v>
      </c>
      <c r="AL1291" s="27" t="e">
        <f>Table1[[#This Row],[IRR]]*Table1[[#This Row],[Coupon Frequency2]]</f>
        <v>#N/A</v>
      </c>
      <c r="AM1291" s="5" t="e">
        <f t="shared" si="82"/>
        <v>#N/A</v>
      </c>
      <c r="AN1291" t="s">
        <v>64</v>
      </c>
      <c r="AO1291" t="s">
        <v>62</v>
      </c>
      <c r="AP1291" t="str">
        <f t="shared" si="83"/>
        <v/>
      </c>
    </row>
    <row r="1292" spans="4:42" x14ac:dyDescent="0.35">
      <c r="D1292" s="21"/>
      <c r="E1292" s="21"/>
      <c r="L1292" s="22"/>
      <c r="S1292">
        <f t="shared" si="80"/>
        <v>0</v>
      </c>
      <c r="T1292" s="5" t="e" cm="1">
        <f t="array" ref="T12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2" t="e">
        <f>Table1[[#This Row],[Term to Maturity (Years)]]*Table1[[#This Row],[Coupon Frequency2]]</f>
        <v>#N/A</v>
      </c>
      <c r="V1292">
        <f>Table1[[#This Row],[Face value]]*Table1[[#This Row],[Current coupon %]]</f>
        <v>0</v>
      </c>
      <c r="W1292" s="36" t="e">
        <f>RATE(Table1[[#This Row],[Total No. of Coupons]],Table1[[#This Row],[Coupon Amount]],-Table1[[#This Row],[Ask Price]],Table1[[#This Row],[Face value]])</f>
        <v>#N/A</v>
      </c>
      <c r="X1292" s="27" t="e">
        <f>Table1[[#This Row],[IRR]]*Table1[[#This Row],[Coupon Frequency2]]</f>
        <v>#N/A</v>
      </c>
      <c r="Y1292" s="19" t="e" cm="1">
        <f t="array" ref="Y12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2" s="33" t="e">
        <f>DURATION(Table1[[#This Row],[Issue date]],Table1[[#This Row],[Maturity date]],Table1[[#This Row],[Current coupon %]],Table1[[#This Row],[Yield (Annualised)]],Table1[[#This Row],[Coupon Frequency2]])</f>
        <v>#N/A</v>
      </c>
      <c r="AA1292" s="33" t="e">
        <f>Table1[[#This Row],[Macaulay Duration in Years]]/(1+Table1[[#This Row],[IRR]])</f>
        <v>#N/A</v>
      </c>
      <c r="AB1292" s="58" t="e">
        <f>VLOOKUP(Table1[[#This Row],[Yield Cluster]],'Cluster Details'!$B$3:$C$16,2,0)</f>
        <v>#N/A</v>
      </c>
      <c r="AC12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2" s="58" t="e">
        <f>IF(Table1[[#This Row],[Ask Price]]&gt;Table1[[#This Row],[Calculated Bond Price]],"Rich","Cheap")</f>
        <v>#N/A</v>
      </c>
      <c r="AE12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2" s="78" t="e">
        <f>(Table1[[#This Row],[P (+ shock)]]+Table1[[#This Row],[P (-shock)]]-2*Table1[[#This Row],[Ask Price]])/(2*Table1[[#This Row],[Ask Price]]*($AF$2^2))</f>
        <v>#N/A</v>
      </c>
      <c r="AH1292">
        <v>8.4272758726831594</v>
      </c>
      <c r="AI1292" s="6" t="e">
        <f t="shared" si="81"/>
        <v>#DIV/0!</v>
      </c>
      <c r="AK1292" s="47" t="e">
        <f>RATE(Table1[[#This Row],[Total No. of Coupons]],Table1[[#This Row],[Coupon Amount]],-Table1[[#This Row],[Ask Price]],Table1[[#This Row],[Face value]])</f>
        <v>#N/A</v>
      </c>
      <c r="AL1292" s="27" t="e">
        <f>Table1[[#This Row],[IRR]]*Table1[[#This Row],[Coupon Frequency2]]</f>
        <v>#N/A</v>
      </c>
      <c r="AM1292" s="5" t="e">
        <f t="shared" si="82"/>
        <v>#N/A</v>
      </c>
      <c r="AN1292" t="s">
        <v>64</v>
      </c>
      <c r="AO1292" t="s">
        <v>62</v>
      </c>
      <c r="AP1292" t="str">
        <f t="shared" si="83"/>
        <v/>
      </c>
    </row>
    <row r="1293" spans="4:42" x14ac:dyDescent="0.35">
      <c r="D1293" s="21"/>
      <c r="E1293" s="21"/>
      <c r="L1293" s="22"/>
      <c r="S1293">
        <f t="shared" si="80"/>
        <v>0</v>
      </c>
      <c r="T1293" s="5" t="e" cm="1">
        <f t="array" ref="T12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3" t="e">
        <f>Table1[[#This Row],[Term to Maturity (Years)]]*Table1[[#This Row],[Coupon Frequency2]]</f>
        <v>#N/A</v>
      </c>
      <c r="V1293">
        <f>Table1[[#This Row],[Face value]]*Table1[[#This Row],[Current coupon %]]</f>
        <v>0</v>
      </c>
      <c r="W1293" s="36" t="e">
        <f>RATE(Table1[[#This Row],[Total No. of Coupons]],Table1[[#This Row],[Coupon Amount]],-Table1[[#This Row],[Ask Price]],Table1[[#This Row],[Face value]])</f>
        <v>#N/A</v>
      </c>
      <c r="X1293" s="27" t="e">
        <f>Table1[[#This Row],[IRR]]*Table1[[#This Row],[Coupon Frequency2]]</f>
        <v>#N/A</v>
      </c>
      <c r="Y1293" s="19" t="e" cm="1">
        <f t="array" ref="Y12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3" s="33" t="e">
        <f>DURATION(Table1[[#This Row],[Issue date]],Table1[[#This Row],[Maturity date]],Table1[[#This Row],[Current coupon %]],Table1[[#This Row],[Yield (Annualised)]],Table1[[#This Row],[Coupon Frequency2]])</f>
        <v>#N/A</v>
      </c>
      <c r="AA1293" s="33" t="e">
        <f>Table1[[#This Row],[Macaulay Duration in Years]]/(1+Table1[[#This Row],[IRR]])</f>
        <v>#N/A</v>
      </c>
      <c r="AB1293" s="58" t="e">
        <f>VLOOKUP(Table1[[#This Row],[Yield Cluster]],'Cluster Details'!$B$3:$C$16,2,0)</f>
        <v>#N/A</v>
      </c>
      <c r="AC12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3" s="58" t="e">
        <f>IF(Table1[[#This Row],[Ask Price]]&gt;Table1[[#This Row],[Calculated Bond Price]],"Rich","Cheap")</f>
        <v>#N/A</v>
      </c>
      <c r="AE12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3" s="78" t="e">
        <f>(Table1[[#This Row],[P (+ shock)]]+Table1[[#This Row],[P (-shock)]]-2*Table1[[#This Row],[Ask Price]])/(2*Table1[[#This Row],[Ask Price]]*($AF$2^2))</f>
        <v>#N/A</v>
      </c>
      <c r="AI1293" s="6" t="e">
        <f t="shared" si="81"/>
        <v>#DIV/0!</v>
      </c>
      <c r="AK1293" s="47" t="e">
        <f>RATE(Table1[[#This Row],[Total No. of Coupons]],Table1[[#This Row],[Coupon Amount]],-Table1[[#This Row],[Ask Price]],Table1[[#This Row],[Face value]])</f>
        <v>#N/A</v>
      </c>
      <c r="AL1293" s="27" t="e">
        <f>Table1[[#This Row],[IRR]]*Table1[[#This Row],[Coupon Frequency2]]</f>
        <v>#N/A</v>
      </c>
      <c r="AM1293" s="5" t="e">
        <f t="shared" si="82"/>
        <v>#N/A</v>
      </c>
      <c r="AN1293" t="s">
        <v>69</v>
      </c>
      <c r="AO1293" t="s">
        <v>62</v>
      </c>
      <c r="AP1293" t="str">
        <f t="shared" si="83"/>
        <v/>
      </c>
    </row>
    <row r="1294" spans="4:42" x14ac:dyDescent="0.35">
      <c r="D1294" s="21"/>
      <c r="E1294" s="21"/>
      <c r="L1294" s="22"/>
      <c r="S1294">
        <f t="shared" si="80"/>
        <v>0</v>
      </c>
      <c r="T1294" s="5" t="e" cm="1">
        <f t="array" ref="T12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4" t="e">
        <f>Table1[[#This Row],[Term to Maturity (Years)]]*Table1[[#This Row],[Coupon Frequency2]]</f>
        <v>#N/A</v>
      </c>
      <c r="V1294">
        <f>Table1[[#This Row],[Face value]]*Table1[[#This Row],[Current coupon %]]</f>
        <v>0</v>
      </c>
      <c r="W1294" s="36" t="e">
        <f>RATE(Table1[[#This Row],[Total No. of Coupons]],Table1[[#This Row],[Coupon Amount]],-Table1[[#This Row],[Ask Price]],Table1[[#This Row],[Face value]])</f>
        <v>#N/A</v>
      </c>
      <c r="X1294" s="27" t="e">
        <f>Table1[[#This Row],[IRR]]*Table1[[#This Row],[Coupon Frequency2]]</f>
        <v>#N/A</v>
      </c>
      <c r="Y1294" s="19" t="e" cm="1">
        <f t="array" ref="Y12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4" s="33" t="e">
        <f>DURATION(Table1[[#This Row],[Issue date]],Table1[[#This Row],[Maturity date]],Table1[[#This Row],[Current coupon %]],Table1[[#This Row],[Yield (Annualised)]],Table1[[#This Row],[Coupon Frequency2]])</f>
        <v>#N/A</v>
      </c>
      <c r="AA1294" s="33" t="e">
        <f>Table1[[#This Row],[Macaulay Duration in Years]]/(1+Table1[[#This Row],[IRR]])</f>
        <v>#N/A</v>
      </c>
      <c r="AB1294" s="58" t="e">
        <f>VLOOKUP(Table1[[#This Row],[Yield Cluster]],'Cluster Details'!$B$3:$C$16,2,0)</f>
        <v>#N/A</v>
      </c>
      <c r="AC12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4" s="58" t="e">
        <f>IF(Table1[[#This Row],[Ask Price]]&gt;Table1[[#This Row],[Calculated Bond Price]],"Rich","Cheap")</f>
        <v>#N/A</v>
      </c>
      <c r="AE12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4" s="78" t="e">
        <f>(Table1[[#This Row],[P (+ shock)]]+Table1[[#This Row],[P (-shock)]]-2*Table1[[#This Row],[Ask Price]])/(2*Table1[[#This Row],[Ask Price]]*($AF$2^2))</f>
        <v>#N/A</v>
      </c>
      <c r="AI1294" s="6" t="e">
        <f t="shared" si="81"/>
        <v>#DIV/0!</v>
      </c>
      <c r="AK1294" s="47" t="e">
        <f>RATE(Table1[[#This Row],[Total No. of Coupons]],Table1[[#This Row],[Coupon Amount]],-Table1[[#This Row],[Ask Price]],Table1[[#This Row],[Face value]])</f>
        <v>#N/A</v>
      </c>
      <c r="AL1294" s="27" t="e">
        <f>Table1[[#This Row],[IRR]]*Table1[[#This Row],[Coupon Frequency2]]</f>
        <v>#N/A</v>
      </c>
      <c r="AM1294" s="5" t="e">
        <f t="shared" si="82"/>
        <v>#N/A</v>
      </c>
      <c r="AN1294" t="s">
        <v>69</v>
      </c>
      <c r="AO1294" t="s">
        <v>62</v>
      </c>
      <c r="AP1294" t="str">
        <f t="shared" si="83"/>
        <v/>
      </c>
    </row>
    <row r="1295" spans="4:42" x14ac:dyDescent="0.35">
      <c r="D1295" s="21"/>
      <c r="E1295" s="21"/>
      <c r="L1295" s="22"/>
      <c r="S1295">
        <f t="shared" si="80"/>
        <v>0</v>
      </c>
      <c r="T1295" s="5" t="e" cm="1">
        <f t="array" ref="T12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5" t="e">
        <f>Table1[[#This Row],[Term to Maturity (Years)]]*Table1[[#This Row],[Coupon Frequency2]]</f>
        <v>#N/A</v>
      </c>
      <c r="V1295">
        <f>Table1[[#This Row],[Face value]]*Table1[[#This Row],[Current coupon %]]</f>
        <v>0</v>
      </c>
      <c r="W1295" s="36" t="e">
        <f>RATE(Table1[[#This Row],[Total No. of Coupons]],Table1[[#This Row],[Coupon Amount]],-Table1[[#This Row],[Ask Price]],Table1[[#This Row],[Face value]])</f>
        <v>#N/A</v>
      </c>
      <c r="X1295" s="27" t="e">
        <f>Table1[[#This Row],[IRR]]*Table1[[#This Row],[Coupon Frequency2]]</f>
        <v>#N/A</v>
      </c>
      <c r="Y1295" s="19" t="e" cm="1">
        <f t="array" ref="Y12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5" s="33" t="e">
        <f>DURATION(Table1[[#This Row],[Issue date]],Table1[[#This Row],[Maturity date]],Table1[[#This Row],[Current coupon %]],Table1[[#This Row],[Yield (Annualised)]],Table1[[#This Row],[Coupon Frequency2]])</f>
        <v>#N/A</v>
      </c>
      <c r="AA1295" s="33" t="e">
        <f>Table1[[#This Row],[Macaulay Duration in Years]]/(1+Table1[[#This Row],[IRR]])</f>
        <v>#N/A</v>
      </c>
      <c r="AB1295" s="58" t="e">
        <f>VLOOKUP(Table1[[#This Row],[Yield Cluster]],'Cluster Details'!$B$3:$C$16,2,0)</f>
        <v>#N/A</v>
      </c>
      <c r="AC12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5" s="58" t="e">
        <f>IF(Table1[[#This Row],[Ask Price]]&gt;Table1[[#This Row],[Calculated Bond Price]],"Rich","Cheap")</f>
        <v>#N/A</v>
      </c>
      <c r="AE12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5" s="78" t="e">
        <f>(Table1[[#This Row],[P (+ shock)]]+Table1[[#This Row],[P (-shock)]]-2*Table1[[#This Row],[Ask Price]])/(2*Table1[[#This Row],[Ask Price]]*($AF$2^2))</f>
        <v>#N/A</v>
      </c>
      <c r="AI1295" s="6" t="e">
        <f t="shared" si="81"/>
        <v>#DIV/0!</v>
      </c>
      <c r="AK1295" s="47" t="e">
        <f>RATE(Table1[[#This Row],[Total No. of Coupons]],Table1[[#This Row],[Coupon Amount]],-Table1[[#This Row],[Ask Price]],Table1[[#This Row],[Face value]])</f>
        <v>#N/A</v>
      </c>
      <c r="AL1295" s="27" t="e">
        <f>Table1[[#This Row],[IRR]]*Table1[[#This Row],[Coupon Frequency2]]</f>
        <v>#N/A</v>
      </c>
      <c r="AM1295" s="5" t="e">
        <f t="shared" si="82"/>
        <v>#N/A</v>
      </c>
      <c r="AN1295" t="s">
        <v>64</v>
      </c>
      <c r="AO1295" t="s">
        <v>62</v>
      </c>
      <c r="AP1295" t="str">
        <f t="shared" si="83"/>
        <v/>
      </c>
    </row>
    <row r="1296" spans="4:42" x14ac:dyDescent="0.35">
      <c r="D1296" s="21"/>
      <c r="E1296" s="21"/>
      <c r="L1296" s="22"/>
      <c r="S1296">
        <f t="shared" si="80"/>
        <v>0</v>
      </c>
      <c r="T1296" s="5" t="e" cm="1">
        <f t="array" ref="T12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6" t="e">
        <f>Table1[[#This Row],[Term to Maturity (Years)]]*Table1[[#This Row],[Coupon Frequency2]]</f>
        <v>#N/A</v>
      </c>
      <c r="V1296">
        <f>Table1[[#This Row],[Face value]]*Table1[[#This Row],[Current coupon %]]</f>
        <v>0</v>
      </c>
      <c r="W1296" s="36" t="e">
        <f>RATE(Table1[[#This Row],[Total No. of Coupons]],Table1[[#This Row],[Coupon Amount]],-Table1[[#This Row],[Ask Price]],Table1[[#This Row],[Face value]])</f>
        <v>#N/A</v>
      </c>
      <c r="X1296" s="27" t="e">
        <f>Table1[[#This Row],[IRR]]*Table1[[#This Row],[Coupon Frequency2]]</f>
        <v>#N/A</v>
      </c>
      <c r="Y1296" s="19" t="e" cm="1">
        <f t="array" ref="Y12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6" s="33" t="e">
        <f>DURATION(Table1[[#This Row],[Issue date]],Table1[[#This Row],[Maturity date]],Table1[[#This Row],[Current coupon %]],Table1[[#This Row],[Yield (Annualised)]],Table1[[#This Row],[Coupon Frequency2]])</f>
        <v>#N/A</v>
      </c>
      <c r="AA1296" s="33" t="e">
        <f>Table1[[#This Row],[Macaulay Duration in Years]]/(1+Table1[[#This Row],[IRR]])</f>
        <v>#N/A</v>
      </c>
      <c r="AB1296" s="58" t="e">
        <f>VLOOKUP(Table1[[#This Row],[Yield Cluster]],'Cluster Details'!$B$3:$C$16,2,0)</f>
        <v>#N/A</v>
      </c>
      <c r="AC12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6" s="58" t="e">
        <f>IF(Table1[[#This Row],[Ask Price]]&gt;Table1[[#This Row],[Calculated Bond Price]],"Rich","Cheap")</f>
        <v>#N/A</v>
      </c>
      <c r="AE12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6" s="78" t="e">
        <f>(Table1[[#This Row],[P (+ shock)]]+Table1[[#This Row],[P (-shock)]]-2*Table1[[#This Row],[Ask Price]])/(2*Table1[[#This Row],[Ask Price]]*($AF$2^2))</f>
        <v>#N/A</v>
      </c>
      <c r="AI1296" s="6" t="e">
        <f t="shared" si="81"/>
        <v>#DIV/0!</v>
      </c>
      <c r="AK1296" s="47" t="e">
        <f>RATE(Table1[[#This Row],[Total No. of Coupons]],Table1[[#This Row],[Coupon Amount]],-Table1[[#This Row],[Ask Price]],Table1[[#This Row],[Face value]])</f>
        <v>#N/A</v>
      </c>
      <c r="AL1296" s="27" t="e">
        <f>Table1[[#This Row],[IRR]]*Table1[[#This Row],[Coupon Frequency2]]</f>
        <v>#N/A</v>
      </c>
      <c r="AM1296" s="5" t="e">
        <f t="shared" si="82"/>
        <v>#N/A</v>
      </c>
      <c r="AN1296" t="s">
        <v>64</v>
      </c>
      <c r="AO1296" t="s">
        <v>62</v>
      </c>
      <c r="AP1296" t="str">
        <f t="shared" si="83"/>
        <v/>
      </c>
    </row>
    <row r="1297" spans="4:42" x14ac:dyDescent="0.35">
      <c r="D1297" s="21"/>
      <c r="E1297" s="21"/>
      <c r="L1297" s="22"/>
      <c r="S1297">
        <f t="shared" si="80"/>
        <v>0</v>
      </c>
      <c r="T1297" s="5" t="e" cm="1">
        <f t="array" ref="T12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7" t="e">
        <f>Table1[[#This Row],[Term to Maturity (Years)]]*Table1[[#This Row],[Coupon Frequency2]]</f>
        <v>#N/A</v>
      </c>
      <c r="V1297">
        <f>Table1[[#This Row],[Face value]]*Table1[[#This Row],[Current coupon %]]</f>
        <v>0</v>
      </c>
      <c r="W1297" s="36" t="e">
        <f>RATE(Table1[[#This Row],[Total No. of Coupons]],Table1[[#This Row],[Coupon Amount]],-Table1[[#This Row],[Ask Price]],Table1[[#This Row],[Face value]])</f>
        <v>#N/A</v>
      </c>
      <c r="X1297" s="27" t="e">
        <f>Table1[[#This Row],[IRR]]*Table1[[#This Row],[Coupon Frequency2]]</f>
        <v>#N/A</v>
      </c>
      <c r="Y1297" s="19" t="e" cm="1">
        <f t="array" ref="Y12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7" s="33" t="e">
        <f>DURATION(Table1[[#This Row],[Issue date]],Table1[[#This Row],[Maturity date]],Table1[[#This Row],[Current coupon %]],Table1[[#This Row],[Yield (Annualised)]],Table1[[#This Row],[Coupon Frequency2]])</f>
        <v>#N/A</v>
      </c>
      <c r="AA1297" s="33" t="e">
        <f>Table1[[#This Row],[Macaulay Duration in Years]]/(1+Table1[[#This Row],[IRR]])</f>
        <v>#N/A</v>
      </c>
      <c r="AB1297" s="58" t="e">
        <f>VLOOKUP(Table1[[#This Row],[Yield Cluster]],'Cluster Details'!$B$3:$C$16,2,0)</f>
        <v>#N/A</v>
      </c>
      <c r="AC12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7" s="58" t="e">
        <f>IF(Table1[[#This Row],[Ask Price]]&gt;Table1[[#This Row],[Calculated Bond Price]],"Rich","Cheap")</f>
        <v>#N/A</v>
      </c>
      <c r="AE12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7" s="78" t="e">
        <f>(Table1[[#This Row],[P (+ shock)]]+Table1[[#This Row],[P (-shock)]]-2*Table1[[#This Row],[Ask Price]])/(2*Table1[[#This Row],[Ask Price]]*($AF$2^2))</f>
        <v>#N/A</v>
      </c>
      <c r="AI1297" s="6" t="e">
        <f t="shared" si="81"/>
        <v>#DIV/0!</v>
      </c>
      <c r="AK1297" s="47" t="e">
        <f>RATE(Table1[[#This Row],[Total No. of Coupons]],Table1[[#This Row],[Coupon Amount]],-Table1[[#This Row],[Ask Price]],Table1[[#This Row],[Face value]])</f>
        <v>#N/A</v>
      </c>
      <c r="AL1297" s="27" t="e">
        <f>Table1[[#This Row],[IRR]]*Table1[[#This Row],[Coupon Frequency2]]</f>
        <v>#N/A</v>
      </c>
      <c r="AM1297" s="5" t="e">
        <f t="shared" si="82"/>
        <v>#N/A</v>
      </c>
      <c r="AN1297" t="s">
        <v>64</v>
      </c>
      <c r="AO1297" t="s">
        <v>62</v>
      </c>
      <c r="AP1297" t="str">
        <f t="shared" si="83"/>
        <v/>
      </c>
    </row>
    <row r="1298" spans="4:42" x14ac:dyDescent="0.35">
      <c r="D1298" s="21"/>
      <c r="E1298" s="21"/>
      <c r="L1298" s="22"/>
      <c r="S1298">
        <f t="shared" si="80"/>
        <v>0</v>
      </c>
      <c r="T1298" s="5" t="e" cm="1">
        <f t="array" ref="T12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8" t="e">
        <f>Table1[[#This Row],[Term to Maturity (Years)]]*Table1[[#This Row],[Coupon Frequency2]]</f>
        <v>#N/A</v>
      </c>
      <c r="V1298">
        <f>Table1[[#This Row],[Face value]]*Table1[[#This Row],[Current coupon %]]</f>
        <v>0</v>
      </c>
      <c r="W1298" s="36" t="e">
        <f>RATE(Table1[[#This Row],[Total No. of Coupons]],Table1[[#This Row],[Coupon Amount]],-Table1[[#This Row],[Ask Price]],Table1[[#This Row],[Face value]])</f>
        <v>#N/A</v>
      </c>
      <c r="X1298" s="27" t="e">
        <f>Table1[[#This Row],[IRR]]*Table1[[#This Row],[Coupon Frequency2]]</f>
        <v>#N/A</v>
      </c>
      <c r="Y1298" s="19" t="e" cm="1">
        <f t="array" ref="Y12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8" s="33" t="e">
        <f>DURATION(Table1[[#This Row],[Issue date]],Table1[[#This Row],[Maturity date]],Table1[[#This Row],[Current coupon %]],Table1[[#This Row],[Yield (Annualised)]],Table1[[#This Row],[Coupon Frequency2]])</f>
        <v>#N/A</v>
      </c>
      <c r="AA1298" s="33" t="e">
        <f>Table1[[#This Row],[Macaulay Duration in Years]]/(1+Table1[[#This Row],[IRR]])</f>
        <v>#N/A</v>
      </c>
      <c r="AB1298" s="58" t="e">
        <f>VLOOKUP(Table1[[#This Row],[Yield Cluster]],'Cluster Details'!$B$3:$C$16,2,0)</f>
        <v>#N/A</v>
      </c>
      <c r="AC12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8" s="58" t="e">
        <f>IF(Table1[[#This Row],[Ask Price]]&gt;Table1[[#This Row],[Calculated Bond Price]],"Rich","Cheap")</f>
        <v>#N/A</v>
      </c>
      <c r="AE12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8" s="78" t="e">
        <f>(Table1[[#This Row],[P (+ shock)]]+Table1[[#This Row],[P (-shock)]]-2*Table1[[#This Row],[Ask Price]])/(2*Table1[[#This Row],[Ask Price]]*($AF$2^2))</f>
        <v>#N/A</v>
      </c>
      <c r="AI1298" s="6" t="e">
        <f t="shared" si="81"/>
        <v>#DIV/0!</v>
      </c>
      <c r="AK1298" s="47" t="e">
        <f>RATE(Table1[[#This Row],[Total No. of Coupons]],Table1[[#This Row],[Coupon Amount]],-Table1[[#This Row],[Ask Price]],Table1[[#This Row],[Face value]])</f>
        <v>#N/A</v>
      </c>
      <c r="AL1298" s="27" t="e">
        <f>Table1[[#This Row],[IRR]]*Table1[[#This Row],[Coupon Frequency2]]</f>
        <v>#N/A</v>
      </c>
      <c r="AM1298" s="5" t="e">
        <f t="shared" si="82"/>
        <v>#N/A</v>
      </c>
      <c r="AN1298" t="s">
        <v>69</v>
      </c>
      <c r="AO1298" t="s">
        <v>62</v>
      </c>
      <c r="AP1298" t="str">
        <f t="shared" si="83"/>
        <v/>
      </c>
    </row>
    <row r="1299" spans="4:42" x14ac:dyDescent="0.35">
      <c r="D1299" s="21"/>
      <c r="E1299" s="21"/>
      <c r="L1299" s="22"/>
      <c r="S1299">
        <f t="shared" si="80"/>
        <v>0</v>
      </c>
      <c r="T1299" s="5" t="e" cm="1">
        <f t="array" ref="T12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299" t="e">
        <f>Table1[[#This Row],[Term to Maturity (Years)]]*Table1[[#This Row],[Coupon Frequency2]]</f>
        <v>#N/A</v>
      </c>
      <c r="V1299">
        <f>Table1[[#This Row],[Face value]]*Table1[[#This Row],[Current coupon %]]</f>
        <v>0</v>
      </c>
      <c r="W1299" s="36" t="e">
        <f>RATE(Table1[[#This Row],[Total No. of Coupons]],Table1[[#This Row],[Coupon Amount]],-Table1[[#This Row],[Ask Price]],Table1[[#This Row],[Face value]])</f>
        <v>#N/A</v>
      </c>
      <c r="X1299" s="27" t="e">
        <f>Table1[[#This Row],[IRR]]*Table1[[#This Row],[Coupon Frequency2]]</f>
        <v>#N/A</v>
      </c>
      <c r="Y1299" s="19" t="e" cm="1">
        <f t="array" ref="Y12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299" s="33" t="e">
        <f>DURATION(Table1[[#This Row],[Issue date]],Table1[[#This Row],[Maturity date]],Table1[[#This Row],[Current coupon %]],Table1[[#This Row],[Yield (Annualised)]],Table1[[#This Row],[Coupon Frequency2]])</f>
        <v>#N/A</v>
      </c>
      <c r="AA1299" s="33" t="e">
        <f>Table1[[#This Row],[Macaulay Duration in Years]]/(1+Table1[[#This Row],[IRR]])</f>
        <v>#N/A</v>
      </c>
      <c r="AB1299" s="58" t="e">
        <f>VLOOKUP(Table1[[#This Row],[Yield Cluster]],'Cluster Details'!$B$3:$C$16,2,0)</f>
        <v>#N/A</v>
      </c>
      <c r="AC12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299" s="58" t="e">
        <f>IF(Table1[[#This Row],[Ask Price]]&gt;Table1[[#This Row],[Calculated Bond Price]],"Rich","Cheap")</f>
        <v>#N/A</v>
      </c>
      <c r="AE12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2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299" s="78" t="e">
        <f>(Table1[[#This Row],[P (+ shock)]]+Table1[[#This Row],[P (-shock)]]-2*Table1[[#This Row],[Ask Price]])/(2*Table1[[#This Row],[Ask Price]]*($AF$2^2))</f>
        <v>#N/A</v>
      </c>
      <c r="AI1299" s="6" t="e">
        <f t="shared" si="81"/>
        <v>#DIV/0!</v>
      </c>
      <c r="AK1299" s="47" t="e">
        <f>RATE(Table1[[#This Row],[Total No. of Coupons]],Table1[[#This Row],[Coupon Amount]],-Table1[[#This Row],[Ask Price]],Table1[[#This Row],[Face value]])</f>
        <v>#N/A</v>
      </c>
      <c r="AL1299" s="27" t="e">
        <f>Table1[[#This Row],[IRR]]*Table1[[#This Row],[Coupon Frequency2]]</f>
        <v>#N/A</v>
      </c>
      <c r="AM1299" s="5" t="e">
        <f t="shared" si="82"/>
        <v>#N/A</v>
      </c>
      <c r="AN1299" t="s">
        <v>69</v>
      </c>
      <c r="AO1299" t="s">
        <v>62</v>
      </c>
      <c r="AP1299" t="str">
        <f t="shared" si="83"/>
        <v/>
      </c>
    </row>
    <row r="1300" spans="4:42" x14ac:dyDescent="0.35">
      <c r="D1300" s="21"/>
      <c r="E1300" s="21"/>
      <c r="L1300" s="22"/>
      <c r="S1300">
        <f t="shared" si="80"/>
        <v>0</v>
      </c>
      <c r="T1300" s="5" t="e" cm="1">
        <f t="array" ref="T13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0" t="e">
        <f>Table1[[#This Row],[Term to Maturity (Years)]]*Table1[[#This Row],[Coupon Frequency2]]</f>
        <v>#N/A</v>
      </c>
      <c r="V1300">
        <f>Table1[[#This Row],[Face value]]*Table1[[#This Row],[Current coupon %]]</f>
        <v>0</v>
      </c>
      <c r="W1300" s="36" t="e">
        <f>RATE(Table1[[#This Row],[Total No. of Coupons]],Table1[[#This Row],[Coupon Amount]],-Table1[[#This Row],[Ask Price]],Table1[[#This Row],[Face value]])</f>
        <v>#N/A</v>
      </c>
      <c r="X1300" s="27" t="e">
        <f>Table1[[#This Row],[IRR]]*Table1[[#This Row],[Coupon Frequency2]]</f>
        <v>#N/A</v>
      </c>
      <c r="Y1300" s="19" t="e" cm="1">
        <f t="array" ref="Y13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0" s="33" t="e">
        <f>DURATION(Table1[[#This Row],[Issue date]],Table1[[#This Row],[Maturity date]],Table1[[#This Row],[Current coupon %]],Table1[[#This Row],[Yield (Annualised)]],Table1[[#This Row],[Coupon Frequency2]])</f>
        <v>#N/A</v>
      </c>
      <c r="AA1300" s="33" t="e">
        <f>Table1[[#This Row],[Macaulay Duration in Years]]/(1+Table1[[#This Row],[IRR]])</f>
        <v>#N/A</v>
      </c>
      <c r="AB1300" s="58" t="e">
        <f>VLOOKUP(Table1[[#This Row],[Yield Cluster]],'Cluster Details'!$B$3:$C$16,2,0)</f>
        <v>#N/A</v>
      </c>
      <c r="AC13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0" s="58" t="e">
        <f>IF(Table1[[#This Row],[Ask Price]]&gt;Table1[[#This Row],[Calculated Bond Price]],"Rich","Cheap")</f>
        <v>#N/A</v>
      </c>
      <c r="AE13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0" s="78" t="e">
        <f>(Table1[[#This Row],[P (+ shock)]]+Table1[[#This Row],[P (-shock)]]-2*Table1[[#This Row],[Ask Price]])/(2*Table1[[#This Row],[Ask Price]]*($AF$2^2))</f>
        <v>#N/A</v>
      </c>
      <c r="AI1300" s="6" t="e">
        <f t="shared" si="81"/>
        <v>#DIV/0!</v>
      </c>
      <c r="AK1300" s="47" t="e">
        <f>RATE(Table1[[#This Row],[Total No. of Coupons]],Table1[[#This Row],[Coupon Amount]],-Table1[[#This Row],[Ask Price]],Table1[[#This Row],[Face value]])</f>
        <v>#N/A</v>
      </c>
      <c r="AL1300" s="27" t="e">
        <f>Table1[[#This Row],[IRR]]*Table1[[#This Row],[Coupon Frequency2]]</f>
        <v>#N/A</v>
      </c>
      <c r="AM1300" s="5" t="e">
        <f t="shared" si="82"/>
        <v>#N/A</v>
      </c>
      <c r="AN1300" t="s">
        <v>69</v>
      </c>
      <c r="AO1300" t="s">
        <v>62</v>
      </c>
      <c r="AP1300" t="str">
        <f t="shared" si="83"/>
        <v/>
      </c>
    </row>
    <row r="1301" spans="4:42" x14ac:dyDescent="0.35">
      <c r="D1301" s="21"/>
      <c r="E1301" s="21"/>
      <c r="L1301" s="22"/>
      <c r="S1301">
        <f t="shared" si="80"/>
        <v>0</v>
      </c>
      <c r="T1301" s="5" t="e" cm="1">
        <f t="array" ref="T13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1" t="e">
        <f>Table1[[#This Row],[Term to Maturity (Years)]]*Table1[[#This Row],[Coupon Frequency2]]</f>
        <v>#N/A</v>
      </c>
      <c r="V1301">
        <f>Table1[[#This Row],[Face value]]*Table1[[#This Row],[Current coupon %]]</f>
        <v>0</v>
      </c>
      <c r="W1301" s="36" t="e">
        <f>RATE(Table1[[#This Row],[Total No. of Coupons]],Table1[[#This Row],[Coupon Amount]],-Table1[[#This Row],[Ask Price]],Table1[[#This Row],[Face value]])</f>
        <v>#N/A</v>
      </c>
      <c r="X1301" s="27" t="e">
        <f>Table1[[#This Row],[IRR]]*Table1[[#This Row],[Coupon Frequency2]]</f>
        <v>#N/A</v>
      </c>
      <c r="Y1301" s="19" t="e" cm="1">
        <f t="array" ref="Y13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1" s="33" t="e">
        <f>DURATION(Table1[[#This Row],[Issue date]],Table1[[#This Row],[Maturity date]],Table1[[#This Row],[Current coupon %]],Table1[[#This Row],[Yield (Annualised)]],Table1[[#This Row],[Coupon Frequency2]])</f>
        <v>#N/A</v>
      </c>
      <c r="AA1301" s="33" t="e">
        <f>Table1[[#This Row],[Macaulay Duration in Years]]/(1+Table1[[#This Row],[IRR]])</f>
        <v>#N/A</v>
      </c>
      <c r="AB1301" s="58" t="e">
        <f>VLOOKUP(Table1[[#This Row],[Yield Cluster]],'Cluster Details'!$B$3:$C$16,2,0)</f>
        <v>#N/A</v>
      </c>
      <c r="AC13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1" s="58" t="e">
        <f>IF(Table1[[#This Row],[Ask Price]]&gt;Table1[[#This Row],[Calculated Bond Price]],"Rich","Cheap")</f>
        <v>#N/A</v>
      </c>
      <c r="AE13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1" s="78" t="e">
        <f>(Table1[[#This Row],[P (+ shock)]]+Table1[[#This Row],[P (-shock)]]-2*Table1[[#This Row],[Ask Price]])/(2*Table1[[#This Row],[Ask Price]]*($AF$2^2))</f>
        <v>#N/A</v>
      </c>
      <c r="AI1301" s="6" t="e">
        <f t="shared" si="81"/>
        <v>#DIV/0!</v>
      </c>
      <c r="AK1301" s="47" t="e">
        <f>RATE(Table1[[#This Row],[Total No. of Coupons]],Table1[[#This Row],[Coupon Amount]],-Table1[[#This Row],[Ask Price]],Table1[[#This Row],[Face value]])</f>
        <v>#N/A</v>
      </c>
      <c r="AL1301" s="27" t="e">
        <f>Table1[[#This Row],[IRR]]*Table1[[#This Row],[Coupon Frequency2]]</f>
        <v>#N/A</v>
      </c>
      <c r="AM1301" s="5" t="e">
        <f t="shared" si="82"/>
        <v>#N/A</v>
      </c>
      <c r="AN1301" t="s">
        <v>69</v>
      </c>
      <c r="AO1301" t="s">
        <v>62</v>
      </c>
      <c r="AP1301" t="str">
        <f t="shared" si="83"/>
        <v/>
      </c>
    </row>
    <row r="1302" spans="4:42" x14ac:dyDescent="0.35">
      <c r="D1302" s="21"/>
      <c r="E1302" s="21"/>
      <c r="L1302" s="22"/>
      <c r="S1302">
        <f t="shared" si="80"/>
        <v>0</v>
      </c>
      <c r="T1302" s="5" t="e" cm="1">
        <f t="array" ref="T13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2" t="e">
        <f>Table1[[#This Row],[Term to Maturity (Years)]]*Table1[[#This Row],[Coupon Frequency2]]</f>
        <v>#N/A</v>
      </c>
      <c r="V1302">
        <f>Table1[[#This Row],[Face value]]*Table1[[#This Row],[Current coupon %]]</f>
        <v>0</v>
      </c>
      <c r="W1302" s="36" t="e">
        <f>RATE(Table1[[#This Row],[Total No. of Coupons]],Table1[[#This Row],[Coupon Amount]],-Table1[[#This Row],[Ask Price]],Table1[[#This Row],[Face value]])</f>
        <v>#N/A</v>
      </c>
      <c r="X1302" s="27" t="e">
        <f>Table1[[#This Row],[IRR]]*Table1[[#This Row],[Coupon Frequency2]]</f>
        <v>#N/A</v>
      </c>
      <c r="Y1302" s="19" t="e" cm="1">
        <f t="array" ref="Y13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2" s="33" t="e">
        <f>DURATION(Table1[[#This Row],[Issue date]],Table1[[#This Row],[Maturity date]],Table1[[#This Row],[Current coupon %]],Table1[[#This Row],[Yield (Annualised)]],Table1[[#This Row],[Coupon Frequency2]])</f>
        <v>#N/A</v>
      </c>
      <c r="AA1302" s="33" t="e">
        <f>Table1[[#This Row],[Macaulay Duration in Years]]/(1+Table1[[#This Row],[IRR]])</f>
        <v>#N/A</v>
      </c>
      <c r="AB1302" s="58" t="e">
        <f>VLOOKUP(Table1[[#This Row],[Yield Cluster]],'Cluster Details'!$B$3:$C$16,2,0)</f>
        <v>#N/A</v>
      </c>
      <c r="AC13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2" s="58" t="e">
        <f>IF(Table1[[#This Row],[Ask Price]]&gt;Table1[[#This Row],[Calculated Bond Price]],"Rich","Cheap")</f>
        <v>#N/A</v>
      </c>
      <c r="AE13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2" s="78" t="e">
        <f>(Table1[[#This Row],[P (+ shock)]]+Table1[[#This Row],[P (-shock)]]-2*Table1[[#This Row],[Ask Price]])/(2*Table1[[#This Row],[Ask Price]]*($AF$2^2))</f>
        <v>#N/A</v>
      </c>
      <c r="AI1302" s="6" t="e">
        <f t="shared" si="81"/>
        <v>#DIV/0!</v>
      </c>
      <c r="AK1302" s="47" t="e">
        <f>RATE(Table1[[#This Row],[Total No. of Coupons]],Table1[[#This Row],[Coupon Amount]],-Table1[[#This Row],[Ask Price]],Table1[[#This Row],[Face value]])</f>
        <v>#N/A</v>
      </c>
      <c r="AL1302" s="27" t="e">
        <f>Table1[[#This Row],[IRR]]*Table1[[#This Row],[Coupon Frequency2]]</f>
        <v>#N/A</v>
      </c>
      <c r="AM1302" s="5" t="e">
        <f t="shared" si="82"/>
        <v>#N/A</v>
      </c>
      <c r="AN1302" t="s">
        <v>64</v>
      </c>
      <c r="AO1302" t="s">
        <v>62</v>
      </c>
      <c r="AP1302" t="str">
        <f t="shared" si="83"/>
        <v/>
      </c>
    </row>
    <row r="1303" spans="4:42" x14ac:dyDescent="0.35">
      <c r="D1303" s="21"/>
      <c r="E1303" s="21"/>
      <c r="L1303" s="22"/>
      <c r="S1303">
        <f t="shared" si="80"/>
        <v>0</v>
      </c>
      <c r="T1303" s="5" t="e" cm="1">
        <f t="array" ref="T13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3" t="e">
        <f>Table1[[#This Row],[Term to Maturity (Years)]]*Table1[[#This Row],[Coupon Frequency2]]</f>
        <v>#N/A</v>
      </c>
      <c r="V1303">
        <f>Table1[[#This Row],[Face value]]*Table1[[#This Row],[Current coupon %]]</f>
        <v>0</v>
      </c>
      <c r="W1303" s="36" t="e">
        <f>RATE(Table1[[#This Row],[Total No. of Coupons]],Table1[[#This Row],[Coupon Amount]],-Table1[[#This Row],[Ask Price]],Table1[[#This Row],[Face value]])</f>
        <v>#N/A</v>
      </c>
      <c r="X1303" s="27" t="e">
        <f>Table1[[#This Row],[IRR]]*Table1[[#This Row],[Coupon Frequency2]]</f>
        <v>#N/A</v>
      </c>
      <c r="Y1303" s="19" t="e" cm="1">
        <f t="array" ref="Y13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3" s="33" t="e">
        <f>DURATION(Table1[[#This Row],[Issue date]],Table1[[#This Row],[Maturity date]],Table1[[#This Row],[Current coupon %]],Table1[[#This Row],[Yield (Annualised)]],Table1[[#This Row],[Coupon Frequency2]])</f>
        <v>#N/A</v>
      </c>
      <c r="AA1303" s="33" t="e">
        <f>Table1[[#This Row],[Macaulay Duration in Years]]/(1+Table1[[#This Row],[IRR]])</f>
        <v>#N/A</v>
      </c>
      <c r="AB1303" s="58" t="e">
        <f>VLOOKUP(Table1[[#This Row],[Yield Cluster]],'Cluster Details'!$B$3:$C$16,2,0)</f>
        <v>#N/A</v>
      </c>
      <c r="AC13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3" s="58" t="e">
        <f>IF(Table1[[#This Row],[Ask Price]]&gt;Table1[[#This Row],[Calculated Bond Price]],"Rich","Cheap")</f>
        <v>#N/A</v>
      </c>
      <c r="AE13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3" s="78" t="e">
        <f>(Table1[[#This Row],[P (+ shock)]]+Table1[[#This Row],[P (-shock)]]-2*Table1[[#This Row],[Ask Price]])/(2*Table1[[#This Row],[Ask Price]]*($AF$2^2))</f>
        <v>#N/A</v>
      </c>
      <c r="AH1303">
        <v>9.8230234384848796</v>
      </c>
      <c r="AI1303" s="6" t="e">
        <f t="shared" si="81"/>
        <v>#DIV/0!</v>
      </c>
      <c r="AK1303" s="47" t="e">
        <f>RATE(Table1[[#This Row],[Total No. of Coupons]],Table1[[#This Row],[Coupon Amount]],-Table1[[#This Row],[Ask Price]],Table1[[#This Row],[Face value]])</f>
        <v>#N/A</v>
      </c>
      <c r="AL1303" s="27" t="e">
        <f>Table1[[#This Row],[IRR]]*Table1[[#This Row],[Coupon Frequency2]]</f>
        <v>#N/A</v>
      </c>
      <c r="AM1303" s="5" t="e">
        <f t="shared" si="82"/>
        <v>#N/A</v>
      </c>
      <c r="AN1303" t="s">
        <v>64</v>
      </c>
      <c r="AO1303" t="s">
        <v>62</v>
      </c>
      <c r="AP1303" t="str">
        <f t="shared" si="83"/>
        <v/>
      </c>
    </row>
    <row r="1304" spans="4:42" x14ac:dyDescent="0.35">
      <c r="D1304" s="21"/>
      <c r="E1304" s="21"/>
      <c r="L1304" s="22"/>
      <c r="S1304">
        <f t="shared" si="80"/>
        <v>0</v>
      </c>
      <c r="T1304" s="5" t="e" cm="1">
        <f t="array" ref="T13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4" t="e">
        <f>Table1[[#This Row],[Term to Maturity (Years)]]*Table1[[#This Row],[Coupon Frequency2]]</f>
        <v>#N/A</v>
      </c>
      <c r="V1304">
        <f>Table1[[#This Row],[Face value]]*Table1[[#This Row],[Current coupon %]]</f>
        <v>0</v>
      </c>
      <c r="W1304" s="36" t="e">
        <f>RATE(Table1[[#This Row],[Total No. of Coupons]],Table1[[#This Row],[Coupon Amount]],-Table1[[#This Row],[Ask Price]],Table1[[#This Row],[Face value]])</f>
        <v>#N/A</v>
      </c>
      <c r="X1304" s="27" t="e">
        <f>Table1[[#This Row],[IRR]]*Table1[[#This Row],[Coupon Frequency2]]</f>
        <v>#N/A</v>
      </c>
      <c r="Y1304" s="19" t="e" cm="1">
        <f t="array" ref="Y13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4" s="33" t="e">
        <f>DURATION(Table1[[#This Row],[Issue date]],Table1[[#This Row],[Maturity date]],Table1[[#This Row],[Current coupon %]],Table1[[#This Row],[Yield (Annualised)]],Table1[[#This Row],[Coupon Frequency2]])</f>
        <v>#N/A</v>
      </c>
      <c r="AA1304" s="33" t="e">
        <f>Table1[[#This Row],[Macaulay Duration in Years]]/(1+Table1[[#This Row],[IRR]])</f>
        <v>#N/A</v>
      </c>
      <c r="AB1304" s="58" t="e">
        <f>VLOOKUP(Table1[[#This Row],[Yield Cluster]],'Cluster Details'!$B$3:$C$16,2,0)</f>
        <v>#N/A</v>
      </c>
      <c r="AC13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4" s="58" t="e">
        <f>IF(Table1[[#This Row],[Ask Price]]&gt;Table1[[#This Row],[Calculated Bond Price]],"Rich","Cheap")</f>
        <v>#N/A</v>
      </c>
      <c r="AE13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4" s="78" t="e">
        <f>(Table1[[#This Row],[P (+ shock)]]+Table1[[#This Row],[P (-shock)]]-2*Table1[[#This Row],[Ask Price]])/(2*Table1[[#This Row],[Ask Price]]*($AF$2^2))</f>
        <v>#N/A</v>
      </c>
      <c r="AH1304">
        <v>9.5487593901587999</v>
      </c>
      <c r="AI1304" s="6" t="e">
        <f t="shared" si="81"/>
        <v>#DIV/0!</v>
      </c>
      <c r="AK1304" s="47" t="e">
        <f>RATE(Table1[[#This Row],[Total No. of Coupons]],Table1[[#This Row],[Coupon Amount]],-Table1[[#This Row],[Ask Price]],Table1[[#This Row],[Face value]])</f>
        <v>#N/A</v>
      </c>
      <c r="AL1304" s="27" t="e">
        <f>Table1[[#This Row],[IRR]]*Table1[[#This Row],[Coupon Frequency2]]</f>
        <v>#N/A</v>
      </c>
      <c r="AM1304" s="5" t="e">
        <f t="shared" si="82"/>
        <v>#N/A</v>
      </c>
      <c r="AN1304" t="s">
        <v>64</v>
      </c>
      <c r="AO1304" t="s">
        <v>62</v>
      </c>
      <c r="AP1304" t="str">
        <f t="shared" si="83"/>
        <v/>
      </c>
    </row>
    <row r="1305" spans="4:42" x14ac:dyDescent="0.35">
      <c r="D1305" s="21"/>
      <c r="E1305" s="21"/>
      <c r="L1305" s="22"/>
      <c r="S1305">
        <f t="shared" si="80"/>
        <v>0</v>
      </c>
      <c r="T1305" s="5" t="e" cm="1">
        <f t="array" ref="T13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5" t="e">
        <f>Table1[[#This Row],[Term to Maturity (Years)]]*Table1[[#This Row],[Coupon Frequency2]]</f>
        <v>#N/A</v>
      </c>
      <c r="V1305">
        <f>Table1[[#This Row],[Face value]]*Table1[[#This Row],[Current coupon %]]</f>
        <v>0</v>
      </c>
      <c r="W1305" s="36" t="e">
        <f>RATE(Table1[[#This Row],[Total No. of Coupons]],Table1[[#This Row],[Coupon Amount]],-Table1[[#This Row],[Ask Price]],Table1[[#This Row],[Face value]])</f>
        <v>#N/A</v>
      </c>
      <c r="X1305" s="27" t="e">
        <f>Table1[[#This Row],[IRR]]*Table1[[#This Row],[Coupon Frequency2]]</f>
        <v>#N/A</v>
      </c>
      <c r="Y1305" s="19" t="e" cm="1">
        <f t="array" ref="Y13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5" s="33" t="e">
        <f>DURATION(Table1[[#This Row],[Issue date]],Table1[[#This Row],[Maturity date]],Table1[[#This Row],[Current coupon %]],Table1[[#This Row],[Yield (Annualised)]],Table1[[#This Row],[Coupon Frequency2]])</f>
        <v>#N/A</v>
      </c>
      <c r="AA1305" s="33" t="e">
        <f>Table1[[#This Row],[Macaulay Duration in Years]]/(1+Table1[[#This Row],[IRR]])</f>
        <v>#N/A</v>
      </c>
      <c r="AB1305" s="58" t="e">
        <f>VLOOKUP(Table1[[#This Row],[Yield Cluster]],'Cluster Details'!$B$3:$C$16,2,0)</f>
        <v>#N/A</v>
      </c>
      <c r="AC13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5" s="58" t="e">
        <f>IF(Table1[[#This Row],[Ask Price]]&gt;Table1[[#This Row],[Calculated Bond Price]],"Rich","Cheap")</f>
        <v>#N/A</v>
      </c>
      <c r="AE13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5" s="78" t="e">
        <f>(Table1[[#This Row],[P (+ shock)]]+Table1[[#This Row],[P (-shock)]]-2*Table1[[#This Row],[Ask Price]])/(2*Table1[[#This Row],[Ask Price]]*($AF$2^2))</f>
        <v>#N/A</v>
      </c>
      <c r="AH1305">
        <v>5.0596119513608002</v>
      </c>
      <c r="AI1305" s="6" t="e">
        <f t="shared" si="81"/>
        <v>#DIV/0!</v>
      </c>
      <c r="AK1305" s="47" t="e">
        <f>RATE(Table1[[#This Row],[Total No. of Coupons]],Table1[[#This Row],[Coupon Amount]],-Table1[[#This Row],[Ask Price]],Table1[[#This Row],[Face value]])</f>
        <v>#N/A</v>
      </c>
      <c r="AL1305" s="27" t="e">
        <f>Table1[[#This Row],[IRR]]*Table1[[#This Row],[Coupon Frequency2]]</f>
        <v>#N/A</v>
      </c>
      <c r="AM1305" s="5" t="e">
        <f t="shared" si="82"/>
        <v>#N/A</v>
      </c>
      <c r="AN1305" t="s">
        <v>64</v>
      </c>
      <c r="AO1305" t="s">
        <v>62</v>
      </c>
      <c r="AP1305" t="str">
        <f t="shared" si="83"/>
        <v/>
      </c>
    </row>
    <row r="1306" spans="4:42" x14ac:dyDescent="0.35">
      <c r="D1306" s="21"/>
      <c r="E1306" s="21"/>
      <c r="L1306" s="22"/>
      <c r="S1306">
        <f t="shared" si="80"/>
        <v>0</v>
      </c>
      <c r="T1306" s="5" t="e" cm="1">
        <f t="array" ref="T13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6" t="e">
        <f>Table1[[#This Row],[Term to Maturity (Years)]]*Table1[[#This Row],[Coupon Frequency2]]</f>
        <v>#N/A</v>
      </c>
      <c r="V1306">
        <f>Table1[[#This Row],[Face value]]*Table1[[#This Row],[Current coupon %]]</f>
        <v>0</v>
      </c>
      <c r="W1306" s="36" t="e">
        <f>RATE(Table1[[#This Row],[Total No. of Coupons]],Table1[[#This Row],[Coupon Amount]],-Table1[[#This Row],[Ask Price]],Table1[[#This Row],[Face value]])</f>
        <v>#N/A</v>
      </c>
      <c r="X1306" s="27" t="e">
        <f>Table1[[#This Row],[IRR]]*Table1[[#This Row],[Coupon Frequency2]]</f>
        <v>#N/A</v>
      </c>
      <c r="Y1306" s="19" t="e" cm="1">
        <f t="array" ref="Y13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6" s="33" t="e">
        <f>DURATION(Table1[[#This Row],[Issue date]],Table1[[#This Row],[Maturity date]],Table1[[#This Row],[Current coupon %]],Table1[[#This Row],[Yield (Annualised)]],Table1[[#This Row],[Coupon Frequency2]])</f>
        <v>#N/A</v>
      </c>
      <c r="AA1306" s="33" t="e">
        <f>Table1[[#This Row],[Macaulay Duration in Years]]/(1+Table1[[#This Row],[IRR]])</f>
        <v>#N/A</v>
      </c>
      <c r="AB1306" s="58" t="e">
        <f>VLOOKUP(Table1[[#This Row],[Yield Cluster]],'Cluster Details'!$B$3:$C$16,2,0)</f>
        <v>#N/A</v>
      </c>
      <c r="AC13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6" s="58" t="e">
        <f>IF(Table1[[#This Row],[Ask Price]]&gt;Table1[[#This Row],[Calculated Bond Price]],"Rich","Cheap")</f>
        <v>#N/A</v>
      </c>
      <c r="AE13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6" s="78" t="e">
        <f>(Table1[[#This Row],[P (+ shock)]]+Table1[[#This Row],[P (-shock)]]-2*Table1[[#This Row],[Ask Price]])/(2*Table1[[#This Row],[Ask Price]]*($AF$2^2))</f>
        <v>#N/A</v>
      </c>
      <c r="AH1306">
        <v>4.2264351961806899</v>
      </c>
      <c r="AI1306" s="6" t="e">
        <f t="shared" si="81"/>
        <v>#DIV/0!</v>
      </c>
      <c r="AK1306" s="47" t="e">
        <f>RATE(Table1[[#This Row],[Total No. of Coupons]],Table1[[#This Row],[Coupon Amount]],-Table1[[#This Row],[Ask Price]],Table1[[#This Row],[Face value]])</f>
        <v>#N/A</v>
      </c>
      <c r="AL1306" s="27" t="e">
        <f>Table1[[#This Row],[IRR]]*Table1[[#This Row],[Coupon Frequency2]]</f>
        <v>#N/A</v>
      </c>
      <c r="AM1306" s="5" t="e">
        <f t="shared" si="82"/>
        <v>#N/A</v>
      </c>
      <c r="AN1306" t="s">
        <v>64</v>
      </c>
      <c r="AO1306" t="s">
        <v>62</v>
      </c>
      <c r="AP1306" t="str">
        <f t="shared" si="83"/>
        <v/>
      </c>
    </row>
    <row r="1307" spans="4:42" x14ac:dyDescent="0.35">
      <c r="D1307" s="21"/>
      <c r="E1307" s="21"/>
      <c r="L1307" s="22"/>
      <c r="S1307">
        <f t="shared" si="80"/>
        <v>0</v>
      </c>
      <c r="T1307" s="5" t="e" cm="1">
        <f t="array" ref="T13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7" t="e">
        <f>Table1[[#This Row],[Term to Maturity (Years)]]*Table1[[#This Row],[Coupon Frequency2]]</f>
        <v>#N/A</v>
      </c>
      <c r="V1307">
        <f>Table1[[#This Row],[Face value]]*Table1[[#This Row],[Current coupon %]]</f>
        <v>0</v>
      </c>
      <c r="W1307" s="36" t="e">
        <f>RATE(Table1[[#This Row],[Total No. of Coupons]],Table1[[#This Row],[Coupon Amount]],-Table1[[#This Row],[Ask Price]],Table1[[#This Row],[Face value]])</f>
        <v>#N/A</v>
      </c>
      <c r="X1307" s="27" t="e">
        <f>Table1[[#This Row],[IRR]]*Table1[[#This Row],[Coupon Frequency2]]</f>
        <v>#N/A</v>
      </c>
      <c r="Y1307" s="19" t="e" cm="1">
        <f t="array" ref="Y13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7" s="33" t="e">
        <f>DURATION(Table1[[#This Row],[Issue date]],Table1[[#This Row],[Maturity date]],Table1[[#This Row],[Current coupon %]],Table1[[#This Row],[Yield (Annualised)]],Table1[[#This Row],[Coupon Frequency2]])</f>
        <v>#N/A</v>
      </c>
      <c r="AA1307" s="33" t="e">
        <f>Table1[[#This Row],[Macaulay Duration in Years]]/(1+Table1[[#This Row],[IRR]])</f>
        <v>#N/A</v>
      </c>
      <c r="AB1307" s="58" t="e">
        <f>VLOOKUP(Table1[[#This Row],[Yield Cluster]],'Cluster Details'!$B$3:$C$16,2,0)</f>
        <v>#N/A</v>
      </c>
      <c r="AC13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7" s="58" t="e">
        <f>IF(Table1[[#This Row],[Ask Price]]&gt;Table1[[#This Row],[Calculated Bond Price]],"Rich","Cheap")</f>
        <v>#N/A</v>
      </c>
      <c r="AE13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7" s="78" t="e">
        <f>(Table1[[#This Row],[P (+ shock)]]+Table1[[#This Row],[P (-shock)]]-2*Table1[[#This Row],[Ask Price]])/(2*Table1[[#This Row],[Ask Price]]*($AF$2^2))</f>
        <v>#N/A</v>
      </c>
      <c r="AH1307">
        <v>4.7846435698770096</v>
      </c>
      <c r="AI1307" s="6" t="e">
        <f t="shared" si="81"/>
        <v>#DIV/0!</v>
      </c>
      <c r="AK1307" s="47" t="e">
        <f>RATE(Table1[[#This Row],[Total No. of Coupons]],Table1[[#This Row],[Coupon Amount]],-Table1[[#This Row],[Ask Price]],Table1[[#This Row],[Face value]])</f>
        <v>#N/A</v>
      </c>
      <c r="AL1307" s="27" t="e">
        <f>Table1[[#This Row],[IRR]]*Table1[[#This Row],[Coupon Frequency2]]</f>
        <v>#N/A</v>
      </c>
      <c r="AM1307" s="5" t="e">
        <f t="shared" si="82"/>
        <v>#N/A</v>
      </c>
      <c r="AN1307" t="s">
        <v>64</v>
      </c>
      <c r="AO1307" t="s">
        <v>62</v>
      </c>
      <c r="AP1307" t="str">
        <f t="shared" si="83"/>
        <v/>
      </c>
    </row>
    <row r="1308" spans="4:42" x14ac:dyDescent="0.35">
      <c r="D1308" s="21"/>
      <c r="E1308" s="21"/>
      <c r="L1308" s="22"/>
      <c r="S1308">
        <f t="shared" si="80"/>
        <v>0</v>
      </c>
      <c r="T1308" s="5" t="e" cm="1">
        <f t="array" ref="T13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8" t="e">
        <f>Table1[[#This Row],[Term to Maturity (Years)]]*Table1[[#This Row],[Coupon Frequency2]]</f>
        <v>#N/A</v>
      </c>
      <c r="V1308">
        <f>Table1[[#This Row],[Face value]]*Table1[[#This Row],[Current coupon %]]</f>
        <v>0</v>
      </c>
      <c r="W1308" s="36" t="e">
        <f>RATE(Table1[[#This Row],[Total No. of Coupons]],Table1[[#This Row],[Coupon Amount]],-Table1[[#This Row],[Ask Price]],Table1[[#This Row],[Face value]])</f>
        <v>#N/A</v>
      </c>
      <c r="X1308" s="27" t="e">
        <f>Table1[[#This Row],[IRR]]*Table1[[#This Row],[Coupon Frequency2]]</f>
        <v>#N/A</v>
      </c>
      <c r="Y1308" s="19" t="e" cm="1">
        <f t="array" ref="Y13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8" s="33" t="e">
        <f>DURATION(Table1[[#This Row],[Issue date]],Table1[[#This Row],[Maturity date]],Table1[[#This Row],[Current coupon %]],Table1[[#This Row],[Yield (Annualised)]],Table1[[#This Row],[Coupon Frequency2]])</f>
        <v>#N/A</v>
      </c>
      <c r="AA1308" s="33" t="e">
        <f>Table1[[#This Row],[Macaulay Duration in Years]]/(1+Table1[[#This Row],[IRR]])</f>
        <v>#N/A</v>
      </c>
      <c r="AB1308" s="58" t="e">
        <f>VLOOKUP(Table1[[#This Row],[Yield Cluster]],'Cluster Details'!$B$3:$C$16,2,0)</f>
        <v>#N/A</v>
      </c>
      <c r="AC13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8" s="58" t="e">
        <f>IF(Table1[[#This Row],[Ask Price]]&gt;Table1[[#This Row],[Calculated Bond Price]],"Rich","Cheap")</f>
        <v>#N/A</v>
      </c>
      <c r="AE13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8" s="78" t="e">
        <f>(Table1[[#This Row],[P (+ shock)]]+Table1[[#This Row],[P (-shock)]]-2*Table1[[#This Row],[Ask Price]])/(2*Table1[[#This Row],[Ask Price]]*($AF$2^2))</f>
        <v>#N/A</v>
      </c>
      <c r="AH1308">
        <v>4.6929891944487103</v>
      </c>
      <c r="AI1308" s="6" t="e">
        <f t="shared" si="81"/>
        <v>#DIV/0!</v>
      </c>
      <c r="AK1308" s="47" t="e">
        <f>RATE(Table1[[#This Row],[Total No. of Coupons]],Table1[[#This Row],[Coupon Amount]],-Table1[[#This Row],[Ask Price]],Table1[[#This Row],[Face value]])</f>
        <v>#N/A</v>
      </c>
      <c r="AL1308" s="27" t="e">
        <f>Table1[[#This Row],[IRR]]*Table1[[#This Row],[Coupon Frequency2]]</f>
        <v>#N/A</v>
      </c>
      <c r="AM1308" s="5" t="e">
        <f t="shared" si="82"/>
        <v>#N/A</v>
      </c>
      <c r="AN1308" t="s">
        <v>64</v>
      </c>
      <c r="AO1308" t="s">
        <v>62</v>
      </c>
      <c r="AP1308" t="str">
        <f t="shared" si="83"/>
        <v/>
      </c>
    </row>
    <row r="1309" spans="4:42" x14ac:dyDescent="0.35">
      <c r="D1309" s="21"/>
      <c r="E1309" s="21"/>
      <c r="L1309" s="22"/>
      <c r="S1309">
        <f t="shared" si="80"/>
        <v>0</v>
      </c>
      <c r="T1309" s="5" t="e" cm="1">
        <f t="array" ref="T13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09" t="e">
        <f>Table1[[#This Row],[Term to Maturity (Years)]]*Table1[[#This Row],[Coupon Frequency2]]</f>
        <v>#N/A</v>
      </c>
      <c r="V1309">
        <f>Table1[[#This Row],[Face value]]*Table1[[#This Row],[Current coupon %]]</f>
        <v>0</v>
      </c>
      <c r="W1309" s="36" t="e">
        <f>RATE(Table1[[#This Row],[Total No. of Coupons]],Table1[[#This Row],[Coupon Amount]],-Table1[[#This Row],[Ask Price]],Table1[[#This Row],[Face value]])</f>
        <v>#N/A</v>
      </c>
      <c r="X1309" s="27" t="e">
        <f>Table1[[#This Row],[IRR]]*Table1[[#This Row],[Coupon Frequency2]]</f>
        <v>#N/A</v>
      </c>
      <c r="Y1309" s="19" t="e" cm="1">
        <f t="array" ref="Y13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09" s="33" t="e">
        <f>DURATION(Table1[[#This Row],[Issue date]],Table1[[#This Row],[Maturity date]],Table1[[#This Row],[Current coupon %]],Table1[[#This Row],[Yield (Annualised)]],Table1[[#This Row],[Coupon Frequency2]])</f>
        <v>#N/A</v>
      </c>
      <c r="AA1309" s="33" t="e">
        <f>Table1[[#This Row],[Macaulay Duration in Years]]/(1+Table1[[#This Row],[IRR]])</f>
        <v>#N/A</v>
      </c>
      <c r="AB1309" s="58" t="e">
        <f>VLOOKUP(Table1[[#This Row],[Yield Cluster]],'Cluster Details'!$B$3:$C$16,2,0)</f>
        <v>#N/A</v>
      </c>
      <c r="AC13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09" s="58" t="e">
        <f>IF(Table1[[#This Row],[Ask Price]]&gt;Table1[[#This Row],[Calculated Bond Price]],"Rich","Cheap")</f>
        <v>#N/A</v>
      </c>
      <c r="AE13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09" s="78" t="e">
        <f>(Table1[[#This Row],[P (+ shock)]]+Table1[[#This Row],[P (-shock)]]-2*Table1[[#This Row],[Ask Price]])/(2*Table1[[#This Row],[Ask Price]]*($AF$2^2))</f>
        <v>#N/A</v>
      </c>
      <c r="AH1309">
        <v>11.470173219809601</v>
      </c>
      <c r="AI1309" s="6" t="e">
        <f t="shared" si="81"/>
        <v>#DIV/0!</v>
      </c>
      <c r="AK1309" s="47" t="e">
        <f>RATE(Table1[[#This Row],[Total No. of Coupons]],Table1[[#This Row],[Coupon Amount]],-Table1[[#This Row],[Ask Price]],Table1[[#This Row],[Face value]])</f>
        <v>#N/A</v>
      </c>
      <c r="AL1309" s="27" t="e">
        <f>Table1[[#This Row],[IRR]]*Table1[[#This Row],[Coupon Frequency2]]</f>
        <v>#N/A</v>
      </c>
      <c r="AM1309" s="5" t="e">
        <f t="shared" si="82"/>
        <v>#N/A</v>
      </c>
      <c r="AN1309" t="s">
        <v>64</v>
      </c>
      <c r="AO1309" t="s">
        <v>62</v>
      </c>
      <c r="AP1309" t="str">
        <f t="shared" si="83"/>
        <v/>
      </c>
    </row>
    <row r="1310" spans="4:42" x14ac:dyDescent="0.35">
      <c r="D1310" s="21"/>
      <c r="E1310" s="21"/>
      <c r="L1310" s="22"/>
      <c r="S1310">
        <f t="shared" si="80"/>
        <v>0</v>
      </c>
      <c r="T1310" s="5" t="e" cm="1">
        <f t="array" ref="T13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0" t="e">
        <f>Table1[[#This Row],[Term to Maturity (Years)]]*Table1[[#This Row],[Coupon Frequency2]]</f>
        <v>#N/A</v>
      </c>
      <c r="V1310">
        <f>Table1[[#This Row],[Face value]]*Table1[[#This Row],[Current coupon %]]</f>
        <v>0</v>
      </c>
      <c r="W1310" s="36" t="e">
        <f>RATE(Table1[[#This Row],[Total No. of Coupons]],Table1[[#This Row],[Coupon Amount]],-Table1[[#This Row],[Ask Price]],Table1[[#This Row],[Face value]])</f>
        <v>#N/A</v>
      </c>
      <c r="X1310" s="27" t="e">
        <f>Table1[[#This Row],[IRR]]*Table1[[#This Row],[Coupon Frequency2]]</f>
        <v>#N/A</v>
      </c>
      <c r="Y1310" s="19" t="e" cm="1">
        <f t="array" ref="Y13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0" s="33" t="e">
        <f>DURATION(Table1[[#This Row],[Issue date]],Table1[[#This Row],[Maturity date]],Table1[[#This Row],[Current coupon %]],Table1[[#This Row],[Yield (Annualised)]],Table1[[#This Row],[Coupon Frequency2]])</f>
        <v>#N/A</v>
      </c>
      <c r="AA1310" s="33" t="e">
        <f>Table1[[#This Row],[Macaulay Duration in Years]]/(1+Table1[[#This Row],[IRR]])</f>
        <v>#N/A</v>
      </c>
      <c r="AB1310" s="58" t="e">
        <f>VLOOKUP(Table1[[#This Row],[Yield Cluster]],'Cluster Details'!$B$3:$C$16,2,0)</f>
        <v>#N/A</v>
      </c>
      <c r="AC13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0" s="58" t="e">
        <f>IF(Table1[[#This Row],[Ask Price]]&gt;Table1[[#This Row],[Calculated Bond Price]],"Rich","Cheap")</f>
        <v>#N/A</v>
      </c>
      <c r="AE13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0" s="78" t="e">
        <f>(Table1[[#This Row],[P (+ shock)]]+Table1[[#This Row],[P (-shock)]]-2*Table1[[#This Row],[Ask Price]])/(2*Table1[[#This Row],[Ask Price]]*($AF$2^2))</f>
        <v>#N/A</v>
      </c>
      <c r="AH1310">
        <v>13.108512957232699</v>
      </c>
      <c r="AI1310" s="6" t="e">
        <f t="shared" si="81"/>
        <v>#DIV/0!</v>
      </c>
      <c r="AK1310" s="47" t="e">
        <f>RATE(Table1[[#This Row],[Total No. of Coupons]],Table1[[#This Row],[Coupon Amount]],-Table1[[#This Row],[Ask Price]],Table1[[#This Row],[Face value]])</f>
        <v>#N/A</v>
      </c>
      <c r="AL1310" s="27" t="e">
        <f>Table1[[#This Row],[IRR]]*Table1[[#This Row],[Coupon Frequency2]]</f>
        <v>#N/A</v>
      </c>
      <c r="AM1310" s="5" t="e">
        <f t="shared" si="82"/>
        <v>#N/A</v>
      </c>
      <c r="AN1310" t="s">
        <v>64</v>
      </c>
      <c r="AO1310" t="s">
        <v>62</v>
      </c>
      <c r="AP1310" t="str">
        <f t="shared" si="83"/>
        <v/>
      </c>
    </row>
    <row r="1311" spans="4:42" x14ac:dyDescent="0.35">
      <c r="D1311" s="21"/>
      <c r="E1311" s="21"/>
      <c r="L1311" s="22"/>
      <c r="S1311">
        <f t="shared" si="80"/>
        <v>0</v>
      </c>
      <c r="T1311" s="5" t="e" cm="1">
        <f t="array" ref="T13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1" t="e">
        <f>Table1[[#This Row],[Term to Maturity (Years)]]*Table1[[#This Row],[Coupon Frequency2]]</f>
        <v>#N/A</v>
      </c>
      <c r="V1311">
        <f>Table1[[#This Row],[Face value]]*Table1[[#This Row],[Current coupon %]]</f>
        <v>0</v>
      </c>
      <c r="W1311" s="36" t="e">
        <f>RATE(Table1[[#This Row],[Total No. of Coupons]],Table1[[#This Row],[Coupon Amount]],-Table1[[#This Row],[Ask Price]],Table1[[#This Row],[Face value]])</f>
        <v>#N/A</v>
      </c>
      <c r="X1311" s="27" t="e">
        <f>Table1[[#This Row],[IRR]]*Table1[[#This Row],[Coupon Frequency2]]</f>
        <v>#N/A</v>
      </c>
      <c r="Y1311" s="19" t="e" cm="1">
        <f t="array" ref="Y13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1" s="33" t="e">
        <f>DURATION(Table1[[#This Row],[Issue date]],Table1[[#This Row],[Maturity date]],Table1[[#This Row],[Current coupon %]],Table1[[#This Row],[Yield (Annualised)]],Table1[[#This Row],[Coupon Frequency2]])</f>
        <v>#N/A</v>
      </c>
      <c r="AA1311" s="33" t="e">
        <f>Table1[[#This Row],[Macaulay Duration in Years]]/(1+Table1[[#This Row],[IRR]])</f>
        <v>#N/A</v>
      </c>
      <c r="AB1311" s="58" t="e">
        <f>VLOOKUP(Table1[[#This Row],[Yield Cluster]],'Cluster Details'!$B$3:$C$16,2,0)</f>
        <v>#N/A</v>
      </c>
      <c r="AC13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1" s="58" t="e">
        <f>IF(Table1[[#This Row],[Ask Price]]&gt;Table1[[#This Row],[Calculated Bond Price]],"Rich","Cheap")</f>
        <v>#N/A</v>
      </c>
      <c r="AE13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1" s="78" t="e">
        <f>(Table1[[#This Row],[P (+ shock)]]+Table1[[#This Row],[P (-shock)]]-2*Table1[[#This Row],[Ask Price]])/(2*Table1[[#This Row],[Ask Price]]*($AF$2^2))</f>
        <v>#N/A</v>
      </c>
      <c r="AI1311" s="6" t="e">
        <f t="shared" si="81"/>
        <v>#DIV/0!</v>
      </c>
      <c r="AK1311" s="47" t="e">
        <f>RATE(Table1[[#This Row],[Total No. of Coupons]],Table1[[#This Row],[Coupon Amount]],-Table1[[#This Row],[Ask Price]],Table1[[#This Row],[Face value]])</f>
        <v>#N/A</v>
      </c>
      <c r="AL1311" s="27" t="e">
        <f>Table1[[#This Row],[IRR]]*Table1[[#This Row],[Coupon Frequency2]]</f>
        <v>#N/A</v>
      </c>
      <c r="AM1311" s="5" t="e">
        <f t="shared" si="82"/>
        <v>#N/A</v>
      </c>
      <c r="AN1311" t="s">
        <v>64</v>
      </c>
      <c r="AO1311" t="s">
        <v>62</v>
      </c>
      <c r="AP1311" t="str">
        <f t="shared" si="83"/>
        <v/>
      </c>
    </row>
    <row r="1312" spans="4:42" x14ac:dyDescent="0.35">
      <c r="D1312" s="21"/>
      <c r="E1312" s="21"/>
      <c r="L1312" s="22"/>
      <c r="S1312">
        <f t="shared" si="80"/>
        <v>0</v>
      </c>
      <c r="T1312" s="5" t="e" cm="1">
        <f t="array" ref="T13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2" t="e">
        <f>Table1[[#This Row],[Term to Maturity (Years)]]*Table1[[#This Row],[Coupon Frequency2]]</f>
        <v>#N/A</v>
      </c>
      <c r="V1312">
        <f>Table1[[#This Row],[Face value]]*Table1[[#This Row],[Current coupon %]]</f>
        <v>0</v>
      </c>
      <c r="W1312" s="36" t="e">
        <f>RATE(Table1[[#This Row],[Total No. of Coupons]],Table1[[#This Row],[Coupon Amount]],-Table1[[#This Row],[Ask Price]],Table1[[#This Row],[Face value]])</f>
        <v>#N/A</v>
      </c>
      <c r="X1312" s="27" t="e">
        <f>Table1[[#This Row],[IRR]]*Table1[[#This Row],[Coupon Frequency2]]</f>
        <v>#N/A</v>
      </c>
      <c r="Y1312" s="19" t="e" cm="1">
        <f t="array" ref="Y13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2" s="33" t="e">
        <f>DURATION(Table1[[#This Row],[Issue date]],Table1[[#This Row],[Maturity date]],Table1[[#This Row],[Current coupon %]],Table1[[#This Row],[Yield (Annualised)]],Table1[[#This Row],[Coupon Frequency2]])</f>
        <v>#N/A</v>
      </c>
      <c r="AA1312" s="33" t="e">
        <f>Table1[[#This Row],[Macaulay Duration in Years]]/(1+Table1[[#This Row],[IRR]])</f>
        <v>#N/A</v>
      </c>
      <c r="AB1312" s="58" t="e">
        <f>VLOOKUP(Table1[[#This Row],[Yield Cluster]],'Cluster Details'!$B$3:$C$16,2,0)</f>
        <v>#N/A</v>
      </c>
      <c r="AC13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2" s="58" t="e">
        <f>IF(Table1[[#This Row],[Ask Price]]&gt;Table1[[#This Row],[Calculated Bond Price]],"Rich","Cheap")</f>
        <v>#N/A</v>
      </c>
      <c r="AE13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2" s="78" t="e">
        <f>(Table1[[#This Row],[P (+ shock)]]+Table1[[#This Row],[P (-shock)]]-2*Table1[[#This Row],[Ask Price]])/(2*Table1[[#This Row],[Ask Price]]*($AF$2^2))</f>
        <v>#N/A</v>
      </c>
      <c r="AI1312" s="6" t="e">
        <f t="shared" si="81"/>
        <v>#DIV/0!</v>
      </c>
      <c r="AK1312" s="47" t="e">
        <f>RATE(Table1[[#This Row],[Total No. of Coupons]],Table1[[#This Row],[Coupon Amount]],-Table1[[#This Row],[Ask Price]],Table1[[#This Row],[Face value]])</f>
        <v>#N/A</v>
      </c>
      <c r="AL1312" s="27" t="e">
        <f>Table1[[#This Row],[IRR]]*Table1[[#This Row],[Coupon Frequency2]]</f>
        <v>#N/A</v>
      </c>
      <c r="AM1312" s="5" t="e">
        <f t="shared" si="82"/>
        <v>#N/A</v>
      </c>
      <c r="AN1312" t="s">
        <v>64</v>
      </c>
      <c r="AO1312" t="s">
        <v>62</v>
      </c>
      <c r="AP1312" t="str">
        <f t="shared" si="83"/>
        <v/>
      </c>
    </row>
    <row r="1313" spans="4:42" x14ac:dyDescent="0.35">
      <c r="D1313" s="21"/>
      <c r="E1313" s="21"/>
      <c r="L1313" s="22"/>
      <c r="S1313">
        <f t="shared" si="80"/>
        <v>0</v>
      </c>
      <c r="T1313" s="5" t="e" cm="1">
        <f t="array" ref="T13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3" t="e">
        <f>Table1[[#This Row],[Term to Maturity (Years)]]*Table1[[#This Row],[Coupon Frequency2]]</f>
        <v>#N/A</v>
      </c>
      <c r="V1313">
        <f>Table1[[#This Row],[Face value]]*Table1[[#This Row],[Current coupon %]]</f>
        <v>0</v>
      </c>
      <c r="W1313" s="36" t="e">
        <f>RATE(Table1[[#This Row],[Total No. of Coupons]],Table1[[#This Row],[Coupon Amount]],-Table1[[#This Row],[Ask Price]],Table1[[#This Row],[Face value]])</f>
        <v>#N/A</v>
      </c>
      <c r="X1313" s="27" t="e">
        <f>Table1[[#This Row],[IRR]]*Table1[[#This Row],[Coupon Frequency2]]</f>
        <v>#N/A</v>
      </c>
      <c r="Y1313" s="19" t="e" cm="1">
        <f t="array" ref="Y13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3" s="33" t="e">
        <f>DURATION(Table1[[#This Row],[Issue date]],Table1[[#This Row],[Maturity date]],Table1[[#This Row],[Current coupon %]],Table1[[#This Row],[Yield (Annualised)]],Table1[[#This Row],[Coupon Frequency2]])</f>
        <v>#N/A</v>
      </c>
      <c r="AA1313" s="33" t="e">
        <f>Table1[[#This Row],[Macaulay Duration in Years]]/(1+Table1[[#This Row],[IRR]])</f>
        <v>#N/A</v>
      </c>
      <c r="AB1313" s="58" t="e">
        <f>VLOOKUP(Table1[[#This Row],[Yield Cluster]],'Cluster Details'!$B$3:$C$16,2,0)</f>
        <v>#N/A</v>
      </c>
      <c r="AC13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3" s="58" t="e">
        <f>IF(Table1[[#This Row],[Ask Price]]&gt;Table1[[#This Row],[Calculated Bond Price]],"Rich","Cheap")</f>
        <v>#N/A</v>
      </c>
      <c r="AE13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3" s="78" t="e">
        <f>(Table1[[#This Row],[P (+ shock)]]+Table1[[#This Row],[P (-shock)]]-2*Table1[[#This Row],[Ask Price]])/(2*Table1[[#This Row],[Ask Price]]*($AF$2^2))</f>
        <v>#N/A</v>
      </c>
      <c r="AH1313">
        <v>8.5847886458184703</v>
      </c>
      <c r="AI1313" s="6" t="e">
        <f t="shared" si="81"/>
        <v>#DIV/0!</v>
      </c>
      <c r="AK1313" s="47" t="e">
        <f>RATE(Table1[[#This Row],[Total No. of Coupons]],Table1[[#This Row],[Coupon Amount]],-Table1[[#This Row],[Ask Price]],Table1[[#This Row],[Face value]])</f>
        <v>#N/A</v>
      </c>
      <c r="AL1313" s="27" t="e">
        <f>Table1[[#This Row],[IRR]]*Table1[[#This Row],[Coupon Frequency2]]</f>
        <v>#N/A</v>
      </c>
      <c r="AM1313" s="5" t="e">
        <f t="shared" si="82"/>
        <v>#N/A</v>
      </c>
      <c r="AN1313" t="s">
        <v>64</v>
      </c>
      <c r="AO1313" t="s">
        <v>62</v>
      </c>
      <c r="AP1313" t="str">
        <f t="shared" si="83"/>
        <v/>
      </c>
    </row>
    <row r="1314" spans="4:42" x14ac:dyDescent="0.35">
      <c r="D1314" s="21"/>
      <c r="E1314" s="21"/>
      <c r="L1314" s="22"/>
      <c r="S1314">
        <f t="shared" si="80"/>
        <v>0</v>
      </c>
      <c r="T1314" s="5" t="e" cm="1">
        <f t="array" ref="T13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4" t="e">
        <f>Table1[[#This Row],[Term to Maturity (Years)]]*Table1[[#This Row],[Coupon Frequency2]]</f>
        <v>#N/A</v>
      </c>
      <c r="V1314">
        <f>Table1[[#This Row],[Face value]]*Table1[[#This Row],[Current coupon %]]</f>
        <v>0</v>
      </c>
      <c r="W1314" s="36" t="e">
        <f>RATE(Table1[[#This Row],[Total No. of Coupons]],Table1[[#This Row],[Coupon Amount]],-Table1[[#This Row],[Ask Price]],Table1[[#This Row],[Face value]])</f>
        <v>#N/A</v>
      </c>
      <c r="X1314" s="27" t="e">
        <f>Table1[[#This Row],[IRR]]*Table1[[#This Row],[Coupon Frequency2]]</f>
        <v>#N/A</v>
      </c>
      <c r="Y1314" s="19" t="e" cm="1">
        <f t="array" ref="Y13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4" s="33" t="e">
        <f>DURATION(Table1[[#This Row],[Issue date]],Table1[[#This Row],[Maturity date]],Table1[[#This Row],[Current coupon %]],Table1[[#This Row],[Yield (Annualised)]],Table1[[#This Row],[Coupon Frequency2]])</f>
        <v>#N/A</v>
      </c>
      <c r="AA1314" s="33" t="e">
        <f>Table1[[#This Row],[Macaulay Duration in Years]]/(1+Table1[[#This Row],[IRR]])</f>
        <v>#N/A</v>
      </c>
      <c r="AB1314" s="58" t="e">
        <f>VLOOKUP(Table1[[#This Row],[Yield Cluster]],'Cluster Details'!$B$3:$C$16,2,0)</f>
        <v>#N/A</v>
      </c>
      <c r="AC13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4" s="58" t="e">
        <f>IF(Table1[[#This Row],[Ask Price]]&gt;Table1[[#This Row],[Calculated Bond Price]],"Rich","Cheap")</f>
        <v>#N/A</v>
      </c>
      <c r="AE13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4" s="78" t="e">
        <f>(Table1[[#This Row],[P (+ shock)]]+Table1[[#This Row],[P (-shock)]]-2*Table1[[#This Row],[Ask Price]])/(2*Table1[[#This Row],[Ask Price]]*($AF$2^2))</f>
        <v>#N/A</v>
      </c>
      <c r="AI1314" s="6" t="e">
        <f t="shared" si="81"/>
        <v>#DIV/0!</v>
      </c>
      <c r="AK1314" s="47" t="e">
        <f>RATE(Table1[[#This Row],[Total No. of Coupons]],Table1[[#This Row],[Coupon Amount]],-Table1[[#This Row],[Ask Price]],Table1[[#This Row],[Face value]])</f>
        <v>#N/A</v>
      </c>
      <c r="AL1314" s="27" t="e">
        <f>Table1[[#This Row],[IRR]]*Table1[[#This Row],[Coupon Frequency2]]</f>
        <v>#N/A</v>
      </c>
      <c r="AM1314" s="5" t="e">
        <f t="shared" si="82"/>
        <v>#N/A</v>
      </c>
      <c r="AN1314" t="s">
        <v>64</v>
      </c>
      <c r="AO1314" t="s">
        <v>62</v>
      </c>
      <c r="AP1314" t="str">
        <f t="shared" si="83"/>
        <v/>
      </c>
    </row>
    <row r="1315" spans="4:42" x14ac:dyDescent="0.35">
      <c r="D1315" s="21"/>
      <c r="E1315" s="21"/>
      <c r="L1315" s="22"/>
      <c r="S1315">
        <f t="shared" si="80"/>
        <v>0</v>
      </c>
      <c r="T1315" s="5" t="e" cm="1">
        <f t="array" ref="T13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5" t="e">
        <f>Table1[[#This Row],[Term to Maturity (Years)]]*Table1[[#This Row],[Coupon Frequency2]]</f>
        <v>#N/A</v>
      </c>
      <c r="V1315">
        <f>Table1[[#This Row],[Face value]]*Table1[[#This Row],[Current coupon %]]</f>
        <v>0</v>
      </c>
      <c r="W1315" s="36" t="e">
        <f>RATE(Table1[[#This Row],[Total No. of Coupons]],Table1[[#This Row],[Coupon Amount]],-Table1[[#This Row],[Ask Price]],Table1[[#This Row],[Face value]])</f>
        <v>#N/A</v>
      </c>
      <c r="X1315" s="27" t="e">
        <f>Table1[[#This Row],[IRR]]*Table1[[#This Row],[Coupon Frequency2]]</f>
        <v>#N/A</v>
      </c>
      <c r="Y1315" s="19" t="e" cm="1">
        <f t="array" ref="Y13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5" s="33" t="e">
        <f>DURATION(Table1[[#This Row],[Issue date]],Table1[[#This Row],[Maturity date]],Table1[[#This Row],[Current coupon %]],Table1[[#This Row],[Yield (Annualised)]],Table1[[#This Row],[Coupon Frequency2]])</f>
        <v>#N/A</v>
      </c>
      <c r="AA1315" s="33" t="e">
        <f>Table1[[#This Row],[Macaulay Duration in Years]]/(1+Table1[[#This Row],[IRR]])</f>
        <v>#N/A</v>
      </c>
      <c r="AB1315" s="58" t="e">
        <f>VLOOKUP(Table1[[#This Row],[Yield Cluster]],'Cluster Details'!$B$3:$C$16,2,0)</f>
        <v>#N/A</v>
      </c>
      <c r="AC13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5" s="58" t="e">
        <f>IF(Table1[[#This Row],[Ask Price]]&gt;Table1[[#This Row],[Calculated Bond Price]],"Rich","Cheap")</f>
        <v>#N/A</v>
      </c>
      <c r="AE13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5" s="78" t="e">
        <f>(Table1[[#This Row],[P (+ shock)]]+Table1[[#This Row],[P (-shock)]]-2*Table1[[#This Row],[Ask Price]])/(2*Table1[[#This Row],[Ask Price]]*($AF$2^2))</f>
        <v>#N/A</v>
      </c>
      <c r="AH1315">
        <v>11.0966552398377</v>
      </c>
      <c r="AI1315" s="6" t="e">
        <f t="shared" si="81"/>
        <v>#DIV/0!</v>
      </c>
      <c r="AK1315" s="47" t="e">
        <f>RATE(Table1[[#This Row],[Total No. of Coupons]],Table1[[#This Row],[Coupon Amount]],-Table1[[#This Row],[Ask Price]],Table1[[#This Row],[Face value]])</f>
        <v>#N/A</v>
      </c>
      <c r="AL1315" s="27" t="e">
        <f>Table1[[#This Row],[IRR]]*Table1[[#This Row],[Coupon Frequency2]]</f>
        <v>#N/A</v>
      </c>
      <c r="AM1315" s="5" t="e">
        <f t="shared" si="82"/>
        <v>#N/A</v>
      </c>
      <c r="AN1315" t="s">
        <v>64</v>
      </c>
      <c r="AO1315" t="s">
        <v>62</v>
      </c>
      <c r="AP1315" t="str">
        <f t="shared" si="83"/>
        <v/>
      </c>
    </row>
    <row r="1316" spans="4:42" x14ac:dyDescent="0.35">
      <c r="D1316" s="21"/>
      <c r="E1316" s="21"/>
      <c r="L1316" s="22"/>
      <c r="S1316">
        <f t="shared" si="80"/>
        <v>0</v>
      </c>
      <c r="T1316" s="5" t="e" cm="1">
        <f t="array" ref="T13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6" t="e">
        <f>Table1[[#This Row],[Term to Maturity (Years)]]*Table1[[#This Row],[Coupon Frequency2]]</f>
        <v>#N/A</v>
      </c>
      <c r="V1316">
        <f>Table1[[#This Row],[Face value]]*Table1[[#This Row],[Current coupon %]]</f>
        <v>0</v>
      </c>
      <c r="W1316" s="36" t="e">
        <f>RATE(Table1[[#This Row],[Total No. of Coupons]],Table1[[#This Row],[Coupon Amount]],-Table1[[#This Row],[Ask Price]],Table1[[#This Row],[Face value]])</f>
        <v>#N/A</v>
      </c>
      <c r="X1316" s="27" t="e">
        <f>Table1[[#This Row],[IRR]]*Table1[[#This Row],[Coupon Frequency2]]</f>
        <v>#N/A</v>
      </c>
      <c r="Y1316" s="19" t="e" cm="1">
        <f t="array" ref="Y13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6" s="33" t="e">
        <f>DURATION(Table1[[#This Row],[Issue date]],Table1[[#This Row],[Maturity date]],Table1[[#This Row],[Current coupon %]],Table1[[#This Row],[Yield (Annualised)]],Table1[[#This Row],[Coupon Frequency2]])</f>
        <v>#N/A</v>
      </c>
      <c r="AA1316" s="33" t="e">
        <f>Table1[[#This Row],[Macaulay Duration in Years]]/(1+Table1[[#This Row],[IRR]])</f>
        <v>#N/A</v>
      </c>
      <c r="AB1316" s="58" t="e">
        <f>VLOOKUP(Table1[[#This Row],[Yield Cluster]],'Cluster Details'!$B$3:$C$16,2,0)</f>
        <v>#N/A</v>
      </c>
      <c r="AC13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6" s="58" t="e">
        <f>IF(Table1[[#This Row],[Ask Price]]&gt;Table1[[#This Row],[Calculated Bond Price]],"Rich","Cheap")</f>
        <v>#N/A</v>
      </c>
      <c r="AE13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6" s="78" t="e">
        <f>(Table1[[#This Row],[P (+ shock)]]+Table1[[#This Row],[P (-shock)]]-2*Table1[[#This Row],[Ask Price]])/(2*Table1[[#This Row],[Ask Price]]*($AF$2^2))</f>
        <v>#N/A</v>
      </c>
      <c r="AH1316">
        <v>10.2513263369864</v>
      </c>
      <c r="AI1316" s="6" t="e">
        <f t="shared" si="81"/>
        <v>#DIV/0!</v>
      </c>
      <c r="AK1316" s="47" t="e">
        <f>RATE(Table1[[#This Row],[Total No. of Coupons]],Table1[[#This Row],[Coupon Amount]],-Table1[[#This Row],[Ask Price]],Table1[[#This Row],[Face value]])</f>
        <v>#N/A</v>
      </c>
      <c r="AL1316" s="27" t="e">
        <f>Table1[[#This Row],[IRR]]*Table1[[#This Row],[Coupon Frequency2]]</f>
        <v>#N/A</v>
      </c>
      <c r="AM1316" s="5" t="e">
        <f t="shared" si="82"/>
        <v>#N/A</v>
      </c>
      <c r="AN1316" t="s">
        <v>64</v>
      </c>
      <c r="AO1316" t="s">
        <v>62</v>
      </c>
      <c r="AP1316" t="str">
        <f t="shared" si="83"/>
        <v/>
      </c>
    </row>
    <row r="1317" spans="4:42" x14ac:dyDescent="0.35">
      <c r="D1317" s="21"/>
      <c r="E1317" s="21"/>
      <c r="L1317" s="22"/>
      <c r="S1317">
        <f t="shared" si="80"/>
        <v>0</v>
      </c>
      <c r="T1317" s="5" t="e" cm="1">
        <f t="array" ref="T13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7" t="e">
        <f>Table1[[#This Row],[Term to Maturity (Years)]]*Table1[[#This Row],[Coupon Frequency2]]</f>
        <v>#N/A</v>
      </c>
      <c r="V1317">
        <f>Table1[[#This Row],[Face value]]*Table1[[#This Row],[Current coupon %]]</f>
        <v>0</v>
      </c>
      <c r="W1317" s="36" t="e">
        <f>RATE(Table1[[#This Row],[Total No. of Coupons]],Table1[[#This Row],[Coupon Amount]],-Table1[[#This Row],[Ask Price]],Table1[[#This Row],[Face value]])</f>
        <v>#N/A</v>
      </c>
      <c r="X1317" s="27" t="e">
        <f>Table1[[#This Row],[IRR]]*Table1[[#This Row],[Coupon Frequency2]]</f>
        <v>#N/A</v>
      </c>
      <c r="Y1317" s="19" t="e" cm="1">
        <f t="array" ref="Y13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7" s="33" t="e">
        <f>DURATION(Table1[[#This Row],[Issue date]],Table1[[#This Row],[Maturity date]],Table1[[#This Row],[Current coupon %]],Table1[[#This Row],[Yield (Annualised)]],Table1[[#This Row],[Coupon Frequency2]])</f>
        <v>#N/A</v>
      </c>
      <c r="AA1317" s="33" t="e">
        <f>Table1[[#This Row],[Macaulay Duration in Years]]/(1+Table1[[#This Row],[IRR]])</f>
        <v>#N/A</v>
      </c>
      <c r="AB1317" s="58" t="e">
        <f>VLOOKUP(Table1[[#This Row],[Yield Cluster]],'Cluster Details'!$B$3:$C$16,2,0)</f>
        <v>#N/A</v>
      </c>
      <c r="AC13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7" s="58" t="e">
        <f>IF(Table1[[#This Row],[Ask Price]]&gt;Table1[[#This Row],[Calculated Bond Price]],"Rich","Cheap")</f>
        <v>#N/A</v>
      </c>
      <c r="AE13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7" s="78" t="e">
        <f>(Table1[[#This Row],[P (+ shock)]]+Table1[[#This Row],[P (-shock)]]-2*Table1[[#This Row],[Ask Price]])/(2*Table1[[#This Row],[Ask Price]]*($AF$2^2))</f>
        <v>#N/A</v>
      </c>
      <c r="AI1317" s="6" t="e">
        <f t="shared" si="81"/>
        <v>#DIV/0!</v>
      </c>
      <c r="AK1317" s="47" t="e">
        <f>RATE(Table1[[#This Row],[Total No. of Coupons]],Table1[[#This Row],[Coupon Amount]],-Table1[[#This Row],[Ask Price]],Table1[[#This Row],[Face value]])</f>
        <v>#N/A</v>
      </c>
      <c r="AL1317" s="27" t="e">
        <f>Table1[[#This Row],[IRR]]*Table1[[#This Row],[Coupon Frequency2]]</f>
        <v>#N/A</v>
      </c>
      <c r="AM1317" s="5" t="e">
        <f t="shared" si="82"/>
        <v>#N/A</v>
      </c>
      <c r="AN1317" t="s">
        <v>64</v>
      </c>
      <c r="AO1317" t="s">
        <v>62</v>
      </c>
      <c r="AP1317" t="str">
        <f t="shared" si="83"/>
        <v/>
      </c>
    </row>
    <row r="1318" spans="4:42" x14ac:dyDescent="0.35">
      <c r="D1318" s="21"/>
      <c r="E1318" s="21"/>
      <c r="L1318" s="22"/>
      <c r="S1318">
        <f t="shared" si="80"/>
        <v>0</v>
      </c>
      <c r="T1318" s="5" t="e" cm="1">
        <f t="array" ref="T13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8" t="e">
        <f>Table1[[#This Row],[Term to Maturity (Years)]]*Table1[[#This Row],[Coupon Frequency2]]</f>
        <v>#N/A</v>
      </c>
      <c r="V1318">
        <f>Table1[[#This Row],[Face value]]*Table1[[#This Row],[Current coupon %]]</f>
        <v>0</v>
      </c>
      <c r="W1318" s="36" t="e">
        <f>RATE(Table1[[#This Row],[Total No. of Coupons]],Table1[[#This Row],[Coupon Amount]],-Table1[[#This Row],[Ask Price]],Table1[[#This Row],[Face value]])</f>
        <v>#N/A</v>
      </c>
      <c r="X1318" s="27" t="e">
        <f>Table1[[#This Row],[IRR]]*Table1[[#This Row],[Coupon Frequency2]]</f>
        <v>#N/A</v>
      </c>
      <c r="Y1318" s="19" t="e" cm="1">
        <f t="array" ref="Y13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8" s="33" t="e">
        <f>DURATION(Table1[[#This Row],[Issue date]],Table1[[#This Row],[Maturity date]],Table1[[#This Row],[Current coupon %]],Table1[[#This Row],[Yield (Annualised)]],Table1[[#This Row],[Coupon Frequency2]])</f>
        <v>#N/A</v>
      </c>
      <c r="AA1318" s="33" t="e">
        <f>Table1[[#This Row],[Macaulay Duration in Years]]/(1+Table1[[#This Row],[IRR]])</f>
        <v>#N/A</v>
      </c>
      <c r="AB1318" s="58" t="e">
        <f>VLOOKUP(Table1[[#This Row],[Yield Cluster]],'Cluster Details'!$B$3:$C$16,2,0)</f>
        <v>#N/A</v>
      </c>
      <c r="AC13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8" s="58" t="e">
        <f>IF(Table1[[#This Row],[Ask Price]]&gt;Table1[[#This Row],[Calculated Bond Price]],"Rich","Cheap")</f>
        <v>#N/A</v>
      </c>
      <c r="AE13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8" s="78" t="e">
        <f>(Table1[[#This Row],[P (+ shock)]]+Table1[[#This Row],[P (-shock)]]-2*Table1[[#This Row],[Ask Price]])/(2*Table1[[#This Row],[Ask Price]]*($AF$2^2))</f>
        <v>#N/A</v>
      </c>
      <c r="AH1318">
        <v>7.6519872497721497</v>
      </c>
      <c r="AI1318" s="6" t="e">
        <f t="shared" si="81"/>
        <v>#DIV/0!</v>
      </c>
      <c r="AK1318" s="47" t="e">
        <f>RATE(Table1[[#This Row],[Total No. of Coupons]],Table1[[#This Row],[Coupon Amount]],-Table1[[#This Row],[Ask Price]],Table1[[#This Row],[Face value]])</f>
        <v>#N/A</v>
      </c>
      <c r="AL1318" s="27" t="e">
        <f>Table1[[#This Row],[IRR]]*Table1[[#This Row],[Coupon Frequency2]]</f>
        <v>#N/A</v>
      </c>
      <c r="AM1318" s="5" t="e">
        <f t="shared" si="82"/>
        <v>#N/A</v>
      </c>
      <c r="AN1318" t="s">
        <v>64</v>
      </c>
      <c r="AO1318" t="s">
        <v>62</v>
      </c>
      <c r="AP1318" t="str">
        <f t="shared" si="83"/>
        <v/>
      </c>
    </row>
    <row r="1319" spans="4:42" x14ac:dyDescent="0.35">
      <c r="D1319" s="21"/>
      <c r="E1319" s="21"/>
      <c r="L1319" s="22"/>
      <c r="S1319">
        <f t="shared" si="80"/>
        <v>0</v>
      </c>
      <c r="T1319" s="5" t="e" cm="1">
        <f t="array" ref="T13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19" t="e">
        <f>Table1[[#This Row],[Term to Maturity (Years)]]*Table1[[#This Row],[Coupon Frequency2]]</f>
        <v>#N/A</v>
      </c>
      <c r="V1319">
        <f>Table1[[#This Row],[Face value]]*Table1[[#This Row],[Current coupon %]]</f>
        <v>0</v>
      </c>
      <c r="W1319" s="36" t="e">
        <f>RATE(Table1[[#This Row],[Total No. of Coupons]],Table1[[#This Row],[Coupon Amount]],-Table1[[#This Row],[Ask Price]],Table1[[#This Row],[Face value]])</f>
        <v>#N/A</v>
      </c>
      <c r="X1319" s="27" t="e">
        <f>Table1[[#This Row],[IRR]]*Table1[[#This Row],[Coupon Frequency2]]</f>
        <v>#N/A</v>
      </c>
      <c r="Y1319" s="19" t="e" cm="1">
        <f t="array" ref="Y13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19" s="33" t="e">
        <f>DURATION(Table1[[#This Row],[Issue date]],Table1[[#This Row],[Maturity date]],Table1[[#This Row],[Current coupon %]],Table1[[#This Row],[Yield (Annualised)]],Table1[[#This Row],[Coupon Frequency2]])</f>
        <v>#N/A</v>
      </c>
      <c r="AA1319" s="33" t="e">
        <f>Table1[[#This Row],[Macaulay Duration in Years]]/(1+Table1[[#This Row],[IRR]])</f>
        <v>#N/A</v>
      </c>
      <c r="AB1319" s="58" t="e">
        <f>VLOOKUP(Table1[[#This Row],[Yield Cluster]],'Cluster Details'!$B$3:$C$16,2,0)</f>
        <v>#N/A</v>
      </c>
      <c r="AC13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19" s="58" t="e">
        <f>IF(Table1[[#This Row],[Ask Price]]&gt;Table1[[#This Row],[Calculated Bond Price]],"Rich","Cheap")</f>
        <v>#N/A</v>
      </c>
      <c r="AE13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19" s="78" t="e">
        <f>(Table1[[#This Row],[P (+ shock)]]+Table1[[#This Row],[P (-shock)]]-2*Table1[[#This Row],[Ask Price]])/(2*Table1[[#This Row],[Ask Price]]*($AF$2^2))</f>
        <v>#N/A</v>
      </c>
      <c r="AI1319" s="6" t="e">
        <f t="shared" si="81"/>
        <v>#DIV/0!</v>
      </c>
      <c r="AK1319" s="47" t="e">
        <f>RATE(Table1[[#This Row],[Total No. of Coupons]],Table1[[#This Row],[Coupon Amount]],-Table1[[#This Row],[Ask Price]],Table1[[#This Row],[Face value]])</f>
        <v>#N/A</v>
      </c>
      <c r="AL1319" s="27" t="e">
        <f>Table1[[#This Row],[IRR]]*Table1[[#This Row],[Coupon Frequency2]]</f>
        <v>#N/A</v>
      </c>
      <c r="AM1319" s="5" t="e">
        <f t="shared" si="82"/>
        <v>#N/A</v>
      </c>
      <c r="AN1319" t="s">
        <v>69</v>
      </c>
      <c r="AO1319" t="s">
        <v>62</v>
      </c>
      <c r="AP1319" t="str">
        <f t="shared" si="83"/>
        <v/>
      </c>
    </row>
    <row r="1320" spans="4:42" x14ac:dyDescent="0.35">
      <c r="D1320" s="21"/>
      <c r="E1320" s="21"/>
      <c r="L1320" s="22"/>
      <c r="S1320">
        <f t="shared" si="80"/>
        <v>0</v>
      </c>
      <c r="T1320" s="5" t="e" cm="1">
        <f t="array" ref="T13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0" t="e">
        <f>Table1[[#This Row],[Term to Maturity (Years)]]*Table1[[#This Row],[Coupon Frequency2]]</f>
        <v>#N/A</v>
      </c>
      <c r="V1320">
        <f>Table1[[#This Row],[Face value]]*Table1[[#This Row],[Current coupon %]]</f>
        <v>0</v>
      </c>
      <c r="W1320" s="36" t="e">
        <f>RATE(Table1[[#This Row],[Total No. of Coupons]],Table1[[#This Row],[Coupon Amount]],-Table1[[#This Row],[Ask Price]],Table1[[#This Row],[Face value]])</f>
        <v>#N/A</v>
      </c>
      <c r="X1320" s="27" t="e">
        <f>Table1[[#This Row],[IRR]]*Table1[[#This Row],[Coupon Frequency2]]</f>
        <v>#N/A</v>
      </c>
      <c r="Y1320" s="19" t="e" cm="1">
        <f t="array" ref="Y13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0" s="33" t="e">
        <f>DURATION(Table1[[#This Row],[Issue date]],Table1[[#This Row],[Maturity date]],Table1[[#This Row],[Current coupon %]],Table1[[#This Row],[Yield (Annualised)]],Table1[[#This Row],[Coupon Frequency2]])</f>
        <v>#N/A</v>
      </c>
      <c r="AA1320" s="33" t="e">
        <f>Table1[[#This Row],[Macaulay Duration in Years]]/(1+Table1[[#This Row],[IRR]])</f>
        <v>#N/A</v>
      </c>
      <c r="AB1320" s="58" t="e">
        <f>VLOOKUP(Table1[[#This Row],[Yield Cluster]],'Cluster Details'!$B$3:$C$16,2,0)</f>
        <v>#N/A</v>
      </c>
      <c r="AC13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0" s="58" t="e">
        <f>IF(Table1[[#This Row],[Ask Price]]&gt;Table1[[#This Row],[Calculated Bond Price]],"Rich","Cheap")</f>
        <v>#N/A</v>
      </c>
      <c r="AE13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0" s="78" t="e">
        <f>(Table1[[#This Row],[P (+ shock)]]+Table1[[#This Row],[P (-shock)]]-2*Table1[[#This Row],[Ask Price]])/(2*Table1[[#This Row],[Ask Price]]*($AF$2^2))</f>
        <v>#N/A</v>
      </c>
      <c r="AI1320" s="6" t="e">
        <f t="shared" si="81"/>
        <v>#DIV/0!</v>
      </c>
      <c r="AK1320" s="47" t="e">
        <f>RATE(Table1[[#This Row],[Total No. of Coupons]],Table1[[#This Row],[Coupon Amount]],-Table1[[#This Row],[Ask Price]],Table1[[#This Row],[Face value]])</f>
        <v>#N/A</v>
      </c>
      <c r="AL1320" s="27" t="e">
        <f>Table1[[#This Row],[IRR]]*Table1[[#This Row],[Coupon Frequency2]]</f>
        <v>#N/A</v>
      </c>
      <c r="AM1320" s="5" t="e">
        <f t="shared" si="82"/>
        <v>#N/A</v>
      </c>
      <c r="AN1320" t="s">
        <v>69</v>
      </c>
      <c r="AO1320" t="s">
        <v>62</v>
      </c>
      <c r="AP1320" t="str">
        <f t="shared" si="83"/>
        <v/>
      </c>
    </row>
    <row r="1321" spans="4:42" x14ac:dyDescent="0.35">
      <c r="D1321" s="21"/>
      <c r="E1321" s="21"/>
      <c r="L1321" s="22"/>
      <c r="S1321">
        <f t="shared" si="80"/>
        <v>0</v>
      </c>
      <c r="T1321" s="5" t="e" cm="1">
        <f t="array" ref="T13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1" t="e">
        <f>Table1[[#This Row],[Term to Maturity (Years)]]*Table1[[#This Row],[Coupon Frequency2]]</f>
        <v>#N/A</v>
      </c>
      <c r="V1321">
        <f>Table1[[#This Row],[Face value]]*Table1[[#This Row],[Current coupon %]]</f>
        <v>0</v>
      </c>
      <c r="W1321" s="36" t="e">
        <f>RATE(Table1[[#This Row],[Total No. of Coupons]],Table1[[#This Row],[Coupon Amount]],-Table1[[#This Row],[Ask Price]],Table1[[#This Row],[Face value]])</f>
        <v>#N/A</v>
      </c>
      <c r="X1321" s="27" t="e">
        <f>Table1[[#This Row],[IRR]]*Table1[[#This Row],[Coupon Frequency2]]</f>
        <v>#N/A</v>
      </c>
      <c r="Y1321" s="19" t="e" cm="1">
        <f t="array" ref="Y13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1" s="33" t="e">
        <f>DURATION(Table1[[#This Row],[Issue date]],Table1[[#This Row],[Maturity date]],Table1[[#This Row],[Current coupon %]],Table1[[#This Row],[Yield (Annualised)]],Table1[[#This Row],[Coupon Frequency2]])</f>
        <v>#N/A</v>
      </c>
      <c r="AA1321" s="33" t="e">
        <f>Table1[[#This Row],[Macaulay Duration in Years]]/(1+Table1[[#This Row],[IRR]])</f>
        <v>#N/A</v>
      </c>
      <c r="AB1321" s="58" t="e">
        <f>VLOOKUP(Table1[[#This Row],[Yield Cluster]],'Cluster Details'!$B$3:$C$16,2,0)</f>
        <v>#N/A</v>
      </c>
      <c r="AC13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1" s="58" t="e">
        <f>IF(Table1[[#This Row],[Ask Price]]&gt;Table1[[#This Row],[Calculated Bond Price]],"Rich","Cheap")</f>
        <v>#N/A</v>
      </c>
      <c r="AE13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1" s="78" t="e">
        <f>(Table1[[#This Row],[P (+ shock)]]+Table1[[#This Row],[P (-shock)]]-2*Table1[[#This Row],[Ask Price]])/(2*Table1[[#This Row],[Ask Price]]*($AF$2^2))</f>
        <v>#N/A</v>
      </c>
      <c r="AH1321">
        <v>9.5500000000000007</v>
      </c>
      <c r="AI1321" s="6" t="e">
        <f t="shared" si="81"/>
        <v>#DIV/0!</v>
      </c>
      <c r="AK1321" s="47" t="e">
        <f>RATE(Table1[[#This Row],[Total No. of Coupons]],Table1[[#This Row],[Coupon Amount]],-Table1[[#This Row],[Ask Price]],Table1[[#This Row],[Face value]])</f>
        <v>#N/A</v>
      </c>
      <c r="AL1321" s="27" t="e">
        <f>Table1[[#This Row],[IRR]]*Table1[[#This Row],[Coupon Frequency2]]</f>
        <v>#N/A</v>
      </c>
      <c r="AM1321" s="5" t="e">
        <f t="shared" si="82"/>
        <v>#N/A</v>
      </c>
      <c r="AN1321" t="s">
        <v>64</v>
      </c>
      <c r="AO1321" t="s">
        <v>62</v>
      </c>
      <c r="AP1321" t="str">
        <f t="shared" si="83"/>
        <v/>
      </c>
    </row>
    <row r="1322" spans="4:42" x14ac:dyDescent="0.35">
      <c r="D1322" s="21"/>
      <c r="E1322" s="21"/>
      <c r="L1322" s="22"/>
      <c r="S1322">
        <f t="shared" si="80"/>
        <v>0</v>
      </c>
      <c r="T1322" s="5" t="e" cm="1">
        <f t="array" ref="T13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2" t="e">
        <f>Table1[[#This Row],[Term to Maturity (Years)]]*Table1[[#This Row],[Coupon Frequency2]]</f>
        <v>#N/A</v>
      </c>
      <c r="V1322">
        <f>Table1[[#This Row],[Face value]]*Table1[[#This Row],[Current coupon %]]</f>
        <v>0</v>
      </c>
      <c r="W1322" s="36" t="e">
        <f>RATE(Table1[[#This Row],[Total No. of Coupons]],Table1[[#This Row],[Coupon Amount]],-Table1[[#This Row],[Ask Price]],Table1[[#This Row],[Face value]])</f>
        <v>#N/A</v>
      </c>
      <c r="X1322" s="27" t="e">
        <f>Table1[[#This Row],[IRR]]*Table1[[#This Row],[Coupon Frequency2]]</f>
        <v>#N/A</v>
      </c>
      <c r="Y1322" s="19" t="e" cm="1">
        <f t="array" ref="Y13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2" s="33" t="e">
        <f>DURATION(Table1[[#This Row],[Issue date]],Table1[[#This Row],[Maturity date]],Table1[[#This Row],[Current coupon %]],Table1[[#This Row],[Yield (Annualised)]],Table1[[#This Row],[Coupon Frequency2]])</f>
        <v>#N/A</v>
      </c>
      <c r="AA1322" s="33" t="e">
        <f>Table1[[#This Row],[Macaulay Duration in Years]]/(1+Table1[[#This Row],[IRR]])</f>
        <v>#N/A</v>
      </c>
      <c r="AB1322" s="58" t="e">
        <f>VLOOKUP(Table1[[#This Row],[Yield Cluster]],'Cluster Details'!$B$3:$C$16,2,0)</f>
        <v>#N/A</v>
      </c>
      <c r="AC132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2" s="58" t="e">
        <f>IF(Table1[[#This Row],[Ask Price]]&gt;Table1[[#This Row],[Calculated Bond Price]],"Rich","Cheap")</f>
        <v>#N/A</v>
      </c>
      <c r="AE132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2" s="78" t="e">
        <f>(Table1[[#This Row],[P (+ shock)]]+Table1[[#This Row],[P (-shock)]]-2*Table1[[#This Row],[Ask Price]])/(2*Table1[[#This Row],[Ask Price]]*($AF$2^2))</f>
        <v>#N/A</v>
      </c>
      <c r="AH1322">
        <v>9.3553662765045207</v>
      </c>
      <c r="AI1322" s="6" t="e">
        <f t="shared" si="81"/>
        <v>#DIV/0!</v>
      </c>
      <c r="AK1322" s="47" t="e">
        <f>RATE(Table1[[#This Row],[Total No. of Coupons]],Table1[[#This Row],[Coupon Amount]],-Table1[[#This Row],[Ask Price]],Table1[[#This Row],[Face value]])</f>
        <v>#N/A</v>
      </c>
      <c r="AL1322" s="27" t="e">
        <f>Table1[[#This Row],[IRR]]*Table1[[#This Row],[Coupon Frequency2]]</f>
        <v>#N/A</v>
      </c>
      <c r="AM1322" s="5" t="e">
        <f t="shared" si="82"/>
        <v>#N/A</v>
      </c>
      <c r="AN1322" t="s">
        <v>64</v>
      </c>
      <c r="AO1322" t="s">
        <v>62</v>
      </c>
      <c r="AP1322" t="str">
        <f t="shared" si="83"/>
        <v/>
      </c>
    </row>
    <row r="1323" spans="4:42" x14ac:dyDescent="0.35">
      <c r="D1323" s="21"/>
      <c r="E1323" s="21"/>
      <c r="L1323" s="22"/>
      <c r="S1323">
        <f t="shared" si="80"/>
        <v>0</v>
      </c>
      <c r="T1323" s="5" t="e" cm="1">
        <f t="array" ref="T13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3" t="e">
        <f>Table1[[#This Row],[Term to Maturity (Years)]]*Table1[[#This Row],[Coupon Frequency2]]</f>
        <v>#N/A</v>
      </c>
      <c r="V1323">
        <f>Table1[[#This Row],[Face value]]*Table1[[#This Row],[Current coupon %]]</f>
        <v>0</v>
      </c>
      <c r="W1323" s="36" t="e">
        <f>RATE(Table1[[#This Row],[Total No. of Coupons]],Table1[[#This Row],[Coupon Amount]],-Table1[[#This Row],[Ask Price]],Table1[[#This Row],[Face value]])</f>
        <v>#N/A</v>
      </c>
      <c r="X1323" s="27" t="e">
        <f>Table1[[#This Row],[IRR]]*Table1[[#This Row],[Coupon Frequency2]]</f>
        <v>#N/A</v>
      </c>
      <c r="Y1323" s="19" t="e" cm="1">
        <f t="array" ref="Y13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3" s="33" t="e">
        <f>DURATION(Table1[[#This Row],[Issue date]],Table1[[#This Row],[Maturity date]],Table1[[#This Row],[Current coupon %]],Table1[[#This Row],[Yield (Annualised)]],Table1[[#This Row],[Coupon Frequency2]])</f>
        <v>#N/A</v>
      </c>
      <c r="AA1323" s="33" t="e">
        <f>Table1[[#This Row],[Macaulay Duration in Years]]/(1+Table1[[#This Row],[IRR]])</f>
        <v>#N/A</v>
      </c>
      <c r="AB1323" s="58" t="e">
        <f>VLOOKUP(Table1[[#This Row],[Yield Cluster]],'Cluster Details'!$B$3:$C$16,2,0)</f>
        <v>#N/A</v>
      </c>
      <c r="AC132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3" s="58" t="e">
        <f>IF(Table1[[#This Row],[Ask Price]]&gt;Table1[[#This Row],[Calculated Bond Price]],"Rich","Cheap")</f>
        <v>#N/A</v>
      </c>
      <c r="AE132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3" s="78" t="e">
        <f>(Table1[[#This Row],[P (+ shock)]]+Table1[[#This Row],[P (-shock)]]-2*Table1[[#This Row],[Ask Price]])/(2*Table1[[#This Row],[Ask Price]]*($AF$2^2))</f>
        <v>#N/A</v>
      </c>
      <c r="AI1323" s="6" t="e">
        <f t="shared" si="81"/>
        <v>#DIV/0!</v>
      </c>
      <c r="AK1323" s="47" t="e">
        <f>RATE(Table1[[#This Row],[Total No. of Coupons]],Table1[[#This Row],[Coupon Amount]],-Table1[[#This Row],[Ask Price]],Table1[[#This Row],[Face value]])</f>
        <v>#N/A</v>
      </c>
      <c r="AL1323" s="27" t="e">
        <f>Table1[[#This Row],[IRR]]*Table1[[#This Row],[Coupon Frequency2]]</f>
        <v>#N/A</v>
      </c>
      <c r="AM1323" s="5" t="e">
        <f t="shared" si="82"/>
        <v>#N/A</v>
      </c>
      <c r="AN1323" t="s">
        <v>64</v>
      </c>
      <c r="AO1323" t="s">
        <v>62</v>
      </c>
      <c r="AP1323" t="str">
        <f t="shared" si="83"/>
        <v/>
      </c>
    </row>
    <row r="1324" spans="4:42" x14ac:dyDescent="0.35">
      <c r="D1324" s="21"/>
      <c r="E1324" s="21"/>
      <c r="L1324" s="22"/>
      <c r="S1324">
        <f t="shared" si="80"/>
        <v>0</v>
      </c>
      <c r="T1324" s="5" t="e" cm="1">
        <f t="array" ref="T13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4" t="e">
        <f>Table1[[#This Row],[Term to Maturity (Years)]]*Table1[[#This Row],[Coupon Frequency2]]</f>
        <v>#N/A</v>
      </c>
      <c r="V1324">
        <f>Table1[[#This Row],[Face value]]*Table1[[#This Row],[Current coupon %]]</f>
        <v>0</v>
      </c>
      <c r="W1324" s="36" t="e">
        <f>RATE(Table1[[#This Row],[Total No. of Coupons]],Table1[[#This Row],[Coupon Amount]],-Table1[[#This Row],[Ask Price]],Table1[[#This Row],[Face value]])</f>
        <v>#N/A</v>
      </c>
      <c r="X1324" s="27" t="e">
        <f>Table1[[#This Row],[IRR]]*Table1[[#This Row],[Coupon Frequency2]]</f>
        <v>#N/A</v>
      </c>
      <c r="Y1324" s="19" t="e" cm="1">
        <f t="array" ref="Y13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4" s="33" t="e">
        <f>DURATION(Table1[[#This Row],[Issue date]],Table1[[#This Row],[Maturity date]],Table1[[#This Row],[Current coupon %]],Table1[[#This Row],[Yield (Annualised)]],Table1[[#This Row],[Coupon Frequency2]])</f>
        <v>#N/A</v>
      </c>
      <c r="AA1324" s="33" t="e">
        <f>Table1[[#This Row],[Macaulay Duration in Years]]/(1+Table1[[#This Row],[IRR]])</f>
        <v>#N/A</v>
      </c>
      <c r="AB1324" s="58" t="e">
        <f>VLOOKUP(Table1[[#This Row],[Yield Cluster]],'Cluster Details'!$B$3:$C$16,2,0)</f>
        <v>#N/A</v>
      </c>
      <c r="AC132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4" s="58" t="e">
        <f>IF(Table1[[#This Row],[Ask Price]]&gt;Table1[[#This Row],[Calculated Bond Price]],"Rich","Cheap")</f>
        <v>#N/A</v>
      </c>
      <c r="AE132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4" s="78" t="e">
        <f>(Table1[[#This Row],[P (+ shock)]]+Table1[[#This Row],[P (-shock)]]-2*Table1[[#This Row],[Ask Price]])/(2*Table1[[#This Row],[Ask Price]]*($AF$2^2))</f>
        <v>#N/A</v>
      </c>
      <c r="AH1324">
        <v>12.235611123750299</v>
      </c>
      <c r="AI1324" s="6" t="e">
        <f t="shared" si="81"/>
        <v>#DIV/0!</v>
      </c>
      <c r="AK1324" s="47" t="e">
        <f>RATE(Table1[[#This Row],[Total No. of Coupons]],Table1[[#This Row],[Coupon Amount]],-Table1[[#This Row],[Ask Price]],Table1[[#This Row],[Face value]])</f>
        <v>#N/A</v>
      </c>
      <c r="AL1324" s="27" t="e">
        <f>Table1[[#This Row],[IRR]]*Table1[[#This Row],[Coupon Frequency2]]</f>
        <v>#N/A</v>
      </c>
      <c r="AM1324" s="5" t="e">
        <f t="shared" si="82"/>
        <v>#N/A</v>
      </c>
      <c r="AN1324" t="s">
        <v>64</v>
      </c>
      <c r="AO1324" t="s">
        <v>62</v>
      </c>
      <c r="AP1324" t="str">
        <f t="shared" si="83"/>
        <v/>
      </c>
    </row>
    <row r="1325" spans="4:42" x14ac:dyDescent="0.35">
      <c r="D1325" s="21"/>
      <c r="E1325" s="21"/>
      <c r="L1325" s="22"/>
      <c r="S1325">
        <f t="shared" si="80"/>
        <v>0</v>
      </c>
      <c r="T1325" s="5" t="e" cm="1">
        <f t="array" ref="T13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5" t="e">
        <f>Table1[[#This Row],[Term to Maturity (Years)]]*Table1[[#This Row],[Coupon Frequency2]]</f>
        <v>#N/A</v>
      </c>
      <c r="V1325">
        <f>Table1[[#This Row],[Face value]]*Table1[[#This Row],[Current coupon %]]</f>
        <v>0</v>
      </c>
      <c r="W1325" s="36" t="e">
        <f>RATE(Table1[[#This Row],[Total No. of Coupons]],Table1[[#This Row],[Coupon Amount]],-Table1[[#This Row],[Ask Price]],Table1[[#This Row],[Face value]])</f>
        <v>#N/A</v>
      </c>
      <c r="X1325" s="27" t="e">
        <f>Table1[[#This Row],[IRR]]*Table1[[#This Row],[Coupon Frequency2]]</f>
        <v>#N/A</v>
      </c>
      <c r="Y1325" s="19" t="e" cm="1">
        <f t="array" ref="Y13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5" s="33" t="e">
        <f>DURATION(Table1[[#This Row],[Issue date]],Table1[[#This Row],[Maturity date]],Table1[[#This Row],[Current coupon %]],Table1[[#This Row],[Yield (Annualised)]],Table1[[#This Row],[Coupon Frequency2]])</f>
        <v>#N/A</v>
      </c>
      <c r="AA1325" s="33" t="e">
        <f>Table1[[#This Row],[Macaulay Duration in Years]]/(1+Table1[[#This Row],[IRR]])</f>
        <v>#N/A</v>
      </c>
      <c r="AB1325" s="58" t="e">
        <f>VLOOKUP(Table1[[#This Row],[Yield Cluster]],'Cluster Details'!$B$3:$C$16,2,0)</f>
        <v>#N/A</v>
      </c>
      <c r="AC132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5" s="58" t="e">
        <f>IF(Table1[[#This Row],[Ask Price]]&gt;Table1[[#This Row],[Calculated Bond Price]],"Rich","Cheap")</f>
        <v>#N/A</v>
      </c>
      <c r="AE132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5" s="78" t="e">
        <f>(Table1[[#This Row],[P (+ shock)]]+Table1[[#This Row],[P (-shock)]]-2*Table1[[#This Row],[Ask Price]])/(2*Table1[[#This Row],[Ask Price]]*($AF$2^2))</f>
        <v>#N/A</v>
      </c>
      <c r="AH1325">
        <v>11.1585779282417</v>
      </c>
      <c r="AI1325" s="6" t="e">
        <f t="shared" si="81"/>
        <v>#DIV/0!</v>
      </c>
      <c r="AK1325" s="47" t="e">
        <f>RATE(Table1[[#This Row],[Total No. of Coupons]],Table1[[#This Row],[Coupon Amount]],-Table1[[#This Row],[Ask Price]],Table1[[#This Row],[Face value]])</f>
        <v>#N/A</v>
      </c>
      <c r="AL1325" s="27" t="e">
        <f>Table1[[#This Row],[IRR]]*Table1[[#This Row],[Coupon Frequency2]]</f>
        <v>#N/A</v>
      </c>
      <c r="AM1325" s="5" t="e">
        <f t="shared" si="82"/>
        <v>#N/A</v>
      </c>
      <c r="AN1325" t="s">
        <v>64</v>
      </c>
      <c r="AO1325" t="s">
        <v>62</v>
      </c>
      <c r="AP1325" t="str">
        <f t="shared" si="83"/>
        <v/>
      </c>
    </row>
    <row r="1326" spans="4:42" x14ac:dyDescent="0.35">
      <c r="D1326" s="21"/>
      <c r="E1326" s="21"/>
      <c r="L1326" s="22"/>
      <c r="S1326">
        <f t="shared" si="80"/>
        <v>0</v>
      </c>
      <c r="T1326" s="5" t="e" cm="1">
        <f t="array" ref="T13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6" t="e">
        <f>Table1[[#This Row],[Term to Maturity (Years)]]*Table1[[#This Row],[Coupon Frequency2]]</f>
        <v>#N/A</v>
      </c>
      <c r="V1326">
        <f>Table1[[#This Row],[Face value]]*Table1[[#This Row],[Current coupon %]]</f>
        <v>0</v>
      </c>
      <c r="W1326" s="36" t="e">
        <f>RATE(Table1[[#This Row],[Total No. of Coupons]],Table1[[#This Row],[Coupon Amount]],-Table1[[#This Row],[Ask Price]],Table1[[#This Row],[Face value]])</f>
        <v>#N/A</v>
      </c>
      <c r="X1326" s="27" t="e">
        <f>Table1[[#This Row],[IRR]]*Table1[[#This Row],[Coupon Frequency2]]</f>
        <v>#N/A</v>
      </c>
      <c r="Y1326" s="19" t="e" cm="1">
        <f t="array" ref="Y13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6" s="33" t="e">
        <f>DURATION(Table1[[#This Row],[Issue date]],Table1[[#This Row],[Maturity date]],Table1[[#This Row],[Current coupon %]],Table1[[#This Row],[Yield (Annualised)]],Table1[[#This Row],[Coupon Frequency2]])</f>
        <v>#N/A</v>
      </c>
      <c r="AA1326" s="33" t="e">
        <f>Table1[[#This Row],[Macaulay Duration in Years]]/(1+Table1[[#This Row],[IRR]])</f>
        <v>#N/A</v>
      </c>
      <c r="AB1326" s="58" t="e">
        <f>VLOOKUP(Table1[[#This Row],[Yield Cluster]],'Cluster Details'!$B$3:$C$16,2,0)</f>
        <v>#N/A</v>
      </c>
      <c r="AC132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6" s="58" t="e">
        <f>IF(Table1[[#This Row],[Ask Price]]&gt;Table1[[#This Row],[Calculated Bond Price]],"Rich","Cheap")</f>
        <v>#N/A</v>
      </c>
      <c r="AE132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6" s="78" t="e">
        <f>(Table1[[#This Row],[P (+ shock)]]+Table1[[#This Row],[P (-shock)]]-2*Table1[[#This Row],[Ask Price]])/(2*Table1[[#This Row],[Ask Price]]*($AF$2^2))</f>
        <v>#N/A</v>
      </c>
      <c r="AI1326" s="6" t="e">
        <f t="shared" si="81"/>
        <v>#DIV/0!</v>
      </c>
      <c r="AK1326" s="47" t="e">
        <f>RATE(Table1[[#This Row],[Total No. of Coupons]],Table1[[#This Row],[Coupon Amount]],-Table1[[#This Row],[Ask Price]],Table1[[#This Row],[Face value]])</f>
        <v>#N/A</v>
      </c>
      <c r="AL1326" s="27" t="e">
        <f>Table1[[#This Row],[IRR]]*Table1[[#This Row],[Coupon Frequency2]]</f>
        <v>#N/A</v>
      </c>
      <c r="AM1326" s="5" t="e">
        <f t="shared" si="82"/>
        <v>#N/A</v>
      </c>
      <c r="AN1326" t="s">
        <v>69</v>
      </c>
      <c r="AO1326" t="s">
        <v>62</v>
      </c>
      <c r="AP1326" t="str">
        <f t="shared" si="83"/>
        <v/>
      </c>
    </row>
    <row r="1327" spans="4:42" x14ac:dyDescent="0.35">
      <c r="D1327" s="21"/>
      <c r="E1327" s="21"/>
      <c r="L1327" s="22"/>
      <c r="S1327">
        <f t="shared" si="80"/>
        <v>0</v>
      </c>
      <c r="T1327" s="5" t="e" cm="1">
        <f t="array" ref="T13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7" t="e">
        <f>Table1[[#This Row],[Term to Maturity (Years)]]*Table1[[#This Row],[Coupon Frequency2]]</f>
        <v>#N/A</v>
      </c>
      <c r="V1327">
        <f>Table1[[#This Row],[Face value]]*Table1[[#This Row],[Current coupon %]]</f>
        <v>0</v>
      </c>
      <c r="W1327" s="36" t="e">
        <f>RATE(Table1[[#This Row],[Total No. of Coupons]],Table1[[#This Row],[Coupon Amount]],-Table1[[#This Row],[Ask Price]],Table1[[#This Row],[Face value]])</f>
        <v>#N/A</v>
      </c>
      <c r="X1327" s="27" t="e">
        <f>Table1[[#This Row],[IRR]]*Table1[[#This Row],[Coupon Frequency2]]</f>
        <v>#N/A</v>
      </c>
      <c r="Y1327" s="19" t="e" cm="1">
        <f t="array" ref="Y13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7" s="33" t="e">
        <f>DURATION(Table1[[#This Row],[Issue date]],Table1[[#This Row],[Maturity date]],Table1[[#This Row],[Current coupon %]],Table1[[#This Row],[Yield (Annualised)]],Table1[[#This Row],[Coupon Frequency2]])</f>
        <v>#N/A</v>
      </c>
      <c r="AA1327" s="33" t="e">
        <f>Table1[[#This Row],[Macaulay Duration in Years]]/(1+Table1[[#This Row],[IRR]])</f>
        <v>#N/A</v>
      </c>
      <c r="AB1327" s="58" t="e">
        <f>VLOOKUP(Table1[[#This Row],[Yield Cluster]],'Cluster Details'!$B$3:$C$16,2,0)</f>
        <v>#N/A</v>
      </c>
      <c r="AC132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7" s="58" t="e">
        <f>IF(Table1[[#This Row],[Ask Price]]&gt;Table1[[#This Row],[Calculated Bond Price]],"Rich","Cheap")</f>
        <v>#N/A</v>
      </c>
      <c r="AE132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7" s="78" t="e">
        <f>(Table1[[#This Row],[P (+ shock)]]+Table1[[#This Row],[P (-shock)]]-2*Table1[[#This Row],[Ask Price]])/(2*Table1[[#This Row],[Ask Price]]*($AF$2^2))</f>
        <v>#N/A</v>
      </c>
      <c r="AI1327" s="6" t="e">
        <f t="shared" si="81"/>
        <v>#DIV/0!</v>
      </c>
      <c r="AK1327" s="47" t="e">
        <f>RATE(Table1[[#This Row],[Total No. of Coupons]],Table1[[#This Row],[Coupon Amount]],-Table1[[#This Row],[Ask Price]],Table1[[#This Row],[Face value]])</f>
        <v>#N/A</v>
      </c>
      <c r="AL1327" s="27" t="e">
        <f>Table1[[#This Row],[IRR]]*Table1[[#This Row],[Coupon Frequency2]]</f>
        <v>#N/A</v>
      </c>
      <c r="AM1327" s="5" t="e">
        <f t="shared" si="82"/>
        <v>#N/A</v>
      </c>
      <c r="AN1327" t="s">
        <v>69</v>
      </c>
      <c r="AO1327" t="s">
        <v>62</v>
      </c>
      <c r="AP1327" t="str">
        <f t="shared" si="83"/>
        <v/>
      </c>
    </row>
    <row r="1328" spans="4:42" x14ac:dyDescent="0.35">
      <c r="D1328" s="21"/>
      <c r="E1328" s="21"/>
      <c r="L1328" s="22"/>
      <c r="S1328">
        <f t="shared" si="80"/>
        <v>0</v>
      </c>
      <c r="T1328" s="5" t="e" cm="1">
        <f t="array" ref="T13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8" t="e">
        <f>Table1[[#This Row],[Term to Maturity (Years)]]*Table1[[#This Row],[Coupon Frequency2]]</f>
        <v>#N/A</v>
      </c>
      <c r="V1328">
        <f>Table1[[#This Row],[Face value]]*Table1[[#This Row],[Current coupon %]]</f>
        <v>0</v>
      </c>
      <c r="W1328" s="36" t="e">
        <f>RATE(Table1[[#This Row],[Total No. of Coupons]],Table1[[#This Row],[Coupon Amount]],-Table1[[#This Row],[Ask Price]],Table1[[#This Row],[Face value]])</f>
        <v>#N/A</v>
      </c>
      <c r="X1328" s="27" t="e">
        <f>Table1[[#This Row],[IRR]]*Table1[[#This Row],[Coupon Frequency2]]</f>
        <v>#N/A</v>
      </c>
      <c r="Y1328" s="19" t="e" cm="1">
        <f t="array" ref="Y13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8" s="33" t="e">
        <f>DURATION(Table1[[#This Row],[Issue date]],Table1[[#This Row],[Maturity date]],Table1[[#This Row],[Current coupon %]],Table1[[#This Row],[Yield (Annualised)]],Table1[[#This Row],[Coupon Frequency2]])</f>
        <v>#N/A</v>
      </c>
      <c r="AA1328" s="33" t="e">
        <f>Table1[[#This Row],[Macaulay Duration in Years]]/(1+Table1[[#This Row],[IRR]])</f>
        <v>#N/A</v>
      </c>
      <c r="AB1328" s="58" t="e">
        <f>VLOOKUP(Table1[[#This Row],[Yield Cluster]],'Cluster Details'!$B$3:$C$16,2,0)</f>
        <v>#N/A</v>
      </c>
      <c r="AC132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8" s="58" t="e">
        <f>IF(Table1[[#This Row],[Ask Price]]&gt;Table1[[#This Row],[Calculated Bond Price]],"Rich","Cheap")</f>
        <v>#N/A</v>
      </c>
      <c r="AE132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8" s="78" t="e">
        <f>(Table1[[#This Row],[P (+ shock)]]+Table1[[#This Row],[P (-shock)]]-2*Table1[[#This Row],[Ask Price]])/(2*Table1[[#This Row],[Ask Price]]*($AF$2^2))</f>
        <v>#N/A</v>
      </c>
      <c r="AI1328" s="6" t="e">
        <f t="shared" si="81"/>
        <v>#DIV/0!</v>
      </c>
      <c r="AK1328" s="47" t="e">
        <f>RATE(Table1[[#This Row],[Total No. of Coupons]],Table1[[#This Row],[Coupon Amount]],-Table1[[#This Row],[Ask Price]],Table1[[#This Row],[Face value]])</f>
        <v>#N/A</v>
      </c>
      <c r="AL1328" s="27" t="e">
        <f>Table1[[#This Row],[IRR]]*Table1[[#This Row],[Coupon Frequency2]]</f>
        <v>#N/A</v>
      </c>
      <c r="AM1328" s="5" t="e">
        <f t="shared" si="82"/>
        <v>#N/A</v>
      </c>
      <c r="AN1328" t="s">
        <v>64</v>
      </c>
      <c r="AO1328" t="s">
        <v>62</v>
      </c>
      <c r="AP1328" t="str">
        <f t="shared" si="83"/>
        <v/>
      </c>
    </row>
    <row r="1329" spans="4:42" x14ac:dyDescent="0.35">
      <c r="D1329" s="21"/>
      <c r="E1329" s="21"/>
      <c r="L1329" s="22"/>
      <c r="S1329">
        <f t="shared" si="80"/>
        <v>0</v>
      </c>
      <c r="T1329" s="5" t="e" cm="1">
        <f t="array" ref="T13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29" t="e">
        <f>Table1[[#This Row],[Term to Maturity (Years)]]*Table1[[#This Row],[Coupon Frequency2]]</f>
        <v>#N/A</v>
      </c>
      <c r="V1329">
        <f>Table1[[#This Row],[Face value]]*Table1[[#This Row],[Current coupon %]]</f>
        <v>0</v>
      </c>
      <c r="W1329" s="36" t="e">
        <f>RATE(Table1[[#This Row],[Total No. of Coupons]],Table1[[#This Row],[Coupon Amount]],-Table1[[#This Row],[Ask Price]],Table1[[#This Row],[Face value]])</f>
        <v>#N/A</v>
      </c>
      <c r="X1329" s="27" t="e">
        <f>Table1[[#This Row],[IRR]]*Table1[[#This Row],[Coupon Frequency2]]</f>
        <v>#N/A</v>
      </c>
      <c r="Y1329" s="19" t="e" cm="1">
        <f t="array" ref="Y13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29" s="33" t="e">
        <f>DURATION(Table1[[#This Row],[Issue date]],Table1[[#This Row],[Maturity date]],Table1[[#This Row],[Current coupon %]],Table1[[#This Row],[Yield (Annualised)]],Table1[[#This Row],[Coupon Frequency2]])</f>
        <v>#N/A</v>
      </c>
      <c r="AA1329" s="33" t="e">
        <f>Table1[[#This Row],[Macaulay Duration in Years]]/(1+Table1[[#This Row],[IRR]])</f>
        <v>#N/A</v>
      </c>
      <c r="AB1329" s="58" t="e">
        <f>VLOOKUP(Table1[[#This Row],[Yield Cluster]],'Cluster Details'!$B$3:$C$16,2,0)</f>
        <v>#N/A</v>
      </c>
      <c r="AC132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29" s="58" t="e">
        <f>IF(Table1[[#This Row],[Ask Price]]&gt;Table1[[#This Row],[Calculated Bond Price]],"Rich","Cheap")</f>
        <v>#N/A</v>
      </c>
      <c r="AE132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2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29" s="78" t="e">
        <f>(Table1[[#This Row],[P (+ shock)]]+Table1[[#This Row],[P (-shock)]]-2*Table1[[#This Row],[Ask Price]])/(2*Table1[[#This Row],[Ask Price]]*($AF$2^2))</f>
        <v>#N/A</v>
      </c>
      <c r="AI1329" s="6" t="e">
        <f t="shared" si="81"/>
        <v>#DIV/0!</v>
      </c>
      <c r="AK1329" s="47" t="e">
        <f>RATE(Table1[[#This Row],[Total No. of Coupons]],Table1[[#This Row],[Coupon Amount]],-Table1[[#This Row],[Ask Price]],Table1[[#This Row],[Face value]])</f>
        <v>#N/A</v>
      </c>
      <c r="AL1329" s="27" t="e">
        <f>Table1[[#This Row],[IRR]]*Table1[[#This Row],[Coupon Frequency2]]</f>
        <v>#N/A</v>
      </c>
      <c r="AM1329" s="5" t="e">
        <f t="shared" si="82"/>
        <v>#N/A</v>
      </c>
      <c r="AN1329" t="s">
        <v>69</v>
      </c>
      <c r="AO1329" t="s">
        <v>62</v>
      </c>
      <c r="AP1329" t="str">
        <f t="shared" si="83"/>
        <v/>
      </c>
    </row>
    <row r="1330" spans="4:42" x14ac:dyDescent="0.35">
      <c r="D1330" s="21"/>
      <c r="E1330" s="21"/>
      <c r="L1330" s="22"/>
      <c r="S1330">
        <f t="shared" si="80"/>
        <v>0</v>
      </c>
      <c r="T1330" s="5" t="e" cm="1">
        <f t="array" ref="T13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0" t="e">
        <f>Table1[[#This Row],[Term to Maturity (Years)]]*Table1[[#This Row],[Coupon Frequency2]]</f>
        <v>#N/A</v>
      </c>
      <c r="V1330">
        <f>Table1[[#This Row],[Face value]]*Table1[[#This Row],[Current coupon %]]</f>
        <v>0</v>
      </c>
      <c r="W1330" s="36" t="e">
        <f>RATE(Table1[[#This Row],[Total No. of Coupons]],Table1[[#This Row],[Coupon Amount]],-Table1[[#This Row],[Ask Price]],Table1[[#This Row],[Face value]])</f>
        <v>#N/A</v>
      </c>
      <c r="X1330" s="27" t="e">
        <f>Table1[[#This Row],[IRR]]*Table1[[#This Row],[Coupon Frequency2]]</f>
        <v>#N/A</v>
      </c>
      <c r="Y1330" s="19" t="e" cm="1">
        <f t="array" ref="Y13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0" s="33" t="e">
        <f>DURATION(Table1[[#This Row],[Issue date]],Table1[[#This Row],[Maturity date]],Table1[[#This Row],[Current coupon %]],Table1[[#This Row],[Yield (Annualised)]],Table1[[#This Row],[Coupon Frequency2]])</f>
        <v>#N/A</v>
      </c>
      <c r="AA1330" s="33" t="e">
        <f>Table1[[#This Row],[Macaulay Duration in Years]]/(1+Table1[[#This Row],[IRR]])</f>
        <v>#N/A</v>
      </c>
      <c r="AB1330" s="58" t="e">
        <f>VLOOKUP(Table1[[#This Row],[Yield Cluster]],'Cluster Details'!$B$3:$C$16,2,0)</f>
        <v>#N/A</v>
      </c>
      <c r="AC133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0" s="58" t="e">
        <f>IF(Table1[[#This Row],[Ask Price]]&gt;Table1[[#This Row],[Calculated Bond Price]],"Rich","Cheap")</f>
        <v>#N/A</v>
      </c>
      <c r="AE133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0" s="78" t="e">
        <f>(Table1[[#This Row],[P (+ shock)]]+Table1[[#This Row],[P (-shock)]]-2*Table1[[#This Row],[Ask Price]])/(2*Table1[[#This Row],[Ask Price]]*($AF$2^2))</f>
        <v>#N/A</v>
      </c>
      <c r="AH1330">
        <v>6.3405393538166397</v>
      </c>
      <c r="AI1330" s="6" t="e">
        <f t="shared" si="81"/>
        <v>#DIV/0!</v>
      </c>
      <c r="AK1330" s="47" t="e">
        <f>RATE(Table1[[#This Row],[Total No. of Coupons]],Table1[[#This Row],[Coupon Amount]],-Table1[[#This Row],[Ask Price]],Table1[[#This Row],[Face value]])</f>
        <v>#N/A</v>
      </c>
      <c r="AL1330" s="27" t="e">
        <f>Table1[[#This Row],[IRR]]*Table1[[#This Row],[Coupon Frequency2]]</f>
        <v>#N/A</v>
      </c>
      <c r="AM1330" s="5" t="e">
        <f t="shared" si="82"/>
        <v>#N/A</v>
      </c>
      <c r="AN1330" t="s">
        <v>64</v>
      </c>
      <c r="AO1330" t="s">
        <v>62</v>
      </c>
      <c r="AP1330" t="str">
        <f t="shared" si="83"/>
        <v/>
      </c>
    </row>
    <row r="1331" spans="4:42" x14ac:dyDescent="0.35">
      <c r="D1331" s="21"/>
      <c r="E1331" s="21"/>
      <c r="L1331" s="22"/>
      <c r="S1331">
        <f t="shared" si="80"/>
        <v>0</v>
      </c>
      <c r="T1331" s="5" t="e" cm="1">
        <f t="array" ref="T13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1" t="e">
        <f>Table1[[#This Row],[Term to Maturity (Years)]]*Table1[[#This Row],[Coupon Frequency2]]</f>
        <v>#N/A</v>
      </c>
      <c r="V1331">
        <f>Table1[[#This Row],[Face value]]*Table1[[#This Row],[Current coupon %]]</f>
        <v>0</v>
      </c>
      <c r="W1331" s="36" t="e">
        <f>RATE(Table1[[#This Row],[Total No. of Coupons]],Table1[[#This Row],[Coupon Amount]],-Table1[[#This Row],[Ask Price]],Table1[[#This Row],[Face value]])</f>
        <v>#N/A</v>
      </c>
      <c r="X1331" s="27" t="e">
        <f>Table1[[#This Row],[IRR]]*Table1[[#This Row],[Coupon Frequency2]]</f>
        <v>#N/A</v>
      </c>
      <c r="Y1331" s="19" t="e" cm="1">
        <f t="array" ref="Y13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1" s="33" t="e">
        <f>DURATION(Table1[[#This Row],[Issue date]],Table1[[#This Row],[Maturity date]],Table1[[#This Row],[Current coupon %]],Table1[[#This Row],[Yield (Annualised)]],Table1[[#This Row],[Coupon Frequency2]])</f>
        <v>#N/A</v>
      </c>
      <c r="AA1331" s="33" t="e">
        <f>Table1[[#This Row],[Macaulay Duration in Years]]/(1+Table1[[#This Row],[IRR]])</f>
        <v>#N/A</v>
      </c>
      <c r="AB1331" s="58" t="e">
        <f>VLOOKUP(Table1[[#This Row],[Yield Cluster]],'Cluster Details'!$B$3:$C$16,2,0)</f>
        <v>#N/A</v>
      </c>
      <c r="AC133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1" s="58" t="e">
        <f>IF(Table1[[#This Row],[Ask Price]]&gt;Table1[[#This Row],[Calculated Bond Price]],"Rich","Cheap")</f>
        <v>#N/A</v>
      </c>
      <c r="AE133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1" s="78" t="e">
        <f>(Table1[[#This Row],[P (+ shock)]]+Table1[[#This Row],[P (-shock)]]-2*Table1[[#This Row],[Ask Price]])/(2*Table1[[#This Row],[Ask Price]]*($AF$2^2))</f>
        <v>#N/A</v>
      </c>
      <c r="AI1331" s="6" t="e">
        <f t="shared" si="81"/>
        <v>#DIV/0!</v>
      </c>
      <c r="AK1331" s="47" t="e">
        <f>RATE(Table1[[#This Row],[Total No. of Coupons]],Table1[[#This Row],[Coupon Amount]],-Table1[[#This Row],[Ask Price]],Table1[[#This Row],[Face value]])</f>
        <v>#N/A</v>
      </c>
      <c r="AL1331" s="27" t="e">
        <f>Table1[[#This Row],[IRR]]*Table1[[#This Row],[Coupon Frequency2]]</f>
        <v>#N/A</v>
      </c>
      <c r="AM1331" s="5" t="e">
        <f t="shared" si="82"/>
        <v>#N/A</v>
      </c>
      <c r="AN1331" t="s">
        <v>69</v>
      </c>
      <c r="AO1331" t="s">
        <v>62</v>
      </c>
      <c r="AP1331" t="str">
        <f t="shared" si="83"/>
        <v/>
      </c>
    </row>
    <row r="1332" spans="4:42" x14ac:dyDescent="0.35">
      <c r="D1332" s="21"/>
      <c r="E1332" s="21"/>
      <c r="L1332" s="22"/>
      <c r="S1332">
        <f t="shared" si="80"/>
        <v>0</v>
      </c>
      <c r="T1332" s="5" t="e" cm="1">
        <f t="array" ref="T13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2" t="e">
        <f>Table1[[#This Row],[Term to Maturity (Years)]]*Table1[[#This Row],[Coupon Frequency2]]</f>
        <v>#N/A</v>
      </c>
      <c r="V1332">
        <f>Table1[[#This Row],[Face value]]*Table1[[#This Row],[Current coupon %]]</f>
        <v>0</v>
      </c>
      <c r="W1332" s="36" t="e">
        <f>RATE(Table1[[#This Row],[Total No. of Coupons]],Table1[[#This Row],[Coupon Amount]],-Table1[[#This Row],[Ask Price]],Table1[[#This Row],[Face value]])</f>
        <v>#N/A</v>
      </c>
      <c r="X1332" s="27" t="e">
        <f>Table1[[#This Row],[IRR]]*Table1[[#This Row],[Coupon Frequency2]]</f>
        <v>#N/A</v>
      </c>
      <c r="Y1332" s="19" t="e" cm="1">
        <f t="array" ref="Y13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2" s="33" t="e">
        <f>DURATION(Table1[[#This Row],[Issue date]],Table1[[#This Row],[Maturity date]],Table1[[#This Row],[Current coupon %]],Table1[[#This Row],[Yield (Annualised)]],Table1[[#This Row],[Coupon Frequency2]])</f>
        <v>#N/A</v>
      </c>
      <c r="AA1332" s="33" t="e">
        <f>Table1[[#This Row],[Macaulay Duration in Years]]/(1+Table1[[#This Row],[IRR]])</f>
        <v>#N/A</v>
      </c>
      <c r="AB1332" s="58" t="e">
        <f>VLOOKUP(Table1[[#This Row],[Yield Cluster]],'Cluster Details'!$B$3:$C$16,2,0)</f>
        <v>#N/A</v>
      </c>
      <c r="AC133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2" s="58" t="e">
        <f>IF(Table1[[#This Row],[Ask Price]]&gt;Table1[[#This Row],[Calculated Bond Price]],"Rich","Cheap")</f>
        <v>#N/A</v>
      </c>
      <c r="AE133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2" s="78" t="e">
        <f>(Table1[[#This Row],[P (+ shock)]]+Table1[[#This Row],[P (-shock)]]-2*Table1[[#This Row],[Ask Price]])/(2*Table1[[#This Row],[Ask Price]]*($AF$2^2))</f>
        <v>#N/A</v>
      </c>
      <c r="AI1332" s="6" t="e">
        <f t="shared" si="81"/>
        <v>#DIV/0!</v>
      </c>
      <c r="AK1332" s="47" t="e">
        <f>RATE(Table1[[#This Row],[Total No. of Coupons]],Table1[[#This Row],[Coupon Amount]],-Table1[[#This Row],[Ask Price]],Table1[[#This Row],[Face value]])</f>
        <v>#N/A</v>
      </c>
      <c r="AL1332" s="27" t="e">
        <f>Table1[[#This Row],[IRR]]*Table1[[#This Row],[Coupon Frequency2]]</f>
        <v>#N/A</v>
      </c>
      <c r="AM1332" s="5" t="e">
        <f t="shared" si="82"/>
        <v>#N/A</v>
      </c>
      <c r="AN1332" t="s">
        <v>69</v>
      </c>
      <c r="AO1332" t="s">
        <v>62</v>
      </c>
      <c r="AP1332" t="str">
        <f t="shared" si="83"/>
        <v/>
      </c>
    </row>
    <row r="1333" spans="4:42" x14ac:dyDescent="0.35">
      <c r="D1333" s="21"/>
      <c r="E1333" s="21"/>
      <c r="L1333" s="22"/>
      <c r="S1333">
        <f t="shared" si="80"/>
        <v>0</v>
      </c>
      <c r="T1333" s="5" t="e" cm="1">
        <f t="array" ref="T13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3" t="e">
        <f>Table1[[#This Row],[Term to Maturity (Years)]]*Table1[[#This Row],[Coupon Frequency2]]</f>
        <v>#N/A</v>
      </c>
      <c r="V1333">
        <f>Table1[[#This Row],[Face value]]*Table1[[#This Row],[Current coupon %]]</f>
        <v>0</v>
      </c>
      <c r="W1333" s="36" t="e">
        <f>RATE(Table1[[#This Row],[Total No. of Coupons]],Table1[[#This Row],[Coupon Amount]],-Table1[[#This Row],[Ask Price]],Table1[[#This Row],[Face value]])</f>
        <v>#N/A</v>
      </c>
      <c r="X1333" s="27" t="e">
        <f>Table1[[#This Row],[IRR]]*Table1[[#This Row],[Coupon Frequency2]]</f>
        <v>#N/A</v>
      </c>
      <c r="Y1333" s="19" t="e" cm="1">
        <f t="array" ref="Y13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3" s="33" t="e">
        <f>DURATION(Table1[[#This Row],[Issue date]],Table1[[#This Row],[Maturity date]],Table1[[#This Row],[Current coupon %]],Table1[[#This Row],[Yield (Annualised)]],Table1[[#This Row],[Coupon Frequency2]])</f>
        <v>#N/A</v>
      </c>
      <c r="AA1333" s="33" t="e">
        <f>Table1[[#This Row],[Macaulay Duration in Years]]/(1+Table1[[#This Row],[IRR]])</f>
        <v>#N/A</v>
      </c>
      <c r="AB1333" s="58" t="e">
        <f>VLOOKUP(Table1[[#This Row],[Yield Cluster]],'Cluster Details'!$B$3:$C$16,2,0)</f>
        <v>#N/A</v>
      </c>
      <c r="AC133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3" s="58" t="e">
        <f>IF(Table1[[#This Row],[Ask Price]]&gt;Table1[[#This Row],[Calculated Bond Price]],"Rich","Cheap")</f>
        <v>#N/A</v>
      </c>
      <c r="AE133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3" s="78" t="e">
        <f>(Table1[[#This Row],[P (+ shock)]]+Table1[[#This Row],[P (-shock)]]-2*Table1[[#This Row],[Ask Price]])/(2*Table1[[#This Row],[Ask Price]]*($AF$2^2))</f>
        <v>#N/A</v>
      </c>
      <c r="AH1333">
        <v>9.1392699408924898</v>
      </c>
      <c r="AI1333" s="6" t="e">
        <f t="shared" si="81"/>
        <v>#DIV/0!</v>
      </c>
      <c r="AK1333" s="47" t="e">
        <f>RATE(Table1[[#This Row],[Total No. of Coupons]],Table1[[#This Row],[Coupon Amount]],-Table1[[#This Row],[Ask Price]],Table1[[#This Row],[Face value]])</f>
        <v>#N/A</v>
      </c>
      <c r="AL1333" s="27" t="e">
        <f>Table1[[#This Row],[IRR]]*Table1[[#This Row],[Coupon Frequency2]]</f>
        <v>#N/A</v>
      </c>
      <c r="AM1333" s="5" t="e">
        <f t="shared" si="82"/>
        <v>#N/A</v>
      </c>
      <c r="AN1333" t="s">
        <v>64</v>
      </c>
      <c r="AO1333" t="s">
        <v>62</v>
      </c>
      <c r="AP1333" t="str">
        <f t="shared" si="83"/>
        <v/>
      </c>
    </row>
    <row r="1334" spans="4:42" x14ac:dyDescent="0.35">
      <c r="D1334" s="21"/>
      <c r="E1334" s="21"/>
      <c r="L1334" s="22"/>
      <c r="S1334">
        <f t="shared" si="80"/>
        <v>0</v>
      </c>
      <c r="T1334" s="5" t="e" cm="1">
        <f t="array" ref="T13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4" t="e">
        <f>Table1[[#This Row],[Term to Maturity (Years)]]*Table1[[#This Row],[Coupon Frequency2]]</f>
        <v>#N/A</v>
      </c>
      <c r="V1334">
        <f>Table1[[#This Row],[Face value]]*Table1[[#This Row],[Current coupon %]]</f>
        <v>0</v>
      </c>
      <c r="W1334" s="36" t="e">
        <f>RATE(Table1[[#This Row],[Total No. of Coupons]],Table1[[#This Row],[Coupon Amount]],-Table1[[#This Row],[Ask Price]],Table1[[#This Row],[Face value]])</f>
        <v>#N/A</v>
      </c>
      <c r="X1334" s="27" t="e">
        <f>Table1[[#This Row],[IRR]]*Table1[[#This Row],[Coupon Frequency2]]</f>
        <v>#N/A</v>
      </c>
      <c r="Y1334" s="19" t="e" cm="1">
        <f t="array" ref="Y13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4" s="33" t="e">
        <f>DURATION(Table1[[#This Row],[Issue date]],Table1[[#This Row],[Maturity date]],Table1[[#This Row],[Current coupon %]],Table1[[#This Row],[Yield (Annualised)]],Table1[[#This Row],[Coupon Frequency2]])</f>
        <v>#N/A</v>
      </c>
      <c r="AA1334" s="33" t="e">
        <f>Table1[[#This Row],[Macaulay Duration in Years]]/(1+Table1[[#This Row],[IRR]])</f>
        <v>#N/A</v>
      </c>
      <c r="AB1334" s="58" t="e">
        <f>VLOOKUP(Table1[[#This Row],[Yield Cluster]],'Cluster Details'!$B$3:$C$16,2,0)</f>
        <v>#N/A</v>
      </c>
      <c r="AC133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4" s="58" t="e">
        <f>IF(Table1[[#This Row],[Ask Price]]&gt;Table1[[#This Row],[Calculated Bond Price]],"Rich","Cheap")</f>
        <v>#N/A</v>
      </c>
      <c r="AE133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4" s="78" t="e">
        <f>(Table1[[#This Row],[P (+ shock)]]+Table1[[#This Row],[P (-shock)]]-2*Table1[[#This Row],[Ask Price]])/(2*Table1[[#This Row],[Ask Price]]*($AF$2^2))</f>
        <v>#N/A</v>
      </c>
      <c r="AI1334" s="6" t="e">
        <f t="shared" si="81"/>
        <v>#DIV/0!</v>
      </c>
      <c r="AK1334" s="47" t="e">
        <f>RATE(Table1[[#This Row],[Total No. of Coupons]],Table1[[#This Row],[Coupon Amount]],-Table1[[#This Row],[Ask Price]],Table1[[#This Row],[Face value]])</f>
        <v>#N/A</v>
      </c>
      <c r="AL1334" s="27" t="e">
        <f>Table1[[#This Row],[IRR]]*Table1[[#This Row],[Coupon Frequency2]]</f>
        <v>#N/A</v>
      </c>
      <c r="AM1334" s="5" t="e">
        <f t="shared" si="82"/>
        <v>#N/A</v>
      </c>
      <c r="AN1334" t="s">
        <v>69</v>
      </c>
      <c r="AO1334" t="s">
        <v>62</v>
      </c>
      <c r="AP1334" t="str">
        <f t="shared" si="83"/>
        <v/>
      </c>
    </row>
    <row r="1335" spans="4:42" x14ac:dyDescent="0.35">
      <c r="D1335" s="21"/>
      <c r="E1335" s="21"/>
      <c r="L1335" s="22"/>
      <c r="S1335">
        <f t="shared" si="80"/>
        <v>0</v>
      </c>
      <c r="T1335" s="5" t="e" cm="1">
        <f t="array" ref="T13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5" t="e">
        <f>Table1[[#This Row],[Term to Maturity (Years)]]*Table1[[#This Row],[Coupon Frequency2]]</f>
        <v>#N/A</v>
      </c>
      <c r="V1335">
        <f>Table1[[#This Row],[Face value]]*Table1[[#This Row],[Current coupon %]]</f>
        <v>0</v>
      </c>
      <c r="W1335" s="36" t="e">
        <f>RATE(Table1[[#This Row],[Total No. of Coupons]],Table1[[#This Row],[Coupon Amount]],-Table1[[#This Row],[Ask Price]],Table1[[#This Row],[Face value]])</f>
        <v>#N/A</v>
      </c>
      <c r="X1335" s="27" t="e">
        <f>Table1[[#This Row],[IRR]]*Table1[[#This Row],[Coupon Frequency2]]</f>
        <v>#N/A</v>
      </c>
      <c r="Y1335" s="19" t="e" cm="1">
        <f t="array" ref="Y13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5" s="33" t="e">
        <f>DURATION(Table1[[#This Row],[Issue date]],Table1[[#This Row],[Maturity date]],Table1[[#This Row],[Current coupon %]],Table1[[#This Row],[Yield (Annualised)]],Table1[[#This Row],[Coupon Frequency2]])</f>
        <v>#N/A</v>
      </c>
      <c r="AA1335" s="33" t="e">
        <f>Table1[[#This Row],[Macaulay Duration in Years]]/(1+Table1[[#This Row],[IRR]])</f>
        <v>#N/A</v>
      </c>
      <c r="AB1335" s="58" t="e">
        <f>VLOOKUP(Table1[[#This Row],[Yield Cluster]],'Cluster Details'!$B$3:$C$16,2,0)</f>
        <v>#N/A</v>
      </c>
      <c r="AC133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5" s="58" t="e">
        <f>IF(Table1[[#This Row],[Ask Price]]&gt;Table1[[#This Row],[Calculated Bond Price]],"Rich","Cheap")</f>
        <v>#N/A</v>
      </c>
      <c r="AE133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5" s="78" t="e">
        <f>(Table1[[#This Row],[P (+ shock)]]+Table1[[#This Row],[P (-shock)]]-2*Table1[[#This Row],[Ask Price]])/(2*Table1[[#This Row],[Ask Price]]*($AF$2^2))</f>
        <v>#N/A</v>
      </c>
      <c r="AH1335">
        <v>7.2499999999999902</v>
      </c>
      <c r="AI1335" s="6" t="e">
        <f t="shared" si="81"/>
        <v>#DIV/0!</v>
      </c>
      <c r="AK1335" s="47" t="e">
        <f>RATE(Table1[[#This Row],[Total No. of Coupons]],Table1[[#This Row],[Coupon Amount]],-Table1[[#This Row],[Ask Price]],Table1[[#This Row],[Face value]])</f>
        <v>#N/A</v>
      </c>
      <c r="AL1335" s="27" t="e">
        <f>Table1[[#This Row],[IRR]]*Table1[[#This Row],[Coupon Frequency2]]</f>
        <v>#N/A</v>
      </c>
      <c r="AM1335" s="5" t="e">
        <f t="shared" si="82"/>
        <v>#N/A</v>
      </c>
      <c r="AN1335" t="s">
        <v>64</v>
      </c>
      <c r="AO1335" t="s">
        <v>62</v>
      </c>
      <c r="AP1335" t="str">
        <f t="shared" si="83"/>
        <v/>
      </c>
    </row>
    <row r="1336" spans="4:42" x14ac:dyDescent="0.35">
      <c r="D1336" s="21"/>
      <c r="E1336" s="21"/>
      <c r="L1336" s="22"/>
      <c r="S1336">
        <f t="shared" si="80"/>
        <v>0</v>
      </c>
      <c r="T1336" s="5" t="e" cm="1">
        <f t="array" ref="T13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6" t="e">
        <f>Table1[[#This Row],[Term to Maturity (Years)]]*Table1[[#This Row],[Coupon Frequency2]]</f>
        <v>#N/A</v>
      </c>
      <c r="V1336">
        <f>Table1[[#This Row],[Face value]]*Table1[[#This Row],[Current coupon %]]</f>
        <v>0</v>
      </c>
      <c r="W1336" s="36" t="e">
        <f>RATE(Table1[[#This Row],[Total No. of Coupons]],Table1[[#This Row],[Coupon Amount]],-Table1[[#This Row],[Ask Price]],Table1[[#This Row],[Face value]])</f>
        <v>#N/A</v>
      </c>
      <c r="X1336" s="27" t="e">
        <f>Table1[[#This Row],[IRR]]*Table1[[#This Row],[Coupon Frequency2]]</f>
        <v>#N/A</v>
      </c>
      <c r="Y1336" s="19" t="e" cm="1">
        <f t="array" ref="Y13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6" s="33" t="e">
        <f>DURATION(Table1[[#This Row],[Issue date]],Table1[[#This Row],[Maturity date]],Table1[[#This Row],[Current coupon %]],Table1[[#This Row],[Yield (Annualised)]],Table1[[#This Row],[Coupon Frequency2]])</f>
        <v>#N/A</v>
      </c>
      <c r="AA1336" s="33" t="e">
        <f>Table1[[#This Row],[Macaulay Duration in Years]]/(1+Table1[[#This Row],[IRR]])</f>
        <v>#N/A</v>
      </c>
      <c r="AB1336" s="58" t="e">
        <f>VLOOKUP(Table1[[#This Row],[Yield Cluster]],'Cluster Details'!$B$3:$C$16,2,0)</f>
        <v>#N/A</v>
      </c>
      <c r="AC133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6" s="58" t="e">
        <f>IF(Table1[[#This Row],[Ask Price]]&gt;Table1[[#This Row],[Calculated Bond Price]],"Rich","Cheap")</f>
        <v>#N/A</v>
      </c>
      <c r="AE133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6" s="78" t="e">
        <f>(Table1[[#This Row],[P (+ shock)]]+Table1[[#This Row],[P (-shock)]]-2*Table1[[#This Row],[Ask Price]])/(2*Table1[[#This Row],[Ask Price]]*($AF$2^2))</f>
        <v>#N/A</v>
      </c>
      <c r="AI1336" s="6" t="e">
        <f t="shared" si="81"/>
        <v>#DIV/0!</v>
      </c>
      <c r="AK1336" s="47" t="e">
        <f>RATE(Table1[[#This Row],[Total No. of Coupons]],Table1[[#This Row],[Coupon Amount]],-Table1[[#This Row],[Ask Price]],Table1[[#This Row],[Face value]])</f>
        <v>#N/A</v>
      </c>
      <c r="AL1336" s="27" t="e">
        <f>Table1[[#This Row],[IRR]]*Table1[[#This Row],[Coupon Frequency2]]</f>
        <v>#N/A</v>
      </c>
      <c r="AM1336" s="5" t="e">
        <f t="shared" si="82"/>
        <v>#N/A</v>
      </c>
      <c r="AN1336" t="s">
        <v>69</v>
      </c>
      <c r="AO1336" t="s">
        <v>62</v>
      </c>
      <c r="AP1336" t="str">
        <f t="shared" si="83"/>
        <v/>
      </c>
    </row>
    <row r="1337" spans="4:42" x14ac:dyDescent="0.35">
      <c r="D1337" s="21"/>
      <c r="E1337" s="21"/>
      <c r="L1337" s="22"/>
      <c r="S1337">
        <f t="shared" si="80"/>
        <v>0</v>
      </c>
      <c r="T1337" s="5" t="e" cm="1">
        <f t="array" ref="T13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7" t="e">
        <f>Table1[[#This Row],[Term to Maturity (Years)]]*Table1[[#This Row],[Coupon Frequency2]]</f>
        <v>#N/A</v>
      </c>
      <c r="V1337">
        <f>Table1[[#This Row],[Face value]]*Table1[[#This Row],[Current coupon %]]</f>
        <v>0</v>
      </c>
      <c r="W1337" s="36" t="e">
        <f>RATE(Table1[[#This Row],[Total No. of Coupons]],Table1[[#This Row],[Coupon Amount]],-Table1[[#This Row],[Ask Price]],Table1[[#This Row],[Face value]])</f>
        <v>#N/A</v>
      </c>
      <c r="X1337" s="27" t="e">
        <f>Table1[[#This Row],[IRR]]*Table1[[#This Row],[Coupon Frequency2]]</f>
        <v>#N/A</v>
      </c>
      <c r="Y1337" s="19" t="e" cm="1">
        <f t="array" ref="Y13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7" s="33" t="e">
        <f>DURATION(Table1[[#This Row],[Issue date]],Table1[[#This Row],[Maturity date]],Table1[[#This Row],[Current coupon %]],Table1[[#This Row],[Yield (Annualised)]],Table1[[#This Row],[Coupon Frequency2]])</f>
        <v>#N/A</v>
      </c>
      <c r="AA1337" s="33" t="e">
        <f>Table1[[#This Row],[Macaulay Duration in Years]]/(1+Table1[[#This Row],[IRR]])</f>
        <v>#N/A</v>
      </c>
      <c r="AB1337" s="58" t="e">
        <f>VLOOKUP(Table1[[#This Row],[Yield Cluster]],'Cluster Details'!$B$3:$C$16,2,0)</f>
        <v>#N/A</v>
      </c>
      <c r="AC133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7" s="58" t="e">
        <f>IF(Table1[[#This Row],[Ask Price]]&gt;Table1[[#This Row],[Calculated Bond Price]],"Rich","Cheap")</f>
        <v>#N/A</v>
      </c>
      <c r="AE133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7" s="78" t="e">
        <f>(Table1[[#This Row],[P (+ shock)]]+Table1[[#This Row],[P (-shock)]]-2*Table1[[#This Row],[Ask Price]])/(2*Table1[[#This Row],[Ask Price]]*($AF$2^2))</f>
        <v>#N/A</v>
      </c>
      <c r="AI1337" s="6" t="e">
        <f t="shared" si="81"/>
        <v>#DIV/0!</v>
      </c>
      <c r="AK1337" s="47" t="e">
        <f>RATE(Table1[[#This Row],[Total No. of Coupons]],Table1[[#This Row],[Coupon Amount]],-Table1[[#This Row],[Ask Price]],Table1[[#This Row],[Face value]])</f>
        <v>#N/A</v>
      </c>
      <c r="AL1337" s="27" t="e">
        <f>Table1[[#This Row],[IRR]]*Table1[[#This Row],[Coupon Frequency2]]</f>
        <v>#N/A</v>
      </c>
      <c r="AM1337" s="5" t="e">
        <f t="shared" si="82"/>
        <v>#N/A</v>
      </c>
      <c r="AN1337" t="s">
        <v>69</v>
      </c>
      <c r="AO1337" t="s">
        <v>62</v>
      </c>
      <c r="AP1337" t="str">
        <f t="shared" si="83"/>
        <v/>
      </c>
    </row>
    <row r="1338" spans="4:42" x14ac:dyDescent="0.35">
      <c r="D1338" s="21"/>
      <c r="E1338" s="21"/>
      <c r="L1338" s="22"/>
      <c r="S1338">
        <f t="shared" si="80"/>
        <v>0</v>
      </c>
      <c r="T1338" s="5" t="e" cm="1">
        <f t="array" ref="T13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8" t="e">
        <f>Table1[[#This Row],[Term to Maturity (Years)]]*Table1[[#This Row],[Coupon Frequency2]]</f>
        <v>#N/A</v>
      </c>
      <c r="V1338">
        <f>Table1[[#This Row],[Face value]]*Table1[[#This Row],[Current coupon %]]</f>
        <v>0</v>
      </c>
      <c r="W1338" s="36" t="e">
        <f>RATE(Table1[[#This Row],[Total No. of Coupons]],Table1[[#This Row],[Coupon Amount]],-Table1[[#This Row],[Ask Price]],Table1[[#This Row],[Face value]])</f>
        <v>#N/A</v>
      </c>
      <c r="X1338" s="27" t="e">
        <f>Table1[[#This Row],[IRR]]*Table1[[#This Row],[Coupon Frequency2]]</f>
        <v>#N/A</v>
      </c>
      <c r="Y1338" s="19" t="e" cm="1">
        <f t="array" ref="Y13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8" s="33" t="e">
        <f>DURATION(Table1[[#This Row],[Issue date]],Table1[[#This Row],[Maturity date]],Table1[[#This Row],[Current coupon %]],Table1[[#This Row],[Yield (Annualised)]],Table1[[#This Row],[Coupon Frequency2]])</f>
        <v>#N/A</v>
      </c>
      <c r="AA1338" s="33" t="e">
        <f>Table1[[#This Row],[Macaulay Duration in Years]]/(1+Table1[[#This Row],[IRR]])</f>
        <v>#N/A</v>
      </c>
      <c r="AB1338" s="58" t="e">
        <f>VLOOKUP(Table1[[#This Row],[Yield Cluster]],'Cluster Details'!$B$3:$C$16,2,0)</f>
        <v>#N/A</v>
      </c>
      <c r="AC133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8" s="58" t="e">
        <f>IF(Table1[[#This Row],[Ask Price]]&gt;Table1[[#This Row],[Calculated Bond Price]],"Rich","Cheap")</f>
        <v>#N/A</v>
      </c>
      <c r="AE133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8" s="78" t="e">
        <f>(Table1[[#This Row],[P (+ shock)]]+Table1[[#This Row],[P (-shock)]]-2*Table1[[#This Row],[Ask Price]])/(2*Table1[[#This Row],[Ask Price]]*($AF$2^2))</f>
        <v>#N/A</v>
      </c>
      <c r="AI1338" s="6" t="e">
        <f t="shared" si="81"/>
        <v>#DIV/0!</v>
      </c>
      <c r="AK1338" s="47" t="e">
        <f>RATE(Table1[[#This Row],[Total No. of Coupons]],Table1[[#This Row],[Coupon Amount]],-Table1[[#This Row],[Ask Price]],Table1[[#This Row],[Face value]])</f>
        <v>#N/A</v>
      </c>
      <c r="AL1338" s="27" t="e">
        <f>Table1[[#This Row],[IRR]]*Table1[[#This Row],[Coupon Frequency2]]</f>
        <v>#N/A</v>
      </c>
      <c r="AM1338" s="5" t="e">
        <f t="shared" si="82"/>
        <v>#N/A</v>
      </c>
      <c r="AN1338" t="s">
        <v>69</v>
      </c>
      <c r="AO1338" t="s">
        <v>62</v>
      </c>
      <c r="AP1338" t="str">
        <f t="shared" si="83"/>
        <v/>
      </c>
    </row>
    <row r="1339" spans="4:42" x14ac:dyDescent="0.35">
      <c r="D1339" s="21"/>
      <c r="E1339" s="21"/>
      <c r="L1339" s="22"/>
      <c r="S1339">
        <f t="shared" si="80"/>
        <v>0</v>
      </c>
      <c r="T1339" s="5" t="e" cm="1">
        <f t="array" ref="T13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39" t="e">
        <f>Table1[[#This Row],[Term to Maturity (Years)]]*Table1[[#This Row],[Coupon Frequency2]]</f>
        <v>#N/A</v>
      </c>
      <c r="V1339">
        <f>Table1[[#This Row],[Face value]]*Table1[[#This Row],[Current coupon %]]</f>
        <v>0</v>
      </c>
      <c r="W1339" s="36" t="e">
        <f>RATE(Table1[[#This Row],[Total No. of Coupons]],Table1[[#This Row],[Coupon Amount]],-Table1[[#This Row],[Ask Price]],Table1[[#This Row],[Face value]])</f>
        <v>#N/A</v>
      </c>
      <c r="X1339" s="27" t="e">
        <f>Table1[[#This Row],[IRR]]*Table1[[#This Row],[Coupon Frequency2]]</f>
        <v>#N/A</v>
      </c>
      <c r="Y1339" s="19" t="e" cm="1">
        <f t="array" ref="Y13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39" s="33" t="e">
        <f>DURATION(Table1[[#This Row],[Issue date]],Table1[[#This Row],[Maturity date]],Table1[[#This Row],[Current coupon %]],Table1[[#This Row],[Yield (Annualised)]],Table1[[#This Row],[Coupon Frequency2]])</f>
        <v>#N/A</v>
      </c>
      <c r="AA1339" s="33" t="e">
        <f>Table1[[#This Row],[Macaulay Duration in Years]]/(1+Table1[[#This Row],[IRR]])</f>
        <v>#N/A</v>
      </c>
      <c r="AB1339" s="58" t="e">
        <f>VLOOKUP(Table1[[#This Row],[Yield Cluster]],'Cluster Details'!$B$3:$C$16,2,0)</f>
        <v>#N/A</v>
      </c>
      <c r="AC133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39" s="58" t="e">
        <f>IF(Table1[[#This Row],[Ask Price]]&gt;Table1[[#This Row],[Calculated Bond Price]],"Rich","Cheap")</f>
        <v>#N/A</v>
      </c>
      <c r="AE133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3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39" s="78" t="e">
        <f>(Table1[[#This Row],[P (+ shock)]]+Table1[[#This Row],[P (-shock)]]-2*Table1[[#This Row],[Ask Price]])/(2*Table1[[#This Row],[Ask Price]]*($AF$2^2))</f>
        <v>#N/A</v>
      </c>
      <c r="AH1339">
        <v>9.8076903814914402</v>
      </c>
      <c r="AI1339" s="6" t="e">
        <f t="shared" si="81"/>
        <v>#DIV/0!</v>
      </c>
      <c r="AK1339" s="47" t="e">
        <f>RATE(Table1[[#This Row],[Total No. of Coupons]],Table1[[#This Row],[Coupon Amount]],-Table1[[#This Row],[Ask Price]],Table1[[#This Row],[Face value]])</f>
        <v>#N/A</v>
      </c>
      <c r="AL1339" s="27" t="e">
        <f>Table1[[#This Row],[IRR]]*Table1[[#This Row],[Coupon Frequency2]]</f>
        <v>#N/A</v>
      </c>
      <c r="AM1339" s="5" t="e">
        <f t="shared" si="82"/>
        <v>#N/A</v>
      </c>
      <c r="AN1339" t="s">
        <v>64</v>
      </c>
      <c r="AO1339" t="s">
        <v>62</v>
      </c>
      <c r="AP1339" t="str">
        <f t="shared" si="83"/>
        <v/>
      </c>
    </row>
    <row r="1340" spans="4:42" x14ac:dyDescent="0.35">
      <c r="D1340" s="21"/>
      <c r="E1340" s="21"/>
      <c r="L1340" s="22"/>
      <c r="S1340">
        <f t="shared" si="80"/>
        <v>0</v>
      </c>
      <c r="T1340" s="5" t="e" cm="1">
        <f t="array" ref="T13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0" t="e">
        <f>Table1[[#This Row],[Term to Maturity (Years)]]*Table1[[#This Row],[Coupon Frequency2]]</f>
        <v>#N/A</v>
      </c>
      <c r="V1340">
        <f>Table1[[#This Row],[Face value]]*Table1[[#This Row],[Current coupon %]]</f>
        <v>0</v>
      </c>
      <c r="W1340" s="36" t="e">
        <f>RATE(Table1[[#This Row],[Total No. of Coupons]],Table1[[#This Row],[Coupon Amount]],-Table1[[#This Row],[Ask Price]],Table1[[#This Row],[Face value]])</f>
        <v>#N/A</v>
      </c>
      <c r="X1340" s="27" t="e">
        <f>Table1[[#This Row],[IRR]]*Table1[[#This Row],[Coupon Frequency2]]</f>
        <v>#N/A</v>
      </c>
      <c r="Y1340" s="19" t="e" cm="1">
        <f t="array" ref="Y13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0" s="33" t="e">
        <f>DURATION(Table1[[#This Row],[Issue date]],Table1[[#This Row],[Maturity date]],Table1[[#This Row],[Current coupon %]],Table1[[#This Row],[Yield (Annualised)]],Table1[[#This Row],[Coupon Frequency2]])</f>
        <v>#N/A</v>
      </c>
      <c r="AA1340" s="33" t="e">
        <f>Table1[[#This Row],[Macaulay Duration in Years]]/(1+Table1[[#This Row],[IRR]])</f>
        <v>#N/A</v>
      </c>
      <c r="AB1340" s="58" t="e">
        <f>VLOOKUP(Table1[[#This Row],[Yield Cluster]],'Cluster Details'!$B$3:$C$16,2,0)</f>
        <v>#N/A</v>
      </c>
      <c r="AC134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0" s="58" t="e">
        <f>IF(Table1[[#This Row],[Ask Price]]&gt;Table1[[#This Row],[Calculated Bond Price]],"Rich","Cheap")</f>
        <v>#N/A</v>
      </c>
      <c r="AE134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0" s="78" t="e">
        <f>(Table1[[#This Row],[P (+ shock)]]+Table1[[#This Row],[P (-shock)]]-2*Table1[[#This Row],[Ask Price]])/(2*Table1[[#This Row],[Ask Price]]*($AF$2^2))</f>
        <v>#N/A</v>
      </c>
      <c r="AH1340">
        <v>9.6999999999999993</v>
      </c>
      <c r="AI1340" s="6" t="e">
        <f t="shared" si="81"/>
        <v>#DIV/0!</v>
      </c>
      <c r="AK1340" s="47" t="e">
        <f>RATE(Table1[[#This Row],[Total No. of Coupons]],Table1[[#This Row],[Coupon Amount]],-Table1[[#This Row],[Ask Price]],Table1[[#This Row],[Face value]])</f>
        <v>#N/A</v>
      </c>
      <c r="AL1340" s="27" t="e">
        <f>Table1[[#This Row],[IRR]]*Table1[[#This Row],[Coupon Frequency2]]</f>
        <v>#N/A</v>
      </c>
      <c r="AM1340" s="5" t="e">
        <f t="shared" si="82"/>
        <v>#N/A</v>
      </c>
      <c r="AN1340" t="s">
        <v>64</v>
      </c>
      <c r="AO1340" t="s">
        <v>62</v>
      </c>
      <c r="AP1340" t="str">
        <f t="shared" si="83"/>
        <v/>
      </c>
    </row>
    <row r="1341" spans="4:42" x14ac:dyDescent="0.35">
      <c r="D1341" s="21"/>
      <c r="E1341" s="21"/>
      <c r="L1341" s="22"/>
      <c r="S1341">
        <f t="shared" si="80"/>
        <v>0</v>
      </c>
      <c r="T1341" s="5" t="e" cm="1">
        <f t="array" ref="T13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1" t="e">
        <f>Table1[[#This Row],[Term to Maturity (Years)]]*Table1[[#This Row],[Coupon Frequency2]]</f>
        <v>#N/A</v>
      </c>
      <c r="V1341">
        <f>Table1[[#This Row],[Face value]]*Table1[[#This Row],[Current coupon %]]</f>
        <v>0</v>
      </c>
      <c r="W1341" s="36" t="e">
        <f>RATE(Table1[[#This Row],[Total No. of Coupons]],Table1[[#This Row],[Coupon Amount]],-Table1[[#This Row],[Ask Price]],Table1[[#This Row],[Face value]])</f>
        <v>#N/A</v>
      </c>
      <c r="X1341" s="27" t="e">
        <f>Table1[[#This Row],[IRR]]*Table1[[#This Row],[Coupon Frequency2]]</f>
        <v>#N/A</v>
      </c>
      <c r="Y1341" s="19" t="e" cm="1">
        <f t="array" ref="Y13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1" s="33" t="e">
        <f>DURATION(Table1[[#This Row],[Issue date]],Table1[[#This Row],[Maturity date]],Table1[[#This Row],[Current coupon %]],Table1[[#This Row],[Yield (Annualised)]],Table1[[#This Row],[Coupon Frequency2]])</f>
        <v>#N/A</v>
      </c>
      <c r="AA1341" s="33" t="e">
        <f>Table1[[#This Row],[Macaulay Duration in Years]]/(1+Table1[[#This Row],[IRR]])</f>
        <v>#N/A</v>
      </c>
      <c r="AB1341" s="58" t="e">
        <f>VLOOKUP(Table1[[#This Row],[Yield Cluster]],'Cluster Details'!$B$3:$C$16,2,0)</f>
        <v>#N/A</v>
      </c>
      <c r="AC134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1" s="58" t="e">
        <f>IF(Table1[[#This Row],[Ask Price]]&gt;Table1[[#This Row],[Calculated Bond Price]],"Rich","Cheap")</f>
        <v>#N/A</v>
      </c>
      <c r="AE134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1" s="78" t="e">
        <f>(Table1[[#This Row],[P (+ shock)]]+Table1[[#This Row],[P (-shock)]]-2*Table1[[#This Row],[Ask Price]])/(2*Table1[[#This Row],[Ask Price]]*($AF$2^2))</f>
        <v>#N/A</v>
      </c>
      <c r="AI1341" s="6" t="e">
        <f t="shared" si="81"/>
        <v>#DIV/0!</v>
      </c>
      <c r="AK1341" s="47" t="e">
        <f>RATE(Table1[[#This Row],[Total No. of Coupons]],Table1[[#This Row],[Coupon Amount]],-Table1[[#This Row],[Ask Price]],Table1[[#This Row],[Face value]])</f>
        <v>#N/A</v>
      </c>
      <c r="AL1341" s="27" t="e">
        <f>Table1[[#This Row],[IRR]]*Table1[[#This Row],[Coupon Frequency2]]</f>
        <v>#N/A</v>
      </c>
      <c r="AM1341" s="5" t="e">
        <f t="shared" si="82"/>
        <v>#N/A</v>
      </c>
      <c r="AN1341" t="s">
        <v>69</v>
      </c>
      <c r="AO1341" t="s">
        <v>62</v>
      </c>
      <c r="AP1341" t="str">
        <f t="shared" si="83"/>
        <v/>
      </c>
    </row>
    <row r="1342" spans="4:42" x14ac:dyDescent="0.35">
      <c r="D1342" s="21"/>
      <c r="E1342" s="21"/>
      <c r="L1342" s="22"/>
      <c r="S1342">
        <f t="shared" si="80"/>
        <v>0</v>
      </c>
      <c r="T1342" s="5" t="e" cm="1">
        <f t="array" ref="T13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2" t="e">
        <f>Table1[[#This Row],[Term to Maturity (Years)]]*Table1[[#This Row],[Coupon Frequency2]]</f>
        <v>#N/A</v>
      </c>
      <c r="V1342">
        <f>Table1[[#This Row],[Face value]]*Table1[[#This Row],[Current coupon %]]</f>
        <v>0</v>
      </c>
      <c r="W1342" s="36" t="e">
        <f>RATE(Table1[[#This Row],[Total No. of Coupons]],Table1[[#This Row],[Coupon Amount]],-Table1[[#This Row],[Ask Price]],Table1[[#This Row],[Face value]])</f>
        <v>#N/A</v>
      </c>
      <c r="X1342" s="27" t="e">
        <f>Table1[[#This Row],[IRR]]*Table1[[#This Row],[Coupon Frequency2]]</f>
        <v>#N/A</v>
      </c>
      <c r="Y1342" s="19" t="e" cm="1">
        <f t="array" ref="Y13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2" s="33" t="e">
        <f>DURATION(Table1[[#This Row],[Issue date]],Table1[[#This Row],[Maturity date]],Table1[[#This Row],[Current coupon %]],Table1[[#This Row],[Yield (Annualised)]],Table1[[#This Row],[Coupon Frequency2]])</f>
        <v>#N/A</v>
      </c>
      <c r="AA1342" s="33" t="e">
        <f>Table1[[#This Row],[Macaulay Duration in Years]]/(1+Table1[[#This Row],[IRR]])</f>
        <v>#N/A</v>
      </c>
      <c r="AB1342" s="58" t="e">
        <f>VLOOKUP(Table1[[#This Row],[Yield Cluster]],'Cluster Details'!$B$3:$C$16,2,0)</f>
        <v>#N/A</v>
      </c>
      <c r="AC134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2" s="58" t="e">
        <f>IF(Table1[[#This Row],[Ask Price]]&gt;Table1[[#This Row],[Calculated Bond Price]],"Rich","Cheap")</f>
        <v>#N/A</v>
      </c>
      <c r="AE134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2" s="78" t="e">
        <f>(Table1[[#This Row],[P (+ shock)]]+Table1[[#This Row],[P (-shock)]]-2*Table1[[#This Row],[Ask Price]])/(2*Table1[[#This Row],[Ask Price]]*($AF$2^2))</f>
        <v>#N/A</v>
      </c>
      <c r="AH1342">
        <v>6.5609524595576101</v>
      </c>
      <c r="AI1342" s="6" t="e">
        <f t="shared" si="81"/>
        <v>#DIV/0!</v>
      </c>
      <c r="AK1342" s="47" t="e">
        <f>RATE(Table1[[#This Row],[Total No. of Coupons]],Table1[[#This Row],[Coupon Amount]],-Table1[[#This Row],[Ask Price]],Table1[[#This Row],[Face value]])</f>
        <v>#N/A</v>
      </c>
      <c r="AL1342" s="27" t="e">
        <f>Table1[[#This Row],[IRR]]*Table1[[#This Row],[Coupon Frequency2]]</f>
        <v>#N/A</v>
      </c>
      <c r="AM1342" s="5" t="e">
        <f t="shared" si="82"/>
        <v>#N/A</v>
      </c>
      <c r="AN1342" t="s">
        <v>64</v>
      </c>
      <c r="AO1342" t="s">
        <v>62</v>
      </c>
      <c r="AP1342" t="str">
        <f t="shared" si="83"/>
        <v/>
      </c>
    </row>
    <row r="1343" spans="4:42" x14ac:dyDescent="0.35">
      <c r="D1343" s="21"/>
      <c r="E1343" s="21"/>
      <c r="L1343" s="22"/>
      <c r="S1343">
        <f t="shared" si="80"/>
        <v>0</v>
      </c>
      <c r="T1343" s="5" t="e" cm="1">
        <f t="array" ref="T13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3" t="e">
        <f>Table1[[#This Row],[Term to Maturity (Years)]]*Table1[[#This Row],[Coupon Frequency2]]</f>
        <v>#N/A</v>
      </c>
      <c r="V1343">
        <f>Table1[[#This Row],[Face value]]*Table1[[#This Row],[Current coupon %]]</f>
        <v>0</v>
      </c>
      <c r="W1343" s="36" t="e">
        <f>RATE(Table1[[#This Row],[Total No. of Coupons]],Table1[[#This Row],[Coupon Amount]],-Table1[[#This Row],[Ask Price]],Table1[[#This Row],[Face value]])</f>
        <v>#N/A</v>
      </c>
      <c r="X1343" s="27" t="e">
        <f>Table1[[#This Row],[IRR]]*Table1[[#This Row],[Coupon Frequency2]]</f>
        <v>#N/A</v>
      </c>
      <c r="Y1343" s="19" t="e" cm="1">
        <f t="array" ref="Y13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3" s="33" t="e">
        <f>DURATION(Table1[[#This Row],[Issue date]],Table1[[#This Row],[Maturity date]],Table1[[#This Row],[Current coupon %]],Table1[[#This Row],[Yield (Annualised)]],Table1[[#This Row],[Coupon Frequency2]])</f>
        <v>#N/A</v>
      </c>
      <c r="AA1343" s="33" t="e">
        <f>Table1[[#This Row],[Macaulay Duration in Years]]/(1+Table1[[#This Row],[IRR]])</f>
        <v>#N/A</v>
      </c>
      <c r="AB1343" s="58" t="e">
        <f>VLOOKUP(Table1[[#This Row],[Yield Cluster]],'Cluster Details'!$B$3:$C$16,2,0)</f>
        <v>#N/A</v>
      </c>
      <c r="AC134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3" s="58" t="e">
        <f>IF(Table1[[#This Row],[Ask Price]]&gt;Table1[[#This Row],[Calculated Bond Price]],"Rich","Cheap")</f>
        <v>#N/A</v>
      </c>
      <c r="AE134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3" s="78" t="e">
        <f>(Table1[[#This Row],[P (+ shock)]]+Table1[[#This Row],[P (-shock)]]-2*Table1[[#This Row],[Ask Price]])/(2*Table1[[#This Row],[Ask Price]]*($AF$2^2))</f>
        <v>#N/A</v>
      </c>
      <c r="AI1343" s="6" t="e">
        <f t="shared" si="81"/>
        <v>#DIV/0!</v>
      </c>
      <c r="AK1343" s="47" t="e">
        <f>RATE(Table1[[#This Row],[Total No. of Coupons]],Table1[[#This Row],[Coupon Amount]],-Table1[[#This Row],[Ask Price]],Table1[[#This Row],[Face value]])</f>
        <v>#N/A</v>
      </c>
      <c r="AL1343" s="27" t="e">
        <f>Table1[[#This Row],[IRR]]*Table1[[#This Row],[Coupon Frequency2]]</f>
        <v>#N/A</v>
      </c>
      <c r="AM1343" s="5" t="e">
        <f t="shared" si="82"/>
        <v>#N/A</v>
      </c>
      <c r="AN1343" t="s">
        <v>64</v>
      </c>
      <c r="AO1343" t="s">
        <v>62</v>
      </c>
      <c r="AP1343" t="str">
        <f t="shared" si="83"/>
        <v/>
      </c>
    </row>
    <row r="1344" spans="4:42" x14ac:dyDescent="0.35">
      <c r="D1344" s="21"/>
      <c r="E1344" s="21"/>
      <c r="L1344" s="22"/>
      <c r="S1344">
        <f t="shared" si="80"/>
        <v>0</v>
      </c>
      <c r="T1344" s="5" t="e" cm="1">
        <f t="array" ref="T13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4" t="e">
        <f>Table1[[#This Row],[Term to Maturity (Years)]]*Table1[[#This Row],[Coupon Frequency2]]</f>
        <v>#N/A</v>
      </c>
      <c r="V1344">
        <f>Table1[[#This Row],[Face value]]*Table1[[#This Row],[Current coupon %]]</f>
        <v>0</v>
      </c>
      <c r="W1344" s="36" t="e">
        <f>RATE(Table1[[#This Row],[Total No. of Coupons]],Table1[[#This Row],[Coupon Amount]],-Table1[[#This Row],[Ask Price]],Table1[[#This Row],[Face value]])</f>
        <v>#N/A</v>
      </c>
      <c r="X1344" s="27" t="e">
        <f>Table1[[#This Row],[IRR]]*Table1[[#This Row],[Coupon Frequency2]]</f>
        <v>#N/A</v>
      </c>
      <c r="Y1344" s="19" t="e" cm="1">
        <f t="array" ref="Y13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4" s="33" t="e">
        <f>DURATION(Table1[[#This Row],[Issue date]],Table1[[#This Row],[Maturity date]],Table1[[#This Row],[Current coupon %]],Table1[[#This Row],[Yield (Annualised)]],Table1[[#This Row],[Coupon Frequency2]])</f>
        <v>#N/A</v>
      </c>
      <c r="AA1344" s="33" t="e">
        <f>Table1[[#This Row],[Macaulay Duration in Years]]/(1+Table1[[#This Row],[IRR]])</f>
        <v>#N/A</v>
      </c>
      <c r="AB1344" s="58" t="e">
        <f>VLOOKUP(Table1[[#This Row],[Yield Cluster]],'Cluster Details'!$B$3:$C$16,2,0)</f>
        <v>#N/A</v>
      </c>
      <c r="AC134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4" s="58" t="e">
        <f>IF(Table1[[#This Row],[Ask Price]]&gt;Table1[[#This Row],[Calculated Bond Price]],"Rich","Cheap")</f>
        <v>#N/A</v>
      </c>
      <c r="AE134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4" s="78" t="e">
        <f>(Table1[[#This Row],[P (+ shock)]]+Table1[[#This Row],[P (-shock)]]-2*Table1[[#This Row],[Ask Price]])/(2*Table1[[#This Row],[Ask Price]]*($AF$2^2))</f>
        <v>#N/A</v>
      </c>
      <c r="AH1344">
        <v>6.8554344432207897</v>
      </c>
      <c r="AI1344" s="6" t="e">
        <f t="shared" si="81"/>
        <v>#DIV/0!</v>
      </c>
      <c r="AK1344" s="47" t="e">
        <f>RATE(Table1[[#This Row],[Total No. of Coupons]],Table1[[#This Row],[Coupon Amount]],-Table1[[#This Row],[Ask Price]],Table1[[#This Row],[Face value]])</f>
        <v>#N/A</v>
      </c>
      <c r="AL1344" s="27" t="e">
        <f>Table1[[#This Row],[IRR]]*Table1[[#This Row],[Coupon Frequency2]]</f>
        <v>#N/A</v>
      </c>
      <c r="AM1344" s="5" t="e">
        <f t="shared" si="82"/>
        <v>#N/A</v>
      </c>
      <c r="AN1344" t="s">
        <v>64</v>
      </c>
      <c r="AO1344" t="s">
        <v>62</v>
      </c>
      <c r="AP1344" t="str">
        <f t="shared" si="83"/>
        <v/>
      </c>
    </row>
    <row r="1345" spans="4:42" x14ac:dyDescent="0.35">
      <c r="D1345" s="21"/>
      <c r="E1345" s="21"/>
      <c r="L1345" s="22"/>
      <c r="S1345">
        <f t="shared" si="80"/>
        <v>0</v>
      </c>
      <c r="T1345" s="5" t="e" cm="1">
        <f t="array" ref="T13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5" t="e">
        <f>Table1[[#This Row],[Term to Maturity (Years)]]*Table1[[#This Row],[Coupon Frequency2]]</f>
        <v>#N/A</v>
      </c>
      <c r="V1345">
        <f>Table1[[#This Row],[Face value]]*Table1[[#This Row],[Current coupon %]]</f>
        <v>0</v>
      </c>
      <c r="W1345" s="36" t="e">
        <f>RATE(Table1[[#This Row],[Total No. of Coupons]],Table1[[#This Row],[Coupon Amount]],-Table1[[#This Row],[Ask Price]],Table1[[#This Row],[Face value]])</f>
        <v>#N/A</v>
      </c>
      <c r="X1345" s="27" t="e">
        <f>Table1[[#This Row],[IRR]]*Table1[[#This Row],[Coupon Frequency2]]</f>
        <v>#N/A</v>
      </c>
      <c r="Y1345" s="19" t="e" cm="1">
        <f t="array" ref="Y13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5" s="33" t="e">
        <f>DURATION(Table1[[#This Row],[Issue date]],Table1[[#This Row],[Maturity date]],Table1[[#This Row],[Current coupon %]],Table1[[#This Row],[Yield (Annualised)]],Table1[[#This Row],[Coupon Frequency2]])</f>
        <v>#N/A</v>
      </c>
      <c r="AA1345" s="33" t="e">
        <f>Table1[[#This Row],[Macaulay Duration in Years]]/(1+Table1[[#This Row],[IRR]])</f>
        <v>#N/A</v>
      </c>
      <c r="AB1345" s="58" t="e">
        <f>VLOOKUP(Table1[[#This Row],[Yield Cluster]],'Cluster Details'!$B$3:$C$16,2,0)</f>
        <v>#N/A</v>
      </c>
      <c r="AC134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5" s="58" t="e">
        <f>IF(Table1[[#This Row],[Ask Price]]&gt;Table1[[#This Row],[Calculated Bond Price]],"Rich","Cheap")</f>
        <v>#N/A</v>
      </c>
      <c r="AE134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5" s="78" t="e">
        <f>(Table1[[#This Row],[P (+ shock)]]+Table1[[#This Row],[P (-shock)]]-2*Table1[[#This Row],[Ask Price]])/(2*Table1[[#This Row],[Ask Price]]*($AF$2^2))</f>
        <v>#N/A</v>
      </c>
      <c r="AH1345">
        <v>6.2197151394576098</v>
      </c>
      <c r="AI1345" s="6" t="e">
        <f t="shared" si="81"/>
        <v>#DIV/0!</v>
      </c>
      <c r="AK1345" s="47" t="e">
        <f>RATE(Table1[[#This Row],[Total No. of Coupons]],Table1[[#This Row],[Coupon Amount]],-Table1[[#This Row],[Ask Price]],Table1[[#This Row],[Face value]])</f>
        <v>#N/A</v>
      </c>
      <c r="AL1345" s="27" t="e">
        <f>Table1[[#This Row],[IRR]]*Table1[[#This Row],[Coupon Frequency2]]</f>
        <v>#N/A</v>
      </c>
      <c r="AM1345" s="5" t="e">
        <f t="shared" si="82"/>
        <v>#N/A</v>
      </c>
      <c r="AN1345" t="s">
        <v>64</v>
      </c>
      <c r="AO1345" t="s">
        <v>62</v>
      </c>
      <c r="AP1345" t="str">
        <f t="shared" si="83"/>
        <v/>
      </c>
    </row>
    <row r="1346" spans="4:42" x14ac:dyDescent="0.35">
      <c r="D1346" s="21"/>
      <c r="E1346" s="21"/>
      <c r="L1346" s="22"/>
      <c r="S1346">
        <f t="shared" si="80"/>
        <v>0</v>
      </c>
      <c r="T1346" s="5" t="e" cm="1">
        <f t="array" ref="T13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6" t="e">
        <f>Table1[[#This Row],[Term to Maturity (Years)]]*Table1[[#This Row],[Coupon Frequency2]]</f>
        <v>#N/A</v>
      </c>
      <c r="V1346">
        <f>Table1[[#This Row],[Face value]]*Table1[[#This Row],[Current coupon %]]</f>
        <v>0</v>
      </c>
      <c r="W1346" s="36" t="e">
        <f>RATE(Table1[[#This Row],[Total No. of Coupons]],Table1[[#This Row],[Coupon Amount]],-Table1[[#This Row],[Ask Price]],Table1[[#This Row],[Face value]])</f>
        <v>#N/A</v>
      </c>
      <c r="X1346" s="27" t="e">
        <f>Table1[[#This Row],[IRR]]*Table1[[#This Row],[Coupon Frequency2]]</f>
        <v>#N/A</v>
      </c>
      <c r="Y1346" s="19" t="e" cm="1">
        <f t="array" ref="Y13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6" s="33" t="e">
        <f>DURATION(Table1[[#This Row],[Issue date]],Table1[[#This Row],[Maturity date]],Table1[[#This Row],[Current coupon %]],Table1[[#This Row],[Yield (Annualised)]],Table1[[#This Row],[Coupon Frequency2]])</f>
        <v>#N/A</v>
      </c>
      <c r="AA1346" s="33" t="e">
        <f>Table1[[#This Row],[Macaulay Duration in Years]]/(1+Table1[[#This Row],[IRR]])</f>
        <v>#N/A</v>
      </c>
      <c r="AB1346" s="58" t="e">
        <f>VLOOKUP(Table1[[#This Row],[Yield Cluster]],'Cluster Details'!$B$3:$C$16,2,0)</f>
        <v>#N/A</v>
      </c>
      <c r="AC134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6" s="58" t="e">
        <f>IF(Table1[[#This Row],[Ask Price]]&gt;Table1[[#This Row],[Calculated Bond Price]],"Rich","Cheap")</f>
        <v>#N/A</v>
      </c>
      <c r="AE134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6" s="78" t="e">
        <f>(Table1[[#This Row],[P (+ shock)]]+Table1[[#This Row],[P (-shock)]]-2*Table1[[#This Row],[Ask Price]])/(2*Table1[[#This Row],[Ask Price]]*($AF$2^2))</f>
        <v>#N/A</v>
      </c>
      <c r="AH1346">
        <v>10.3149993233251</v>
      </c>
      <c r="AI1346" s="6" t="e">
        <f t="shared" si="81"/>
        <v>#DIV/0!</v>
      </c>
      <c r="AK1346" s="47" t="e">
        <f>RATE(Table1[[#This Row],[Total No. of Coupons]],Table1[[#This Row],[Coupon Amount]],-Table1[[#This Row],[Ask Price]],Table1[[#This Row],[Face value]])</f>
        <v>#N/A</v>
      </c>
      <c r="AL1346" s="27" t="e">
        <f>Table1[[#This Row],[IRR]]*Table1[[#This Row],[Coupon Frequency2]]</f>
        <v>#N/A</v>
      </c>
      <c r="AM1346" s="5" t="e">
        <f t="shared" si="82"/>
        <v>#N/A</v>
      </c>
      <c r="AN1346" t="s">
        <v>64</v>
      </c>
      <c r="AO1346" t="s">
        <v>62</v>
      </c>
      <c r="AP1346" t="str">
        <f t="shared" si="83"/>
        <v/>
      </c>
    </row>
    <row r="1347" spans="4:42" x14ac:dyDescent="0.35">
      <c r="D1347" s="21"/>
      <c r="E1347" s="21"/>
      <c r="L1347" s="22"/>
      <c r="S1347">
        <f t="shared" si="80"/>
        <v>0</v>
      </c>
      <c r="T1347" s="5" t="e" cm="1">
        <f t="array" ref="T13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7" t="e">
        <f>Table1[[#This Row],[Term to Maturity (Years)]]*Table1[[#This Row],[Coupon Frequency2]]</f>
        <v>#N/A</v>
      </c>
      <c r="V1347">
        <f>Table1[[#This Row],[Face value]]*Table1[[#This Row],[Current coupon %]]</f>
        <v>0</v>
      </c>
      <c r="W1347" s="36" t="e">
        <f>RATE(Table1[[#This Row],[Total No. of Coupons]],Table1[[#This Row],[Coupon Amount]],-Table1[[#This Row],[Ask Price]],Table1[[#This Row],[Face value]])</f>
        <v>#N/A</v>
      </c>
      <c r="X1347" s="27" t="e">
        <f>Table1[[#This Row],[IRR]]*Table1[[#This Row],[Coupon Frequency2]]</f>
        <v>#N/A</v>
      </c>
      <c r="Y1347" s="19" t="e" cm="1">
        <f t="array" ref="Y13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7" s="33" t="e">
        <f>DURATION(Table1[[#This Row],[Issue date]],Table1[[#This Row],[Maturity date]],Table1[[#This Row],[Current coupon %]],Table1[[#This Row],[Yield (Annualised)]],Table1[[#This Row],[Coupon Frequency2]])</f>
        <v>#N/A</v>
      </c>
      <c r="AA1347" s="33" t="e">
        <f>Table1[[#This Row],[Macaulay Duration in Years]]/(1+Table1[[#This Row],[IRR]])</f>
        <v>#N/A</v>
      </c>
      <c r="AB1347" s="58" t="e">
        <f>VLOOKUP(Table1[[#This Row],[Yield Cluster]],'Cluster Details'!$B$3:$C$16,2,0)</f>
        <v>#N/A</v>
      </c>
      <c r="AC134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7" s="58" t="e">
        <f>IF(Table1[[#This Row],[Ask Price]]&gt;Table1[[#This Row],[Calculated Bond Price]],"Rich","Cheap")</f>
        <v>#N/A</v>
      </c>
      <c r="AE134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7" s="78" t="e">
        <f>(Table1[[#This Row],[P (+ shock)]]+Table1[[#This Row],[P (-shock)]]-2*Table1[[#This Row],[Ask Price]])/(2*Table1[[#This Row],[Ask Price]]*($AF$2^2))</f>
        <v>#N/A</v>
      </c>
      <c r="AH1347">
        <v>11.2306166059115</v>
      </c>
      <c r="AI1347" s="6" t="e">
        <f t="shared" si="81"/>
        <v>#DIV/0!</v>
      </c>
      <c r="AK1347" s="47" t="e">
        <f>RATE(Table1[[#This Row],[Total No. of Coupons]],Table1[[#This Row],[Coupon Amount]],-Table1[[#This Row],[Ask Price]],Table1[[#This Row],[Face value]])</f>
        <v>#N/A</v>
      </c>
      <c r="AL1347" s="27" t="e">
        <f>Table1[[#This Row],[IRR]]*Table1[[#This Row],[Coupon Frequency2]]</f>
        <v>#N/A</v>
      </c>
      <c r="AM1347" s="5" t="e">
        <f t="shared" si="82"/>
        <v>#N/A</v>
      </c>
      <c r="AN1347" t="s">
        <v>64</v>
      </c>
      <c r="AO1347" t="s">
        <v>62</v>
      </c>
      <c r="AP1347" t="str">
        <f t="shared" si="83"/>
        <v/>
      </c>
    </row>
    <row r="1348" spans="4:42" x14ac:dyDescent="0.35">
      <c r="D1348" s="21"/>
      <c r="E1348" s="21"/>
      <c r="L1348" s="22"/>
      <c r="S1348">
        <f t="shared" ref="S1348:S1411" si="84">ROUND(YEARFRAC(D1348,E1348),0)</f>
        <v>0</v>
      </c>
      <c r="T1348" s="5" t="e" cm="1">
        <f t="array" ref="T13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8" t="e">
        <f>Table1[[#This Row],[Term to Maturity (Years)]]*Table1[[#This Row],[Coupon Frequency2]]</f>
        <v>#N/A</v>
      </c>
      <c r="V1348">
        <f>Table1[[#This Row],[Face value]]*Table1[[#This Row],[Current coupon %]]</f>
        <v>0</v>
      </c>
      <c r="W1348" s="36" t="e">
        <f>RATE(Table1[[#This Row],[Total No. of Coupons]],Table1[[#This Row],[Coupon Amount]],-Table1[[#This Row],[Ask Price]],Table1[[#This Row],[Face value]])</f>
        <v>#N/A</v>
      </c>
      <c r="X1348" s="27" t="e">
        <f>Table1[[#This Row],[IRR]]*Table1[[#This Row],[Coupon Frequency2]]</f>
        <v>#N/A</v>
      </c>
      <c r="Y1348" s="19" t="e" cm="1">
        <f t="array" ref="Y13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8" s="33" t="e">
        <f>DURATION(Table1[[#This Row],[Issue date]],Table1[[#This Row],[Maturity date]],Table1[[#This Row],[Current coupon %]],Table1[[#This Row],[Yield (Annualised)]],Table1[[#This Row],[Coupon Frequency2]])</f>
        <v>#N/A</v>
      </c>
      <c r="AA1348" s="33" t="e">
        <f>Table1[[#This Row],[Macaulay Duration in Years]]/(1+Table1[[#This Row],[IRR]])</f>
        <v>#N/A</v>
      </c>
      <c r="AB1348" s="58" t="e">
        <f>VLOOKUP(Table1[[#This Row],[Yield Cluster]],'Cluster Details'!$B$3:$C$16,2,0)</f>
        <v>#N/A</v>
      </c>
      <c r="AC134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8" s="58" t="e">
        <f>IF(Table1[[#This Row],[Ask Price]]&gt;Table1[[#This Row],[Calculated Bond Price]],"Rich","Cheap")</f>
        <v>#N/A</v>
      </c>
      <c r="AE134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8" s="78" t="e">
        <f>(Table1[[#This Row],[P (+ shock)]]+Table1[[#This Row],[P (-shock)]]-2*Table1[[#This Row],[Ask Price]])/(2*Table1[[#This Row],[Ask Price]]*($AF$2^2))</f>
        <v>#N/A</v>
      </c>
      <c r="AI1348" s="6" t="e">
        <f t="shared" ref="AI1348:AI1411" si="85">(L1348*F1348)/H1348</f>
        <v>#DIV/0!</v>
      </c>
      <c r="AK1348" s="47" t="e">
        <f>RATE(Table1[[#This Row],[Total No. of Coupons]],Table1[[#This Row],[Coupon Amount]],-Table1[[#This Row],[Ask Price]],Table1[[#This Row],[Face value]])</f>
        <v>#N/A</v>
      </c>
      <c r="AL1348" s="27" t="e">
        <f>Table1[[#This Row],[IRR]]*Table1[[#This Row],[Coupon Frequency2]]</f>
        <v>#N/A</v>
      </c>
      <c r="AM1348" s="5" t="e">
        <f t="shared" ref="AM1348:AM1411" si="86">-AA1348*H1348</f>
        <v>#N/A</v>
      </c>
      <c r="AN1348" t="s">
        <v>69</v>
      </c>
      <c r="AO1348" t="s">
        <v>62</v>
      </c>
      <c r="AP1348" t="str">
        <f t="shared" ref="AP1348:AP1411" si="87">_xlfn.SWITCH(PROPER(TRIM(M1348)),
   "Annual",1,
   "Semi-Annual",2,
   "Quarterly",4,
   "Monthly",12,
   "")</f>
        <v/>
      </c>
    </row>
    <row r="1349" spans="4:42" x14ac:dyDescent="0.35">
      <c r="D1349" s="21"/>
      <c r="E1349" s="21"/>
      <c r="L1349" s="22"/>
      <c r="S1349">
        <f t="shared" si="84"/>
        <v>0</v>
      </c>
      <c r="T1349" s="5" t="e" cm="1">
        <f t="array" ref="T13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49" t="e">
        <f>Table1[[#This Row],[Term to Maturity (Years)]]*Table1[[#This Row],[Coupon Frequency2]]</f>
        <v>#N/A</v>
      </c>
      <c r="V1349">
        <f>Table1[[#This Row],[Face value]]*Table1[[#This Row],[Current coupon %]]</f>
        <v>0</v>
      </c>
      <c r="W1349" s="36" t="e">
        <f>RATE(Table1[[#This Row],[Total No. of Coupons]],Table1[[#This Row],[Coupon Amount]],-Table1[[#This Row],[Ask Price]],Table1[[#This Row],[Face value]])</f>
        <v>#N/A</v>
      </c>
      <c r="X1349" s="27" t="e">
        <f>Table1[[#This Row],[IRR]]*Table1[[#This Row],[Coupon Frequency2]]</f>
        <v>#N/A</v>
      </c>
      <c r="Y1349" s="19" t="e" cm="1">
        <f t="array" ref="Y13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49" s="33" t="e">
        <f>DURATION(Table1[[#This Row],[Issue date]],Table1[[#This Row],[Maturity date]],Table1[[#This Row],[Current coupon %]],Table1[[#This Row],[Yield (Annualised)]],Table1[[#This Row],[Coupon Frequency2]])</f>
        <v>#N/A</v>
      </c>
      <c r="AA1349" s="33" t="e">
        <f>Table1[[#This Row],[Macaulay Duration in Years]]/(1+Table1[[#This Row],[IRR]])</f>
        <v>#N/A</v>
      </c>
      <c r="AB1349" s="58" t="e">
        <f>VLOOKUP(Table1[[#This Row],[Yield Cluster]],'Cluster Details'!$B$3:$C$16,2,0)</f>
        <v>#N/A</v>
      </c>
      <c r="AC134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49" s="58" t="e">
        <f>IF(Table1[[#This Row],[Ask Price]]&gt;Table1[[#This Row],[Calculated Bond Price]],"Rich","Cheap")</f>
        <v>#N/A</v>
      </c>
      <c r="AE134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4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49" s="78" t="e">
        <f>(Table1[[#This Row],[P (+ shock)]]+Table1[[#This Row],[P (-shock)]]-2*Table1[[#This Row],[Ask Price]])/(2*Table1[[#This Row],[Ask Price]]*($AF$2^2))</f>
        <v>#N/A</v>
      </c>
      <c r="AI1349" s="6" t="e">
        <f t="shared" si="85"/>
        <v>#DIV/0!</v>
      </c>
      <c r="AK1349" s="47" t="e">
        <f>RATE(Table1[[#This Row],[Total No. of Coupons]],Table1[[#This Row],[Coupon Amount]],-Table1[[#This Row],[Ask Price]],Table1[[#This Row],[Face value]])</f>
        <v>#N/A</v>
      </c>
      <c r="AL1349" s="27" t="e">
        <f>Table1[[#This Row],[IRR]]*Table1[[#This Row],[Coupon Frequency2]]</f>
        <v>#N/A</v>
      </c>
      <c r="AM1349" s="5" t="e">
        <f t="shared" si="86"/>
        <v>#N/A</v>
      </c>
      <c r="AN1349" t="s">
        <v>64</v>
      </c>
      <c r="AO1349" t="s">
        <v>62</v>
      </c>
      <c r="AP1349" t="str">
        <f t="shared" si="87"/>
        <v/>
      </c>
    </row>
    <row r="1350" spans="4:42" x14ac:dyDescent="0.35">
      <c r="D1350" s="21"/>
      <c r="E1350" s="21"/>
      <c r="L1350" s="22"/>
      <c r="S1350">
        <f t="shared" si="84"/>
        <v>0</v>
      </c>
      <c r="T1350" s="5" t="e" cm="1">
        <f t="array" ref="T13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0" t="e">
        <f>Table1[[#This Row],[Term to Maturity (Years)]]*Table1[[#This Row],[Coupon Frequency2]]</f>
        <v>#N/A</v>
      </c>
      <c r="V1350">
        <f>Table1[[#This Row],[Face value]]*Table1[[#This Row],[Current coupon %]]</f>
        <v>0</v>
      </c>
      <c r="W1350" s="36" t="e">
        <f>RATE(Table1[[#This Row],[Total No. of Coupons]],Table1[[#This Row],[Coupon Amount]],-Table1[[#This Row],[Ask Price]],Table1[[#This Row],[Face value]])</f>
        <v>#N/A</v>
      </c>
      <c r="X1350" s="27" t="e">
        <f>Table1[[#This Row],[IRR]]*Table1[[#This Row],[Coupon Frequency2]]</f>
        <v>#N/A</v>
      </c>
      <c r="Y1350" s="19" t="e" cm="1">
        <f t="array" ref="Y13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0" s="33" t="e">
        <f>DURATION(Table1[[#This Row],[Issue date]],Table1[[#This Row],[Maturity date]],Table1[[#This Row],[Current coupon %]],Table1[[#This Row],[Yield (Annualised)]],Table1[[#This Row],[Coupon Frequency2]])</f>
        <v>#N/A</v>
      </c>
      <c r="AA1350" s="33" t="e">
        <f>Table1[[#This Row],[Macaulay Duration in Years]]/(1+Table1[[#This Row],[IRR]])</f>
        <v>#N/A</v>
      </c>
      <c r="AB1350" s="58" t="e">
        <f>VLOOKUP(Table1[[#This Row],[Yield Cluster]],'Cluster Details'!$B$3:$C$16,2,0)</f>
        <v>#N/A</v>
      </c>
      <c r="AC135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0" s="58" t="e">
        <f>IF(Table1[[#This Row],[Ask Price]]&gt;Table1[[#This Row],[Calculated Bond Price]],"Rich","Cheap")</f>
        <v>#N/A</v>
      </c>
      <c r="AE135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0" s="78" t="e">
        <f>(Table1[[#This Row],[P (+ shock)]]+Table1[[#This Row],[P (-shock)]]-2*Table1[[#This Row],[Ask Price]])/(2*Table1[[#This Row],[Ask Price]]*($AF$2^2))</f>
        <v>#N/A</v>
      </c>
      <c r="AI1350" s="6" t="e">
        <f t="shared" si="85"/>
        <v>#DIV/0!</v>
      </c>
      <c r="AK1350" s="47" t="e">
        <f>RATE(Table1[[#This Row],[Total No. of Coupons]],Table1[[#This Row],[Coupon Amount]],-Table1[[#This Row],[Ask Price]],Table1[[#This Row],[Face value]])</f>
        <v>#N/A</v>
      </c>
      <c r="AL1350" s="27" t="e">
        <f>Table1[[#This Row],[IRR]]*Table1[[#This Row],[Coupon Frequency2]]</f>
        <v>#N/A</v>
      </c>
      <c r="AM1350" s="5" t="e">
        <f t="shared" si="86"/>
        <v>#N/A</v>
      </c>
      <c r="AN1350" t="s">
        <v>64</v>
      </c>
      <c r="AO1350" t="s">
        <v>62</v>
      </c>
      <c r="AP1350" t="str">
        <f t="shared" si="87"/>
        <v/>
      </c>
    </row>
    <row r="1351" spans="4:42" x14ac:dyDescent="0.35">
      <c r="D1351" s="21"/>
      <c r="E1351" s="21"/>
      <c r="L1351" s="22"/>
      <c r="S1351">
        <f t="shared" si="84"/>
        <v>0</v>
      </c>
      <c r="T1351" s="5" t="e" cm="1">
        <f t="array" ref="T13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1" t="e">
        <f>Table1[[#This Row],[Term to Maturity (Years)]]*Table1[[#This Row],[Coupon Frequency2]]</f>
        <v>#N/A</v>
      </c>
      <c r="V1351">
        <f>Table1[[#This Row],[Face value]]*Table1[[#This Row],[Current coupon %]]</f>
        <v>0</v>
      </c>
      <c r="W1351" s="36" t="e">
        <f>RATE(Table1[[#This Row],[Total No. of Coupons]],Table1[[#This Row],[Coupon Amount]],-Table1[[#This Row],[Ask Price]],Table1[[#This Row],[Face value]])</f>
        <v>#N/A</v>
      </c>
      <c r="X1351" s="27" t="e">
        <f>Table1[[#This Row],[IRR]]*Table1[[#This Row],[Coupon Frequency2]]</f>
        <v>#N/A</v>
      </c>
      <c r="Y1351" s="19" t="e" cm="1">
        <f t="array" ref="Y13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1" s="33" t="e">
        <f>DURATION(Table1[[#This Row],[Issue date]],Table1[[#This Row],[Maturity date]],Table1[[#This Row],[Current coupon %]],Table1[[#This Row],[Yield (Annualised)]],Table1[[#This Row],[Coupon Frequency2]])</f>
        <v>#N/A</v>
      </c>
      <c r="AA1351" s="33" t="e">
        <f>Table1[[#This Row],[Macaulay Duration in Years]]/(1+Table1[[#This Row],[IRR]])</f>
        <v>#N/A</v>
      </c>
      <c r="AB1351" s="58" t="e">
        <f>VLOOKUP(Table1[[#This Row],[Yield Cluster]],'Cluster Details'!$B$3:$C$16,2,0)</f>
        <v>#N/A</v>
      </c>
      <c r="AC135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1" s="58" t="e">
        <f>IF(Table1[[#This Row],[Ask Price]]&gt;Table1[[#This Row],[Calculated Bond Price]],"Rich","Cheap")</f>
        <v>#N/A</v>
      </c>
      <c r="AE135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1" s="78" t="e">
        <f>(Table1[[#This Row],[P (+ shock)]]+Table1[[#This Row],[P (-shock)]]-2*Table1[[#This Row],[Ask Price]])/(2*Table1[[#This Row],[Ask Price]]*($AF$2^2))</f>
        <v>#N/A</v>
      </c>
      <c r="AI1351" s="6" t="e">
        <f t="shared" si="85"/>
        <v>#DIV/0!</v>
      </c>
      <c r="AK1351" s="47" t="e">
        <f>RATE(Table1[[#This Row],[Total No. of Coupons]],Table1[[#This Row],[Coupon Amount]],-Table1[[#This Row],[Ask Price]],Table1[[#This Row],[Face value]])</f>
        <v>#N/A</v>
      </c>
      <c r="AL1351" s="27" t="e">
        <f>Table1[[#This Row],[IRR]]*Table1[[#This Row],[Coupon Frequency2]]</f>
        <v>#N/A</v>
      </c>
      <c r="AM1351" s="5" t="e">
        <f t="shared" si="86"/>
        <v>#N/A</v>
      </c>
      <c r="AN1351" t="s">
        <v>69</v>
      </c>
      <c r="AO1351" t="s">
        <v>62</v>
      </c>
      <c r="AP1351" t="str">
        <f t="shared" si="87"/>
        <v/>
      </c>
    </row>
    <row r="1352" spans="4:42" x14ac:dyDescent="0.35">
      <c r="D1352" s="21"/>
      <c r="E1352" s="21"/>
      <c r="L1352" s="22"/>
      <c r="S1352">
        <f t="shared" si="84"/>
        <v>0</v>
      </c>
      <c r="T1352" s="5" t="e" cm="1">
        <f t="array" ref="T13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2" t="e">
        <f>Table1[[#This Row],[Term to Maturity (Years)]]*Table1[[#This Row],[Coupon Frequency2]]</f>
        <v>#N/A</v>
      </c>
      <c r="V1352">
        <f>Table1[[#This Row],[Face value]]*Table1[[#This Row],[Current coupon %]]</f>
        <v>0</v>
      </c>
      <c r="W1352" s="36" t="e">
        <f>RATE(Table1[[#This Row],[Total No. of Coupons]],Table1[[#This Row],[Coupon Amount]],-Table1[[#This Row],[Ask Price]],Table1[[#This Row],[Face value]])</f>
        <v>#N/A</v>
      </c>
      <c r="X1352" s="27" t="e">
        <f>Table1[[#This Row],[IRR]]*Table1[[#This Row],[Coupon Frequency2]]</f>
        <v>#N/A</v>
      </c>
      <c r="Y1352" s="19" t="e" cm="1">
        <f t="array" ref="Y13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2" s="33" t="e">
        <f>DURATION(Table1[[#This Row],[Issue date]],Table1[[#This Row],[Maturity date]],Table1[[#This Row],[Current coupon %]],Table1[[#This Row],[Yield (Annualised)]],Table1[[#This Row],[Coupon Frequency2]])</f>
        <v>#N/A</v>
      </c>
      <c r="AA1352" s="33" t="e">
        <f>Table1[[#This Row],[Macaulay Duration in Years]]/(1+Table1[[#This Row],[IRR]])</f>
        <v>#N/A</v>
      </c>
      <c r="AB1352" s="58" t="e">
        <f>VLOOKUP(Table1[[#This Row],[Yield Cluster]],'Cluster Details'!$B$3:$C$16,2,0)</f>
        <v>#N/A</v>
      </c>
      <c r="AC135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2" s="58" t="e">
        <f>IF(Table1[[#This Row],[Ask Price]]&gt;Table1[[#This Row],[Calculated Bond Price]],"Rich","Cheap")</f>
        <v>#N/A</v>
      </c>
      <c r="AE135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2" s="78" t="e">
        <f>(Table1[[#This Row],[P (+ shock)]]+Table1[[#This Row],[P (-shock)]]-2*Table1[[#This Row],[Ask Price]])/(2*Table1[[#This Row],[Ask Price]]*($AF$2^2))</f>
        <v>#N/A</v>
      </c>
      <c r="AI1352" s="6" t="e">
        <f t="shared" si="85"/>
        <v>#DIV/0!</v>
      </c>
      <c r="AK1352" s="47" t="e">
        <f>RATE(Table1[[#This Row],[Total No. of Coupons]],Table1[[#This Row],[Coupon Amount]],-Table1[[#This Row],[Ask Price]],Table1[[#This Row],[Face value]])</f>
        <v>#N/A</v>
      </c>
      <c r="AL1352" s="27" t="e">
        <f>Table1[[#This Row],[IRR]]*Table1[[#This Row],[Coupon Frequency2]]</f>
        <v>#N/A</v>
      </c>
      <c r="AM1352" s="5" t="e">
        <f t="shared" si="86"/>
        <v>#N/A</v>
      </c>
      <c r="AN1352" t="s">
        <v>69</v>
      </c>
      <c r="AO1352" t="s">
        <v>62</v>
      </c>
      <c r="AP1352" t="str">
        <f t="shared" si="87"/>
        <v/>
      </c>
    </row>
    <row r="1353" spans="4:42" x14ac:dyDescent="0.35">
      <c r="D1353" s="21"/>
      <c r="E1353" s="21"/>
      <c r="L1353" s="22"/>
      <c r="S1353">
        <f t="shared" si="84"/>
        <v>0</v>
      </c>
      <c r="T1353" s="5" t="e" cm="1">
        <f t="array" ref="T13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3" t="e">
        <f>Table1[[#This Row],[Term to Maturity (Years)]]*Table1[[#This Row],[Coupon Frequency2]]</f>
        <v>#N/A</v>
      </c>
      <c r="V1353">
        <f>Table1[[#This Row],[Face value]]*Table1[[#This Row],[Current coupon %]]</f>
        <v>0</v>
      </c>
      <c r="W1353" s="36" t="e">
        <f>RATE(Table1[[#This Row],[Total No. of Coupons]],Table1[[#This Row],[Coupon Amount]],-Table1[[#This Row],[Ask Price]],Table1[[#This Row],[Face value]])</f>
        <v>#N/A</v>
      </c>
      <c r="X1353" s="27" t="e">
        <f>Table1[[#This Row],[IRR]]*Table1[[#This Row],[Coupon Frequency2]]</f>
        <v>#N/A</v>
      </c>
      <c r="Y1353" s="19" t="e" cm="1">
        <f t="array" ref="Y13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3" s="33" t="e">
        <f>DURATION(Table1[[#This Row],[Issue date]],Table1[[#This Row],[Maturity date]],Table1[[#This Row],[Current coupon %]],Table1[[#This Row],[Yield (Annualised)]],Table1[[#This Row],[Coupon Frequency2]])</f>
        <v>#N/A</v>
      </c>
      <c r="AA1353" s="33" t="e">
        <f>Table1[[#This Row],[Macaulay Duration in Years]]/(1+Table1[[#This Row],[IRR]])</f>
        <v>#N/A</v>
      </c>
      <c r="AB1353" s="58" t="e">
        <f>VLOOKUP(Table1[[#This Row],[Yield Cluster]],'Cluster Details'!$B$3:$C$16,2,0)</f>
        <v>#N/A</v>
      </c>
      <c r="AC135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3" s="58" t="e">
        <f>IF(Table1[[#This Row],[Ask Price]]&gt;Table1[[#This Row],[Calculated Bond Price]],"Rich","Cheap")</f>
        <v>#N/A</v>
      </c>
      <c r="AE135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3" s="78" t="e">
        <f>(Table1[[#This Row],[P (+ shock)]]+Table1[[#This Row],[P (-shock)]]-2*Table1[[#This Row],[Ask Price]])/(2*Table1[[#This Row],[Ask Price]]*($AF$2^2))</f>
        <v>#N/A</v>
      </c>
      <c r="AI1353" s="6" t="e">
        <f t="shared" si="85"/>
        <v>#DIV/0!</v>
      </c>
      <c r="AK1353" s="47" t="e">
        <f>RATE(Table1[[#This Row],[Total No. of Coupons]],Table1[[#This Row],[Coupon Amount]],-Table1[[#This Row],[Ask Price]],Table1[[#This Row],[Face value]])</f>
        <v>#N/A</v>
      </c>
      <c r="AL1353" s="27" t="e">
        <f>Table1[[#This Row],[IRR]]*Table1[[#This Row],[Coupon Frequency2]]</f>
        <v>#N/A</v>
      </c>
      <c r="AM1353" s="5" t="e">
        <f t="shared" si="86"/>
        <v>#N/A</v>
      </c>
      <c r="AN1353" t="s">
        <v>69</v>
      </c>
      <c r="AO1353" t="s">
        <v>62</v>
      </c>
      <c r="AP1353" t="str">
        <f t="shared" si="87"/>
        <v/>
      </c>
    </row>
    <row r="1354" spans="4:42" x14ac:dyDescent="0.35">
      <c r="D1354" s="21"/>
      <c r="E1354" s="21"/>
      <c r="L1354" s="22"/>
      <c r="S1354">
        <f t="shared" si="84"/>
        <v>0</v>
      </c>
      <c r="T1354" s="5" t="e" cm="1">
        <f t="array" ref="T13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4" t="e">
        <f>Table1[[#This Row],[Term to Maturity (Years)]]*Table1[[#This Row],[Coupon Frequency2]]</f>
        <v>#N/A</v>
      </c>
      <c r="V1354">
        <f>Table1[[#This Row],[Face value]]*Table1[[#This Row],[Current coupon %]]</f>
        <v>0</v>
      </c>
      <c r="W1354" s="36" t="e">
        <f>RATE(Table1[[#This Row],[Total No. of Coupons]],Table1[[#This Row],[Coupon Amount]],-Table1[[#This Row],[Ask Price]],Table1[[#This Row],[Face value]])</f>
        <v>#N/A</v>
      </c>
      <c r="X1354" s="27" t="e">
        <f>Table1[[#This Row],[IRR]]*Table1[[#This Row],[Coupon Frequency2]]</f>
        <v>#N/A</v>
      </c>
      <c r="Y1354" s="19" t="e" cm="1">
        <f t="array" ref="Y13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4" s="33" t="e">
        <f>DURATION(Table1[[#This Row],[Issue date]],Table1[[#This Row],[Maturity date]],Table1[[#This Row],[Current coupon %]],Table1[[#This Row],[Yield (Annualised)]],Table1[[#This Row],[Coupon Frequency2]])</f>
        <v>#N/A</v>
      </c>
      <c r="AA1354" s="33" t="e">
        <f>Table1[[#This Row],[Macaulay Duration in Years]]/(1+Table1[[#This Row],[IRR]])</f>
        <v>#N/A</v>
      </c>
      <c r="AB1354" s="58" t="e">
        <f>VLOOKUP(Table1[[#This Row],[Yield Cluster]],'Cluster Details'!$B$3:$C$16,2,0)</f>
        <v>#N/A</v>
      </c>
      <c r="AC135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4" s="58" t="e">
        <f>IF(Table1[[#This Row],[Ask Price]]&gt;Table1[[#This Row],[Calculated Bond Price]],"Rich","Cheap")</f>
        <v>#N/A</v>
      </c>
      <c r="AE135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4" s="78" t="e">
        <f>(Table1[[#This Row],[P (+ shock)]]+Table1[[#This Row],[P (-shock)]]-2*Table1[[#This Row],[Ask Price]])/(2*Table1[[#This Row],[Ask Price]]*($AF$2^2))</f>
        <v>#N/A</v>
      </c>
      <c r="AI1354" s="6" t="e">
        <f t="shared" si="85"/>
        <v>#DIV/0!</v>
      </c>
      <c r="AK1354" s="47" t="e">
        <f>RATE(Table1[[#This Row],[Total No. of Coupons]],Table1[[#This Row],[Coupon Amount]],-Table1[[#This Row],[Ask Price]],Table1[[#This Row],[Face value]])</f>
        <v>#N/A</v>
      </c>
      <c r="AL1354" s="27" t="e">
        <f>Table1[[#This Row],[IRR]]*Table1[[#This Row],[Coupon Frequency2]]</f>
        <v>#N/A</v>
      </c>
      <c r="AM1354" s="5" t="e">
        <f t="shared" si="86"/>
        <v>#N/A</v>
      </c>
      <c r="AN1354" t="s">
        <v>79</v>
      </c>
      <c r="AO1354" t="s">
        <v>62</v>
      </c>
      <c r="AP1354" t="str">
        <f t="shared" si="87"/>
        <v/>
      </c>
    </row>
    <row r="1355" spans="4:42" x14ac:dyDescent="0.35">
      <c r="D1355" s="21"/>
      <c r="E1355" s="21"/>
      <c r="L1355" s="22"/>
      <c r="S1355">
        <f t="shared" si="84"/>
        <v>0</v>
      </c>
      <c r="T1355" s="5" t="e" cm="1">
        <f t="array" ref="T13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5" t="e">
        <f>Table1[[#This Row],[Term to Maturity (Years)]]*Table1[[#This Row],[Coupon Frequency2]]</f>
        <v>#N/A</v>
      </c>
      <c r="V1355">
        <f>Table1[[#This Row],[Face value]]*Table1[[#This Row],[Current coupon %]]</f>
        <v>0</v>
      </c>
      <c r="W1355" s="36" t="e">
        <f>RATE(Table1[[#This Row],[Total No. of Coupons]],Table1[[#This Row],[Coupon Amount]],-Table1[[#This Row],[Ask Price]],Table1[[#This Row],[Face value]])</f>
        <v>#N/A</v>
      </c>
      <c r="X1355" s="27" t="e">
        <f>Table1[[#This Row],[IRR]]*Table1[[#This Row],[Coupon Frequency2]]</f>
        <v>#N/A</v>
      </c>
      <c r="Y1355" s="19" t="e" cm="1">
        <f t="array" ref="Y13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5" s="33" t="e">
        <f>DURATION(Table1[[#This Row],[Issue date]],Table1[[#This Row],[Maturity date]],Table1[[#This Row],[Current coupon %]],Table1[[#This Row],[Yield (Annualised)]],Table1[[#This Row],[Coupon Frequency2]])</f>
        <v>#N/A</v>
      </c>
      <c r="AA1355" s="33" t="e">
        <f>Table1[[#This Row],[Macaulay Duration in Years]]/(1+Table1[[#This Row],[IRR]])</f>
        <v>#N/A</v>
      </c>
      <c r="AB1355" s="58" t="e">
        <f>VLOOKUP(Table1[[#This Row],[Yield Cluster]],'Cluster Details'!$B$3:$C$16,2,0)</f>
        <v>#N/A</v>
      </c>
      <c r="AC135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5" s="58" t="e">
        <f>IF(Table1[[#This Row],[Ask Price]]&gt;Table1[[#This Row],[Calculated Bond Price]],"Rich","Cheap")</f>
        <v>#N/A</v>
      </c>
      <c r="AE135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5" s="78" t="e">
        <f>(Table1[[#This Row],[P (+ shock)]]+Table1[[#This Row],[P (-shock)]]-2*Table1[[#This Row],[Ask Price]])/(2*Table1[[#This Row],[Ask Price]]*($AF$2^2))</f>
        <v>#N/A</v>
      </c>
      <c r="AH1355">
        <v>10.029999999999999</v>
      </c>
      <c r="AI1355" s="6" t="e">
        <f t="shared" si="85"/>
        <v>#DIV/0!</v>
      </c>
      <c r="AK1355" s="47" t="e">
        <f>RATE(Table1[[#This Row],[Total No. of Coupons]],Table1[[#This Row],[Coupon Amount]],-Table1[[#This Row],[Ask Price]],Table1[[#This Row],[Face value]])</f>
        <v>#N/A</v>
      </c>
      <c r="AL1355" s="27" t="e">
        <f>Table1[[#This Row],[IRR]]*Table1[[#This Row],[Coupon Frequency2]]</f>
        <v>#N/A</v>
      </c>
      <c r="AM1355" s="5" t="e">
        <f t="shared" si="86"/>
        <v>#N/A</v>
      </c>
      <c r="AN1355" t="s">
        <v>64</v>
      </c>
      <c r="AO1355" t="s">
        <v>62</v>
      </c>
      <c r="AP1355" t="str">
        <f t="shared" si="87"/>
        <v/>
      </c>
    </row>
    <row r="1356" spans="4:42" x14ac:dyDescent="0.35">
      <c r="D1356" s="21"/>
      <c r="E1356" s="21"/>
      <c r="L1356" s="22"/>
      <c r="S1356">
        <f t="shared" si="84"/>
        <v>0</v>
      </c>
      <c r="T1356" s="5" t="e" cm="1">
        <f t="array" ref="T13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6" t="e">
        <f>Table1[[#This Row],[Term to Maturity (Years)]]*Table1[[#This Row],[Coupon Frequency2]]</f>
        <v>#N/A</v>
      </c>
      <c r="V1356">
        <f>Table1[[#This Row],[Face value]]*Table1[[#This Row],[Current coupon %]]</f>
        <v>0</v>
      </c>
      <c r="W1356" s="36" t="e">
        <f>RATE(Table1[[#This Row],[Total No. of Coupons]],Table1[[#This Row],[Coupon Amount]],-Table1[[#This Row],[Ask Price]],Table1[[#This Row],[Face value]])</f>
        <v>#N/A</v>
      </c>
      <c r="X1356" s="27" t="e">
        <f>Table1[[#This Row],[IRR]]*Table1[[#This Row],[Coupon Frequency2]]</f>
        <v>#N/A</v>
      </c>
      <c r="Y1356" s="19" t="e" cm="1">
        <f t="array" ref="Y13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6" s="33" t="e">
        <f>DURATION(Table1[[#This Row],[Issue date]],Table1[[#This Row],[Maturity date]],Table1[[#This Row],[Current coupon %]],Table1[[#This Row],[Yield (Annualised)]],Table1[[#This Row],[Coupon Frequency2]])</f>
        <v>#N/A</v>
      </c>
      <c r="AA1356" s="33" t="e">
        <f>Table1[[#This Row],[Macaulay Duration in Years]]/(1+Table1[[#This Row],[IRR]])</f>
        <v>#N/A</v>
      </c>
      <c r="AB1356" s="58" t="e">
        <f>VLOOKUP(Table1[[#This Row],[Yield Cluster]],'Cluster Details'!$B$3:$C$16,2,0)</f>
        <v>#N/A</v>
      </c>
      <c r="AC135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6" s="58" t="e">
        <f>IF(Table1[[#This Row],[Ask Price]]&gt;Table1[[#This Row],[Calculated Bond Price]],"Rich","Cheap")</f>
        <v>#N/A</v>
      </c>
      <c r="AE135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6" s="78" t="e">
        <f>(Table1[[#This Row],[P (+ shock)]]+Table1[[#This Row],[P (-shock)]]-2*Table1[[#This Row],[Ask Price]])/(2*Table1[[#This Row],[Ask Price]]*($AF$2^2))</f>
        <v>#N/A</v>
      </c>
      <c r="AI1356" s="6" t="e">
        <f t="shared" si="85"/>
        <v>#DIV/0!</v>
      </c>
      <c r="AK1356" s="47" t="e">
        <f>RATE(Table1[[#This Row],[Total No. of Coupons]],Table1[[#This Row],[Coupon Amount]],-Table1[[#This Row],[Ask Price]],Table1[[#This Row],[Face value]])</f>
        <v>#N/A</v>
      </c>
      <c r="AL1356" s="27" t="e">
        <f>Table1[[#This Row],[IRR]]*Table1[[#This Row],[Coupon Frequency2]]</f>
        <v>#N/A</v>
      </c>
      <c r="AM1356" s="5" t="e">
        <f t="shared" si="86"/>
        <v>#N/A</v>
      </c>
      <c r="AN1356" t="s">
        <v>64</v>
      </c>
      <c r="AO1356" t="s">
        <v>62</v>
      </c>
      <c r="AP1356" t="str">
        <f t="shared" si="87"/>
        <v/>
      </c>
    </row>
    <row r="1357" spans="4:42" x14ac:dyDescent="0.35">
      <c r="D1357" s="21"/>
      <c r="E1357" s="21"/>
      <c r="L1357" s="22"/>
      <c r="S1357">
        <f t="shared" si="84"/>
        <v>0</v>
      </c>
      <c r="T1357" s="5" t="e" cm="1">
        <f t="array" ref="T13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7" t="e">
        <f>Table1[[#This Row],[Term to Maturity (Years)]]*Table1[[#This Row],[Coupon Frequency2]]</f>
        <v>#N/A</v>
      </c>
      <c r="V1357">
        <f>Table1[[#This Row],[Face value]]*Table1[[#This Row],[Current coupon %]]</f>
        <v>0</v>
      </c>
      <c r="W1357" s="36" t="e">
        <f>RATE(Table1[[#This Row],[Total No. of Coupons]],Table1[[#This Row],[Coupon Amount]],-Table1[[#This Row],[Ask Price]],Table1[[#This Row],[Face value]])</f>
        <v>#N/A</v>
      </c>
      <c r="X1357" s="27" t="e">
        <f>Table1[[#This Row],[IRR]]*Table1[[#This Row],[Coupon Frequency2]]</f>
        <v>#N/A</v>
      </c>
      <c r="Y1357" s="19" t="e" cm="1">
        <f t="array" ref="Y13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7" s="33" t="e">
        <f>DURATION(Table1[[#This Row],[Issue date]],Table1[[#This Row],[Maturity date]],Table1[[#This Row],[Current coupon %]],Table1[[#This Row],[Yield (Annualised)]],Table1[[#This Row],[Coupon Frequency2]])</f>
        <v>#N/A</v>
      </c>
      <c r="AA1357" s="33" t="e">
        <f>Table1[[#This Row],[Macaulay Duration in Years]]/(1+Table1[[#This Row],[IRR]])</f>
        <v>#N/A</v>
      </c>
      <c r="AB1357" s="58" t="e">
        <f>VLOOKUP(Table1[[#This Row],[Yield Cluster]],'Cluster Details'!$B$3:$C$16,2,0)</f>
        <v>#N/A</v>
      </c>
      <c r="AC135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7" s="58" t="e">
        <f>IF(Table1[[#This Row],[Ask Price]]&gt;Table1[[#This Row],[Calculated Bond Price]],"Rich","Cheap")</f>
        <v>#N/A</v>
      </c>
      <c r="AE135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7" s="78" t="e">
        <f>(Table1[[#This Row],[P (+ shock)]]+Table1[[#This Row],[P (-shock)]]-2*Table1[[#This Row],[Ask Price]])/(2*Table1[[#This Row],[Ask Price]]*($AF$2^2))</f>
        <v>#N/A</v>
      </c>
      <c r="AI1357" s="6" t="e">
        <f t="shared" si="85"/>
        <v>#DIV/0!</v>
      </c>
      <c r="AK1357" s="47" t="e">
        <f>RATE(Table1[[#This Row],[Total No. of Coupons]],Table1[[#This Row],[Coupon Amount]],-Table1[[#This Row],[Ask Price]],Table1[[#This Row],[Face value]])</f>
        <v>#N/A</v>
      </c>
      <c r="AL1357" s="27" t="e">
        <f>Table1[[#This Row],[IRR]]*Table1[[#This Row],[Coupon Frequency2]]</f>
        <v>#N/A</v>
      </c>
      <c r="AM1357" s="5" t="e">
        <f t="shared" si="86"/>
        <v>#N/A</v>
      </c>
      <c r="AN1357" t="s">
        <v>64</v>
      </c>
      <c r="AO1357" t="s">
        <v>62</v>
      </c>
      <c r="AP1357" t="str">
        <f t="shared" si="87"/>
        <v/>
      </c>
    </row>
    <row r="1358" spans="4:42" x14ac:dyDescent="0.35">
      <c r="D1358" s="21"/>
      <c r="E1358" s="21"/>
      <c r="L1358" s="22"/>
      <c r="S1358">
        <f t="shared" si="84"/>
        <v>0</v>
      </c>
      <c r="T1358" s="5" t="e" cm="1">
        <f t="array" ref="T13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8" t="e">
        <f>Table1[[#This Row],[Term to Maturity (Years)]]*Table1[[#This Row],[Coupon Frequency2]]</f>
        <v>#N/A</v>
      </c>
      <c r="V1358">
        <f>Table1[[#This Row],[Face value]]*Table1[[#This Row],[Current coupon %]]</f>
        <v>0</v>
      </c>
      <c r="W1358" s="36" t="e">
        <f>RATE(Table1[[#This Row],[Total No. of Coupons]],Table1[[#This Row],[Coupon Amount]],-Table1[[#This Row],[Ask Price]],Table1[[#This Row],[Face value]])</f>
        <v>#N/A</v>
      </c>
      <c r="X1358" s="27" t="e">
        <f>Table1[[#This Row],[IRR]]*Table1[[#This Row],[Coupon Frequency2]]</f>
        <v>#N/A</v>
      </c>
      <c r="Y1358" s="19" t="e" cm="1">
        <f t="array" ref="Y13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8" s="33" t="e">
        <f>DURATION(Table1[[#This Row],[Issue date]],Table1[[#This Row],[Maturity date]],Table1[[#This Row],[Current coupon %]],Table1[[#This Row],[Yield (Annualised)]],Table1[[#This Row],[Coupon Frequency2]])</f>
        <v>#N/A</v>
      </c>
      <c r="AA1358" s="33" t="e">
        <f>Table1[[#This Row],[Macaulay Duration in Years]]/(1+Table1[[#This Row],[IRR]])</f>
        <v>#N/A</v>
      </c>
      <c r="AB1358" s="58" t="e">
        <f>VLOOKUP(Table1[[#This Row],[Yield Cluster]],'Cluster Details'!$B$3:$C$16,2,0)</f>
        <v>#N/A</v>
      </c>
      <c r="AC135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8" s="58" t="e">
        <f>IF(Table1[[#This Row],[Ask Price]]&gt;Table1[[#This Row],[Calculated Bond Price]],"Rich","Cheap")</f>
        <v>#N/A</v>
      </c>
      <c r="AE135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8" s="78" t="e">
        <f>(Table1[[#This Row],[P (+ shock)]]+Table1[[#This Row],[P (-shock)]]-2*Table1[[#This Row],[Ask Price]])/(2*Table1[[#This Row],[Ask Price]]*($AF$2^2))</f>
        <v>#N/A</v>
      </c>
      <c r="AI1358" s="6" t="e">
        <f t="shared" si="85"/>
        <v>#DIV/0!</v>
      </c>
      <c r="AK1358" s="47" t="e">
        <f>RATE(Table1[[#This Row],[Total No. of Coupons]],Table1[[#This Row],[Coupon Amount]],-Table1[[#This Row],[Ask Price]],Table1[[#This Row],[Face value]])</f>
        <v>#N/A</v>
      </c>
      <c r="AL1358" s="27" t="e">
        <f>Table1[[#This Row],[IRR]]*Table1[[#This Row],[Coupon Frequency2]]</f>
        <v>#N/A</v>
      </c>
      <c r="AM1358" s="5" t="e">
        <f t="shared" si="86"/>
        <v>#N/A</v>
      </c>
      <c r="AN1358" t="s">
        <v>69</v>
      </c>
      <c r="AO1358" t="s">
        <v>62</v>
      </c>
      <c r="AP1358" t="str">
        <f t="shared" si="87"/>
        <v/>
      </c>
    </row>
    <row r="1359" spans="4:42" x14ac:dyDescent="0.35">
      <c r="D1359" s="21"/>
      <c r="E1359" s="21"/>
      <c r="L1359" s="22"/>
      <c r="S1359">
        <f t="shared" si="84"/>
        <v>0</v>
      </c>
      <c r="T1359" s="5" t="e" cm="1">
        <f t="array" ref="T13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59" t="e">
        <f>Table1[[#This Row],[Term to Maturity (Years)]]*Table1[[#This Row],[Coupon Frequency2]]</f>
        <v>#N/A</v>
      </c>
      <c r="V1359">
        <f>Table1[[#This Row],[Face value]]*Table1[[#This Row],[Current coupon %]]</f>
        <v>0</v>
      </c>
      <c r="W1359" s="36" t="e">
        <f>RATE(Table1[[#This Row],[Total No. of Coupons]],Table1[[#This Row],[Coupon Amount]],-Table1[[#This Row],[Ask Price]],Table1[[#This Row],[Face value]])</f>
        <v>#N/A</v>
      </c>
      <c r="X1359" s="27" t="e">
        <f>Table1[[#This Row],[IRR]]*Table1[[#This Row],[Coupon Frequency2]]</f>
        <v>#N/A</v>
      </c>
      <c r="Y1359" s="19" t="e" cm="1">
        <f t="array" ref="Y13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59" s="33" t="e">
        <f>DURATION(Table1[[#This Row],[Issue date]],Table1[[#This Row],[Maturity date]],Table1[[#This Row],[Current coupon %]],Table1[[#This Row],[Yield (Annualised)]],Table1[[#This Row],[Coupon Frequency2]])</f>
        <v>#N/A</v>
      </c>
      <c r="AA1359" s="33" t="e">
        <f>Table1[[#This Row],[Macaulay Duration in Years]]/(1+Table1[[#This Row],[IRR]])</f>
        <v>#N/A</v>
      </c>
      <c r="AB1359" s="58" t="e">
        <f>VLOOKUP(Table1[[#This Row],[Yield Cluster]],'Cluster Details'!$B$3:$C$16,2,0)</f>
        <v>#N/A</v>
      </c>
      <c r="AC135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59" s="58" t="e">
        <f>IF(Table1[[#This Row],[Ask Price]]&gt;Table1[[#This Row],[Calculated Bond Price]],"Rich","Cheap")</f>
        <v>#N/A</v>
      </c>
      <c r="AE135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5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59" s="78" t="e">
        <f>(Table1[[#This Row],[P (+ shock)]]+Table1[[#This Row],[P (-shock)]]-2*Table1[[#This Row],[Ask Price]])/(2*Table1[[#This Row],[Ask Price]]*($AF$2^2))</f>
        <v>#N/A</v>
      </c>
      <c r="AI1359" s="6" t="e">
        <f t="shared" si="85"/>
        <v>#DIV/0!</v>
      </c>
      <c r="AK1359" s="47" t="e">
        <f>RATE(Table1[[#This Row],[Total No. of Coupons]],Table1[[#This Row],[Coupon Amount]],-Table1[[#This Row],[Ask Price]],Table1[[#This Row],[Face value]])</f>
        <v>#N/A</v>
      </c>
      <c r="AL1359" s="27" t="e">
        <f>Table1[[#This Row],[IRR]]*Table1[[#This Row],[Coupon Frequency2]]</f>
        <v>#N/A</v>
      </c>
      <c r="AM1359" s="5" t="e">
        <f t="shared" si="86"/>
        <v>#N/A</v>
      </c>
      <c r="AN1359" t="s">
        <v>69</v>
      </c>
      <c r="AO1359" t="s">
        <v>62</v>
      </c>
      <c r="AP1359" t="str">
        <f t="shared" si="87"/>
        <v/>
      </c>
    </row>
    <row r="1360" spans="4:42" x14ac:dyDescent="0.35">
      <c r="D1360" s="21"/>
      <c r="E1360" s="21"/>
      <c r="L1360" s="22"/>
      <c r="S1360">
        <f t="shared" si="84"/>
        <v>0</v>
      </c>
      <c r="T1360" s="5" t="e" cm="1">
        <f t="array" ref="T13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0" t="e">
        <f>Table1[[#This Row],[Term to Maturity (Years)]]*Table1[[#This Row],[Coupon Frequency2]]</f>
        <v>#N/A</v>
      </c>
      <c r="V1360">
        <f>Table1[[#This Row],[Face value]]*Table1[[#This Row],[Current coupon %]]</f>
        <v>0</v>
      </c>
      <c r="W1360" s="36" t="e">
        <f>RATE(Table1[[#This Row],[Total No. of Coupons]],Table1[[#This Row],[Coupon Amount]],-Table1[[#This Row],[Ask Price]],Table1[[#This Row],[Face value]])</f>
        <v>#N/A</v>
      </c>
      <c r="X1360" s="27" t="e">
        <f>Table1[[#This Row],[IRR]]*Table1[[#This Row],[Coupon Frequency2]]</f>
        <v>#N/A</v>
      </c>
      <c r="Y1360" s="19" t="e" cm="1">
        <f t="array" ref="Y13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0" s="33" t="e">
        <f>DURATION(Table1[[#This Row],[Issue date]],Table1[[#This Row],[Maturity date]],Table1[[#This Row],[Current coupon %]],Table1[[#This Row],[Yield (Annualised)]],Table1[[#This Row],[Coupon Frequency2]])</f>
        <v>#N/A</v>
      </c>
      <c r="AA1360" s="33" t="e">
        <f>Table1[[#This Row],[Macaulay Duration in Years]]/(1+Table1[[#This Row],[IRR]])</f>
        <v>#N/A</v>
      </c>
      <c r="AB1360" s="58" t="e">
        <f>VLOOKUP(Table1[[#This Row],[Yield Cluster]],'Cluster Details'!$B$3:$C$16,2,0)</f>
        <v>#N/A</v>
      </c>
      <c r="AC136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0" s="58" t="e">
        <f>IF(Table1[[#This Row],[Ask Price]]&gt;Table1[[#This Row],[Calculated Bond Price]],"Rich","Cheap")</f>
        <v>#N/A</v>
      </c>
      <c r="AE136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0" s="78" t="e">
        <f>(Table1[[#This Row],[P (+ shock)]]+Table1[[#This Row],[P (-shock)]]-2*Table1[[#This Row],[Ask Price]])/(2*Table1[[#This Row],[Ask Price]]*($AF$2^2))</f>
        <v>#N/A</v>
      </c>
      <c r="AH1360">
        <v>7.7715357738735102</v>
      </c>
      <c r="AI1360" s="6" t="e">
        <f t="shared" si="85"/>
        <v>#DIV/0!</v>
      </c>
      <c r="AK1360" s="47" t="e">
        <f>RATE(Table1[[#This Row],[Total No. of Coupons]],Table1[[#This Row],[Coupon Amount]],-Table1[[#This Row],[Ask Price]],Table1[[#This Row],[Face value]])</f>
        <v>#N/A</v>
      </c>
      <c r="AL1360" s="27" t="e">
        <f>Table1[[#This Row],[IRR]]*Table1[[#This Row],[Coupon Frequency2]]</f>
        <v>#N/A</v>
      </c>
      <c r="AM1360" s="5" t="e">
        <f t="shared" si="86"/>
        <v>#N/A</v>
      </c>
      <c r="AN1360" t="s">
        <v>64</v>
      </c>
      <c r="AO1360" t="s">
        <v>62</v>
      </c>
      <c r="AP1360" t="str">
        <f t="shared" si="87"/>
        <v/>
      </c>
    </row>
    <row r="1361" spans="4:42" x14ac:dyDescent="0.35">
      <c r="D1361" s="21"/>
      <c r="E1361" s="21"/>
      <c r="L1361" s="22"/>
      <c r="S1361">
        <f t="shared" si="84"/>
        <v>0</v>
      </c>
      <c r="T1361" s="5" t="e" cm="1">
        <f t="array" ref="T13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1" t="e">
        <f>Table1[[#This Row],[Term to Maturity (Years)]]*Table1[[#This Row],[Coupon Frequency2]]</f>
        <v>#N/A</v>
      </c>
      <c r="V1361">
        <f>Table1[[#This Row],[Face value]]*Table1[[#This Row],[Current coupon %]]</f>
        <v>0</v>
      </c>
      <c r="W1361" s="36" t="e">
        <f>RATE(Table1[[#This Row],[Total No. of Coupons]],Table1[[#This Row],[Coupon Amount]],-Table1[[#This Row],[Ask Price]],Table1[[#This Row],[Face value]])</f>
        <v>#N/A</v>
      </c>
      <c r="X1361" s="27" t="e">
        <f>Table1[[#This Row],[IRR]]*Table1[[#This Row],[Coupon Frequency2]]</f>
        <v>#N/A</v>
      </c>
      <c r="Y1361" s="19" t="e" cm="1">
        <f t="array" ref="Y13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1" s="33" t="e">
        <f>DURATION(Table1[[#This Row],[Issue date]],Table1[[#This Row],[Maturity date]],Table1[[#This Row],[Current coupon %]],Table1[[#This Row],[Yield (Annualised)]],Table1[[#This Row],[Coupon Frequency2]])</f>
        <v>#N/A</v>
      </c>
      <c r="AA1361" s="33" t="e">
        <f>Table1[[#This Row],[Macaulay Duration in Years]]/(1+Table1[[#This Row],[IRR]])</f>
        <v>#N/A</v>
      </c>
      <c r="AB1361" s="58" t="e">
        <f>VLOOKUP(Table1[[#This Row],[Yield Cluster]],'Cluster Details'!$B$3:$C$16,2,0)</f>
        <v>#N/A</v>
      </c>
      <c r="AC136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1" s="58" t="e">
        <f>IF(Table1[[#This Row],[Ask Price]]&gt;Table1[[#This Row],[Calculated Bond Price]],"Rich","Cheap")</f>
        <v>#N/A</v>
      </c>
      <c r="AE136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1" s="78" t="e">
        <f>(Table1[[#This Row],[P (+ shock)]]+Table1[[#This Row],[P (-shock)]]-2*Table1[[#This Row],[Ask Price]])/(2*Table1[[#This Row],[Ask Price]]*($AF$2^2))</f>
        <v>#N/A</v>
      </c>
      <c r="AH1361">
        <v>10.8632371886257</v>
      </c>
      <c r="AI1361" s="6" t="e">
        <f t="shared" si="85"/>
        <v>#DIV/0!</v>
      </c>
      <c r="AK1361" s="47" t="e">
        <f>RATE(Table1[[#This Row],[Total No. of Coupons]],Table1[[#This Row],[Coupon Amount]],-Table1[[#This Row],[Ask Price]],Table1[[#This Row],[Face value]])</f>
        <v>#N/A</v>
      </c>
      <c r="AL1361" s="27" t="e">
        <f>Table1[[#This Row],[IRR]]*Table1[[#This Row],[Coupon Frequency2]]</f>
        <v>#N/A</v>
      </c>
      <c r="AM1361" s="5" t="e">
        <f t="shared" si="86"/>
        <v>#N/A</v>
      </c>
      <c r="AN1361" t="s">
        <v>64</v>
      </c>
      <c r="AO1361" t="s">
        <v>62</v>
      </c>
      <c r="AP1361" t="str">
        <f t="shared" si="87"/>
        <v/>
      </c>
    </row>
    <row r="1362" spans="4:42" x14ac:dyDescent="0.35">
      <c r="D1362" s="21"/>
      <c r="E1362" s="21"/>
      <c r="L1362" s="22"/>
      <c r="S1362">
        <f t="shared" si="84"/>
        <v>0</v>
      </c>
      <c r="T1362" s="5" t="e" cm="1">
        <f t="array" ref="T13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2" t="e">
        <f>Table1[[#This Row],[Term to Maturity (Years)]]*Table1[[#This Row],[Coupon Frequency2]]</f>
        <v>#N/A</v>
      </c>
      <c r="V1362">
        <f>Table1[[#This Row],[Face value]]*Table1[[#This Row],[Current coupon %]]</f>
        <v>0</v>
      </c>
      <c r="W1362" s="36" t="e">
        <f>RATE(Table1[[#This Row],[Total No. of Coupons]],Table1[[#This Row],[Coupon Amount]],-Table1[[#This Row],[Ask Price]],Table1[[#This Row],[Face value]])</f>
        <v>#N/A</v>
      </c>
      <c r="X1362" s="27" t="e">
        <f>Table1[[#This Row],[IRR]]*Table1[[#This Row],[Coupon Frequency2]]</f>
        <v>#N/A</v>
      </c>
      <c r="Y1362" s="19" t="e" cm="1">
        <f t="array" ref="Y13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2" s="33" t="e">
        <f>DURATION(Table1[[#This Row],[Issue date]],Table1[[#This Row],[Maturity date]],Table1[[#This Row],[Current coupon %]],Table1[[#This Row],[Yield (Annualised)]],Table1[[#This Row],[Coupon Frequency2]])</f>
        <v>#N/A</v>
      </c>
      <c r="AA1362" s="33" t="e">
        <f>Table1[[#This Row],[Macaulay Duration in Years]]/(1+Table1[[#This Row],[IRR]])</f>
        <v>#N/A</v>
      </c>
      <c r="AB1362" s="58" t="e">
        <f>VLOOKUP(Table1[[#This Row],[Yield Cluster]],'Cluster Details'!$B$3:$C$16,2,0)</f>
        <v>#N/A</v>
      </c>
      <c r="AC136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2" s="58" t="e">
        <f>IF(Table1[[#This Row],[Ask Price]]&gt;Table1[[#This Row],[Calculated Bond Price]],"Rich","Cheap")</f>
        <v>#N/A</v>
      </c>
      <c r="AE136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2" s="78" t="e">
        <f>(Table1[[#This Row],[P (+ shock)]]+Table1[[#This Row],[P (-shock)]]-2*Table1[[#This Row],[Ask Price]])/(2*Table1[[#This Row],[Ask Price]]*($AF$2^2))</f>
        <v>#N/A</v>
      </c>
      <c r="AH1362">
        <v>10.719141730691399</v>
      </c>
      <c r="AI1362" s="6" t="e">
        <f t="shared" si="85"/>
        <v>#DIV/0!</v>
      </c>
      <c r="AK1362" s="47" t="e">
        <f>RATE(Table1[[#This Row],[Total No. of Coupons]],Table1[[#This Row],[Coupon Amount]],-Table1[[#This Row],[Ask Price]],Table1[[#This Row],[Face value]])</f>
        <v>#N/A</v>
      </c>
      <c r="AL1362" s="27" t="e">
        <f>Table1[[#This Row],[IRR]]*Table1[[#This Row],[Coupon Frequency2]]</f>
        <v>#N/A</v>
      </c>
      <c r="AM1362" s="5" t="e">
        <f t="shared" si="86"/>
        <v>#N/A</v>
      </c>
      <c r="AN1362" t="s">
        <v>64</v>
      </c>
      <c r="AO1362" t="s">
        <v>62</v>
      </c>
      <c r="AP1362" t="str">
        <f t="shared" si="87"/>
        <v/>
      </c>
    </row>
    <row r="1363" spans="4:42" x14ac:dyDescent="0.35">
      <c r="D1363" s="21"/>
      <c r="E1363" s="21"/>
      <c r="L1363" s="22"/>
      <c r="S1363">
        <f t="shared" si="84"/>
        <v>0</v>
      </c>
      <c r="T1363" s="5" t="e" cm="1">
        <f t="array" ref="T13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3" t="e">
        <f>Table1[[#This Row],[Term to Maturity (Years)]]*Table1[[#This Row],[Coupon Frequency2]]</f>
        <v>#N/A</v>
      </c>
      <c r="V1363">
        <f>Table1[[#This Row],[Face value]]*Table1[[#This Row],[Current coupon %]]</f>
        <v>0</v>
      </c>
      <c r="W1363" s="36" t="e">
        <f>RATE(Table1[[#This Row],[Total No. of Coupons]],Table1[[#This Row],[Coupon Amount]],-Table1[[#This Row],[Ask Price]],Table1[[#This Row],[Face value]])</f>
        <v>#N/A</v>
      </c>
      <c r="X1363" s="27" t="e">
        <f>Table1[[#This Row],[IRR]]*Table1[[#This Row],[Coupon Frequency2]]</f>
        <v>#N/A</v>
      </c>
      <c r="Y1363" s="19" t="e" cm="1">
        <f t="array" ref="Y13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3" s="33" t="e">
        <f>DURATION(Table1[[#This Row],[Issue date]],Table1[[#This Row],[Maturity date]],Table1[[#This Row],[Current coupon %]],Table1[[#This Row],[Yield (Annualised)]],Table1[[#This Row],[Coupon Frequency2]])</f>
        <v>#N/A</v>
      </c>
      <c r="AA1363" s="33" t="e">
        <f>Table1[[#This Row],[Macaulay Duration in Years]]/(1+Table1[[#This Row],[IRR]])</f>
        <v>#N/A</v>
      </c>
      <c r="AB1363" s="58" t="e">
        <f>VLOOKUP(Table1[[#This Row],[Yield Cluster]],'Cluster Details'!$B$3:$C$16,2,0)</f>
        <v>#N/A</v>
      </c>
      <c r="AC136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3" s="58" t="e">
        <f>IF(Table1[[#This Row],[Ask Price]]&gt;Table1[[#This Row],[Calculated Bond Price]],"Rich","Cheap")</f>
        <v>#N/A</v>
      </c>
      <c r="AE136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3" s="78" t="e">
        <f>(Table1[[#This Row],[P (+ shock)]]+Table1[[#This Row],[P (-shock)]]-2*Table1[[#This Row],[Ask Price]])/(2*Table1[[#This Row],[Ask Price]]*($AF$2^2))</f>
        <v>#N/A</v>
      </c>
      <c r="AH1363">
        <v>9.6956004124751605</v>
      </c>
      <c r="AI1363" s="6" t="e">
        <f t="shared" si="85"/>
        <v>#DIV/0!</v>
      </c>
      <c r="AK1363" s="47" t="e">
        <f>RATE(Table1[[#This Row],[Total No. of Coupons]],Table1[[#This Row],[Coupon Amount]],-Table1[[#This Row],[Ask Price]],Table1[[#This Row],[Face value]])</f>
        <v>#N/A</v>
      </c>
      <c r="AL1363" s="27" t="e">
        <f>Table1[[#This Row],[IRR]]*Table1[[#This Row],[Coupon Frequency2]]</f>
        <v>#N/A</v>
      </c>
      <c r="AM1363" s="5" t="e">
        <f t="shared" si="86"/>
        <v>#N/A</v>
      </c>
      <c r="AN1363" t="s">
        <v>64</v>
      </c>
      <c r="AO1363" t="s">
        <v>62</v>
      </c>
      <c r="AP1363" t="str">
        <f t="shared" si="87"/>
        <v/>
      </c>
    </row>
    <row r="1364" spans="4:42" x14ac:dyDescent="0.35">
      <c r="D1364" s="21"/>
      <c r="E1364" s="21"/>
      <c r="L1364" s="22"/>
      <c r="S1364">
        <f t="shared" si="84"/>
        <v>0</v>
      </c>
      <c r="T1364" s="5" t="e" cm="1">
        <f t="array" ref="T13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4" t="e">
        <f>Table1[[#This Row],[Term to Maturity (Years)]]*Table1[[#This Row],[Coupon Frequency2]]</f>
        <v>#N/A</v>
      </c>
      <c r="V1364">
        <f>Table1[[#This Row],[Face value]]*Table1[[#This Row],[Current coupon %]]</f>
        <v>0</v>
      </c>
      <c r="W1364" s="36" t="e">
        <f>RATE(Table1[[#This Row],[Total No. of Coupons]],Table1[[#This Row],[Coupon Amount]],-Table1[[#This Row],[Ask Price]],Table1[[#This Row],[Face value]])</f>
        <v>#N/A</v>
      </c>
      <c r="X1364" s="27" t="e">
        <f>Table1[[#This Row],[IRR]]*Table1[[#This Row],[Coupon Frequency2]]</f>
        <v>#N/A</v>
      </c>
      <c r="Y1364" s="19" t="e" cm="1">
        <f t="array" ref="Y13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4" s="33" t="e">
        <f>DURATION(Table1[[#This Row],[Issue date]],Table1[[#This Row],[Maturity date]],Table1[[#This Row],[Current coupon %]],Table1[[#This Row],[Yield (Annualised)]],Table1[[#This Row],[Coupon Frequency2]])</f>
        <v>#N/A</v>
      </c>
      <c r="AA1364" s="33" t="e">
        <f>Table1[[#This Row],[Macaulay Duration in Years]]/(1+Table1[[#This Row],[IRR]])</f>
        <v>#N/A</v>
      </c>
      <c r="AB1364" s="58" t="e">
        <f>VLOOKUP(Table1[[#This Row],[Yield Cluster]],'Cluster Details'!$B$3:$C$16,2,0)</f>
        <v>#N/A</v>
      </c>
      <c r="AC136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4" s="58" t="e">
        <f>IF(Table1[[#This Row],[Ask Price]]&gt;Table1[[#This Row],[Calculated Bond Price]],"Rich","Cheap")</f>
        <v>#N/A</v>
      </c>
      <c r="AE136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4" s="78" t="e">
        <f>(Table1[[#This Row],[P (+ shock)]]+Table1[[#This Row],[P (-shock)]]-2*Table1[[#This Row],[Ask Price]])/(2*Table1[[#This Row],[Ask Price]]*($AF$2^2))</f>
        <v>#N/A</v>
      </c>
      <c r="AI1364" s="6" t="e">
        <f t="shared" si="85"/>
        <v>#DIV/0!</v>
      </c>
      <c r="AK1364" s="47" t="e">
        <f>RATE(Table1[[#This Row],[Total No. of Coupons]],Table1[[#This Row],[Coupon Amount]],-Table1[[#This Row],[Ask Price]],Table1[[#This Row],[Face value]])</f>
        <v>#N/A</v>
      </c>
      <c r="AL1364" s="27" t="e">
        <f>Table1[[#This Row],[IRR]]*Table1[[#This Row],[Coupon Frequency2]]</f>
        <v>#N/A</v>
      </c>
      <c r="AM1364" s="5" t="e">
        <f t="shared" si="86"/>
        <v>#N/A</v>
      </c>
      <c r="AN1364" t="s">
        <v>64</v>
      </c>
      <c r="AO1364" t="s">
        <v>62</v>
      </c>
      <c r="AP1364" t="str">
        <f t="shared" si="87"/>
        <v/>
      </c>
    </row>
    <row r="1365" spans="4:42" x14ac:dyDescent="0.35">
      <c r="D1365" s="21"/>
      <c r="E1365" s="21"/>
      <c r="L1365" s="22"/>
      <c r="S1365">
        <f t="shared" si="84"/>
        <v>0</v>
      </c>
      <c r="T1365" s="5" t="e" cm="1">
        <f t="array" ref="T13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5" t="e">
        <f>Table1[[#This Row],[Term to Maturity (Years)]]*Table1[[#This Row],[Coupon Frequency2]]</f>
        <v>#N/A</v>
      </c>
      <c r="V1365">
        <f>Table1[[#This Row],[Face value]]*Table1[[#This Row],[Current coupon %]]</f>
        <v>0</v>
      </c>
      <c r="W1365" s="36" t="e">
        <f>RATE(Table1[[#This Row],[Total No. of Coupons]],Table1[[#This Row],[Coupon Amount]],-Table1[[#This Row],[Ask Price]],Table1[[#This Row],[Face value]])</f>
        <v>#N/A</v>
      </c>
      <c r="X1365" s="27" t="e">
        <f>Table1[[#This Row],[IRR]]*Table1[[#This Row],[Coupon Frequency2]]</f>
        <v>#N/A</v>
      </c>
      <c r="Y1365" s="19" t="e" cm="1">
        <f t="array" ref="Y13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5" s="33" t="e">
        <f>DURATION(Table1[[#This Row],[Issue date]],Table1[[#This Row],[Maturity date]],Table1[[#This Row],[Current coupon %]],Table1[[#This Row],[Yield (Annualised)]],Table1[[#This Row],[Coupon Frequency2]])</f>
        <v>#N/A</v>
      </c>
      <c r="AA1365" s="33" t="e">
        <f>Table1[[#This Row],[Macaulay Duration in Years]]/(1+Table1[[#This Row],[IRR]])</f>
        <v>#N/A</v>
      </c>
      <c r="AB1365" s="58" t="e">
        <f>VLOOKUP(Table1[[#This Row],[Yield Cluster]],'Cluster Details'!$B$3:$C$16,2,0)</f>
        <v>#N/A</v>
      </c>
      <c r="AC136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5" s="58" t="e">
        <f>IF(Table1[[#This Row],[Ask Price]]&gt;Table1[[#This Row],[Calculated Bond Price]],"Rich","Cheap")</f>
        <v>#N/A</v>
      </c>
      <c r="AE136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5" s="78" t="e">
        <f>(Table1[[#This Row],[P (+ shock)]]+Table1[[#This Row],[P (-shock)]]-2*Table1[[#This Row],[Ask Price]])/(2*Table1[[#This Row],[Ask Price]]*($AF$2^2))</f>
        <v>#N/A</v>
      </c>
      <c r="AH1365">
        <v>8.6056034227216998</v>
      </c>
      <c r="AI1365" s="6" t="e">
        <f t="shared" si="85"/>
        <v>#DIV/0!</v>
      </c>
      <c r="AK1365" s="47" t="e">
        <f>RATE(Table1[[#This Row],[Total No. of Coupons]],Table1[[#This Row],[Coupon Amount]],-Table1[[#This Row],[Ask Price]],Table1[[#This Row],[Face value]])</f>
        <v>#N/A</v>
      </c>
      <c r="AL1365" s="27" t="e">
        <f>Table1[[#This Row],[IRR]]*Table1[[#This Row],[Coupon Frequency2]]</f>
        <v>#N/A</v>
      </c>
      <c r="AM1365" s="5" t="e">
        <f t="shared" si="86"/>
        <v>#N/A</v>
      </c>
      <c r="AN1365" t="s">
        <v>64</v>
      </c>
      <c r="AO1365" t="s">
        <v>62</v>
      </c>
      <c r="AP1365" t="str">
        <f t="shared" si="87"/>
        <v/>
      </c>
    </row>
    <row r="1366" spans="4:42" x14ac:dyDescent="0.35">
      <c r="D1366" s="21"/>
      <c r="E1366" s="21"/>
      <c r="L1366" s="22"/>
      <c r="S1366">
        <f t="shared" si="84"/>
        <v>0</v>
      </c>
      <c r="T1366" s="5" t="e" cm="1">
        <f t="array" ref="T13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6" t="e">
        <f>Table1[[#This Row],[Term to Maturity (Years)]]*Table1[[#This Row],[Coupon Frequency2]]</f>
        <v>#N/A</v>
      </c>
      <c r="V1366">
        <f>Table1[[#This Row],[Face value]]*Table1[[#This Row],[Current coupon %]]</f>
        <v>0</v>
      </c>
      <c r="W1366" s="36" t="e">
        <f>RATE(Table1[[#This Row],[Total No. of Coupons]],Table1[[#This Row],[Coupon Amount]],-Table1[[#This Row],[Ask Price]],Table1[[#This Row],[Face value]])</f>
        <v>#N/A</v>
      </c>
      <c r="X1366" s="27" t="e">
        <f>Table1[[#This Row],[IRR]]*Table1[[#This Row],[Coupon Frequency2]]</f>
        <v>#N/A</v>
      </c>
      <c r="Y1366" s="19" t="e" cm="1">
        <f t="array" ref="Y13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6" s="33" t="e">
        <f>DURATION(Table1[[#This Row],[Issue date]],Table1[[#This Row],[Maturity date]],Table1[[#This Row],[Current coupon %]],Table1[[#This Row],[Yield (Annualised)]],Table1[[#This Row],[Coupon Frequency2]])</f>
        <v>#N/A</v>
      </c>
      <c r="AA1366" s="33" t="e">
        <f>Table1[[#This Row],[Macaulay Duration in Years]]/(1+Table1[[#This Row],[IRR]])</f>
        <v>#N/A</v>
      </c>
      <c r="AB1366" s="58" t="e">
        <f>VLOOKUP(Table1[[#This Row],[Yield Cluster]],'Cluster Details'!$B$3:$C$16,2,0)</f>
        <v>#N/A</v>
      </c>
      <c r="AC136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6" s="58" t="e">
        <f>IF(Table1[[#This Row],[Ask Price]]&gt;Table1[[#This Row],[Calculated Bond Price]],"Rich","Cheap")</f>
        <v>#N/A</v>
      </c>
      <c r="AE136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6" s="78" t="e">
        <f>(Table1[[#This Row],[P (+ shock)]]+Table1[[#This Row],[P (-shock)]]-2*Table1[[#This Row],[Ask Price]])/(2*Table1[[#This Row],[Ask Price]]*($AF$2^2))</f>
        <v>#N/A</v>
      </c>
      <c r="AH1366">
        <v>9.3208341472089593</v>
      </c>
      <c r="AI1366" s="6" t="e">
        <f t="shared" si="85"/>
        <v>#DIV/0!</v>
      </c>
      <c r="AK1366" s="47" t="e">
        <f>RATE(Table1[[#This Row],[Total No. of Coupons]],Table1[[#This Row],[Coupon Amount]],-Table1[[#This Row],[Ask Price]],Table1[[#This Row],[Face value]])</f>
        <v>#N/A</v>
      </c>
      <c r="AL1366" s="27" t="e">
        <f>Table1[[#This Row],[IRR]]*Table1[[#This Row],[Coupon Frequency2]]</f>
        <v>#N/A</v>
      </c>
      <c r="AM1366" s="5" t="e">
        <f t="shared" si="86"/>
        <v>#N/A</v>
      </c>
      <c r="AN1366" t="s">
        <v>64</v>
      </c>
      <c r="AO1366" t="s">
        <v>62</v>
      </c>
      <c r="AP1366" t="str">
        <f t="shared" si="87"/>
        <v/>
      </c>
    </row>
    <row r="1367" spans="4:42" x14ac:dyDescent="0.35">
      <c r="D1367" s="21"/>
      <c r="E1367" s="21"/>
      <c r="L1367" s="22"/>
      <c r="S1367">
        <f t="shared" si="84"/>
        <v>0</v>
      </c>
      <c r="T1367" s="5" t="e" cm="1">
        <f t="array" ref="T13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7" t="e">
        <f>Table1[[#This Row],[Term to Maturity (Years)]]*Table1[[#This Row],[Coupon Frequency2]]</f>
        <v>#N/A</v>
      </c>
      <c r="V1367">
        <f>Table1[[#This Row],[Face value]]*Table1[[#This Row],[Current coupon %]]</f>
        <v>0</v>
      </c>
      <c r="W1367" s="36" t="e">
        <f>RATE(Table1[[#This Row],[Total No. of Coupons]],Table1[[#This Row],[Coupon Amount]],-Table1[[#This Row],[Ask Price]],Table1[[#This Row],[Face value]])</f>
        <v>#N/A</v>
      </c>
      <c r="X1367" s="27" t="e">
        <f>Table1[[#This Row],[IRR]]*Table1[[#This Row],[Coupon Frequency2]]</f>
        <v>#N/A</v>
      </c>
      <c r="Y1367" s="19" t="e" cm="1">
        <f t="array" ref="Y13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7" s="33" t="e">
        <f>DURATION(Table1[[#This Row],[Issue date]],Table1[[#This Row],[Maturity date]],Table1[[#This Row],[Current coupon %]],Table1[[#This Row],[Yield (Annualised)]],Table1[[#This Row],[Coupon Frequency2]])</f>
        <v>#N/A</v>
      </c>
      <c r="AA1367" s="33" t="e">
        <f>Table1[[#This Row],[Macaulay Duration in Years]]/(1+Table1[[#This Row],[IRR]])</f>
        <v>#N/A</v>
      </c>
      <c r="AB1367" s="58" t="e">
        <f>VLOOKUP(Table1[[#This Row],[Yield Cluster]],'Cluster Details'!$B$3:$C$16,2,0)</f>
        <v>#N/A</v>
      </c>
      <c r="AC136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7" s="58" t="e">
        <f>IF(Table1[[#This Row],[Ask Price]]&gt;Table1[[#This Row],[Calculated Bond Price]],"Rich","Cheap")</f>
        <v>#N/A</v>
      </c>
      <c r="AE136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7" s="78" t="e">
        <f>(Table1[[#This Row],[P (+ shock)]]+Table1[[#This Row],[P (-shock)]]-2*Table1[[#This Row],[Ask Price]])/(2*Table1[[#This Row],[Ask Price]]*($AF$2^2))</f>
        <v>#N/A</v>
      </c>
      <c r="AH1367">
        <v>10.438299267679501</v>
      </c>
      <c r="AI1367" s="6" t="e">
        <f t="shared" si="85"/>
        <v>#DIV/0!</v>
      </c>
      <c r="AK1367" s="47" t="e">
        <f>RATE(Table1[[#This Row],[Total No. of Coupons]],Table1[[#This Row],[Coupon Amount]],-Table1[[#This Row],[Ask Price]],Table1[[#This Row],[Face value]])</f>
        <v>#N/A</v>
      </c>
      <c r="AL1367" s="27" t="e">
        <f>Table1[[#This Row],[IRR]]*Table1[[#This Row],[Coupon Frequency2]]</f>
        <v>#N/A</v>
      </c>
      <c r="AM1367" s="5" t="e">
        <f t="shared" si="86"/>
        <v>#N/A</v>
      </c>
      <c r="AN1367" t="s">
        <v>64</v>
      </c>
      <c r="AO1367" t="s">
        <v>62</v>
      </c>
      <c r="AP1367" t="str">
        <f t="shared" si="87"/>
        <v/>
      </c>
    </row>
    <row r="1368" spans="4:42" x14ac:dyDescent="0.35">
      <c r="D1368" s="21"/>
      <c r="E1368" s="21"/>
      <c r="L1368" s="22"/>
      <c r="S1368">
        <f t="shared" si="84"/>
        <v>0</v>
      </c>
      <c r="T1368" s="5" t="e" cm="1">
        <f t="array" ref="T13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8" t="e">
        <f>Table1[[#This Row],[Term to Maturity (Years)]]*Table1[[#This Row],[Coupon Frequency2]]</f>
        <v>#N/A</v>
      </c>
      <c r="V1368">
        <f>Table1[[#This Row],[Face value]]*Table1[[#This Row],[Current coupon %]]</f>
        <v>0</v>
      </c>
      <c r="W1368" s="36" t="e">
        <f>RATE(Table1[[#This Row],[Total No. of Coupons]],Table1[[#This Row],[Coupon Amount]],-Table1[[#This Row],[Ask Price]],Table1[[#This Row],[Face value]])</f>
        <v>#N/A</v>
      </c>
      <c r="X1368" s="27" t="e">
        <f>Table1[[#This Row],[IRR]]*Table1[[#This Row],[Coupon Frequency2]]</f>
        <v>#N/A</v>
      </c>
      <c r="Y1368" s="19" t="e" cm="1">
        <f t="array" ref="Y13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8" s="33" t="e">
        <f>DURATION(Table1[[#This Row],[Issue date]],Table1[[#This Row],[Maturity date]],Table1[[#This Row],[Current coupon %]],Table1[[#This Row],[Yield (Annualised)]],Table1[[#This Row],[Coupon Frequency2]])</f>
        <v>#N/A</v>
      </c>
      <c r="AA1368" s="33" t="e">
        <f>Table1[[#This Row],[Macaulay Duration in Years]]/(1+Table1[[#This Row],[IRR]])</f>
        <v>#N/A</v>
      </c>
      <c r="AB1368" s="58" t="e">
        <f>VLOOKUP(Table1[[#This Row],[Yield Cluster]],'Cluster Details'!$B$3:$C$16,2,0)</f>
        <v>#N/A</v>
      </c>
      <c r="AC136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8" s="58" t="e">
        <f>IF(Table1[[#This Row],[Ask Price]]&gt;Table1[[#This Row],[Calculated Bond Price]],"Rich","Cheap")</f>
        <v>#N/A</v>
      </c>
      <c r="AE136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8" s="78" t="e">
        <f>(Table1[[#This Row],[P (+ shock)]]+Table1[[#This Row],[P (-shock)]]-2*Table1[[#This Row],[Ask Price]])/(2*Table1[[#This Row],[Ask Price]]*($AF$2^2))</f>
        <v>#N/A</v>
      </c>
      <c r="AH1368">
        <v>7.8312083322720296</v>
      </c>
      <c r="AI1368" s="6" t="e">
        <f t="shared" si="85"/>
        <v>#DIV/0!</v>
      </c>
      <c r="AK1368" s="47" t="e">
        <f>RATE(Table1[[#This Row],[Total No. of Coupons]],Table1[[#This Row],[Coupon Amount]],-Table1[[#This Row],[Ask Price]],Table1[[#This Row],[Face value]])</f>
        <v>#N/A</v>
      </c>
      <c r="AL1368" s="27" t="e">
        <f>Table1[[#This Row],[IRR]]*Table1[[#This Row],[Coupon Frequency2]]</f>
        <v>#N/A</v>
      </c>
      <c r="AM1368" s="5" t="e">
        <f t="shared" si="86"/>
        <v>#N/A</v>
      </c>
      <c r="AN1368" t="s">
        <v>69</v>
      </c>
      <c r="AO1368" t="s">
        <v>62</v>
      </c>
      <c r="AP1368" t="str">
        <f t="shared" si="87"/>
        <v/>
      </c>
    </row>
    <row r="1369" spans="4:42" x14ac:dyDescent="0.35">
      <c r="D1369" s="21"/>
      <c r="E1369" s="21"/>
      <c r="L1369" s="22"/>
      <c r="S1369">
        <f t="shared" si="84"/>
        <v>0</v>
      </c>
      <c r="T1369" s="5" t="e" cm="1">
        <f t="array" ref="T13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69" t="e">
        <f>Table1[[#This Row],[Term to Maturity (Years)]]*Table1[[#This Row],[Coupon Frequency2]]</f>
        <v>#N/A</v>
      </c>
      <c r="V1369">
        <f>Table1[[#This Row],[Face value]]*Table1[[#This Row],[Current coupon %]]</f>
        <v>0</v>
      </c>
      <c r="W1369" s="36" t="e">
        <f>RATE(Table1[[#This Row],[Total No. of Coupons]],Table1[[#This Row],[Coupon Amount]],-Table1[[#This Row],[Ask Price]],Table1[[#This Row],[Face value]])</f>
        <v>#N/A</v>
      </c>
      <c r="X1369" s="27" t="e">
        <f>Table1[[#This Row],[IRR]]*Table1[[#This Row],[Coupon Frequency2]]</f>
        <v>#N/A</v>
      </c>
      <c r="Y1369" s="19" t="e" cm="1">
        <f t="array" ref="Y13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69" s="33" t="e">
        <f>DURATION(Table1[[#This Row],[Issue date]],Table1[[#This Row],[Maturity date]],Table1[[#This Row],[Current coupon %]],Table1[[#This Row],[Yield (Annualised)]],Table1[[#This Row],[Coupon Frequency2]])</f>
        <v>#N/A</v>
      </c>
      <c r="AA1369" s="33" t="e">
        <f>Table1[[#This Row],[Macaulay Duration in Years]]/(1+Table1[[#This Row],[IRR]])</f>
        <v>#N/A</v>
      </c>
      <c r="AB1369" s="58" t="e">
        <f>VLOOKUP(Table1[[#This Row],[Yield Cluster]],'Cluster Details'!$B$3:$C$16,2,0)</f>
        <v>#N/A</v>
      </c>
      <c r="AC136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69" s="58" t="e">
        <f>IF(Table1[[#This Row],[Ask Price]]&gt;Table1[[#This Row],[Calculated Bond Price]],"Rich","Cheap")</f>
        <v>#N/A</v>
      </c>
      <c r="AE136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6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69" s="78" t="e">
        <f>(Table1[[#This Row],[P (+ shock)]]+Table1[[#This Row],[P (-shock)]]-2*Table1[[#This Row],[Ask Price]])/(2*Table1[[#This Row],[Ask Price]]*($AF$2^2))</f>
        <v>#N/A</v>
      </c>
      <c r="AH1369">
        <v>9.9542536480617603</v>
      </c>
      <c r="AI1369" s="6" t="e">
        <f t="shared" si="85"/>
        <v>#DIV/0!</v>
      </c>
      <c r="AK1369" s="47" t="e">
        <f>RATE(Table1[[#This Row],[Total No. of Coupons]],Table1[[#This Row],[Coupon Amount]],-Table1[[#This Row],[Ask Price]],Table1[[#This Row],[Face value]])</f>
        <v>#N/A</v>
      </c>
      <c r="AL1369" s="27" t="e">
        <f>Table1[[#This Row],[IRR]]*Table1[[#This Row],[Coupon Frequency2]]</f>
        <v>#N/A</v>
      </c>
      <c r="AM1369" s="5" t="e">
        <f t="shared" si="86"/>
        <v>#N/A</v>
      </c>
      <c r="AN1369" t="s">
        <v>69</v>
      </c>
      <c r="AO1369" t="s">
        <v>62</v>
      </c>
      <c r="AP1369" t="str">
        <f t="shared" si="87"/>
        <v/>
      </c>
    </row>
    <row r="1370" spans="4:42" x14ac:dyDescent="0.35">
      <c r="D1370" s="21"/>
      <c r="E1370" s="21"/>
      <c r="L1370" s="22"/>
      <c r="S1370">
        <f t="shared" si="84"/>
        <v>0</v>
      </c>
      <c r="T1370" s="5" t="e" cm="1">
        <f t="array" ref="T13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0" t="e">
        <f>Table1[[#This Row],[Term to Maturity (Years)]]*Table1[[#This Row],[Coupon Frequency2]]</f>
        <v>#N/A</v>
      </c>
      <c r="V1370">
        <f>Table1[[#This Row],[Face value]]*Table1[[#This Row],[Current coupon %]]</f>
        <v>0</v>
      </c>
      <c r="W1370" s="36" t="e">
        <f>RATE(Table1[[#This Row],[Total No. of Coupons]],Table1[[#This Row],[Coupon Amount]],-Table1[[#This Row],[Ask Price]],Table1[[#This Row],[Face value]])</f>
        <v>#N/A</v>
      </c>
      <c r="X1370" s="27" t="e">
        <f>Table1[[#This Row],[IRR]]*Table1[[#This Row],[Coupon Frequency2]]</f>
        <v>#N/A</v>
      </c>
      <c r="Y1370" s="19" t="e" cm="1">
        <f t="array" ref="Y13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0" s="33" t="e">
        <f>DURATION(Table1[[#This Row],[Issue date]],Table1[[#This Row],[Maturity date]],Table1[[#This Row],[Current coupon %]],Table1[[#This Row],[Yield (Annualised)]],Table1[[#This Row],[Coupon Frequency2]])</f>
        <v>#N/A</v>
      </c>
      <c r="AA1370" s="33" t="e">
        <f>Table1[[#This Row],[Macaulay Duration in Years]]/(1+Table1[[#This Row],[IRR]])</f>
        <v>#N/A</v>
      </c>
      <c r="AB1370" s="58" t="e">
        <f>VLOOKUP(Table1[[#This Row],[Yield Cluster]],'Cluster Details'!$B$3:$C$16,2,0)</f>
        <v>#N/A</v>
      </c>
      <c r="AC137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0" s="58" t="e">
        <f>IF(Table1[[#This Row],[Ask Price]]&gt;Table1[[#This Row],[Calculated Bond Price]],"Rich","Cheap")</f>
        <v>#N/A</v>
      </c>
      <c r="AE137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0" s="78" t="e">
        <f>(Table1[[#This Row],[P (+ shock)]]+Table1[[#This Row],[P (-shock)]]-2*Table1[[#This Row],[Ask Price]])/(2*Table1[[#This Row],[Ask Price]]*($AF$2^2))</f>
        <v>#N/A</v>
      </c>
      <c r="AH1370">
        <v>8.6097814204648397</v>
      </c>
      <c r="AI1370" s="6" t="e">
        <f t="shared" si="85"/>
        <v>#DIV/0!</v>
      </c>
      <c r="AK1370" s="47" t="e">
        <f>RATE(Table1[[#This Row],[Total No. of Coupons]],Table1[[#This Row],[Coupon Amount]],-Table1[[#This Row],[Ask Price]],Table1[[#This Row],[Face value]])</f>
        <v>#N/A</v>
      </c>
      <c r="AL1370" s="27" t="e">
        <f>Table1[[#This Row],[IRR]]*Table1[[#This Row],[Coupon Frequency2]]</f>
        <v>#N/A</v>
      </c>
      <c r="AM1370" s="5" t="e">
        <f t="shared" si="86"/>
        <v>#N/A</v>
      </c>
      <c r="AN1370" t="s">
        <v>64</v>
      </c>
      <c r="AO1370" t="s">
        <v>62</v>
      </c>
      <c r="AP1370" t="str">
        <f t="shared" si="87"/>
        <v/>
      </c>
    </row>
    <row r="1371" spans="4:42" x14ac:dyDescent="0.35">
      <c r="D1371" s="21"/>
      <c r="E1371" s="21"/>
      <c r="L1371" s="22"/>
      <c r="S1371">
        <f t="shared" si="84"/>
        <v>0</v>
      </c>
      <c r="T1371" s="5" t="e" cm="1">
        <f t="array" ref="T13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1" t="e">
        <f>Table1[[#This Row],[Term to Maturity (Years)]]*Table1[[#This Row],[Coupon Frequency2]]</f>
        <v>#N/A</v>
      </c>
      <c r="V1371">
        <f>Table1[[#This Row],[Face value]]*Table1[[#This Row],[Current coupon %]]</f>
        <v>0</v>
      </c>
      <c r="W1371" s="36" t="e">
        <f>RATE(Table1[[#This Row],[Total No. of Coupons]],Table1[[#This Row],[Coupon Amount]],-Table1[[#This Row],[Ask Price]],Table1[[#This Row],[Face value]])</f>
        <v>#N/A</v>
      </c>
      <c r="X1371" s="27" t="e">
        <f>Table1[[#This Row],[IRR]]*Table1[[#This Row],[Coupon Frequency2]]</f>
        <v>#N/A</v>
      </c>
      <c r="Y1371" s="19" t="e" cm="1">
        <f t="array" ref="Y13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1" s="33" t="e">
        <f>DURATION(Table1[[#This Row],[Issue date]],Table1[[#This Row],[Maturity date]],Table1[[#This Row],[Current coupon %]],Table1[[#This Row],[Yield (Annualised)]],Table1[[#This Row],[Coupon Frequency2]])</f>
        <v>#N/A</v>
      </c>
      <c r="AA1371" s="33" t="e">
        <f>Table1[[#This Row],[Macaulay Duration in Years]]/(1+Table1[[#This Row],[IRR]])</f>
        <v>#N/A</v>
      </c>
      <c r="AB1371" s="58" t="e">
        <f>VLOOKUP(Table1[[#This Row],[Yield Cluster]],'Cluster Details'!$B$3:$C$16,2,0)</f>
        <v>#N/A</v>
      </c>
      <c r="AC137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1" s="58" t="e">
        <f>IF(Table1[[#This Row],[Ask Price]]&gt;Table1[[#This Row],[Calculated Bond Price]],"Rich","Cheap")</f>
        <v>#N/A</v>
      </c>
      <c r="AE137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1" s="78" t="e">
        <f>(Table1[[#This Row],[P (+ shock)]]+Table1[[#This Row],[P (-shock)]]-2*Table1[[#This Row],[Ask Price]])/(2*Table1[[#This Row],[Ask Price]]*($AF$2^2))</f>
        <v>#N/A</v>
      </c>
      <c r="AH1371">
        <v>7.2314107554938296</v>
      </c>
      <c r="AI1371" s="6" t="e">
        <f t="shared" si="85"/>
        <v>#DIV/0!</v>
      </c>
      <c r="AK1371" s="47" t="e">
        <f>RATE(Table1[[#This Row],[Total No. of Coupons]],Table1[[#This Row],[Coupon Amount]],-Table1[[#This Row],[Ask Price]],Table1[[#This Row],[Face value]])</f>
        <v>#N/A</v>
      </c>
      <c r="AL1371" s="27" t="e">
        <f>Table1[[#This Row],[IRR]]*Table1[[#This Row],[Coupon Frequency2]]</f>
        <v>#N/A</v>
      </c>
      <c r="AM1371" s="5" t="e">
        <f t="shared" si="86"/>
        <v>#N/A</v>
      </c>
      <c r="AN1371" t="s">
        <v>64</v>
      </c>
      <c r="AO1371" t="s">
        <v>62</v>
      </c>
      <c r="AP1371" t="str">
        <f t="shared" si="87"/>
        <v/>
      </c>
    </row>
    <row r="1372" spans="4:42" x14ac:dyDescent="0.35">
      <c r="D1372" s="21"/>
      <c r="E1372" s="21"/>
      <c r="L1372" s="22"/>
      <c r="S1372">
        <f t="shared" si="84"/>
        <v>0</v>
      </c>
      <c r="T1372" s="5" t="e" cm="1">
        <f t="array" ref="T13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2" t="e">
        <f>Table1[[#This Row],[Term to Maturity (Years)]]*Table1[[#This Row],[Coupon Frequency2]]</f>
        <v>#N/A</v>
      </c>
      <c r="V1372">
        <f>Table1[[#This Row],[Face value]]*Table1[[#This Row],[Current coupon %]]</f>
        <v>0</v>
      </c>
      <c r="W1372" s="36" t="e">
        <f>RATE(Table1[[#This Row],[Total No. of Coupons]],Table1[[#This Row],[Coupon Amount]],-Table1[[#This Row],[Ask Price]],Table1[[#This Row],[Face value]])</f>
        <v>#N/A</v>
      </c>
      <c r="X1372" s="27" t="e">
        <f>Table1[[#This Row],[IRR]]*Table1[[#This Row],[Coupon Frequency2]]</f>
        <v>#N/A</v>
      </c>
      <c r="Y1372" s="19" t="e" cm="1">
        <f t="array" ref="Y13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2" s="33" t="e">
        <f>DURATION(Table1[[#This Row],[Issue date]],Table1[[#This Row],[Maturity date]],Table1[[#This Row],[Current coupon %]],Table1[[#This Row],[Yield (Annualised)]],Table1[[#This Row],[Coupon Frequency2]])</f>
        <v>#N/A</v>
      </c>
      <c r="AA1372" s="33" t="e">
        <f>Table1[[#This Row],[Macaulay Duration in Years]]/(1+Table1[[#This Row],[IRR]])</f>
        <v>#N/A</v>
      </c>
      <c r="AB1372" s="58" t="e">
        <f>VLOOKUP(Table1[[#This Row],[Yield Cluster]],'Cluster Details'!$B$3:$C$16,2,0)</f>
        <v>#N/A</v>
      </c>
      <c r="AC137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2" s="58" t="e">
        <f>IF(Table1[[#This Row],[Ask Price]]&gt;Table1[[#This Row],[Calculated Bond Price]],"Rich","Cheap")</f>
        <v>#N/A</v>
      </c>
      <c r="AE137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2" s="78" t="e">
        <f>(Table1[[#This Row],[P (+ shock)]]+Table1[[#This Row],[P (-shock)]]-2*Table1[[#This Row],[Ask Price]])/(2*Table1[[#This Row],[Ask Price]]*($AF$2^2))</f>
        <v>#N/A</v>
      </c>
      <c r="AH1372">
        <v>7.4512267595235997</v>
      </c>
      <c r="AI1372" s="6" t="e">
        <f t="shared" si="85"/>
        <v>#DIV/0!</v>
      </c>
      <c r="AK1372" s="47" t="e">
        <f>RATE(Table1[[#This Row],[Total No. of Coupons]],Table1[[#This Row],[Coupon Amount]],-Table1[[#This Row],[Ask Price]],Table1[[#This Row],[Face value]])</f>
        <v>#N/A</v>
      </c>
      <c r="AL1372" s="27" t="e">
        <f>Table1[[#This Row],[IRR]]*Table1[[#This Row],[Coupon Frequency2]]</f>
        <v>#N/A</v>
      </c>
      <c r="AM1372" s="5" t="e">
        <f t="shared" si="86"/>
        <v>#N/A</v>
      </c>
      <c r="AN1372" t="s">
        <v>64</v>
      </c>
      <c r="AO1372" t="s">
        <v>62</v>
      </c>
      <c r="AP1372" t="str">
        <f t="shared" si="87"/>
        <v/>
      </c>
    </row>
    <row r="1373" spans="4:42" x14ac:dyDescent="0.35">
      <c r="D1373" s="21"/>
      <c r="E1373" s="21"/>
      <c r="L1373" s="22"/>
      <c r="S1373">
        <f t="shared" si="84"/>
        <v>0</v>
      </c>
      <c r="T1373" s="5" t="e" cm="1">
        <f t="array" ref="T13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3" t="e">
        <f>Table1[[#This Row],[Term to Maturity (Years)]]*Table1[[#This Row],[Coupon Frequency2]]</f>
        <v>#N/A</v>
      </c>
      <c r="V1373">
        <f>Table1[[#This Row],[Face value]]*Table1[[#This Row],[Current coupon %]]</f>
        <v>0</v>
      </c>
      <c r="W1373" s="36" t="e">
        <f>RATE(Table1[[#This Row],[Total No. of Coupons]],Table1[[#This Row],[Coupon Amount]],-Table1[[#This Row],[Ask Price]],Table1[[#This Row],[Face value]])</f>
        <v>#N/A</v>
      </c>
      <c r="X1373" s="27" t="e">
        <f>Table1[[#This Row],[IRR]]*Table1[[#This Row],[Coupon Frequency2]]</f>
        <v>#N/A</v>
      </c>
      <c r="Y1373" s="19" t="e" cm="1">
        <f t="array" ref="Y13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3" s="33" t="e">
        <f>DURATION(Table1[[#This Row],[Issue date]],Table1[[#This Row],[Maturity date]],Table1[[#This Row],[Current coupon %]],Table1[[#This Row],[Yield (Annualised)]],Table1[[#This Row],[Coupon Frequency2]])</f>
        <v>#N/A</v>
      </c>
      <c r="AA1373" s="33" t="e">
        <f>Table1[[#This Row],[Macaulay Duration in Years]]/(1+Table1[[#This Row],[IRR]])</f>
        <v>#N/A</v>
      </c>
      <c r="AB1373" s="58" t="e">
        <f>VLOOKUP(Table1[[#This Row],[Yield Cluster]],'Cluster Details'!$B$3:$C$16,2,0)</f>
        <v>#N/A</v>
      </c>
      <c r="AC13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3" s="58" t="e">
        <f>IF(Table1[[#This Row],[Ask Price]]&gt;Table1[[#This Row],[Calculated Bond Price]],"Rich","Cheap")</f>
        <v>#N/A</v>
      </c>
      <c r="AE13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3" s="78" t="e">
        <f>(Table1[[#This Row],[P (+ shock)]]+Table1[[#This Row],[P (-shock)]]-2*Table1[[#This Row],[Ask Price]])/(2*Table1[[#This Row],[Ask Price]]*($AF$2^2))</f>
        <v>#N/A</v>
      </c>
      <c r="AH1373">
        <v>10.7534250342779</v>
      </c>
      <c r="AI1373" s="6" t="e">
        <f t="shared" si="85"/>
        <v>#DIV/0!</v>
      </c>
      <c r="AK1373" s="47" t="e">
        <f>RATE(Table1[[#This Row],[Total No. of Coupons]],Table1[[#This Row],[Coupon Amount]],-Table1[[#This Row],[Ask Price]],Table1[[#This Row],[Face value]])</f>
        <v>#N/A</v>
      </c>
      <c r="AL1373" s="27" t="e">
        <f>Table1[[#This Row],[IRR]]*Table1[[#This Row],[Coupon Frequency2]]</f>
        <v>#N/A</v>
      </c>
      <c r="AM1373" s="5" t="e">
        <f t="shared" si="86"/>
        <v>#N/A</v>
      </c>
      <c r="AN1373" t="s">
        <v>64</v>
      </c>
      <c r="AO1373" t="s">
        <v>62</v>
      </c>
      <c r="AP1373" t="str">
        <f t="shared" si="87"/>
        <v/>
      </c>
    </row>
    <row r="1374" spans="4:42" x14ac:dyDescent="0.35">
      <c r="D1374" s="21"/>
      <c r="E1374" s="21"/>
      <c r="L1374" s="22"/>
      <c r="S1374">
        <f t="shared" si="84"/>
        <v>0</v>
      </c>
      <c r="T1374" s="5" t="e" cm="1">
        <f t="array" ref="T13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4" t="e">
        <f>Table1[[#This Row],[Term to Maturity (Years)]]*Table1[[#This Row],[Coupon Frequency2]]</f>
        <v>#N/A</v>
      </c>
      <c r="V1374">
        <f>Table1[[#This Row],[Face value]]*Table1[[#This Row],[Current coupon %]]</f>
        <v>0</v>
      </c>
      <c r="W1374" s="36" t="e">
        <f>RATE(Table1[[#This Row],[Total No. of Coupons]],Table1[[#This Row],[Coupon Amount]],-Table1[[#This Row],[Ask Price]],Table1[[#This Row],[Face value]])</f>
        <v>#N/A</v>
      </c>
      <c r="X1374" s="27" t="e">
        <f>Table1[[#This Row],[IRR]]*Table1[[#This Row],[Coupon Frequency2]]</f>
        <v>#N/A</v>
      </c>
      <c r="Y1374" s="19" t="e" cm="1">
        <f t="array" ref="Y13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4" s="33" t="e">
        <f>DURATION(Table1[[#This Row],[Issue date]],Table1[[#This Row],[Maturity date]],Table1[[#This Row],[Current coupon %]],Table1[[#This Row],[Yield (Annualised)]],Table1[[#This Row],[Coupon Frequency2]])</f>
        <v>#N/A</v>
      </c>
      <c r="AA1374" s="33" t="e">
        <f>Table1[[#This Row],[Macaulay Duration in Years]]/(1+Table1[[#This Row],[IRR]])</f>
        <v>#N/A</v>
      </c>
      <c r="AB1374" s="58" t="e">
        <f>VLOOKUP(Table1[[#This Row],[Yield Cluster]],'Cluster Details'!$B$3:$C$16,2,0)</f>
        <v>#N/A</v>
      </c>
      <c r="AC13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4" s="58" t="e">
        <f>IF(Table1[[#This Row],[Ask Price]]&gt;Table1[[#This Row],[Calculated Bond Price]],"Rich","Cheap")</f>
        <v>#N/A</v>
      </c>
      <c r="AE13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4" s="78" t="e">
        <f>(Table1[[#This Row],[P (+ shock)]]+Table1[[#This Row],[P (-shock)]]-2*Table1[[#This Row],[Ask Price]])/(2*Table1[[#This Row],[Ask Price]]*($AF$2^2))</f>
        <v>#N/A</v>
      </c>
      <c r="AH1374">
        <v>10.2006044073881</v>
      </c>
      <c r="AI1374" s="6" t="e">
        <f t="shared" si="85"/>
        <v>#DIV/0!</v>
      </c>
      <c r="AK1374" s="47" t="e">
        <f>RATE(Table1[[#This Row],[Total No. of Coupons]],Table1[[#This Row],[Coupon Amount]],-Table1[[#This Row],[Ask Price]],Table1[[#This Row],[Face value]])</f>
        <v>#N/A</v>
      </c>
      <c r="AL1374" s="27" t="e">
        <f>Table1[[#This Row],[IRR]]*Table1[[#This Row],[Coupon Frequency2]]</f>
        <v>#N/A</v>
      </c>
      <c r="AM1374" s="5" t="e">
        <f t="shared" si="86"/>
        <v>#N/A</v>
      </c>
      <c r="AN1374" t="s">
        <v>64</v>
      </c>
      <c r="AO1374" t="s">
        <v>62</v>
      </c>
      <c r="AP1374" t="str">
        <f t="shared" si="87"/>
        <v/>
      </c>
    </row>
    <row r="1375" spans="4:42" x14ac:dyDescent="0.35">
      <c r="D1375" s="21"/>
      <c r="E1375" s="21"/>
      <c r="L1375" s="22"/>
      <c r="S1375">
        <f t="shared" si="84"/>
        <v>0</v>
      </c>
      <c r="T1375" s="5" t="e" cm="1">
        <f t="array" ref="T13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5" t="e">
        <f>Table1[[#This Row],[Term to Maturity (Years)]]*Table1[[#This Row],[Coupon Frequency2]]</f>
        <v>#N/A</v>
      </c>
      <c r="V1375">
        <f>Table1[[#This Row],[Face value]]*Table1[[#This Row],[Current coupon %]]</f>
        <v>0</v>
      </c>
      <c r="W1375" s="36" t="e">
        <f>RATE(Table1[[#This Row],[Total No. of Coupons]],Table1[[#This Row],[Coupon Amount]],-Table1[[#This Row],[Ask Price]],Table1[[#This Row],[Face value]])</f>
        <v>#N/A</v>
      </c>
      <c r="X1375" s="27" t="e">
        <f>Table1[[#This Row],[IRR]]*Table1[[#This Row],[Coupon Frequency2]]</f>
        <v>#N/A</v>
      </c>
      <c r="Y1375" s="19" t="e" cm="1">
        <f t="array" ref="Y13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5" s="33" t="e">
        <f>DURATION(Table1[[#This Row],[Issue date]],Table1[[#This Row],[Maturity date]],Table1[[#This Row],[Current coupon %]],Table1[[#This Row],[Yield (Annualised)]],Table1[[#This Row],[Coupon Frequency2]])</f>
        <v>#N/A</v>
      </c>
      <c r="AA1375" s="33" t="e">
        <f>Table1[[#This Row],[Macaulay Duration in Years]]/(1+Table1[[#This Row],[IRR]])</f>
        <v>#N/A</v>
      </c>
      <c r="AB1375" s="58" t="e">
        <f>VLOOKUP(Table1[[#This Row],[Yield Cluster]],'Cluster Details'!$B$3:$C$16,2,0)</f>
        <v>#N/A</v>
      </c>
      <c r="AC13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5" s="58" t="e">
        <f>IF(Table1[[#This Row],[Ask Price]]&gt;Table1[[#This Row],[Calculated Bond Price]],"Rich","Cheap")</f>
        <v>#N/A</v>
      </c>
      <c r="AE13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5" s="78" t="e">
        <f>(Table1[[#This Row],[P (+ shock)]]+Table1[[#This Row],[P (-shock)]]-2*Table1[[#This Row],[Ask Price]])/(2*Table1[[#This Row],[Ask Price]]*($AF$2^2))</f>
        <v>#N/A</v>
      </c>
      <c r="AH1375">
        <v>4.4463397755367398</v>
      </c>
      <c r="AI1375" s="6" t="e">
        <f t="shared" si="85"/>
        <v>#DIV/0!</v>
      </c>
      <c r="AK1375" s="47" t="e">
        <f>RATE(Table1[[#This Row],[Total No. of Coupons]],Table1[[#This Row],[Coupon Amount]],-Table1[[#This Row],[Ask Price]],Table1[[#This Row],[Face value]])</f>
        <v>#N/A</v>
      </c>
      <c r="AL1375" s="27" t="e">
        <f>Table1[[#This Row],[IRR]]*Table1[[#This Row],[Coupon Frequency2]]</f>
        <v>#N/A</v>
      </c>
      <c r="AM1375" s="5" t="e">
        <f t="shared" si="86"/>
        <v>#N/A</v>
      </c>
      <c r="AN1375" t="s">
        <v>64</v>
      </c>
      <c r="AO1375" t="s">
        <v>62</v>
      </c>
      <c r="AP1375" t="str">
        <f t="shared" si="87"/>
        <v/>
      </c>
    </row>
    <row r="1376" spans="4:42" x14ac:dyDescent="0.35">
      <c r="D1376" s="21"/>
      <c r="E1376" s="21"/>
      <c r="L1376" s="22"/>
      <c r="S1376">
        <f t="shared" si="84"/>
        <v>0</v>
      </c>
      <c r="T1376" s="5" t="e" cm="1">
        <f t="array" ref="T13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6" t="e">
        <f>Table1[[#This Row],[Term to Maturity (Years)]]*Table1[[#This Row],[Coupon Frequency2]]</f>
        <v>#N/A</v>
      </c>
      <c r="V1376">
        <f>Table1[[#This Row],[Face value]]*Table1[[#This Row],[Current coupon %]]</f>
        <v>0</v>
      </c>
      <c r="W1376" s="36" t="e">
        <f>RATE(Table1[[#This Row],[Total No. of Coupons]],Table1[[#This Row],[Coupon Amount]],-Table1[[#This Row],[Ask Price]],Table1[[#This Row],[Face value]])</f>
        <v>#N/A</v>
      </c>
      <c r="X1376" s="27" t="e">
        <f>Table1[[#This Row],[IRR]]*Table1[[#This Row],[Coupon Frequency2]]</f>
        <v>#N/A</v>
      </c>
      <c r="Y1376" s="19" t="e" cm="1">
        <f t="array" ref="Y13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6" s="33" t="e">
        <f>DURATION(Table1[[#This Row],[Issue date]],Table1[[#This Row],[Maturity date]],Table1[[#This Row],[Current coupon %]],Table1[[#This Row],[Yield (Annualised)]],Table1[[#This Row],[Coupon Frequency2]])</f>
        <v>#N/A</v>
      </c>
      <c r="AA1376" s="33" t="e">
        <f>Table1[[#This Row],[Macaulay Duration in Years]]/(1+Table1[[#This Row],[IRR]])</f>
        <v>#N/A</v>
      </c>
      <c r="AB1376" s="58" t="e">
        <f>VLOOKUP(Table1[[#This Row],[Yield Cluster]],'Cluster Details'!$B$3:$C$16,2,0)</f>
        <v>#N/A</v>
      </c>
      <c r="AC13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6" s="58" t="e">
        <f>IF(Table1[[#This Row],[Ask Price]]&gt;Table1[[#This Row],[Calculated Bond Price]],"Rich","Cheap")</f>
        <v>#N/A</v>
      </c>
      <c r="AE13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6" s="78" t="e">
        <f>(Table1[[#This Row],[P (+ shock)]]+Table1[[#This Row],[P (-shock)]]-2*Table1[[#This Row],[Ask Price]])/(2*Table1[[#This Row],[Ask Price]]*($AF$2^2))</f>
        <v>#N/A</v>
      </c>
      <c r="AI1376" s="6" t="e">
        <f t="shared" si="85"/>
        <v>#DIV/0!</v>
      </c>
      <c r="AK1376" s="47" t="e">
        <f>RATE(Table1[[#This Row],[Total No. of Coupons]],Table1[[#This Row],[Coupon Amount]],-Table1[[#This Row],[Ask Price]],Table1[[#This Row],[Face value]])</f>
        <v>#N/A</v>
      </c>
      <c r="AL1376" s="27" t="e">
        <f>Table1[[#This Row],[IRR]]*Table1[[#This Row],[Coupon Frequency2]]</f>
        <v>#N/A</v>
      </c>
      <c r="AM1376" s="5" t="e">
        <f t="shared" si="86"/>
        <v>#N/A</v>
      </c>
      <c r="AN1376" t="s">
        <v>64</v>
      </c>
      <c r="AO1376" t="s">
        <v>62</v>
      </c>
      <c r="AP1376" t="str">
        <f t="shared" si="87"/>
        <v/>
      </c>
    </row>
    <row r="1377" spans="4:42" x14ac:dyDescent="0.35">
      <c r="D1377" s="21"/>
      <c r="E1377" s="21"/>
      <c r="L1377" s="22"/>
      <c r="S1377">
        <f t="shared" si="84"/>
        <v>0</v>
      </c>
      <c r="T1377" s="5" t="e" cm="1">
        <f t="array" ref="T13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7" t="e">
        <f>Table1[[#This Row],[Term to Maturity (Years)]]*Table1[[#This Row],[Coupon Frequency2]]</f>
        <v>#N/A</v>
      </c>
      <c r="V1377">
        <f>Table1[[#This Row],[Face value]]*Table1[[#This Row],[Current coupon %]]</f>
        <v>0</v>
      </c>
      <c r="W1377" s="36" t="e">
        <f>RATE(Table1[[#This Row],[Total No. of Coupons]],Table1[[#This Row],[Coupon Amount]],-Table1[[#This Row],[Ask Price]],Table1[[#This Row],[Face value]])</f>
        <v>#N/A</v>
      </c>
      <c r="X1377" s="27" t="e">
        <f>Table1[[#This Row],[IRR]]*Table1[[#This Row],[Coupon Frequency2]]</f>
        <v>#N/A</v>
      </c>
      <c r="Y1377" s="19" t="e" cm="1">
        <f t="array" ref="Y13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7" s="33" t="e">
        <f>DURATION(Table1[[#This Row],[Issue date]],Table1[[#This Row],[Maturity date]],Table1[[#This Row],[Current coupon %]],Table1[[#This Row],[Yield (Annualised)]],Table1[[#This Row],[Coupon Frequency2]])</f>
        <v>#N/A</v>
      </c>
      <c r="AA1377" s="33" t="e">
        <f>Table1[[#This Row],[Macaulay Duration in Years]]/(1+Table1[[#This Row],[IRR]])</f>
        <v>#N/A</v>
      </c>
      <c r="AB1377" s="58" t="e">
        <f>VLOOKUP(Table1[[#This Row],[Yield Cluster]],'Cluster Details'!$B$3:$C$16,2,0)</f>
        <v>#N/A</v>
      </c>
      <c r="AC13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7" s="58" t="e">
        <f>IF(Table1[[#This Row],[Ask Price]]&gt;Table1[[#This Row],[Calculated Bond Price]],"Rich","Cheap")</f>
        <v>#N/A</v>
      </c>
      <c r="AE13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7" s="78" t="e">
        <f>(Table1[[#This Row],[P (+ shock)]]+Table1[[#This Row],[P (-shock)]]-2*Table1[[#This Row],[Ask Price]])/(2*Table1[[#This Row],[Ask Price]]*($AF$2^2))</f>
        <v>#N/A</v>
      </c>
      <c r="AH1377">
        <v>8.1199999999999992</v>
      </c>
      <c r="AI1377" s="6" t="e">
        <f t="shared" si="85"/>
        <v>#DIV/0!</v>
      </c>
      <c r="AK1377" s="47" t="e">
        <f>RATE(Table1[[#This Row],[Total No. of Coupons]],Table1[[#This Row],[Coupon Amount]],-Table1[[#This Row],[Ask Price]],Table1[[#This Row],[Face value]])</f>
        <v>#N/A</v>
      </c>
      <c r="AL1377" s="27" t="e">
        <f>Table1[[#This Row],[IRR]]*Table1[[#This Row],[Coupon Frequency2]]</f>
        <v>#N/A</v>
      </c>
      <c r="AM1377" s="5" t="e">
        <f t="shared" si="86"/>
        <v>#N/A</v>
      </c>
      <c r="AN1377" t="s">
        <v>64</v>
      </c>
      <c r="AO1377" t="s">
        <v>62</v>
      </c>
      <c r="AP1377" t="str">
        <f t="shared" si="87"/>
        <v/>
      </c>
    </row>
    <row r="1378" spans="4:42" x14ac:dyDescent="0.35">
      <c r="D1378" s="21"/>
      <c r="E1378" s="21"/>
      <c r="L1378" s="22"/>
      <c r="S1378">
        <f t="shared" si="84"/>
        <v>0</v>
      </c>
      <c r="T1378" s="5" t="e" cm="1">
        <f t="array" ref="T13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8" t="e">
        <f>Table1[[#This Row],[Term to Maturity (Years)]]*Table1[[#This Row],[Coupon Frequency2]]</f>
        <v>#N/A</v>
      </c>
      <c r="V1378">
        <f>Table1[[#This Row],[Face value]]*Table1[[#This Row],[Current coupon %]]</f>
        <v>0</v>
      </c>
      <c r="W1378" s="36" t="e">
        <f>RATE(Table1[[#This Row],[Total No. of Coupons]],Table1[[#This Row],[Coupon Amount]],-Table1[[#This Row],[Ask Price]],Table1[[#This Row],[Face value]])</f>
        <v>#N/A</v>
      </c>
      <c r="X1378" s="27" t="e">
        <f>Table1[[#This Row],[IRR]]*Table1[[#This Row],[Coupon Frequency2]]</f>
        <v>#N/A</v>
      </c>
      <c r="Y1378" s="19" t="e" cm="1">
        <f t="array" ref="Y13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8" s="33" t="e">
        <f>DURATION(Table1[[#This Row],[Issue date]],Table1[[#This Row],[Maturity date]],Table1[[#This Row],[Current coupon %]],Table1[[#This Row],[Yield (Annualised)]],Table1[[#This Row],[Coupon Frequency2]])</f>
        <v>#N/A</v>
      </c>
      <c r="AA1378" s="33" t="e">
        <f>Table1[[#This Row],[Macaulay Duration in Years]]/(1+Table1[[#This Row],[IRR]])</f>
        <v>#N/A</v>
      </c>
      <c r="AB1378" s="58" t="e">
        <f>VLOOKUP(Table1[[#This Row],[Yield Cluster]],'Cluster Details'!$B$3:$C$16,2,0)</f>
        <v>#N/A</v>
      </c>
      <c r="AC13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8" s="58" t="e">
        <f>IF(Table1[[#This Row],[Ask Price]]&gt;Table1[[#This Row],[Calculated Bond Price]],"Rich","Cheap")</f>
        <v>#N/A</v>
      </c>
      <c r="AE13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8" s="78" t="e">
        <f>(Table1[[#This Row],[P (+ shock)]]+Table1[[#This Row],[P (-shock)]]-2*Table1[[#This Row],[Ask Price]])/(2*Table1[[#This Row],[Ask Price]]*($AF$2^2))</f>
        <v>#N/A</v>
      </c>
      <c r="AI1378" s="6" t="e">
        <f t="shared" si="85"/>
        <v>#DIV/0!</v>
      </c>
      <c r="AK1378" s="47" t="e">
        <f>RATE(Table1[[#This Row],[Total No. of Coupons]],Table1[[#This Row],[Coupon Amount]],-Table1[[#This Row],[Ask Price]],Table1[[#This Row],[Face value]])</f>
        <v>#N/A</v>
      </c>
      <c r="AL1378" s="27" t="e">
        <f>Table1[[#This Row],[IRR]]*Table1[[#This Row],[Coupon Frequency2]]</f>
        <v>#N/A</v>
      </c>
      <c r="AM1378" s="5" t="e">
        <f t="shared" si="86"/>
        <v>#N/A</v>
      </c>
      <c r="AN1378" t="s">
        <v>64</v>
      </c>
      <c r="AO1378" t="s">
        <v>62</v>
      </c>
      <c r="AP1378" t="str">
        <f t="shared" si="87"/>
        <v/>
      </c>
    </row>
    <row r="1379" spans="4:42" x14ac:dyDescent="0.35">
      <c r="D1379" s="21"/>
      <c r="E1379" s="21"/>
      <c r="L1379" s="22"/>
      <c r="S1379">
        <f t="shared" si="84"/>
        <v>0</v>
      </c>
      <c r="T1379" s="5" t="e" cm="1">
        <f t="array" ref="T13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79" t="e">
        <f>Table1[[#This Row],[Term to Maturity (Years)]]*Table1[[#This Row],[Coupon Frequency2]]</f>
        <v>#N/A</v>
      </c>
      <c r="V1379">
        <f>Table1[[#This Row],[Face value]]*Table1[[#This Row],[Current coupon %]]</f>
        <v>0</v>
      </c>
      <c r="W1379" s="36" t="e">
        <f>RATE(Table1[[#This Row],[Total No. of Coupons]],Table1[[#This Row],[Coupon Amount]],-Table1[[#This Row],[Ask Price]],Table1[[#This Row],[Face value]])</f>
        <v>#N/A</v>
      </c>
      <c r="X1379" s="27" t="e">
        <f>Table1[[#This Row],[IRR]]*Table1[[#This Row],[Coupon Frequency2]]</f>
        <v>#N/A</v>
      </c>
      <c r="Y1379" s="19" t="e" cm="1">
        <f t="array" ref="Y13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79" s="33" t="e">
        <f>DURATION(Table1[[#This Row],[Issue date]],Table1[[#This Row],[Maturity date]],Table1[[#This Row],[Current coupon %]],Table1[[#This Row],[Yield (Annualised)]],Table1[[#This Row],[Coupon Frequency2]])</f>
        <v>#N/A</v>
      </c>
      <c r="AA1379" s="33" t="e">
        <f>Table1[[#This Row],[Macaulay Duration in Years]]/(1+Table1[[#This Row],[IRR]])</f>
        <v>#N/A</v>
      </c>
      <c r="AB1379" s="58" t="e">
        <f>VLOOKUP(Table1[[#This Row],[Yield Cluster]],'Cluster Details'!$B$3:$C$16,2,0)</f>
        <v>#N/A</v>
      </c>
      <c r="AC13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79" s="58" t="e">
        <f>IF(Table1[[#This Row],[Ask Price]]&gt;Table1[[#This Row],[Calculated Bond Price]],"Rich","Cheap")</f>
        <v>#N/A</v>
      </c>
      <c r="AE13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79" s="78" t="e">
        <f>(Table1[[#This Row],[P (+ shock)]]+Table1[[#This Row],[P (-shock)]]-2*Table1[[#This Row],[Ask Price]])/(2*Table1[[#This Row],[Ask Price]]*($AF$2^2))</f>
        <v>#N/A</v>
      </c>
      <c r="AH1379">
        <v>7.2893983141526197</v>
      </c>
      <c r="AI1379" s="6" t="e">
        <f t="shared" si="85"/>
        <v>#DIV/0!</v>
      </c>
      <c r="AK1379" s="47" t="e">
        <f>RATE(Table1[[#This Row],[Total No. of Coupons]],Table1[[#This Row],[Coupon Amount]],-Table1[[#This Row],[Ask Price]],Table1[[#This Row],[Face value]])</f>
        <v>#N/A</v>
      </c>
      <c r="AL1379" s="27" t="e">
        <f>Table1[[#This Row],[IRR]]*Table1[[#This Row],[Coupon Frequency2]]</f>
        <v>#N/A</v>
      </c>
      <c r="AM1379" s="5" t="e">
        <f t="shared" si="86"/>
        <v>#N/A</v>
      </c>
      <c r="AN1379" t="s">
        <v>64</v>
      </c>
      <c r="AO1379" t="s">
        <v>62</v>
      </c>
      <c r="AP1379" t="str">
        <f t="shared" si="87"/>
        <v/>
      </c>
    </row>
    <row r="1380" spans="4:42" x14ac:dyDescent="0.35">
      <c r="D1380" s="21"/>
      <c r="E1380" s="21"/>
      <c r="L1380" s="22"/>
      <c r="S1380">
        <f t="shared" si="84"/>
        <v>0</v>
      </c>
      <c r="T1380" s="5" t="e" cm="1">
        <f t="array" ref="T13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0" t="e">
        <f>Table1[[#This Row],[Term to Maturity (Years)]]*Table1[[#This Row],[Coupon Frequency2]]</f>
        <v>#N/A</v>
      </c>
      <c r="V1380">
        <f>Table1[[#This Row],[Face value]]*Table1[[#This Row],[Current coupon %]]</f>
        <v>0</v>
      </c>
      <c r="W1380" s="36" t="e">
        <f>RATE(Table1[[#This Row],[Total No. of Coupons]],Table1[[#This Row],[Coupon Amount]],-Table1[[#This Row],[Ask Price]],Table1[[#This Row],[Face value]])</f>
        <v>#N/A</v>
      </c>
      <c r="X1380" s="27" t="e">
        <f>Table1[[#This Row],[IRR]]*Table1[[#This Row],[Coupon Frequency2]]</f>
        <v>#N/A</v>
      </c>
      <c r="Y1380" s="19" t="e" cm="1">
        <f t="array" ref="Y13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0" s="33" t="e">
        <f>DURATION(Table1[[#This Row],[Issue date]],Table1[[#This Row],[Maturity date]],Table1[[#This Row],[Current coupon %]],Table1[[#This Row],[Yield (Annualised)]],Table1[[#This Row],[Coupon Frequency2]])</f>
        <v>#N/A</v>
      </c>
      <c r="AA1380" s="33" t="e">
        <f>Table1[[#This Row],[Macaulay Duration in Years]]/(1+Table1[[#This Row],[IRR]])</f>
        <v>#N/A</v>
      </c>
      <c r="AB1380" s="58" t="e">
        <f>VLOOKUP(Table1[[#This Row],[Yield Cluster]],'Cluster Details'!$B$3:$C$16,2,0)</f>
        <v>#N/A</v>
      </c>
      <c r="AC13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0" s="58" t="e">
        <f>IF(Table1[[#This Row],[Ask Price]]&gt;Table1[[#This Row],[Calculated Bond Price]],"Rich","Cheap")</f>
        <v>#N/A</v>
      </c>
      <c r="AE13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0" s="78" t="e">
        <f>(Table1[[#This Row],[P (+ shock)]]+Table1[[#This Row],[P (-shock)]]-2*Table1[[#This Row],[Ask Price]])/(2*Table1[[#This Row],[Ask Price]]*($AF$2^2))</f>
        <v>#N/A</v>
      </c>
      <c r="AH1380">
        <v>10.45</v>
      </c>
      <c r="AI1380" s="6" t="e">
        <f t="shared" si="85"/>
        <v>#DIV/0!</v>
      </c>
      <c r="AK1380" s="47" t="e">
        <f>RATE(Table1[[#This Row],[Total No. of Coupons]],Table1[[#This Row],[Coupon Amount]],-Table1[[#This Row],[Ask Price]],Table1[[#This Row],[Face value]])</f>
        <v>#N/A</v>
      </c>
      <c r="AL1380" s="27" t="e">
        <f>Table1[[#This Row],[IRR]]*Table1[[#This Row],[Coupon Frequency2]]</f>
        <v>#N/A</v>
      </c>
      <c r="AM1380" s="5" t="e">
        <f t="shared" si="86"/>
        <v>#N/A</v>
      </c>
      <c r="AN1380" t="s">
        <v>64</v>
      </c>
      <c r="AO1380" t="s">
        <v>62</v>
      </c>
      <c r="AP1380" t="str">
        <f t="shared" si="87"/>
        <v/>
      </c>
    </row>
    <row r="1381" spans="4:42" x14ac:dyDescent="0.35">
      <c r="D1381" s="21"/>
      <c r="E1381" s="21"/>
      <c r="L1381" s="22"/>
      <c r="S1381">
        <f t="shared" si="84"/>
        <v>0</v>
      </c>
      <c r="T1381" s="5" t="e" cm="1">
        <f t="array" ref="T13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1" t="e">
        <f>Table1[[#This Row],[Term to Maturity (Years)]]*Table1[[#This Row],[Coupon Frequency2]]</f>
        <v>#N/A</v>
      </c>
      <c r="V1381">
        <f>Table1[[#This Row],[Face value]]*Table1[[#This Row],[Current coupon %]]</f>
        <v>0</v>
      </c>
      <c r="W1381" s="36" t="e">
        <f>RATE(Table1[[#This Row],[Total No. of Coupons]],Table1[[#This Row],[Coupon Amount]],-Table1[[#This Row],[Ask Price]],Table1[[#This Row],[Face value]])</f>
        <v>#N/A</v>
      </c>
      <c r="X1381" s="27" t="e">
        <f>Table1[[#This Row],[IRR]]*Table1[[#This Row],[Coupon Frequency2]]</f>
        <v>#N/A</v>
      </c>
      <c r="Y1381" s="19" t="e" cm="1">
        <f t="array" ref="Y13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1" s="33" t="e">
        <f>DURATION(Table1[[#This Row],[Issue date]],Table1[[#This Row],[Maturity date]],Table1[[#This Row],[Current coupon %]],Table1[[#This Row],[Yield (Annualised)]],Table1[[#This Row],[Coupon Frequency2]])</f>
        <v>#N/A</v>
      </c>
      <c r="AA1381" s="33" t="e">
        <f>Table1[[#This Row],[Macaulay Duration in Years]]/(1+Table1[[#This Row],[IRR]])</f>
        <v>#N/A</v>
      </c>
      <c r="AB1381" s="58" t="e">
        <f>VLOOKUP(Table1[[#This Row],[Yield Cluster]],'Cluster Details'!$B$3:$C$16,2,0)</f>
        <v>#N/A</v>
      </c>
      <c r="AC13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1" s="58" t="e">
        <f>IF(Table1[[#This Row],[Ask Price]]&gt;Table1[[#This Row],[Calculated Bond Price]],"Rich","Cheap")</f>
        <v>#N/A</v>
      </c>
      <c r="AE13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1" s="78" t="e">
        <f>(Table1[[#This Row],[P (+ shock)]]+Table1[[#This Row],[P (-shock)]]-2*Table1[[#This Row],[Ask Price]])/(2*Table1[[#This Row],[Ask Price]]*($AF$2^2))</f>
        <v>#N/A</v>
      </c>
      <c r="AH1381">
        <v>10.214834165632301</v>
      </c>
      <c r="AI1381" s="6" t="e">
        <f t="shared" si="85"/>
        <v>#DIV/0!</v>
      </c>
      <c r="AK1381" s="47" t="e">
        <f>RATE(Table1[[#This Row],[Total No. of Coupons]],Table1[[#This Row],[Coupon Amount]],-Table1[[#This Row],[Ask Price]],Table1[[#This Row],[Face value]])</f>
        <v>#N/A</v>
      </c>
      <c r="AL1381" s="27" t="e">
        <f>Table1[[#This Row],[IRR]]*Table1[[#This Row],[Coupon Frequency2]]</f>
        <v>#N/A</v>
      </c>
      <c r="AM1381" s="5" t="e">
        <f t="shared" si="86"/>
        <v>#N/A</v>
      </c>
      <c r="AN1381" t="s">
        <v>64</v>
      </c>
      <c r="AO1381" t="s">
        <v>62</v>
      </c>
      <c r="AP1381" t="str">
        <f t="shared" si="87"/>
        <v/>
      </c>
    </row>
    <row r="1382" spans="4:42" x14ac:dyDescent="0.35">
      <c r="D1382" s="21"/>
      <c r="E1382" s="21"/>
      <c r="L1382" s="22"/>
      <c r="S1382">
        <f t="shared" si="84"/>
        <v>0</v>
      </c>
      <c r="T1382" s="5" t="e" cm="1">
        <f t="array" ref="T13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2" t="e">
        <f>Table1[[#This Row],[Term to Maturity (Years)]]*Table1[[#This Row],[Coupon Frequency2]]</f>
        <v>#N/A</v>
      </c>
      <c r="V1382">
        <f>Table1[[#This Row],[Face value]]*Table1[[#This Row],[Current coupon %]]</f>
        <v>0</v>
      </c>
      <c r="W1382" s="36" t="e">
        <f>RATE(Table1[[#This Row],[Total No. of Coupons]],Table1[[#This Row],[Coupon Amount]],-Table1[[#This Row],[Ask Price]],Table1[[#This Row],[Face value]])</f>
        <v>#N/A</v>
      </c>
      <c r="X1382" s="27" t="e">
        <f>Table1[[#This Row],[IRR]]*Table1[[#This Row],[Coupon Frequency2]]</f>
        <v>#N/A</v>
      </c>
      <c r="Y1382" s="19" t="e" cm="1">
        <f t="array" ref="Y13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2" s="33" t="e">
        <f>DURATION(Table1[[#This Row],[Issue date]],Table1[[#This Row],[Maturity date]],Table1[[#This Row],[Current coupon %]],Table1[[#This Row],[Yield (Annualised)]],Table1[[#This Row],[Coupon Frequency2]])</f>
        <v>#N/A</v>
      </c>
      <c r="AA1382" s="33" t="e">
        <f>Table1[[#This Row],[Macaulay Duration in Years]]/(1+Table1[[#This Row],[IRR]])</f>
        <v>#N/A</v>
      </c>
      <c r="AB1382" s="58" t="e">
        <f>VLOOKUP(Table1[[#This Row],[Yield Cluster]],'Cluster Details'!$B$3:$C$16,2,0)</f>
        <v>#N/A</v>
      </c>
      <c r="AC13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2" s="58" t="e">
        <f>IF(Table1[[#This Row],[Ask Price]]&gt;Table1[[#This Row],[Calculated Bond Price]],"Rich","Cheap")</f>
        <v>#N/A</v>
      </c>
      <c r="AE13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2" s="78" t="e">
        <f>(Table1[[#This Row],[P (+ shock)]]+Table1[[#This Row],[P (-shock)]]-2*Table1[[#This Row],[Ask Price]])/(2*Table1[[#This Row],[Ask Price]]*($AF$2^2))</f>
        <v>#N/A</v>
      </c>
      <c r="AH1382">
        <v>10.721423651494399</v>
      </c>
      <c r="AI1382" s="6" t="e">
        <f t="shared" si="85"/>
        <v>#DIV/0!</v>
      </c>
      <c r="AK1382" s="47" t="e">
        <f>RATE(Table1[[#This Row],[Total No. of Coupons]],Table1[[#This Row],[Coupon Amount]],-Table1[[#This Row],[Ask Price]],Table1[[#This Row],[Face value]])</f>
        <v>#N/A</v>
      </c>
      <c r="AL1382" s="27" t="e">
        <f>Table1[[#This Row],[IRR]]*Table1[[#This Row],[Coupon Frequency2]]</f>
        <v>#N/A</v>
      </c>
      <c r="AM1382" s="5" t="e">
        <f t="shared" si="86"/>
        <v>#N/A</v>
      </c>
      <c r="AN1382" t="s">
        <v>64</v>
      </c>
      <c r="AO1382" t="s">
        <v>62</v>
      </c>
      <c r="AP1382" t="str">
        <f t="shared" si="87"/>
        <v/>
      </c>
    </row>
    <row r="1383" spans="4:42" x14ac:dyDescent="0.35">
      <c r="D1383" s="21"/>
      <c r="E1383" s="21"/>
      <c r="L1383" s="22"/>
      <c r="S1383">
        <f t="shared" si="84"/>
        <v>0</v>
      </c>
      <c r="T1383" s="5" t="e" cm="1">
        <f t="array" ref="T13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3" t="e">
        <f>Table1[[#This Row],[Term to Maturity (Years)]]*Table1[[#This Row],[Coupon Frequency2]]</f>
        <v>#N/A</v>
      </c>
      <c r="V1383">
        <f>Table1[[#This Row],[Face value]]*Table1[[#This Row],[Current coupon %]]</f>
        <v>0</v>
      </c>
      <c r="W1383" s="36" t="e">
        <f>RATE(Table1[[#This Row],[Total No. of Coupons]],Table1[[#This Row],[Coupon Amount]],-Table1[[#This Row],[Ask Price]],Table1[[#This Row],[Face value]])</f>
        <v>#N/A</v>
      </c>
      <c r="X1383" s="27" t="e">
        <f>Table1[[#This Row],[IRR]]*Table1[[#This Row],[Coupon Frequency2]]</f>
        <v>#N/A</v>
      </c>
      <c r="Y1383" s="19" t="e" cm="1">
        <f t="array" ref="Y13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3" s="33" t="e">
        <f>DURATION(Table1[[#This Row],[Issue date]],Table1[[#This Row],[Maturity date]],Table1[[#This Row],[Current coupon %]],Table1[[#This Row],[Yield (Annualised)]],Table1[[#This Row],[Coupon Frequency2]])</f>
        <v>#N/A</v>
      </c>
      <c r="AA1383" s="33" t="e">
        <f>Table1[[#This Row],[Macaulay Duration in Years]]/(1+Table1[[#This Row],[IRR]])</f>
        <v>#N/A</v>
      </c>
      <c r="AB1383" s="58" t="e">
        <f>VLOOKUP(Table1[[#This Row],[Yield Cluster]],'Cluster Details'!$B$3:$C$16,2,0)</f>
        <v>#N/A</v>
      </c>
      <c r="AC13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3" s="58" t="e">
        <f>IF(Table1[[#This Row],[Ask Price]]&gt;Table1[[#This Row],[Calculated Bond Price]],"Rich","Cheap")</f>
        <v>#N/A</v>
      </c>
      <c r="AE13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3" s="78" t="e">
        <f>(Table1[[#This Row],[P (+ shock)]]+Table1[[#This Row],[P (-shock)]]-2*Table1[[#This Row],[Ask Price]])/(2*Table1[[#This Row],[Ask Price]]*($AF$2^2))</f>
        <v>#N/A</v>
      </c>
      <c r="AH1383">
        <v>4.5430941511225003</v>
      </c>
      <c r="AI1383" s="6" t="e">
        <f t="shared" si="85"/>
        <v>#DIV/0!</v>
      </c>
      <c r="AK1383" s="47" t="e">
        <f>RATE(Table1[[#This Row],[Total No. of Coupons]],Table1[[#This Row],[Coupon Amount]],-Table1[[#This Row],[Ask Price]],Table1[[#This Row],[Face value]])</f>
        <v>#N/A</v>
      </c>
      <c r="AL1383" s="27" t="e">
        <f>Table1[[#This Row],[IRR]]*Table1[[#This Row],[Coupon Frequency2]]</f>
        <v>#N/A</v>
      </c>
      <c r="AM1383" s="5" t="e">
        <f t="shared" si="86"/>
        <v>#N/A</v>
      </c>
      <c r="AN1383" t="s">
        <v>64</v>
      </c>
      <c r="AO1383" t="s">
        <v>62</v>
      </c>
      <c r="AP1383" t="str">
        <f t="shared" si="87"/>
        <v/>
      </c>
    </row>
    <row r="1384" spans="4:42" x14ac:dyDescent="0.35">
      <c r="D1384" s="21"/>
      <c r="E1384" s="21"/>
      <c r="L1384" s="22"/>
      <c r="S1384">
        <f t="shared" si="84"/>
        <v>0</v>
      </c>
      <c r="T1384" s="5" t="e" cm="1">
        <f t="array" ref="T13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4" t="e">
        <f>Table1[[#This Row],[Term to Maturity (Years)]]*Table1[[#This Row],[Coupon Frequency2]]</f>
        <v>#N/A</v>
      </c>
      <c r="V1384">
        <f>Table1[[#This Row],[Face value]]*Table1[[#This Row],[Current coupon %]]</f>
        <v>0</v>
      </c>
      <c r="W1384" s="36" t="e">
        <f>RATE(Table1[[#This Row],[Total No. of Coupons]],Table1[[#This Row],[Coupon Amount]],-Table1[[#This Row],[Ask Price]],Table1[[#This Row],[Face value]])</f>
        <v>#N/A</v>
      </c>
      <c r="X1384" s="27" t="e">
        <f>Table1[[#This Row],[IRR]]*Table1[[#This Row],[Coupon Frequency2]]</f>
        <v>#N/A</v>
      </c>
      <c r="Y1384" s="19" t="e" cm="1">
        <f t="array" ref="Y13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4" s="33" t="e">
        <f>DURATION(Table1[[#This Row],[Issue date]],Table1[[#This Row],[Maturity date]],Table1[[#This Row],[Current coupon %]],Table1[[#This Row],[Yield (Annualised)]],Table1[[#This Row],[Coupon Frequency2]])</f>
        <v>#N/A</v>
      </c>
      <c r="AA1384" s="33" t="e">
        <f>Table1[[#This Row],[Macaulay Duration in Years]]/(1+Table1[[#This Row],[IRR]])</f>
        <v>#N/A</v>
      </c>
      <c r="AB1384" s="58" t="e">
        <f>VLOOKUP(Table1[[#This Row],[Yield Cluster]],'Cluster Details'!$B$3:$C$16,2,0)</f>
        <v>#N/A</v>
      </c>
      <c r="AC13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4" s="58" t="e">
        <f>IF(Table1[[#This Row],[Ask Price]]&gt;Table1[[#This Row],[Calculated Bond Price]],"Rich","Cheap")</f>
        <v>#N/A</v>
      </c>
      <c r="AE13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4" s="78" t="e">
        <f>(Table1[[#This Row],[P (+ shock)]]+Table1[[#This Row],[P (-shock)]]-2*Table1[[#This Row],[Ask Price]])/(2*Table1[[#This Row],[Ask Price]]*($AF$2^2))</f>
        <v>#N/A</v>
      </c>
      <c r="AH1384">
        <v>6.7756888828559703</v>
      </c>
      <c r="AI1384" s="6" t="e">
        <f t="shared" si="85"/>
        <v>#DIV/0!</v>
      </c>
      <c r="AK1384" s="47" t="e">
        <f>RATE(Table1[[#This Row],[Total No. of Coupons]],Table1[[#This Row],[Coupon Amount]],-Table1[[#This Row],[Ask Price]],Table1[[#This Row],[Face value]])</f>
        <v>#N/A</v>
      </c>
      <c r="AL1384" s="27" t="e">
        <f>Table1[[#This Row],[IRR]]*Table1[[#This Row],[Coupon Frequency2]]</f>
        <v>#N/A</v>
      </c>
      <c r="AM1384" s="5" t="e">
        <f t="shared" si="86"/>
        <v>#N/A</v>
      </c>
      <c r="AN1384" t="s">
        <v>64</v>
      </c>
      <c r="AO1384" t="s">
        <v>62</v>
      </c>
      <c r="AP1384" t="str">
        <f t="shared" si="87"/>
        <v/>
      </c>
    </row>
    <row r="1385" spans="4:42" x14ac:dyDescent="0.35">
      <c r="D1385" s="21"/>
      <c r="E1385" s="21"/>
      <c r="L1385" s="22"/>
      <c r="S1385">
        <f t="shared" si="84"/>
        <v>0</v>
      </c>
      <c r="T1385" s="5" t="e" cm="1">
        <f t="array" ref="T13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5" t="e">
        <f>Table1[[#This Row],[Term to Maturity (Years)]]*Table1[[#This Row],[Coupon Frequency2]]</f>
        <v>#N/A</v>
      </c>
      <c r="V1385">
        <f>Table1[[#This Row],[Face value]]*Table1[[#This Row],[Current coupon %]]</f>
        <v>0</v>
      </c>
      <c r="W1385" s="36" t="e">
        <f>RATE(Table1[[#This Row],[Total No. of Coupons]],Table1[[#This Row],[Coupon Amount]],-Table1[[#This Row],[Ask Price]],Table1[[#This Row],[Face value]])</f>
        <v>#N/A</v>
      </c>
      <c r="X1385" s="27" t="e">
        <f>Table1[[#This Row],[IRR]]*Table1[[#This Row],[Coupon Frequency2]]</f>
        <v>#N/A</v>
      </c>
      <c r="Y1385" s="19" t="e" cm="1">
        <f t="array" ref="Y13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5" s="33" t="e">
        <f>DURATION(Table1[[#This Row],[Issue date]],Table1[[#This Row],[Maturity date]],Table1[[#This Row],[Current coupon %]],Table1[[#This Row],[Yield (Annualised)]],Table1[[#This Row],[Coupon Frequency2]])</f>
        <v>#N/A</v>
      </c>
      <c r="AA1385" s="33" t="e">
        <f>Table1[[#This Row],[Macaulay Duration in Years]]/(1+Table1[[#This Row],[IRR]])</f>
        <v>#N/A</v>
      </c>
      <c r="AB1385" s="58" t="e">
        <f>VLOOKUP(Table1[[#This Row],[Yield Cluster]],'Cluster Details'!$B$3:$C$16,2,0)</f>
        <v>#N/A</v>
      </c>
      <c r="AC13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5" s="58" t="e">
        <f>IF(Table1[[#This Row],[Ask Price]]&gt;Table1[[#This Row],[Calculated Bond Price]],"Rich","Cheap")</f>
        <v>#N/A</v>
      </c>
      <c r="AE13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5" s="78" t="e">
        <f>(Table1[[#This Row],[P (+ shock)]]+Table1[[#This Row],[P (-shock)]]-2*Table1[[#This Row],[Ask Price]])/(2*Table1[[#This Row],[Ask Price]]*($AF$2^2))</f>
        <v>#N/A</v>
      </c>
      <c r="AH1385">
        <v>10.407700858683899</v>
      </c>
      <c r="AI1385" s="6" t="e">
        <f t="shared" si="85"/>
        <v>#DIV/0!</v>
      </c>
      <c r="AK1385" s="47" t="e">
        <f>RATE(Table1[[#This Row],[Total No. of Coupons]],Table1[[#This Row],[Coupon Amount]],-Table1[[#This Row],[Ask Price]],Table1[[#This Row],[Face value]])</f>
        <v>#N/A</v>
      </c>
      <c r="AL1385" s="27" t="e">
        <f>Table1[[#This Row],[IRR]]*Table1[[#This Row],[Coupon Frequency2]]</f>
        <v>#N/A</v>
      </c>
      <c r="AM1385" s="5" t="e">
        <f t="shared" si="86"/>
        <v>#N/A</v>
      </c>
      <c r="AN1385" t="s">
        <v>64</v>
      </c>
      <c r="AO1385" t="s">
        <v>62</v>
      </c>
      <c r="AP1385" t="str">
        <f t="shared" si="87"/>
        <v/>
      </c>
    </row>
    <row r="1386" spans="4:42" x14ac:dyDescent="0.35">
      <c r="D1386" s="21"/>
      <c r="E1386" s="21"/>
      <c r="L1386" s="22"/>
      <c r="S1386">
        <f t="shared" si="84"/>
        <v>0</v>
      </c>
      <c r="T1386" s="5" t="e" cm="1">
        <f t="array" ref="T13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6" t="e">
        <f>Table1[[#This Row],[Term to Maturity (Years)]]*Table1[[#This Row],[Coupon Frequency2]]</f>
        <v>#N/A</v>
      </c>
      <c r="V1386">
        <f>Table1[[#This Row],[Face value]]*Table1[[#This Row],[Current coupon %]]</f>
        <v>0</v>
      </c>
      <c r="W1386" s="36" t="e">
        <f>RATE(Table1[[#This Row],[Total No. of Coupons]],Table1[[#This Row],[Coupon Amount]],-Table1[[#This Row],[Ask Price]],Table1[[#This Row],[Face value]])</f>
        <v>#N/A</v>
      </c>
      <c r="X1386" s="27" t="e">
        <f>Table1[[#This Row],[IRR]]*Table1[[#This Row],[Coupon Frequency2]]</f>
        <v>#N/A</v>
      </c>
      <c r="Y1386" s="19" t="e" cm="1">
        <f t="array" ref="Y13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6" s="33" t="e">
        <f>DURATION(Table1[[#This Row],[Issue date]],Table1[[#This Row],[Maturity date]],Table1[[#This Row],[Current coupon %]],Table1[[#This Row],[Yield (Annualised)]],Table1[[#This Row],[Coupon Frequency2]])</f>
        <v>#N/A</v>
      </c>
      <c r="AA1386" s="33" t="e">
        <f>Table1[[#This Row],[Macaulay Duration in Years]]/(1+Table1[[#This Row],[IRR]])</f>
        <v>#N/A</v>
      </c>
      <c r="AB1386" s="58" t="e">
        <f>VLOOKUP(Table1[[#This Row],[Yield Cluster]],'Cluster Details'!$B$3:$C$16,2,0)</f>
        <v>#N/A</v>
      </c>
      <c r="AC13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6" s="58" t="e">
        <f>IF(Table1[[#This Row],[Ask Price]]&gt;Table1[[#This Row],[Calculated Bond Price]],"Rich","Cheap")</f>
        <v>#N/A</v>
      </c>
      <c r="AE13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6" s="78" t="e">
        <f>(Table1[[#This Row],[P (+ shock)]]+Table1[[#This Row],[P (-shock)]]-2*Table1[[#This Row],[Ask Price]])/(2*Table1[[#This Row],[Ask Price]]*($AF$2^2))</f>
        <v>#N/A</v>
      </c>
      <c r="AI1386" s="6" t="e">
        <f t="shared" si="85"/>
        <v>#DIV/0!</v>
      </c>
      <c r="AK1386" s="47" t="e">
        <f>RATE(Table1[[#This Row],[Total No. of Coupons]],Table1[[#This Row],[Coupon Amount]],-Table1[[#This Row],[Ask Price]],Table1[[#This Row],[Face value]])</f>
        <v>#N/A</v>
      </c>
      <c r="AL1386" s="27" t="e">
        <f>Table1[[#This Row],[IRR]]*Table1[[#This Row],[Coupon Frequency2]]</f>
        <v>#N/A</v>
      </c>
      <c r="AM1386" s="5" t="e">
        <f t="shared" si="86"/>
        <v>#N/A</v>
      </c>
      <c r="AN1386" t="s">
        <v>64</v>
      </c>
      <c r="AO1386" t="s">
        <v>62</v>
      </c>
      <c r="AP1386" t="str">
        <f t="shared" si="87"/>
        <v/>
      </c>
    </row>
    <row r="1387" spans="4:42" x14ac:dyDescent="0.35">
      <c r="D1387" s="21"/>
      <c r="E1387" s="21"/>
      <c r="L1387" s="22"/>
      <c r="S1387">
        <f t="shared" si="84"/>
        <v>0</v>
      </c>
      <c r="T1387" s="5" t="e" cm="1">
        <f t="array" ref="T13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7" t="e">
        <f>Table1[[#This Row],[Term to Maturity (Years)]]*Table1[[#This Row],[Coupon Frequency2]]</f>
        <v>#N/A</v>
      </c>
      <c r="V1387">
        <f>Table1[[#This Row],[Face value]]*Table1[[#This Row],[Current coupon %]]</f>
        <v>0</v>
      </c>
      <c r="W1387" s="36" t="e">
        <f>RATE(Table1[[#This Row],[Total No. of Coupons]],Table1[[#This Row],[Coupon Amount]],-Table1[[#This Row],[Ask Price]],Table1[[#This Row],[Face value]])</f>
        <v>#N/A</v>
      </c>
      <c r="X1387" s="27" t="e">
        <f>Table1[[#This Row],[IRR]]*Table1[[#This Row],[Coupon Frequency2]]</f>
        <v>#N/A</v>
      </c>
      <c r="Y1387" s="19" t="e" cm="1">
        <f t="array" ref="Y13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7" s="33" t="e">
        <f>DURATION(Table1[[#This Row],[Issue date]],Table1[[#This Row],[Maturity date]],Table1[[#This Row],[Current coupon %]],Table1[[#This Row],[Yield (Annualised)]],Table1[[#This Row],[Coupon Frequency2]])</f>
        <v>#N/A</v>
      </c>
      <c r="AA1387" s="33" t="e">
        <f>Table1[[#This Row],[Macaulay Duration in Years]]/(1+Table1[[#This Row],[IRR]])</f>
        <v>#N/A</v>
      </c>
      <c r="AB1387" s="58" t="e">
        <f>VLOOKUP(Table1[[#This Row],[Yield Cluster]],'Cluster Details'!$B$3:$C$16,2,0)</f>
        <v>#N/A</v>
      </c>
      <c r="AC13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7" s="58" t="e">
        <f>IF(Table1[[#This Row],[Ask Price]]&gt;Table1[[#This Row],[Calculated Bond Price]],"Rich","Cheap")</f>
        <v>#N/A</v>
      </c>
      <c r="AE13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7" s="78" t="e">
        <f>(Table1[[#This Row],[P (+ shock)]]+Table1[[#This Row],[P (-shock)]]-2*Table1[[#This Row],[Ask Price]])/(2*Table1[[#This Row],[Ask Price]]*($AF$2^2))</f>
        <v>#N/A</v>
      </c>
      <c r="AH1387">
        <v>4.8870321610126197</v>
      </c>
      <c r="AI1387" s="6" t="e">
        <f t="shared" si="85"/>
        <v>#DIV/0!</v>
      </c>
      <c r="AK1387" s="47" t="e">
        <f>RATE(Table1[[#This Row],[Total No. of Coupons]],Table1[[#This Row],[Coupon Amount]],-Table1[[#This Row],[Ask Price]],Table1[[#This Row],[Face value]])</f>
        <v>#N/A</v>
      </c>
      <c r="AL1387" s="27" t="e">
        <f>Table1[[#This Row],[IRR]]*Table1[[#This Row],[Coupon Frequency2]]</f>
        <v>#N/A</v>
      </c>
      <c r="AM1387" s="5" t="e">
        <f t="shared" si="86"/>
        <v>#N/A</v>
      </c>
      <c r="AN1387" t="s">
        <v>64</v>
      </c>
      <c r="AO1387" t="s">
        <v>62</v>
      </c>
      <c r="AP1387" t="str">
        <f t="shared" si="87"/>
        <v/>
      </c>
    </row>
    <row r="1388" spans="4:42" x14ac:dyDescent="0.35">
      <c r="D1388" s="21"/>
      <c r="E1388" s="21"/>
      <c r="L1388" s="22"/>
      <c r="S1388">
        <f t="shared" si="84"/>
        <v>0</v>
      </c>
      <c r="T1388" s="5" t="e" cm="1">
        <f t="array" ref="T13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8" t="e">
        <f>Table1[[#This Row],[Term to Maturity (Years)]]*Table1[[#This Row],[Coupon Frequency2]]</f>
        <v>#N/A</v>
      </c>
      <c r="V1388">
        <f>Table1[[#This Row],[Face value]]*Table1[[#This Row],[Current coupon %]]</f>
        <v>0</v>
      </c>
      <c r="W1388" s="36" t="e">
        <f>RATE(Table1[[#This Row],[Total No. of Coupons]],Table1[[#This Row],[Coupon Amount]],-Table1[[#This Row],[Ask Price]],Table1[[#This Row],[Face value]])</f>
        <v>#N/A</v>
      </c>
      <c r="X1388" s="27" t="e">
        <f>Table1[[#This Row],[IRR]]*Table1[[#This Row],[Coupon Frequency2]]</f>
        <v>#N/A</v>
      </c>
      <c r="Y1388" s="19" t="e" cm="1">
        <f t="array" ref="Y13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8" s="33" t="e">
        <f>DURATION(Table1[[#This Row],[Issue date]],Table1[[#This Row],[Maturity date]],Table1[[#This Row],[Current coupon %]],Table1[[#This Row],[Yield (Annualised)]],Table1[[#This Row],[Coupon Frequency2]])</f>
        <v>#N/A</v>
      </c>
      <c r="AA1388" s="33" t="e">
        <f>Table1[[#This Row],[Macaulay Duration in Years]]/(1+Table1[[#This Row],[IRR]])</f>
        <v>#N/A</v>
      </c>
      <c r="AB1388" s="58" t="e">
        <f>VLOOKUP(Table1[[#This Row],[Yield Cluster]],'Cluster Details'!$B$3:$C$16,2,0)</f>
        <v>#N/A</v>
      </c>
      <c r="AC13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8" s="58" t="e">
        <f>IF(Table1[[#This Row],[Ask Price]]&gt;Table1[[#This Row],[Calculated Bond Price]],"Rich","Cheap")</f>
        <v>#N/A</v>
      </c>
      <c r="AE13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8" s="78" t="e">
        <f>(Table1[[#This Row],[P (+ shock)]]+Table1[[#This Row],[P (-shock)]]-2*Table1[[#This Row],[Ask Price]])/(2*Table1[[#This Row],[Ask Price]]*($AF$2^2))</f>
        <v>#N/A</v>
      </c>
      <c r="AI1388" s="6" t="e">
        <f t="shared" si="85"/>
        <v>#DIV/0!</v>
      </c>
      <c r="AK1388" s="47" t="e">
        <f>RATE(Table1[[#This Row],[Total No. of Coupons]],Table1[[#This Row],[Coupon Amount]],-Table1[[#This Row],[Ask Price]],Table1[[#This Row],[Face value]])</f>
        <v>#N/A</v>
      </c>
      <c r="AL1388" s="27" t="e">
        <f>Table1[[#This Row],[IRR]]*Table1[[#This Row],[Coupon Frequency2]]</f>
        <v>#N/A</v>
      </c>
      <c r="AM1388" s="5" t="e">
        <f t="shared" si="86"/>
        <v>#N/A</v>
      </c>
      <c r="AN1388" t="s">
        <v>64</v>
      </c>
      <c r="AO1388" t="s">
        <v>62</v>
      </c>
      <c r="AP1388" t="str">
        <f t="shared" si="87"/>
        <v/>
      </c>
    </row>
    <row r="1389" spans="4:42" x14ac:dyDescent="0.35">
      <c r="D1389" s="21"/>
      <c r="E1389" s="21"/>
      <c r="L1389" s="22"/>
      <c r="S1389">
        <f t="shared" si="84"/>
        <v>0</v>
      </c>
      <c r="T1389" s="5" t="e" cm="1">
        <f t="array" ref="T13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89" t="e">
        <f>Table1[[#This Row],[Term to Maturity (Years)]]*Table1[[#This Row],[Coupon Frequency2]]</f>
        <v>#N/A</v>
      </c>
      <c r="V1389">
        <f>Table1[[#This Row],[Face value]]*Table1[[#This Row],[Current coupon %]]</f>
        <v>0</v>
      </c>
      <c r="W1389" s="36" t="e">
        <f>RATE(Table1[[#This Row],[Total No. of Coupons]],Table1[[#This Row],[Coupon Amount]],-Table1[[#This Row],[Ask Price]],Table1[[#This Row],[Face value]])</f>
        <v>#N/A</v>
      </c>
      <c r="X1389" s="27" t="e">
        <f>Table1[[#This Row],[IRR]]*Table1[[#This Row],[Coupon Frequency2]]</f>
        <v>#N/A</v>
      </c>
      <c r="Y1389" s="19" t="e" cm="1">
        <f t="array" ref="Y13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89" s="33" t="e">
        <f>DURATION(Table1[[#This Row],[Issue date]],Table1[[#This Row],[Maturity date]],Table1[[#This Row],[Current coupon %]],Table1[[#This Row],[Yield (Annualised)]],Table1[[#This Row],[Coupon Frequency2]])</f>
        <v>#N/A</v>
      </c>
      <c r="AA1389" s="33" t="e">
        <f>Table1[[#This Row],[Macaulay Duration in Years]]/(1+Table1[[#This Row],[IRR]])</f>
        <v>#N/A</v>
      </c>
      <c r="AB1389" s="58" t="e">
        <f>VLOOKUP(Table1[[#This Row],[Yield Cluster]],'Cluster Details'!$B$3:$C$16,2,0)</f>
        <v>#N/A</v>
      </c>
      <c r="AC13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89" s="58" t="e">
        <f>IF(Table1[[#This Row],[Ask Price]]&gt;Table1[[#This Row],[Calculated Bond Price]],"Rich","Cheap")</f>
        <v>#N/A</v>
      </c>
      <c r="AE13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89" s="78" t="e">
        <f>(Table1[[#This Row],[P (+ shock)]]+Table1[[#This Row],[P (-shock)]]-2*Table1[[#This Row],[Ask Price]])/(2*Table1[[#This Row],[Ask Price]]*($AF$2^2))</f>
        <v>#N/A</v>
      </c>
      <c r="AH1389">
        <v>10.903577570244201</v>
      </c>
      <c r="AI1389" s="6" t="e">
        <f t="shared" si="85"/>
        <v>#DIV/0!</v>
      </c>
      <c r="AK1389" s="47" t="e">
        <f>RATE(Table1[[#This Row],[Total No. of Coupons]],Table1[[#This Row],[Coupon Amount]],-Table1[[#This Row],[Ask Price]],Table1[[#This Row],[Face value]])</f>
        <v>#N/A</v>
      </c>
      <c r="AL1389" s="27" t="e">
        <f>Table1[[#This Row],[IRR]]*Table1[[#This Row],[Coupon Frequency2]]</f>
        <v>#N/A</v>
      </c>
      <c r="AM1389" s="5" t="e">
        <f t="shared" si="86"/>
        <v>#N/A</v>
      </c>
      <c r="AN1389" t="s">
        <v>64</v>
      </c>
      <c r="AO1389" t="s">
        <v>62</v>
      </c>
      <c r="AP1389" t="str">
        <f t="shared" si="87"/>
        <v/>
      </c>
    </row>
    <row r="1390" spans="4:42" x14ac:dyDescent="0.35">
      <c r="D1390" s="21"/>
      <c r="E1390" s="21"/>
      <c r="L1390" s="22"/>
      <c r="S1390">
        <f t="shared" si="84"/>
        <v>0</v>
      </c>
      <c r="T1390" s="5" t="e" cm="1">
        <f t="array" ref="T13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0" t="e">
        <f>Table1[[#This Row],[Term to Maturity (Years)]]*Table1[[#This Row],[Coupon Frequency2]]</f>
        <v>#N/A</v>
      </c>
      <c r="V1390">
        <f>Table1[[#This Row],[Face value]]*Table1[[#This Row],[Current coupon %]]</f>
        <v>0</v>
      </c>
      <c r="W1390" s="36" t="e">
        <f>RATE(Table1[[#This Row],[Total No. of Coupons]],Table1[[#This Row],[Coupon Amount]],-Table1[[#This Row],[Ask Price]],Table1[[#This Row],[Face value]])</f>
        <v>#N/A</v>
      </c>
      <c r="X1390" s="27" t="e">
        <f>Table1[[#This Row],[IRR]]*Table1[[#This Row],[Coupon Frequency2]]</f>
        <v>#N/A</v>
      </c>
      <c r="Y1390" s="19" t="e" cm="1">
        <f t="array" ref="Y13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0" s="33" t="e">
        <f>DURATION(Table1[[#This Row],[Issue date]],Table1[[#This Row],[Maturity date]],Table1[[#This Row],[Current coupon %]],Table1[[#This Row],[Yield (Annualised)]],Table1[[#This Row],[Coupon Frequency2]])</f>
        <v>#N/A</v>
      </c>
      <c r="AA1390" s="33" t="e">
        <f>Table1[[#This Row],[Macaulay Duration in Years]]/(1+Table1[[#This Row],[IRR]])</f>
        <v>#N/A</v>
      </c>
      <c r="AB1390" s="58" t="e">
        <f>VLOOKUP(Table1[[#This Row],[Yield Cluster]],'Cluster Details'!$B$3:$C$16,2,0)</f>
        <v>#N/A</v>
      </c>
      <c r="AC13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0" s="58" t="e">
        <f>IF(Table1[[#This Row],[Ask Price]]&gt;Table1[[#This Row],[Calculated Bond Price]],"Rich","Cheap")</f>
        <v>#N/A</v>
      </c>
      <c r="AE13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0" s="78" t="e">
        <f>(Table1[[#This Row],[P (+ shock)]]+Table1[[#This Row],[P (-shock)]]-2*Table1[[#This Row],[Ask Price]])/(2*Table1[[#This Row],[Ask Price]]*($AF$2^2))</f>
        <v>#N/A</v>
      </c>
      <c r="AH1390">
        <v>10.9795664817141</v>
      </c>
      <c r="AI1390" s="6" t="e">
        <f t="shared" si="85"/>
        <v>#DIV/0!</v>
      </c>
      <c r="AK1390" s="47" t="e">
        <f>RATE(Table1[[#This Row],[Total No. of Coupons]],Table1[[#This Row],[Coupon Amount]],-Table1[[#This Row],[Ask Price]],Table1[[#This Row],[Face value]])</f>
        <v>#N/A</v>
      </c>
      <c r="AL1390" s="27" t="e">
        <f>Table1[[#This Row],[IRR]]*Table1[[#This Row],[Coupon Frequency2]]</f>
        <v>#N/A</v>
      </c>
      <c r="AM1390" s="5" t="e">
        <f t="shared" si="86"/>
        <v>#N/A</v>
      </c>
      <c r="AN1390" t="s">
        <v>64</v>
      </c>
      <c r="AO1390" t="s">
        <v>62</v>
      </c>
      <c r="AP1390" t="str">
        <f t="shared" si="87"/>
        <v/>
      </c>
    </row>
    <row r="1391" spans="4:42" x14ac:dyDescent="0.35">
      <c r="D1391" s="21"/>
      <c r="E1391" s="21"/>
      <c r="L1391" s="22"/>
      <c r="S1391">
        <f t="shared" si="84"/>
        <v>0</v>
      </c>
      <c r="T1391" s="5" t="e" cm="1">
        <f t="array" ref="T13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1" t="e">
        <f>Table1[[#This Row],[Term to Maturity (Years)]]*Table1[[#This Row],[Coupon Frequency2]]</f>
        <v>#N/A</v>
      </c>
      <c r="V1391">
        <f>Table1[[#This Row],[Face value]]*Table1[[#This Row],[Current coupon %]]</f>
        <v>0</v>
      </c>
      <c r="W1391" s="36" t="e">
        <f>RATE(Table1[[#This Row],[Total No. of Coupons]],Table1[[#This Row],[Coupon Amount]],-Table1[[#This Row],[Ask Price]],Table1[[#This Row],[Face value]])</f>
        <v>#N/A</v>
      </c>
      <c r="X1391" s="27" t="e">
        <f>Table1[[#This Row],[IRR]]*Table1[[#This Row],[Coupon Frequency2]]</f>
        <v>#N/A</v>
      </c>
      <c r="Y1391" s="19" t="e" cm="1">
        <f t="array" ref="Y13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1" s="33" t="e">
        <f>DURATION(Table1[[#This Row],[Issue date]],Table1[[#This Row],[Maturity date]],Table1[[#This Row],[Current coupon %]],Table1[[#This Row],[Yield (Annualised)]],Table1[[#This Row],[Coupon Frequency2]])</f>
        <v>#N/A</v>
      </c>
      <c r="AA1391" s="33" t="e">
        <f>Table1[[#This Row],[Macaulay Duration in Years]]/(1+Table1[[#This Row],[IRR]])</f>
        <v>#N/A</v>
      </c>
      <c r="AB1391" s="58" t="e">
        <f>VLOOKUP(Table1[[#This Row],[Yield Cluster]],'Cluster Details'!$B$3:$C$16,2,0)</f>
        <v>#N/A</v>
      </c>
      <c r="AC13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1" s="58" t="e">
        <f>IF(Table1[[#This Row],[Ask Price]]&gt;Table1[[#This Row],[Calculated Bond Price]],"Rich","Cheap")</f>
        <v>#N/A</v>
      </c>
      <c r="AE13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1" s="78" t="e">
        <f>(Table1[[#This Row],[P (+ shock)]]+Table1[[#This Row],[P (-shock)]]-2*Table1[[#This Row],[Ask Price]])/(2*Table1[[#This Row],[Ask Price]]*($AF$2^2))</f>
        <v>#N/A</v>
      </c>
      <c r="AH1391">
        <v>7.8</v>
      </c>
      <c r="AI1391" s="6" t="e">
        <f t="shared" si="85"/>
        <v>#DIV/0!</v>
      </c>
      <c r="AK1391" s="47" t="e">
        <f>RATE(Table1[[#This Row],[Total No. of Coupons]],Table1[[#This Row],[Coupon Amount]],-Table1[[#This Row],[Ask Price]],Table1[[#This Row],[Face value]])</f>
        <v>#N/A</v>
      </c>
      <c r="AL1391" s="27" t="e">
        <f>Table1[[#This Row],[IRR]]*Table1[[#This Row],[Coupon Frequency2]]</f>
        <v>#N/A</v>
      </c>
      <c r="AM1391" s="5" t="e">
        <f t="shared" si="86"/>
        <v>#N/A</v>
      </c>
      <c r="AN1391" t="s">
        <v>64</v>
      </c>
      <c r="AO1391" t="s">
        <v>62</v>
      </c>
      <c r="AP1391" t="str">
        <f t="shared" si="87"/>
        <v/>
      </c>
    </row>
    <row r="1392" spans="4:42" x14ac:dyDescent="0.35">
      <c r="D1392" s="21"/>
      <c r="E1392" s="21"/>
      <c r="L1392" s="22"/>
      <c r="S1392">
        <f t="shared" si="84"/>
        <v>0</v>
      </c>
      <c r="T1392" s="5" t="e" cm="1">
        <f t="array" ref="T13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2" t="e">
        <f>Table1[[#This Row],[Term to Maturity (Years)]]*Table1[[#This Row],[Coupon Frequency2]]</f>
        <v>#N/A</v>
      </c>
      <c r="V1392">
        <f>Table1[[#This Row],[Face value]]*Table1[[#This Row],[Current coupon %]]</f>
        <v>0</v>
      </c>
      <c r="W1392" s="36" t="e">
        <f>RATE(Table1[[#This Row],[Total No. of Coupons]],Table1[[#This Row],[Coupon Amount]],-Table1[[#This Row],[Ask Price]],Table1[[#This Row],[Face value]])</f>
        <v>#N/A</v>
      </c>
      <c r="X1392" s="27" t="e">
        <f>Table1[[#This Row],[IRR]]*Table1[[#This Row],[Coupon Frequency2]]</f>
        <v>#N/A</v>
      </c>
      <c r="Y1392" s="19" t="e" cm="1">
        <f t="array" ref="Y13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2" s="33" t="e">
        <f>DURATION(Table1[[#This Row],[Issue date]],Table1[[#This Row],[Maturity date]],Table1[[#This Row],[Current coupon %]],Table1[[#This Row],[Yield (Annualised)]],Table1[[#This Row],[Coupon Frequency2]])</f>
        <v>#N/A</v>
      </c>
      <c r="AA1392" s="33" t="e">
        <f>Table1[[#This Row],[Macaulay Duration in Years]]/(1+Table1[[#This Row],[IRR]])</f>
        <v>#N/A</v>
      </c>
      <c r="AB1392" s="58" t="e">
        <f>VLOOKUP(Table1[[#This Row],[Yield Cluster]],'Cluster Details'!$B$3:$C$16,2,0)</f>
        <v>#N/A</v>
      </c>
      <c r="AC13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2" s="58" t="e">
        <f>IF(Table1[[#This Row],[Ask Price]]&gt;Table1[[#This Row],[Calculated Bond Price]],"Rich","Cheap")</f>
        <v>#N/A</v>
      </c>
      <c r="AE13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2" s="78" t="e">
        <f>(Table1[[#This Row],[P (+ shock)]]+Table1[[#This Row],[P (-shock)]]-2*Table1[[#This Row],[Ask Price]])/(2*Table1[[#This Row],[Ask Price]]*($AF$2^2))</f>
        <v>#N/A</v>
      </c>
      <c r="AH1392">
        <v>7.6046916745099198</v>
      </c>
      <c r="AI1392" s="6" t="e">
        <f t="shared" si="85"/>
        <v>#DIV/0!</v>
      </c>
      <c r="AK1392" s="47" t="e">
        <f>RATE(Table1[[#This Row],[Total No. of Coupons]],Table1[[#This Row],[Coupon Amount]],-Table1[[#This Row],[Ask Price]],Table1[[#This Row],[Face value]])</f>
        <v>#N/A</v>
      </c>
      <c r="AL1392" s="27" t="e">
        <f>Table1[[#This Row],[IRR]]*Table1[[#This Row],[Coupon Frequency2]]</f>
        <v>#N/A</v>
      </c>
      <c r="AM1392" s="5" t="e">
        <f t="shared" si="86"/>
        <v>#N/A</v>
      </c>
      <c r="AN1392" t="s">
        <v>64</v>
      </c>
      <c r="AO1392" t="s">
        <v>62</v>
      </c>
      <c r="AP1392" t="str">
        <f t="shared" si="87"/>
        <v/>
      </c>
    </row>
    <row r="1393" spans="4:42" x14ac:dyDescent="0.35">
      <c r="D1393" s="21"/>
      <c r="E1393" s="21"/>
      <c r="L1393" s="22"/>
      <c r="S1393">
        <f t="shared" si="84"/>
        <v>0</v>
      </c>
      <c r="T1393" s="5" t="e" cm="1">
        <f t="array" ref="T13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3" t="e">
        <f>Table1[[#This Row],[Term to Maturity (Years)]]*Table1[[#This Row],[Coupon Frequency2]]</f>
        <v>#N/A</v>
      </c>
      <c r="V1393">
        <f>Table1[[#This Row],[Face value]]*Table1[[#This Row],[Current coupon %]]</f>
        <v>0</v>
      </c>
      <c r="W1393" s="36" t="e">
        <f>RATE(Table1[[#This Row],[Total No. of Coupons]],Table1[[#This Row],[Coupon Amount]],-Table1[[#This Row],[Ask Price]],Table1[[#This Row],[Face value]])</f>
        <v>#N/A</v>
      </c>
      <c r="X1393" s="27" t="e">
        <f>Table1[[#This Row],[IRR]]*Table1[[#This Row],[Coupon Frequency2]]</f>
        <v>#N/A</v>
      </c>
      <c r="Y1393" s="19" t="e" cm="1">
        <f t="array" ref="Y13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3" s="33" t="e">
        <f>DURATION(Table1[[#This Row],[Issue date]],Table1[[#This Row],[Maturity date]],Table1[[#This Row],[Current coupon %]],Table1[[#This Row],[Yield (Annualised)]],Table1[[#This Row],[Coupon Frequency2]])</f>
        <v>#N/A</v>
      </c>
      <c r="AA1393" s="33" t="e">
        <f>Table1[[#This Row],[Macaulay Duration in Years]]/(1+Table1[[#This Row],[IRR]])</f>
        <v>#N/A</v>
      </c>
      <c r="AB1393" s="58" t="e">
        <f>VLOOKUP(Table1[[#This Row],[Yield Cluster]],'Cluster Details'!$B$3:$C$16,2,0)</f>
        <v>#N/A</v>
      </c>
      <c r="AC13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3" s="58" t="e">
        <f>IF(Table1[[#This Row],[Ask Price]]&gt;Table1[[#This Row],[Calculated Bond Price]],"Rich","Cheap")</f>
        <v>#N/A</v>
      </c>
      <c r="AE13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3" s="78" t="e">
        <f>(Table1[[#This Row],[P (+ shock)]]+Table1[[#This Row],[P (-shock)]]-2*Table1[[#This Row],[Ask Price]])/(2*Table1[[#This Row],[Ask Price]]*($AF$2^2))</f>
        <v>#N/A</v>
      </c>
      <c r="AH1393">
        <v>11.084452146623001</v>
      </c>
      <c r="AI1393" s="6" t="e">
        <f t="shared" si="85"/>
        <v>#DIV/0!</v>
      </c>
      <c r="AK1393" s="47" t="e">
        <f>RATE(Table1[[#This Row],[Total No. of Coupons]],Table1[[#This Row],[Coupon Amount]],-Table1[[#This Row],[Ask Price]],Table1[[#This Row],[Face value]])</f>
        <v>#N/A</v>
      </c>
      <c r="AL1393" s="27" t="e">
        <f>Table1[[#This Row],[IRR]]*Table1[[#This Row],[Coupon Frequency2]]</f>
        <v>#N/A</v>
      </c>
      <c r="AM1393" s="5" t="e">
        <f t="shared" si="86"/>
        <v>#N/A</v>
      </c>
      <c r="AN1393" t="s">
        <v>64</v>
      </c>
      <c r="AO1393" t="s">
        <v>62</v>
      </c>
      <c r="AP1393" t="str">
        <f t="shared" si="87"/>
        <v/>
      </c>
    </row>
    <row r="1394" spans="4:42" x14ac:dyDescent="0.35">
      <c r="D1394" s="21"/>
      <c r="E1394" s="21"/>
      <c r="L1394" s="22"/>
      <c r="S1394">
        <f t="shared" si="84"/>
        <v>0</v>
      </c>
      <c r="T1394" s="5" t="e" cm="1">
        <f t="array" ref="T13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4" t="e">
        <f>Table1[[#This Row],[Term to Maturity (Years)]]*Table1[[#This Row],[Coupon Frequency2]]</f>
        <v>#N/A</v>
      </c>
      <c r="V1394">
        <f>Table1[[#This Row],[Face value]]*Table1[[#This Row],[Current coupon %]]</f>
        <v>0</v>
      </c>
      <c r="W1394" s="36" t="e">
        <f>RATE(Table1[[#This Row],[Total No. of Coupons]],Table1[[#This Row],[Coupon Amount]],-Table1[[#This Row],[Ask Price]],Table1[[#This Row],[Face value]])</f>
        <v>#N/A</v>
      </c>
      <c r="X1394" s="27" t="e">
        <f>Table1[[#This Row],[IRR]]*Table1[[#This Row],[Coupon Frequency2]]</f>
        <v>#N/A</v>
      </c>
      <c r="Y1394" s="19" t="e" cm="1">
        <f t="array" ref="Y13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4" s="33" t="e">
        <f>DURATION(Table1[[#This Row],[Issue date]],Table1[[#This Row],[Maturity date]],Table1[[#This Row],[Current coupon %]],Table1[[#This Row],[Yield (Annualised)]],Table1[[#This Row],[Coupon Frequency2]])</f>
        <v>#N/A</v>
      </c>
      <c r="AA1394" s="33" t="e">
        <f>Table1[[#This Row],[Macaulay Duration in Years]]/(1+Table1[[#This Row],[IRR]])</f>
        <v>#N/A</v>
      </c>
      <c r="AB1394" s="58" t="e">
        <f>VLOOKUP(Table1[[#This Row],[Yield Cluster]],'Cluster Details'!$B$3:$C$16,2,0)</f>
        <v>#N/A</v>
      </c>
      <c r="AC13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4" s="58" t="e">
        <f>IF(Table1[[#This Row],[Ask Price]]&gt;Table1[[#This Row],[Calculated Bond Price]],"Rich","Cheap")</f>
        <v>#N/A</v>
      </c>
      <c r="AE13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4" s="78" t="e">
        <f>(Table1[[#This Row],[P (+ shock)]]+Table1[[#This Row],[P (-shock)]]-2*Table1[[#This Row],[Ask Price]])/(2*Table1[[#This Row],[Ask Price]]*($AF$2^2))</f>
        <v>#N/A</v>
      </c>
      <c r="AH1394">
        <v>10.681172887305699</v>
      </c>
      <c r="AI1394" s="6" t="e">
        <f t="shared" si="85"/>
        <v>#DIV/0!</v>
      </c>
      <c r="AK1394" s="47" t="e">
        <f>RATE(Table1[[#This Row],[Total No. of Coupons]],Table1[[#This Row],[Coupon Amount]],-Table1[[#This Row],[Ask Price]],Table1[[#This Row],[Face value]])</f>
        <v>#N/A</v>
      </c>
      <c r="AL1394" s="27" t="e">
        <f>Table1[[#This Row],[IRR]]*Table1[[#This Row],[Coupon Frequency2]]</f>
        <v>#N/A</v>
      </c>
      <c r="AM1394" s="5" t="e">
        <f t="shared" si="86"/>
        <v>#N/A</v>
      </c>
      <c r="AN1394" t="s">
        <v>64</v>
      </c>
      <c r="AO1394" t="s">
        <v>62</v>
      </c>
      <c r="AP1394" t="str">
        <f t="shared" si="87"/>
        <v/>
      </c>
    </row>
    <row r="1395" spans="4:42" x14ac:dyDescent="0.35">
      <c r="D1395" s="21"/>
      <c r="E1395" s="21"/>
      <c r="L1395" s="22"/>
      <c r="S1395">
        <f t="shared" si="84"/>
        <v>0</v>
      </c>
      <c r="T1395" s="5" t="e" cm="1">
        <f t="array" ref="T13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5" t="e">
        <f>Table1[[#This Row],[Term to Maturity (Years)]]*Table1[[#This Row],[Coupon Frequency2]]</f>
        <v>#N/A</v>
      </c>
      <c r="V1395">
        <f>Table1[[#This Row],[Face value]]*Table1[[#This Row],[Current coupon %]]</f>
        <v>0</v>
      </c>
      <c r="W1395" s="36" t="e">
        <f>RATE(Table1[[#This Row],[Total No. of Coupons]],Table1[[#This Row],[Coupon Amount]],-Table1[[#This Row],[Ask Price]],Table1[[#This Row],[Face value]])</f>
        <v>#N/A</v>
      </c>
      <c r="X1395" s="27" t="e">
        <f>Table1[[#This Row],[IRR]]*Table1[[#This Row],[Coupon Frequency2]]</f>
        <v>#N/A</v>
      </c>
      <c r="Y1395" s="19" t="e" cm="1">
        <f t="array" ref="Y13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5" s="33" t="e">
        <f>DURATION(Table1[[#This Row],[Issue date]],Table1[[#This Row],[Maturity date]],Table1[[#This Row],[Current coupon %]],Table1[[#This Row],[Yield (Annualised)]],Table1[[#This Row],[Coupon Frequency2]])</f>
        <v>#N/A</v>
      </c>
      <c r="AA1395" s="33" t="e">
        <f>Table1[[#This Row],[Macaulay Duration in Years]]/(1+Table1[[#This Row],[IRR]])</f>
        <v>#N/A</v>
      </c>
      <c r="AB1395" s="58" t="e">
        <f>VLOOKUP(Table1[[#This Row],[Yield Cluster]],'Cluster Details'!$B$3:$C$16,2,0)</f>
        <v>#N/A</v>
      </c>
      <c r="AC13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5" s="58" t="e">
        <f>IF(Table1[[#This Row],[Ask Price]]&gt;Table1[[#This Row],[Calculated Bond Price]],"Rich","Cheap")</f>
        <v>#N/A</v>
      </c>
      <c r="AE13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5" s="78" t="e">
        <f>(Table1[[#This Row],[P (+ shock)]]+Table1[[#This Row],[P (-shock)]]-2*Table1[[#This Row],[Ask Price]])/(2*Table1[[#This Row],[Ask Price]]*($AF$2^2))</f>
        <v>#N/A</v>
      </c>
      <c r="AH1395">
        <v>5.90100492148495</v>
      </c>
      <c r="AI1395" s="6" t="e">
        <f t="shared" si="85"/>
        <v>#DIV/0!</v>
      </c>
      <c r="AK1395" s="47" t="e">
        <f>RATE(Table1[[#This Row],[Total No. of Coupons]],Table1[[#This Row],[Coupon Amount]],-Table1[[#This Row],[Ask Price]],Table1[[#This Row],[Face value]])</f>
        <v>#N/A</v>
      </c>
      <c r="AL1395" s="27" t="e">
        <f>Table1[[#This Row],[IRR]]*Table1[[#This Row],[Coupon Frequency2]]</f>
        <v>#N/A</v>
      </c>
      <c r="AM1395" s="5" t="e">
        <f t="shared" si="86"/>
        <v>#N/A</v>
      </c>
      <c r="AN1395" t="s">
        <v>64</v>
      </c>
      <c r="AO1395" t="s">
        <v>62</v>
      </c>
      <c r="AP1395" t="str">
        <f t="shared" si="87"/>
        <v/>
      </c>
    </row>
    <row r="1396" spans="4:42" x14ac:dyDescent="0.35">
      <c r="D1396" s="21"/>
      <c r="E1396" s="21"/>
      <c r="L1396" s="22"/>
      <c r="S1396">
        <f t="shared" si="84"/>
        <v>0</v>
      </c>
      <c r="T1396" s="5" t="e" cm="1">
        <f t="array" ref="T13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6" t="e">
        <f>Table1[[#This Row],[Term to Maturity (Years)]]*Table1[[#This Row],[Coupon Frequency2]]</f>
        <v>#N/A</v>
      </c>
      <c r="V1396">
        <f>Table1[[#This Row],[Face value]]*Table1[[#This Row],[Current coupon %]]</f>
        <v>0</v>
      </c>
      <c r="W1396" s="36" t="e">
        <f>RATE(Table1[[#This Row],[Total No. of Coupons]],Table1[[#This Row],[Coupon Amount]],-Table1[[#This Row],[Ask Price]],Table1[[#This Row],[Face value]])</f>
        <v>#N/A</v>
      </c>
      <c r="X1396" s="27" t="e">
        <f>Table1[[#This Row],[IRR]]*Table1[[#This Row],[Coupon Frequency2]]</f>
        <v>#N/A</v>
      </c>
      <c r="Y1396" s="19" t="e" cm="1">
        <f t="array" ref="Y13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6" s="33" t="e">
        <f>DURATION(Table1[[#This Row],[Issue date]],Table1[[#This Row],[Maturity date]],Table1[[#This Row],[Current coupon %]],Table1[[#This Row],[Yield (Annualised)]],Table1[[#This Row],[Coupon Frequency2]])</f>
        <v>#N/A</v>
      </c>
      <c r="AA1396" s="33" t="e">
        <f>Table1[[#This Row],[Macaulay Duration in Years]]/(1+Table1[[#This Row],[IRR]])</f>
        <v>#N/A</v>
      </c>
      <c r="AB1396" s="58" t="e">
        <f>VLOOKUP(Table1[[#This Row],[Yield Cluster]],'Cluster Details'!$B$3:$C$16,2,0)</f>
        <v>#N/A</v>
      </c>
      <c r="AC13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6" s="58" t="e">
        <f>IF(Table1[[#This Row],[Ask Price]]&gt;Table1[[#This Row],[Calculated Bond Price]],"Rich","Cheap")</f>
        <v>#N/A</v>
      </c>
      <c r="AE13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6" s="78" t="e">
        <f>(Table1[[#This Row],[P (+ shock)]]+Table1[[#This Row],[P (-shock)]]-2*Table1[[#This Row],[Ask Price]])/(2*Table1[[#This Row],[Ask Price]]*($AF$2^2))</f>
        <v>#N/A</v>
      </c>
      <c r="AH1396">
        <v>9.6594226656050406</v>
      </c>
      <c r="AI1396" s="6" t="e">
        <f t="shared" si="85"/>
        <v>#DIV/0!</v>
      </c>
      <c r="AK1396" s="47" t="e">
        <f>RATE(Table1[[#This Row],[Total No. of Coupons]],Table1[[#This Row],[Coupon Amount]],-Table1[[#This Row],[Ask Price]],Table1[[#This Row],[Face value]])</f>
        <v>#N/A</v>
      </c>
      <c r="AL1396" s="27" t="e">
        <f>Table1[[#This Row],[IRR]]*Table1[[#This Row],[Coupon Frequency2]]</f>
        <v>#N/A</v>
      </c>
      <c r="AM1396" s="5" t="e">
        <f t="shared" si="86"/>
        <v>#N/A</v>
      </c>
      <c r="AN1396" t="s">
        <v>64</v>
      </c>
      <c r="AO1396" t="s">
        <v>62</v>
      </c>
      <c r="AP1396" t="str">
        <f t="shared" si="87"/>
        <v/>
      </c>
    </row>
    <row r="1397" spans="4:42" x14ac:dyDescent="0.35">
      <c r="D1397" s="21"/>
      <c r="E1397" s="21"/>
      <c r="L1397" s="22"/>
      <c r="S1397">
        <f t="shared" si="84"/>
        <v>0</v>
      </c>
      <c r="T1397" s="5" t="e" cm="1">
        <f t="array" ref="T13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7" t="e">
        <f>Table1[[#This Row],[Term to Maturity (Years)]]*Table1[[#This Row],[Coupon Frequency2]]</f>
        <v>#N/A</v>
      </c>
      <c r="V1397">
        <f>Table1[[#This Row],[Face value]]*Table1[[#This Row],[Current coupon %]]</f>
        <v>0</v>
      </c>
      <c r="W1397" s="36" t="e">
        <f>RATE(Table1[[#This Row],[Total No. of Coupons]],Table1[[#This Row],[Coupon Amount]],-Table1[[#This Row],[Ask Price]],Table1[[#This Row],[Face value]])</f>
        <v>#N/A</v>
      </c>
      <c r="X1397" s="27" t="e">
        <f>Table1[[#This Row],[IRR]]*Table1[[#This Row],[Coupon Frequency2]]</f>
        <v>#N/A</v>
      </c>
      <c r="Y1397" s="19" t="e" cm="1">
        <f t="array" ref="Y13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7" s="33" t="e">
        <f>DURATION(Table1[[#This Row],[Issue date]],Table1[[#This Row],[Maturity date]],Table1[[#This Row],[Current coupon %]],Table1[[#This Row],[Yield (Annualised)]],Table1[[#This Row],[Coupon Frequency2]])</f>
        <v>#N/A</v>
      </c>
      <c r="AA1397" s="33" t="e">
        <f>Table1[[#This Row],[Macaulay Duration in Years]]/(1+Table1[[#This Row],[IRR]])</f>
        <v>#N/A</v>
      </c>
      <c r="AB1397" s="58" t="e">
        <f>VLOOKUP(Table1[[#This Row],[Yield Cluster]],'Cluster Details'!$B$3:$C$16,2,0)</f>
        <v>#N/A</v>
      </c>
      <c r="AC13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7" s="58" t="e">
        <f>IF(Table1[[#This Row],[Ask Price]]&gt;Table1[[#This Row],[Calculated Bond Price]],"Rich","Cheap")</f>
        <v>#N/A</v>
      </c>
      <c r="AE13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7" s="78" t="e">
        <f>(Table1[[#This Row],[P (+ shock)]]+Table1[[#This Row],[P (-shock)]]-2*Table1[[#This Row],[Ask Price]])/(2*Table1[[#This Row],[Ask Price]]*($AF$2^2))</f>
        <v>#N/A</v>
      </c>
      <c r="AH1397">
        <v>10.9055085448813</v>
      </c>
      <c r="AI1397" s="6" t="e">
        <f t="shared" si="85"/>
        <v>#DIV/0!</v>
      </c>
      <c r="AK1397" s="47" t="e">
        <f>RATE(Table1[[#This Row],[Total No. of Coupons]],Table1[[#This Row],[Coupon Amount]],-Table1[[#This Row],[Ask Price]],Table1[[#This Row],[Face value]])</f>
        <v>#N/A</v>
      </c>
      <c r="AL1397" s="27" t="e">
        <f>Table1[[#This Row],[IRR]]*Table1[[#This Row],[Coupon Frequency2]]</f>
        <v>#N/A</v>
      </c>
      <c r="AM1397" s="5" t="e">
        <f t="shared" si="86"/>
        <v>#N/A</v>
      </c>
      <c r="AN1397" t="s">
        <v>64</v>
      </c>
      <c r="AO1397" t="s">
        <v>62</v>
      </c>
      <c r="AP1397" t="str">
        <f t="shared" si="87"/>
        <v/>
      </c>
    </row>
    <row r="1398" spans="4:42" x14ac:dyDescent="0.35">
      <c r="D1398" s="21"/>
      <c r="E1398" s="21"/>
      <c r="L1398" s="22"/>
      <c r="S1398">
        <f t="shared" si="84"/>
        <v>0</v>
      </c>
      <c r="T1398" s="5" t="e" cm="1">
        <f t="array" ref="T13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8" t="e">
        <f>Table1[[#This Row],[Term to Maturity (Years)]]*Table1[[#This Row],[Coupon Frequency2]]</f>
        <v>#N/A</v>
      </c>
      <c r="V1398">
        <f>Table1[[#This Row],[Face value]]*Table1[[#This Row],[Current coupon %]]</f>
        <v>0</v>
      </c>
      <c r="W1398" s="36" t="e">
        <f>RATE(Table1[[#This Row],[Total No. of Coupons]],Table1[[#This Row],[Coupon Amount]],-Table1[[#This Row],[Ask Price]],Table1[[#This Row],[Face value]])</f>
        <v>#N/A</v>
      </c>
      <c r="X1398" s="27" t="e">
        <f>Table1[[#This Row],[IRR]]*Table1[[#This Row],[Coupon Frequency2]]</f>
        <v>#N/A</v>
      </c>
      <c r="Y1398" s="19" t="e" cm="1">
        <f t="array" ref="Y13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8" s="33" t="e">
        <f>DURATION(Table1[[#This Row],[Issue date]],Table1[[#This Row],[Maturity date]],Table1[[#This Row],[Current coupon %]],Table1[[#This Row],[Yield (Annualised)]],Table1[[#This Row],[Coupon Frequency2]])</f>
        <v>#N/A</v>
      </c>
      <c r="AA1398" s="33" t="e">
        <f>Table1[[#This Row],[Macaulay Duration in Years]]/(1+Table1[[#This Row],[IRR]])</f>
        <v>#N/A</v>
      </c>
      <c r="AB1398" s="58" t="e">
        <f>VLOOKUP(Table1[[#This Row],[Yield Cluster]],'Cluster Details'!$B$3:$C$16,2,0)</f>
        <v>#N/A</v>
      </c>
      <c r="AC13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8" s="58" t="e">
        <f>IF(Table1[[#This Row],[Ask Price]]&gt;Table1[[#This Row],[Calculated Bond Price]],"Rich","Cheap")</f>
        <v>#N/A</v>
      </c>
      <c r="AE13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8" s="78" t="e">
        <f>(Table1[[#This Row],[P (+ shock)]]+Table1[[#This Row],[P (-shock)]]-2*Table1[[#This Row],[Ask Price]])/(2*Table1[[#This Row],[Ask Price]]*($AF$2^2))</f>
        <v>#N/A</v>
      </c>
      <c r="AH1398">
        <v>10</v>
      </c>
      <c r="AI1398" s="6" t="e">
        <f t="shared" si="85"/>
        <v>#DIV/0!</v>
      </c>
      <c r="AK1398" s="47" t="e">
        <f>RATE(Table1[[#This Row],[Total No. of Coupons]],Table1[[#This Row],[Coupon Amount]],-Table1[[#This Row],[Ask Price]],Table1[[#This Row],[Face value]])</f>
        <v>#N/A</v>
      </c>
      <c r="AL1398" s="27" t="e">
        <f>Table1[[#This Row],[IRR]]*Table1[[#This Row],[Coupon Frequency2]]</f>
        <v>#N/A</v>
      </c>
      <c r="AM1398" s="5" t="e">
        <f t="shared" si="86"/>
        <v>#N/A</v>
      </c>
      <c r="AN1398" t="s">
        <v>64</v>
      </c>
      <c r="AO1398" t="s">
        <v>62</v>
      </c>
      <c r="AP1398" t="str">
        <f t="shared" si="87"/>
        <v/>
      </c>
    </row>
    <row r="1399" spans="4:42" x14ac:dyDescent="0.35">
      <c r="D1399" s="21"/>
      <c r="E1399" s="21"/>
      <c r="L1399" s="22"/>
      <c r="S1399">
        <f t="shared" si="84"/>
        <v>0</v>
      </c>
      <c r="T1399" s="5" t="e" cm="1">
        <f t="array" ref="T13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399" t="e">
        <f>Table1[[#This Row],[Term to Maturity (Years)]]*Table1[[#This Row],[Coupon Frequency2]]</f>
        <v>#N/A</v>
      </c>
      <c r="V1399">
        <f>Table1[[#This Row],[Face value]]*Table1[[#This Row],[Current coupon %]]</f>
        <v>0</v>
      </c>
      <c r="W1399" s="36" t="e">
        <f>RATE(Table1[[#This Row],[Total No. of Coupons]],Table1[[#This Row],[Coupon Amount]],-Table1[[#This Row],[Ask Price]],Table1[[#This Row],[Face value]])</f>
        <v>#N/A</v>
      </c>
      <c r="X1399" s="27" t="e">
        <f>Table1[[#This Row],[IRR]]*Table1[[#This Row],[Coupon Frequency2]]</f>
        <v>#N/A</v>
      </c>
      <c r="Y1399" s="19" t="e" cm="1">
        <f t="array" ref="Y13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399" s="33" t="e">
        <f>DURATION(Table1[[#This Row],[Issue date]],Table1[[#This Row],[Maturity date]],Table1[[#This Row],[Current coupon %]],Table1[[#This Row],[Yield (Annualised)]],Table1[[#This Row],[Coupon Frequency2]])</f>
        <v>#N/A</v>
      </c>
      <c r="AA1399" s="33" t="e">
        <f>Table1[[#This Row],[Macaulay Duration in Years]]/(1+Table1[[#This Row],[IRR]])</f>
        <v>#N/A</v>
      </c>
      <c r="AB1399" s="58" t="e">
        <f>VLOOKUP(Table1[[#This Row],[Yield Cluster]],'Cluster Details'!$B$3:$C$16,2,0)</f>
        <v>#N/A</v>
      </c>
      <c r="AC13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399" s="58" t="e">
        <f>IF(Table1[[#This Row],[Ask Price]]&gt;Table1[[#This Row],[Calculated Bond Price]],"Rich","Cheap")</f>
        <v>#N/A</v>
      </c>
      <c r="AE13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3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399" s="78" t="e">
        <f>(Table1[[#This Row],[P (+ shock)]]+Table1[[#This Row],[P (-shock)]]-2*Table1[[#This Row],[Ask Price]])/(2*Table1[[#This Row],[Ask Price]]*($AF$2^2))</f>
        <v>#N/A</v>
      </c>
      <c r="AH1399">
        <v>3.1816776475004098</v>
      </c>
      <c r="AI1399" s="6" t="e">
        <f t="shared" si="85"/>
        <v>#DIV/0!</v>
      </c>
      <c r="AK1399" s="47" t="e">
        <f>RATE(Table1[[#This Row],[Total No. of Coupons]],Table1[[#This Row],[Coupon Amount]],-Table1[[#This Row],[Ask Price]],Table1[[#This Row],[Face value]])</f>
        <v>#N/A</v>
      </c>
      <c r="AL1399" s="27" t="e">
        <f>Table1[[#This Row],[IRR]]*Table1[[#This Row],[Coupon Frequency2]]</f>
        <v>#N/A</v>
      </c>
      <c r="AM1399" s="5" t="e">
        <f t="shared" si="86"/>
        <v>#N/A</v>
      </c>
      <c r="AN1399" t="s">
        <v>64</v>
      </c>
      <c r="AO1399" t="s">
        <v>62</v>
      </c>
      <c r="AP1399" t="str">
        <f t="shared" si="87"/>
        <v/>
      </c>
    </row>
    <row r="1400" spans="4:42" x14ac:dyDescent="0.35">
      <c r="D1400" s="21"/>
      <c r="E1400" s="21"/>
      <c r="L1400" s="22"/>
      <c r="S1400">
        <f t="shared" si="84"/>
        <v>0</v>
      </c>
      <c r="T1400" s="5" t="e" cm="1">
        <f t="array" ref="T14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0" t="e">
        <f>Table1[[#This Row],[Term to Maturity (Years)]]*Table1[[#This Row],[Coupon Frequency2]]</f>
        <v>#N/A</v>
      </c>
      <c r="V1400">
        <f>Table1[[#This Row],[Face value]]*Table1[[#This Row],[Current coupon %]]</f>
        <v>0</v>
      </c>
      <c r="W1400" s="36" t="e">
        <f>RATE(Table1[[#This Row],[Total No. of Coupons]],Table1[[#This Row],[Coupon Amount]],-Table1[[#This Row],[Ask Price]],Table1[[#This Row],[Face value]])</f>
        <v>#N/A</v>
      </c>
      <c r="X1400" s="27" t="e">
        <f>Table1[[#This Row],[IRR]]*Table1[[#This Row],[Coupon Frequency2]]</f>
        <v>#N/A</v>
      </c>
      <c r="Y1400" s="19" t="e" cm="1">
        <f t="array" ref="Y14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0" s="33" t="e">
        <f>DURATION(Table1[[#This Row],[Issue date]],Table1[[#This Row],[Maturity date]],Table1[[#This Row],[Current coupon %]],Table1[[#This Row],[Yield (Annualised)]],Table1[[#This Row],[Coupon Frequency2]])</f>
        <v>#N/A</v>
      </c>
      <c r="AA1400" s="33" t="e">
        <f>Table1[[#This Row],[Macaulay Duration in Years]]/(1+Table1[[#This Row],[IRR]])</f>
        <v>#N/A</v>
      </c>
      <c r="AB1400" s="58" t="e">
        <f>VLOOKUP(Table1[[#This Row],[Yield Cluster]],'Cluster Details'!$B$3:$C$16,2,0)</f>
        <v>#N/A</v>
      </c>
      <c r="AC14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0" s="58" t="e">
        <f>IF(Table1[[#This Row],[Ask Price]]&gt;Table1[[#This Row],[Calculated Bond Price]],"Rich","Cheap")</f>
        <v>#N/A</v>
      </c>
      <c r="AE14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0" s="78" t="e">
        <f>(Table1[[#This Row],[P (+ shock)]]+Table1[[#This Row],[P (-shock)]]-2*Table1[[#This Row],[Ask Price]])/(2*Table1[[#This Row],[Ask Price]]*($AF$2^2))</f>
        <v>#N/A</v>
      </c>
      <c r="AH1400">
        <v>4.1374757433796496</v>
      </c>
      <c r="AI1400" s="6" t="e">
        <f t="shared" si="85"/>
        <v>#DIV/0!</v>
      </c>
      <c r="AK1400" s="47" t="e">
        <f>RATE(Table1[[#This Row],[Total No. of Coupons]],Table1[[#This Row],[Coupon Amount]],-Table1[[#This Row],[Ask Price]],Table1[[#This Row],[Face value]])</f>
        <v>#N/A</v>
      </c>
      <c r="AL1400" s="27" t="e">
        <f>Table1[[#This Row],[IRR]]*Table1[[#This Row],[Coupon Frequency2]]</f>
        <v>#N/A</v>
      </c>
      <c r="AM1400" s="5" t="e">
        <f t="shared" si="86"/>
        <v>#N/A</v>
      </c>
      <c r="AN1400" t="s">
        <v>64</v>
      </c>
      <c r="AO1400" t="s">
        <v>62</v>
      </c>
      <c r="AP1400" t="str">
        <f t="shared" si="87"/>
        <v/>
      </c>
    </row>
    <row r="1401" spans="4:42" x14ac:dyDescent="0.35">
      <c r="D1401" s="21"/>
      <c r="E1401" s="21"/>
      <c r="L1401" s="22"/>
      <c r="S1401">
        <f t="shared" si="84"/>
        <v>0</v>
      </c>
      <c r="T1401" s="5" t="e" cm="1">
        <f t="array" ref="T14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1" t="e">
        <f>Table1[[#This Row],[Term to Maturity (Years)]]*Table1[[#This Row],[Coupon Frequency2]]</f>
        <v>#N/A</v>
      </c>
      <c r="V1401">
        <f>Table1[[#This Row],[Face value]]*Table1[[#This Row],[Current coupon %]]</f>
        <v>0</v>
      </c>
      <c r="W1401" s="36" t="e">
        <f>RATE(Table1[[#This Row],[Total No. of Coupons]],Table1[[#This Row],[Coupon Amount]],-Table1[[#This Row],[Ask Price]],Table1[[#This Row],[Face value]])</f>
        <v>#N/A</v>
      </c>
      <c r="X1401" s="27" t="e">
        <f>Table1[[#This Row],[IRR]]*Table1[[#This Row],[Coupon Frequency2]]</f>
        <v>#N/A</v>
      </c>
      <c r="Y1401" s="19" t="e" cm="1">
        <f t="array" ref="Y14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1" s="33" t="e">
        <f>DURATION(Table1[[#This Row],[Issue date]],Table1[[#This Row],[Maturity date]],Table1[[#This Row],[Current coupon %]],Table1[[#This Row],[Yield (Annualised)]],Table1[[#This Row],[Coupon Frequency2]])</f>
        <v>#N/A</v>
      </c>
      <c r="AA1401" s="33" t="e">
        <f>Table1[[#This Row],[Macaulay Duration in Years]]/(1+Table1[[#This Row],[IRR]])</f>
        <v>#N/A</v>
      </c>
      <c r="AB1401" s="58" t="e">
        <f>VLOOKUP(Table1[[#This Row],[Yield Cluster]],'Cluster Details'!$B$3:$C$16,2,0)</f>
        <v>#N/A</v>
      </c>
      <c r="AC14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1" s="58" t="e">
        <f>IF(Table1[[#This Row],[Ask Price]]&gt;Table1[[#This Row],[Calculated Bond Price]],"Rich","Cheap")</f>
        <v>#N/A</v>
      </c>
      <c r="AE14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1" s="78" t="e">
        <f>(Table1[[#This Row],[P (+ shock)]]+Table1[[#This Row],[P (-shock)]]-2*Table1[[#This Row],[Ask Price]])/(2*Table1[[#This Row],[Ask Price]]*($AF$2^2))</f>
        <v>#N/A</v>
      </c>
      <c r="AH1401">
        <v>12.5599410444052</v>
      </c>
      <c r="AI1401" s="6" t="e">
        <f t="shared" si="85"/>
        <v>#DIV/0!</v>
      </c>
      <c r="AK1401" s="47" t="e">
        <f>RATE(Table1[[#This Row],[Total No. of Coupons]],Table1[[#This Row],[Coupon Amount]],-Table1[[#This Row],[Ask Price]],Table1[[#This Row],[Face value]])</f>
        <v>#N/A</v>
      </c>
      <c r="AL1401" s="27" t="e">
        <f>Table1[[#This Row],[IRR]]*Table1[[#This Row],[Coupon Frequency2]]</f>
        <v>#N/A</v>
      </c>
      <c r="AM1401" s="5" t="e">
        <f t="shared" si="86"/>
        <v>#N/A</v>
      </c>
      <c r="AN1401" t="s">
        <v>64</v>
      </c>
      <c r="AO1401" t="s">
        <v>62</v>
      </c>
      <c r="AP1401" t="str">
        <f t="shared" si="87"/>
        <v/>
      </c>
    </row>
    <row r="1402" spans="4:42" x14ac:dyDescent="0.35">
      <c r="D1402" s="21"/>
      <c r="E1402" s="21"/>
      <c r="L1402" s="22"/>
      <c r="S1402">
        <f t="shared" si="84"/>
        <v>0</v>
      </c>
      <c r="T1402" s="5" t="e" cm="1">
        <f t="array" ref="T14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2" t="e">
        <f>Table1[[#This Row],[Term to Maturity (Years)]]*Table1[[#This Row],[Coupon Frequency2]]</f>
        <v>#N/A</v>
      </c>
      <c r="V1402">
        <f>Table1[[#This Row],[Face value]]*Table1[[#This Row],[Current coupon %]]</f>
        <v>0</v>
      </c>
      <c r="W1402" s="36" t="e">
        <f>RATE(Table1[[#This Row],[Total No. of Coupons]],Table1[[#This Row],[Coupon Amount]],-Table1[[#This Row],[Ask Price]],Table1[[#This Row],[Face value]])</f>
        <v>#N/A</v>
      </c>
      <c r="X1402" s="27" t="e">
        <f>Table1[[#This Row],[IRR]]*Table1[[#This Row],[Coupon Frequency2]]</f>
        <v>#N/A</v>
      </c>
      <c r="Y1402" s="19" t="e" cm="1">
        <f t="array" ref="Y14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2" s="33" t="e">
        <f>DURATION(Table1[[#This Row],[Issue date]],Table1[[#This Row],[Maturity date]],Table1[[#This Row],[Current coupon %]],Table1[[#This Row],[Yield (Annualised)]],Table1[[#This Row],[Coupon Frequency2]])</f>
        <v>#N/A</v>
      </c>
      <c r="AA1402" s="33" t="e">
        <f>Table1[[#This Row],[Macaulay Duration in Years]]/(1+Table1[[#This Row],[IRR]])</f>
        <v>#N/A</v>
      </c>
      <c r="AB1402" s="58" t="e">
        <f>VLOOKUP(Table1[[#This Row],[Yield Cluster]],'Cluster Details'!$B$3:$C$16,2,0)</f>
        <v>#N/A</v>
      </c>
      <c r="AC14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2" s="58" t="e">
        <f>IF(Table1[[#This Row],[Ask Price]]&gt;Table1[[#This Row],[Calculated Bond Price]],"Rich","Cheap")</f>
        <v>#N/A</v>
      </c>
      <c r="AE14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2" s="78" t="e">
        <f>(Table1[[#This Row],[P (+ shock)]]+Table1[[#This Row],[P (-shock)]]-2*Table1[[#This Row],[Ask Price]])/(2*Table1[[#This Row],[Ask Price]]*($AF$2^2))</f>
        <v>#N/A</v>
      </c>
      <c r="AH1402">
        <v>12.749899561756401</v>
      </c>
      <c r="AI1402" s="6" t="e">
        <f t="shared" si="85"/>
        <v>#DIV/0!</v>
      </c>
      <c r="AK1402" s="47" t="e">
        <f>RATE(Table1[[#This Row],[Total No. of Coupons]],Table1[[#This Row],[Coupon Amount]],-Table1[[#This Row],[Ask Price]],Table1[[#This Row],[Face value]])</f>
        <v>#N/A</v>
      </c>
      <c r="AL1402" s="27" t="e">
        <f>Table1[[#This Row],[IRR]]*Table1[[#This Row],[Coupon Frequency2]]</f>
        <v>#N/A</v>
      </c>
      <c r="AM1402" s="5" t="e">
        <f t="shared" si="86"/>
        <v>#N/A</v>
      </c>
      <c r="AN1402" t="s">
        <v>64</v>
      </c>
      <c r="AO1402" t="s">
        <v>62</v>
      </c>
      <c r="AP1402" t="str">
        <f t="shared" si="87"/>
        <v/>
      </c>
    </row>
    <row r="1403" spans="4:42" x14ac:dyDescent="0.35">
      <c r="D1403" s="21"/>
      <c r="E1403" s="21"/>
      <c r="L1403" s="22"/>
      <c r="S1403">
        <f t="shared" si="84"/>
        <v>0</v>
      </c>
      <c r="T1403" s="5" t="e" cm="1">
        <f t="array" ref="T14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3" t="e">
        <f>Table1[[#This Row],[Term to Maturity (Years)]]*Table1[[#This Row],[Coupon Frequency2]]</f>
        <v>#N/A</v>
      </c>
      <c r="V1403">
        <f>Table1[[#This Row],[Face value]]*Table1[[#This Row],[Current coupon %]]</f>
        <v>0</v>
      </c>
      <c r="W1403" s="36" t="e">
        <f>RATE(Table1[[#This Row],[Total No. of Coupons]],Table1[[#This Row],[Coupon Amount]],-Table1[[#This Row],[Ask Price]],Table1[[#This Row],[Face value]])</f>
        <v>#N/A</v>
      </c>
      <c r="X1403" s="27" t="e">
        <f>Table1[[#This Row],[IRR]]*Table1[[#This Row],[Coupon Frequency2]]</f>
        <v>#N/A</v>
      </c>
      <c r="Y1403" s="19" t="e" cm="1">
        <f t="array" ref="Y14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3" s="33" t="e">
        <f>DURATION(Table1[[#This Row],[Issue date]],Table1[[#This Row],[Maturity date]],Table1[[#This Row],[Current coupon %]],Table1[[#This Row],[Yield (Annualised)]],Table1[[#This Row],[Coupon Frequency2]])</f>
        <v>#N/A</v>
      </c>
      <c r="AA1403" s="33" t="e">
        <f>Table1[[#This Row],[Macaulay Duration in Years]]/(1+Table1[[#This Row],[IRR]])</f>
        <v>#N/A</v>
      </c>
      <c r="AB1403" s="58" t="e">
        <f>VLOOKUP(Table1[[#This Row],[Yield Cluster]],'Cluster Details'!$B$3:$C$16,2,0)</f>
        <v>#N/A</v>
      </c>
      <c r="AC14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3" s="58" t="e">
        <f>IF(Table1[[#This Row],[Ask Price]]&gt;Table1[[#This Row],[Calculated Bond Price]],"Rich","Cheap")</f>
        <v>#N/A</v>
      </c>
      <c r="AE14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3" s="78" t="e">
        <f>(Table1[[#This Row],[P (+ shock)]]+Table1[[#This Row],[P (-shock)]]-2*Table1[[#This Row],[Ask Price]])/(2*Table1[[#This Row],[Ask Price]]*($AF$2^2))</f>
        <v>#N/A</v>
      </c>
      <c r="AH1403">
        <v>6.8895025636023703</v>
      </c>
      <c r="AI1403" s="6" t="e">
        <f t="shared" si="85"/>
        <v>#DIV/0!</v>
      </c>
      <c r="AK1403" s="47" t="e">
        <f>RATE(Table1[[#This Row],[Total No. of Coupons]],Table1[[#This Row],[Coupon Amount]],-Table1[[#This Row],[Ask Price]],Table1[[#This Row],[Face value]])</f>
        <v>#N/A</v>
      </c>
      <c r="AL1403" s="27" t="e">
        <f>Table1[[#This Row],[IRR]]*Table1[[#This Row],[Coupon Frequency2]]</f>
        <v>#N/A</v>
      </c>
      <c r="AM1403" s="5" t="e">
        <f t="shared" si="86"/>
        <v>#N/A</v>
      </c>
      <c r="AN1403" t="s">
        <v>64</v>
      </c>
      <c r="AO1403" t="s">
        <v>62</v>
      </c>
      <c r="AP1403" t="str">
        <f t="shared" si="87"/>
        <v/>
      </c>
    </row>
    <row r="1404" spans="4:42" x14ac:dyDescent="0.35">
      <c r="D1404" s="21"/>
      <c r="E1404" s="21"/>
      <c r="L1404" s="22"/>
      <c r="S1404">
        <f t="shared" si="84"/>
        <v>0</v>
      </c>
      <c r="T1404" s="5" t="e" cm="1">
        <f t="array" ref="T14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4" t="e">
        <f>Table1[[#This Row],[Term to Maturity (Years)]]*Table1[[#This Row],[Coupon Frequency2]]</f>
        <v>#N/A</v>
      </c>
      <c r="V1404">
        <f>Table1[[#This Row],[Face value]]*Table1[[#This Row],[Current coupon %]]</f>
        <v>0</v>
      </c>
      <c r="W1404" s="36" t="e">
        <f>RATE(Table1[[#This Row],[Total No. of Coupons]],Table1[[#This Row],[Coupon Amount]],-Table1[[#This Row],[Ask Price]],Table1[[#This Row],[Face value]])</f>
        <v>#N/A</v>
      </c>
      <c r="X1404" s="27" t="e">
        <f>Table1[[#This Row],[IRR]]*Table1[[#This Row],[Coupon Frequency2]]</f>
        <v>#N/A</v>
      </c>
      <c r="Y1404" s="19" t="e" cm="1">
        <f t="array" ref="Y14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4" s="33" t="e">
        <f>DURATION(Table1[[#This Row],[Issue date]],Table1[[#This Row],[Maturity date]],Table1[[#This Row],[Current coupon %]],Table1[[#This Row],[Yield (Annualised)]],Table1[[#This Row],[Coupon Frequency2]])</f>
        <v>#N/A</v>
      </c>
      <c r="AA1404" s="33" t="e">
        <f>Table1[[#This Row],[Macaulay Duration in Years]]/(1+Table1[[#This Row],[IRR]])</f>
        <v>#N/A</v>
      </c>
      <c r="AB1404" s="58" t="e">
        <f>VLOOKUP(Table1[[#This Row],[Yield Cluster]],'Cluster Details'!$B$3:$C$16,2,0)</f>
        <v>#N/A</v>
      </c>
      <c r="AC14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4" s="58" t="e">
        <f>IF(Table1[[#This Row],[Ask Price]]&gt;Table1[[#This Row],[Calculated Bond Price]],"Rich","Cheap")</f>
        <v>#N/A</v>
      </c>
      <c r="AE14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4" s="78" t="e">
        <f>(Table1[[#This Row],[P (+ shock)]]+Table1[[#This Row],[P (-shock)]]-2*Table1[[#This Row],[Ask Price]])/(2*Table1[[#This Row],[Ask Price]]*($AF$2^2))</f>
        <v>#N/A</v>
      </c>
      <c r="AH1404">
        <v>6.8643028442423804</v>
      </c>
      <c r="AI1404" s="6" t="e">
        <f t="shared" si="85"/>
        <v>#DIV/0!</v>
      </c>
      <c r="AK1404" s="47" t="e">
        <f>RATE(Table1[[#This Row],[Total No. of Coupons]],Table1[[#This Row],[Coupon Amount]],-Table1[[#This Row],[Ask Price]],Table1[[#This Row],[Face value]])</f>
        <v>#N/A</v>
      </c>
      <c r="AL1404" s="27" t="e">
        <f>Table1[[#This Row],[IRR]]*Table1[[#This Row],[Coupon Frequency2]]</f>
        <v>#N/A</v>
      </c>
      <c r="AM1404" s="5" t="e">
        <f t="shared" si="86"/>
        <v>#N/A</v>
      </c>
      <c r="AN1404" t="s">
        <v>64</v>
      </c>
      <c r="AO1404" t="s">
        <v>62</v>
      </c>
      <c r="AP1404" t="str">
        <f t="shared" si="87"/>
        <v/>
      </c>
    </row>
    <row r="1405" spans="4:42" x14ac:dyDescent="0.35">
      <c r="D1405" s="21"/>
      <c r="E1405" s="21"/>
      <c r="L1405" s="22"/>
      <c r="S1405">
        <f t="shared" si="84"/>
        <v>0</v>
      </c>
      <c r="T1405" s="5" t="e" cm="1">
        <f t="array" ref="T14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5" t="e">
        <f>Table1[[#This Row],[Term to Maturity (Years)]]*Table1[[#This Row],[Coupon Frequency2]]</f>
        <v>#N/A</v>
      </c>
      <c r="V1405">
        <f>Table1[[#This Row],[Face value]]*Table1[[#This Row],[Current coupon %]]</f>
        <v>0</v>
      </c>
      <c r="W1405" s="36" t="e">
        <f>RATE(Table1[[#This Row],[Total No. of Coupons]],Table1[[#This Row],[Coupon Amount]],-Table1[[#This Row],[Ask Price]],Table1[[#This Row],[Face value]])</f>
        <v>#N/A</v>
      </c>
      <c r="X1405" s="27" t="e">
        <f>Table1[[#This Row],[IRR]]*Table1[[#This Row],[Coupon Frequency2]]</f>
        <v>#N/A</v>
      </c>
      <c r="Y1405" s="19" t="e" cm="1">
        <f t="array" ref="Y14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5" s="33" t="e">
        <f>DURATION(Table1[[#This Row],[Issue date]],Table1[[#This Row],[Maturity date]],Table1[[#This Row],[Current coupon %]],Table1[[#This Row],[Yield (Annualised)]],Table1[[#This Row],[Coupon Frequency2]])</f>
        <v>#N/A</v>
      </c>
      <c r="AA1405" s="33" t="e">
        <f>Table1[[#This Row],[Macaulay Duration in Years]]/(1+Table1[[#This Row],[IRR]])</f>
        <v>#N/A</v>
      </c>
      <c r="AB1405" s="58" t="e">
        <f>VLOOKUP(Table1[[#This Row],[Yield Cluster]],'Cluster Details'!$B$3:$C$16,2,0)</f>
        <v>#N/A</v>
      </c>
      <c r="AC14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5" s="58" t="e">
        <f>IF(Table1[[#This Row],[Ask Price]]&gt;Table1[[#This Row],[Calculated Bond Price]],"Rich","Cheap")</f>
        <v>#N/A</v>
      </c>
      <c r="AE14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5" s="78" t="e">
        <f>(Table1[[#This Row],[P (+ shock)]]+Table1[[#This Row],[P (-shock)]]-2*Table1[[#This Row],[Ask Price]])/(2*Table1[[#This Row],[Ask Price]]*($AF$2^2))</f>
        <v>#N/A</v>
      </c>
      <c r="AH1405">
        <v>10.4005118494117</v>
      </c>
      <c r="AI1405" s="6" t="e">
        <f t="shared" si="85"/>
        <v>#DIV/0!</v>
      </c>
      <c r="AK1405" s="47" t="e">
        <f>RATE(Table1[[#This Row],[Total No. of Coupons]],Table1[[#This Row],[Coupon Amount]],-Table1[[#This Row],[Ask Price]],Table1[[#This Row],[Face value]])</f>
        <v>#N/A</v>
      </c>
      <c r="AL1405" s="27" t="e">
        <f>Table1[[#This Row],[IRR]]*Table1[[#This Row],[Coupon Frequency2]]</f>
        <v>#N/A</v>
      </c>
      <c r="AM1405" s="5" t="e">
        <f t="shared" si="86"/>
        <v>#N/A</v>
      </c>
      <c r="AN1405" t="s">
        <v>64</v>
      </c>
      <c r="AO1405" t="s">
        <v>62</v>
      </c>
      <c r="AP1405" t="str">
        <f t="shared" si="87"/>
        <v/>
      </c>
    </row>
    <row r="1406" spans="4:42" x14ac:dyDescent="0.35">
      <c r="D1406" s="21"/>
      <c r="E1406" s="21"/>
      <c r="L1406" s="22"/>
      <c r="S1406">
        <f t="shared" si="84"/>
        <v>0</v>
      </c>
      <c r="T1406" s="5" t="e" cm="1">
        <f t="array" ref="T14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6" t="e">
        <f>Table1[[#This Row],[Term to Maturity (Years)]]*Table1[[#This Row],[Coupon Frequency2]]</f>
        <v>#N/A</v>
      </c>
      <c r="V1406">
        <f>Table1[[#This Row],[Face value]]*Table1[[#This Row],[Current coupon %]]</f>
        <v>0</v>
      </c>
      <c r="W1406" s="36" t="e">
        <f>RATE(Table1[[#This Row],[Total No. of Coupons]],Table1[[#This Row],[Coupon Amount]],-Table1[[#This Row],[Ask Price]],Table1[[#This Row],[Face value]])</f>
        <v>#N/A</v>
      </c>
      <c r="X1406" s="27" t="e">
        <f>Table1[[#This Row],[IRR]]*Table1[[#This Row],[Coupon Frequency2]]</f>
        <v>#N/A</v>
      </c>
      <c r="Y1406" s="19" t="e" cm="1">
        <f t="array" ref="Y14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6" s="33" t="e">
        <f>DURATION(Table1[[#This Row],[Issue date]],Table1[[#This Row],[Maturity date]],Table1[[#This Row],[Current coupon %]],Table1[[#This Row],[Yield (Annualised)]],Table1[[#This Row],[Coupon Frequency2]])</f>
        <v>#N/A</v>
      </c>
      <c r="AA1406" s="33" t="e">
        <f>Table1[[#This Row],[Macaulay Duration in Years]]/(1+Table1[[#This Row],[IRR]])</f>
        <v>#N/A</v>
      </c>
      <c r="AB1406" s="58" t="e">
        <f>VLOOKUP(Table1[[#This Row],[Yield Cluster]],'Cluster Details'!$B$3:$C$16,2,0)</f>
        <v>#N/A</v>
      </c>
      <c r="AC14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6" s="58" t="e">
        <f>IF(Table1[[#This Row],[Ask Price]]&gt;Table1[[#This Row],[Calculated Bond Price]],"Rich","Cheap")</f>
        <v>#N/A</v>
      </c>
      <c r="AE14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6" s="78" t="e">
        <f>(Table1[[#This Row],[P (+ shock)]]+Table1[[#This Row],[P (-shock)]]-2*Table1[[#This Row],[Ask Price]])/(2*Table1[[#This Row],[Ask Price]]*($AF$2^2))</f>
        <v>#N/A</v>
      </c>
      <c r="AH1406">
        <v>10.2457828288837</v>
      </c>
      <c r="AI1406" s="6" t="e">
        <f t="shared" si="85"/>
        <v>#DIV/0!</v>
      </c>
      <c r="AK1406" s="47" t="e">
        <f>RATE(Table1[[#This Row],[Total No. of Coupons]],Table1[[#This Row],[Coupon Amount]],-Table1[[#This Row],[Ask Price]],Table1[[#This Row],[Face value]])</f>
        <v>#N/A</v>
      </c>
      <c r="AL1406" s="27" t="e">
        <f>Table1[[#This Row],[IRR]]*Table1[[#This Row],[Coupon Frequency2]]</f>
        <v>#N/A</v>
      </c>
      <c r="AM1406" s="5" t="e">
        <f t="shared" si="86"/>
        <v>#N/A</v>
      </c>
      <c r="AN1406" t="s">
        <v>64</v>
      </c>
      <c r="AO1406" t="s">
        <v>62</v>
      </c>
      <c r="AP1406" t="str">
        <f t="shared" si="87"/>
        <v/>
      </c>
    </row>
    <row r="1407" spans="4:42" x14ac:dyDescent="0.35">
      <c r="D1407" s="21"/>
      <c r="E1407" s="21"/>
      <c r="L1407" s="22"/>
      <c r="S1407">
        <f t="shared" si="84"/>
        <v>0</v>
      </c>
      <c r="T1407" s="5" t="e" cm="1">
        <f t="array" ref="T14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7" t="e">
        <f>Table1[[#This Row],[Term to Maturity (Years)]]*Table1[[#This Row],[Coupon Frequency2]]</f>
        <v>#N/A</v>
      </c>
      <c r="V1407">
        <f>Table1[[#This Row],[Face value]]*Table1[[#This Row],[Current coupon %]]</f>
        <v>0</v>
      </c>
      <c r="W1407" s="36" t="e">
        <f>RATE(Table1[[#This Row],[Total No. of Coupons]],Table1[[#This Row],[Coupon Amount]],-Table1[[#This Row],[Ask Price]],Table1[[#This Row],[Face value]])</f>
        <v>#N/A</v>
      </c>
      <c r="X1407" s="27" t="e">
        <f>Table1[[#This Row],[IRR]]*Table1[[#This Row],[Coupon Frequency2]]</f>
        <v>#N/A</v>
      </c>
      <c r="Y1407" s="19" t="e" cm="1">
        <f t="array" ref="Y14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7" s="33" t="e">
        <f>DURATION(Table1[[#This Row],[Issue date]],Table1[[#This Row],[Maturity date]],Table1[[#This Row],[Current coupon %]],Table1[[#This Row],[Yield (Annualised)]],Table1[[#This Row],[Coupon Frequency2]])</f>
        <v>#N/A</v>
      </c>
      <c r="AA1407" s="33" t="e">
        <f>Table1[[#This Row],[Macaulay Duration in Years]]/(1+Table1[[#This Row],[IRR]])</f>
        <v>#N/A</v>
      </c>
      <c r="AB1407" s="58" t="e">
        <f>VLOOKUP(Table1[[#This Row],[Yield Cluster]],'Cluster Details'!$B$3:$C$16,2,0)</f>
        <v>#N/A</v>
      </c>
      <c r="AC14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7" s="58" t="e">
        <f>IF(Table1[[#This Row],[Ask Price]]&gt;Table1[[#This Row],[Calculated Bond Price]],"Rich","Cheap")</f>
        <v>#N/A</v>
      </c>
      <c r="AE14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7" s="78" t="e">
        <f>(Table1[[#This Row],[P (+ shock)]]+Table1[[#This Row],[P (-shock)]]-2*Table1[[#This Row],[Ask Price]])/(2*Table1[[#This Row],[Ask Price]]*($AF$2^2))</f>
        <v>#N/A</v>
      </c>
      <c r="AH1407">
        <v>4.39530508364835</v>
      </c>
      <c r="AI1407" s="6" t="e">
        <f t="shared" si="85"/>
        <v>#DIV/0!</v>
      </c>
      <c r="AK1407" s="47" t="e">
        <f>RATE(Table1[[#This Row],[Total No. of Coupons]],Table1[[#This Row],[Coupon Amount]],-Table1[[#This Row],[Ask Price]],Table1[[#This Row],[Face value]])</f>
        <v>#N/A</v>
      </c>
      <c r="AL1407" s="27" t="e">
        <f>Table1[[#This Row],[IRR]]*Table1[[#This Row],[Coupon Frequency2]]</f>
        <v>#N/A</v>
      </c>
      <c r="AM1407" s="5" t="e">
        <f t="shared" si="86"/>
        <v>#N/A</v>
      </c>
      <c r="AN1407" t="s">
        <v>64</v>
      </c>
      <c r="AO1407" t="s">
        <v>62</v>
      </c>
      <c r="AP1407" t="str">
        <f t="shared" si="87"/>
        <v/>
      </c>
    </row>
    <row r="1408" spans="4:42" x14ac:dyDescent="0.35">
      <c r="D1408" s="21"/>
      <c r="E1408" s="21"/>
      <c r="L1408" s="22"/>
      <c r="S1408">
        <f t="shared" si="84"/>
        <v>0</v>
      </c>
      <c r="T1408" s="5" t="e" cm="1">
        <f t="array" ref="T14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8" t="e">
        <f>Table1[[#This Row],[Term to Maturity (Years)]]*Table1[[#This Row],[Coupon Frequency2]]</f>
        <v>#N/A</v>
      </c>
      <c r="V1408">
        <f>Table1[[#This Row],[Face value]]*Table1[[#This Row],[Current coupon %]]</f>
        <v>0</v>
      </c>
      <c r="W1408" s="36" t="e">
        <f>RATE(Table1[[#This Row],[Total No. of Coupons]],Table1[[#This Row],[Coupon Amount]],-Table1[[#This Row],[Ask Price]],Table1[[#This Row],[Face value]])</f>
        <v>#N/A</v>
      </c>
      <c r="X1408" s="27" t="e">
        <f>Table1[[#This Row],[IRR]]*Table1[[#This Row],[Coupon Frequency2]]</f>
        <v>#N/A</v>
      </c>
      <c r="Y1408" s="19" t="e" cm="1">
        <f t="array" ref="Y14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8" s="33" t="e">
        <f>DURATION(Table1[[#This Row],[Issue date]],Table1[[#This Row],[Maturity date]],Table1[[#This Row],[Current coupon %]],Table1[[#This Row],[Yield (Annualised)]],Table1[[#This Row],[Coupon Frequency2]])</f>
        <v>#N/A</v>
      </c>
      <c r="AA1408" s="33" t="e">
        <f>Table1[[#This Row],[Macaulay Duration in Years]]/(1+Table1[[#This Row],[IRR]])</f>
        <v>#N/A</v>
      </c>
      <c r="AB1408" s="58" t="e">
        <f>VLOOKUP(Table1[[#This Row],[Yield Cluster]],'Cluster Details'!$B$3:$C$16,2,0)</f>
        <v>#N/A</v>
      </c>
      <c r="AC14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8" s="58" t="e">
        <f>IF(Table1[[#This Row],[Ask Price]]&gt;Table1[[#This Row],[Calculated Bond Price]],"Rich","Cheap")</f>
        <v>#N/A</v>
      </c>
      <c r="AE14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8" s="78" t="e">
        <f>(Table1[[#This Row],[P (+ shock)]]+Table1[[#This Row],[P (-shock)]]-2*Table1[[#This Row],[Ask Price]])/(2*Table1[[#This Row],[Ask Price]]*($AF$2^2))</f>
        <v>#N/A</v>
      </c>
      <c r="AH1408">
        <v>2.7494423218194401</v>
      </c>
      <c r="AI1408" s="6" t="e">
        <f t="shared" si="85"/>
        <v>#DIV/0!</v>
      </c>
      <c r="AK1408" s="47" t="e">
        <f>RATE(Table1[[#This Row],[Total No. of Coupons]],Table1[[#This Row],[Coupon Amount]],-Table1[[#This Row],[Ask Price]],Table1[[#This Row],[Face value]])</f>
        <v>#N/A</v>
      </c>
      <c r="AL1408" s="27" t="e">
        <f>Table1[[#This Row],[IRR]]*Table1[[#This Row],[Coupon Frequency2]]</f>
        <v>#N/A</v>
      </c>
      <c r="AM1408" s="5" t="e">
        <f t="shared" si="86"/>
        <v>#N/A</v>
      </c>
      <c r="AN1408" t="s">
        <v>64</v>
      </c>
      <c r="AO1408" t="s">
        <v>62</v>
      </c>
      <c r="AP1408" t="str">
        <f t="shared" si="87"/>
        <v/>
      </c>
    </row>
    <row r="1409" spans="4:42" x14ac:dyDescent="0.35">
      <c r="D1409" s="21"/>
      <c r="E1409" s="21"/>
      <c r="L1409" s="22"/>
      <c r="S1409">
        <f t="shared" si="84"/>
        <v>0</v>
      </c>
      <c r="T1409" s="5" t="e" cm="1">
        <f t="array" ref="T14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09" t="e">
        <f>Table1[[#This Row],[Term to Maturity (Years)]]*Table1[[#This Row],[Coupon Frequency2]]</f>
        <v>#N/A</v>
      </c>
      <c r="V1409">
        <f>Table1[[#This Row],[Face value]]*Table1[[#This Row],[Current coupon %]]</f>
        <v>0</v>
      </c>
      <c r="W1409" s="36" t="e">
        <f>RATE(Table1[[#This Row],[Total No. of Coupons]],Table1[[#This Row],[Coupon Amount]],-Table1[[#This Row],[Ask Price]],Table1[[#This Row],[Face value]])</f>
        <v>#N/A</v>
      </c>
      <c r="X1409" s="27" t="e">
        <f>Table1[[#This Row],[IRR]]*Table1[[#This Row],[Coupon Frequency2]]</f>
        <v>#N/A</v>
      </c>
      <c r="Y1409" s="19" t="e" cm="1">
        <f t="array" ref="Y14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09" s="33" t="e">
        <f>DURATION(Table1[[#This Row],[Issue date]],Table1[[#This Row],[Maturity date]],Table1[[#This Row],[Current coupon %]],Table1[[#This Row],[Yield (Annualised)]],Table1[[#This Row],[Coupon Frequency2]])</f>
        <v>#N/A</v>
      </c>
      <c r="AA1409" s="33" t="e">
        <f>Table1[[#This Row],[Macaulay Duration in Years]]/(1+Table1[[#This Row],[IRR]])</f>
        <v>#N/A</v>
      </c>
      <c r="AB1409" s="58" t="e">
        <f>VLOOKUP(Table1[[#This Row],[Yield Cluster]],'Cluster Details'!$B$3:$C$16,2,0)</f>
        <v>#N/A</v>
      </c>
      <c r="AC14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09" s="58" t="e">
        <f>IF(Table1[[#This Row],[Ask Price]]&gt;Table1[[#This Row],[Calculated Bond Price]],"Rich","Cheap")</f>
        <v>#N/A</v>
      </c>
      <c r="AE14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09" s="78" t="e">
        <f>(Table1[[#This Row],[P (+ shock)]]+Table1[[#This Row],[P (-shock)]]-2*Table1[[#This Row],[Ask Price]])/(2*Table1[[#This Row],[Ask Price]]*($AF$2^2))</f>
        <v>#N/A</v>
      </c>
      <c r="AH1409">
        <v>7.7636210590756001</v>
      </c>
      <c r="AI1409" s="6" t="e">
        <f t="shared" si="85"/>
        <v>#DIV/0!</v>
      </c>
      <c r="AK1409" s="47" t="e">
        <f>RATE(Table1[[#This Row],[Total No. of Coupons]],Table1[[#This Row],[Coupon Amount]],-Table1[[#This Row],[Ask Price]],Table1[[#This Row],[Face value]])</f>
        <v>#N/A</v>
      </c>
      <c r="AL1409" s="27" t="e">
        <f>Table1[[#This Row],[IRR]]*Table1[[#This Row],[Coupon Frequency2]]</f>
        <v>#N/A</v>
      </c>
      <c r="AM1409" s="5" t="e">
        <f t="shared" si="86"/>
        <v>#N/A</v>
      </c>
      <c r="AN1409" t="s">
        <v>64</v>
      </c>
      <c r="AO1409" t="s">
        <v>62</v>
      </c>
      <c r="AP1409" t="str">
        <f t="shared" si="87"/>
        <v/>
      </c>
    </row>
    <row r="1410" spans="4:42" x14ac:dyDescent="0.35">
      <c r="D1410" s="21"/>
      <c r="E1410" s="21"/>
      <c r="L1410" s="22"/>
      <c r="S1410">
        <f t="shared" si="84"/>
        <v>0</v>
      </c>
      <c r="T1410" s="5" t="e" cm="1">
        <f t="array" ref="T14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0" t="e">
        <f>Table1[[#This Row],[Term to Maturity (Years)]]*Table1[[#This Row],[Coupon Frequency2]]</f>
        <v>#N/A</v>
      </c>
      <c r="V1410">
        <f>Table1[[#This Row],[Face value]]*Table1[[#This Row],[Current coupon %]]</f>
        <v>0</v>
      </c>
      <c r="W1410" s="36" t="e">
        <f>RATE(Table1[[#This Row],[Total No. of Coupons]],Table1[[#This Row],[Coupon Amount]],-Table1[[#This Row],[Ask Price]],Table1[[#This Row],[Face value]])</f>
        <v>#N/A</v>
      </c>
      <c r="X1410" s="27" t="e">
        <f>Table1[[#This Row],[IRR]]*Table1[[#This Row],[Coupon Frequency2]]</f>
        <v>#N/A</v>
      </c>
      <c r="Y1410" s="19" t="e" cm="1">
        <f t="array" ref="Y14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0" s="33" t="e">
        <f>DURATION(Table1[[#This Row],[Issue date]],Table1[[#This Row],[Maturity date]],Table1[[#This Row],[Current coupon %]],Table1[[#This Row],[Yield (Annualised)]],Table1[[#This Row],[Coupon Frequency2]])</f>
        <v>#N/A</v>
      </c>
      <c r="AA1410" s="33" t="e">
        <f>Table1[[#This Row],[Macaulay Duration in Years]]/(1+Table1[[#This Row],[IRR]])</f>
        <v>#N/A</v>
      </c>
      <c r="AB1410" s="58" t="e">
        <f>VLOOKUP(Table1[[#This Row],[Yield Cluster]],'Cluster Details'!$B$3:$C$16,2,0)</f>
        <v>#N/A</v>
      </c>
      <c r="AC14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0" s="58" t="e">
        <f>IF(Table1[[#This Row],[Ask Price]]&gt;Table1[[#This Row],[Calculated Bond Price]],"Rich","Cheap")</f>
        <v>#N/A</v>
      </c>
      <c r="AE14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0" s="78" t="e">
        <f>(Table1[[#This Row],[P (+ shock)]]+Table1[[#This Row],[P (-shock)]]-2*Table1[[#This Row],[Ask Price]])/(2*Table1[[#This Row],[Ask Price]]*($AF$2^2))</f>
        <v>#N/A</v>
      </c>
      <c r="AH1410">
        <v>13.004728587945801</v>
      </c>
      <c r="AI1410" s="6" t="e">
        <f t="shared" si="85"/>
        <v>#DIV/0!</v>
      </c>
      <c r="AK1410" s="47" t="e">
        <f>RATE(Table1[[#This Row],[Total No. of Coupons]],Table1[[#This Row],[Coupon Amount]],-Table1[[#This Row],[Ask Price]],Table1[[#This Row],[Face value]])</f>
        <v>#N/A</v>
      </c>
      <c r="AL1410" s="27" t="e">
        <f>Table1[[#This Row],[IRR]]*Table1[[#This Row],[Coupon Frequency2]]</f>
        <v>#N/A</v>
      </c>
      <c r="AM1410" s="5" t="e">
        <f t="shared" si="86"/>
        <v>#N/A</v>
      </c>
      <c r="AN1410" t="s">
        <v>64</v>
      </c>
      <c r="AO1410" t="s">
        <v>62</v>
      </c>
      <c r="AP1410" t="str">
        <f t="shared" si="87"/>
        <v/>
      </c>
    </row>
    <row r="1411" spans="4:42" x14ac:dyDescent="0.35">
      <c r="D1411" s="21"/>
      <c r="E1411" s="21"/>
      <c r="L1411" s="22"/>
      <c r="S1411">
        <f t="shared" si="84"/>
        <v>0</v>
      </c>
      <c r="T1411" s="5" t="e" cm="1">
        <f t="array" ref="T14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1" t="e">
        <f>Table1[[#This Row],[Term to Maturity (Years)]]*Table1[[#This Row],[Coupon Frequency2]]</f>
        <v>#N/A</v>
      </c>
      <c r="V1411">
        <f>Table1[[#This Row],[Face value]]*Table1[[#This Row],[Current coupon %]]</f>
        <v>0</v>
      </c>
      <c r="W1411" s="36" t="e">
        <f>RATE(Table1[[#This Row],[Total No. of Coupons]],Table1[[#This Row],[Coupon Amount]],-Table1[[#This Row],[Ask Price]],Table1[[#This Row],[Face value]])</f>
        <v>#N/A</v>
      </c>
      <c r="X1411" s="27" t="e">
        <f>Table1[[#This Row],[IRR]]*Table1[[#This Row],[Coupon Frequency2]]</f>
        <v>#N/A</v>
      </c>
      <c r="Y1411" s="19" t="e" cm="1">
        <f t="array" ref="Y14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1" s="33" t="e">
        <f>DURATION(Table1[[#This Row],[Issue date]],Table1[[#This Row],[Maturity date]],Table1[[#This Row],[Current coupon %]],Table1[[#This Row],[Yield (Annualised)]],Table1[[#This Row],[Coupon Frequency2]])</f>
        <v>#N/A</v>
      </c>
      <c r="AA1411" s="33" t="e">
        <f>Table1[[#This Row],[Macaulay Duration in Years]]/(1+Table1[[#This Row],[IRR]])</f>
        <v>#N/A</v>
      </c>
      <c r="AB1411" s="58" t="e">
        <f>VLOOKUP(Table1[[#This Row],[Yield Cluster]],'Cluster Details'!$B$3:$C$16,2,0)</f>
        <v>#N/A</v>
      </c>
      <c r="AC14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1" s="58" t="e">
        <f>IF(Table1[[#This Row],[Ask Price]]&gt;Table1[[#This Row],[Calculated Bond Price]],"Rich","Cheap")</f>
        <v>#N/A</v>
      </c>
      <c r="AE14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1" s="78" t="e">
        <f>(Table1[[#This Row],[P (+ shock)]]+Table1[[#This Row],[P (-shock)]]-2*Table1[[#This Row],[Ask Price]])/(2*Table1[[#This Row],[Ask Price]]*($AF$2^2))</f>
        <v>#N/A</v>
      </c>
      <c r="AH1411">
        <v>10.75</v>
      </c>
      <c r="AI1411" s="6" t="e">
        <f t="shared" si="85"/>
        <v>#DIV/0!</v>
      </c>
      <c r="AK1411" s="47" t="e">
        <f>RATE(Table1[[#This Row],[Total No. of Coupons]],Table1[[#This Row],[Coupon Amount]],-Table1[[#This Row],[Ask Price]],Table1[[#This Row],[Face value]])</f>
        <v>#N/A</v>
      </c>
      <c r="AL1411" s="27" t="e">
        <f>Table1[[#This Row],[IRR]]*Table1[[#This Row],[Coupon Frequency2]]</f>
        <v>#N/A</v>
      </c>
      <c r="AM1411" s="5" t="e">
        <f t="shared" si="86"/>
        <v>#N/A</v>
      </c>
      <c r="AN1411" t="s">
        <v>64</v>
      </c>
      <c r="AO1411" t="s">
        <v>62</v>
      </c>
      <c r="AP1411" t="str">
        <f t="shared" si="87"/>
        <v/>
      </c>
    </row>
    <row r="1412" spans="4:42" x14ac:dyDescent="0.35">
      <c r="D1412" s="21"/>
      <c r="E1412" s="21"/>
      <c r="L1412" s="22"/>
      <c r="S1412">
        <f t="shared" ref="S1412:S1475" si="88">ROUND(YEARFRAC(D1412,E1412),0)</f>
        <v>0</v>
      </c>
      <c r="T1412" s="5" t="e" cm="1">
        <f t="array" ref="T14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2" t="e">
        <f>Table1[[#This Row],[Term to Maturity (Years)]]*Table1[[#This Row],[Coupon Frequency2]]</f>
        <v>#N/A</v>
      </c>
      <c r="V1412">
        <f>Table1[[#This Row],[Face value]]*Table1[[#This Row],[Current coupon %]]</f>
        <v>0</v>
      </c>
      <c r="W1412" s="36" t="e">
        <f>RATE(Table1[[#This Row],[Total No. of Coupons]],Table1[[#This Row],[Coupon Amount]],-Table1[[#This Row],[Ask Price]],Table1[[#This Row],[Face value]])</f>
        <v>#N/A</v>
      </c>
      <c r="X1412" s="27" t="e">
        <f>Table1[[#This Row],[IRR]]*Table1[[#This Row],[Coupon Frequency2]]</f>
        <v>#N/A</v>
      </c>
      <c r="Y1412" s="19" t="e" cm="1">
        <f t="array" ref="Y14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2" s="33" t="e">
        <f>DURATION(Table1[[#This Row],[Issue date]],Table1[[#This Row],[Maturity date]],Table1[[#This Row],[Current coupon %]],Table1[[#This Row],[Yield (Annualised)]],Table1[[#This Row],[Coupon Frequency2]])</f>
        <v>#N/A</v>
      </c>
      <c r="AA1412" s="33" t="e">
        <f>Table1[[#This Row],[Macaulay Duration in Years]]/(1+Table1[[#This Row],[IRR]])</f>
        <v>#N/A</v>
      </c>
      <c r="AB1412" s="58" t="e">
        <f>VLOOKUP(Table1[[#This Row],[Yield Cluster]],'Cluster Details'!$B$3:$C$16,2,0)</f>
        <v>#N/A</v>
      </c>
      <c r="AC14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2" s="58" t="e">
        <f>IF(Table1[[#This Row],[Ask Price]]&gt;Table1[[#This Row],[Calculated Bond Price]],"Rich","Cheap")</f>
        <v>#N/A</v>
      </c>
      <c r="AE14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2" s="78" t="e">
        <f>(Table1[[#This Row],[P (+ shock)]]+Table1[[#This Row],[P (-shock)]]-2*Table1[[#This Row],[Ask Price]])/(2*Table1[[#This Row],[Ask Price]]*($AF$2^2))</f>
        <v>#N/A</v>
      </c>
      <c r="AH1412">
        <v>4.0964144591816103</v>
      </c>
      <c r="AI1412" s="6" t="e">
        <f t="shared" ref="AI1412:AI1475" si="89">(L1412*F1412)/H1412</f>
        <v>#DIV/0!</v>
      </c>
      <c r="AK1412" s="47" t="e">
        <f>RATE(Table1[[#This Row],[Total No. of Coupons]],Table1[[#This Row],[Coupon Amount]],-Table1[[#This Row],[Ask Price]],Table1[[#This Row],[Face value]])</f>
        <v>#N/A</v>
      </c>
      <c r="AL1412" s="27" t="e">
        <f>Table1[[#This Row],[IRR]]*Table1[[#This Row],[Coupon Frequency2]]</f>
        <v>#N/A</v>
      </c>
      <c r="AM1412" s="5" t="e">
        <f t="shared" ref="AM1412:AM1475" si="90">-AA1412*H1412</f>
        <v>#N/A</v>
      </c>
      <c r="AN1412" t="s">
        <v>64</v>
      </c>
      <c r="AO1412" t="s">
        <v>62</v>
      </c>
      <c r="AP1412" t="str">
        <f t="shared" ref="AP1412:AP1475" si="91">_xlfn.SWITCH(PROPER(TRIM(M1412)),
   "Annual",1,
   "Semi-Annual",2,
   "Quarterly",4,
   "Monthly",12,
   "")</f>
        <v/>
      </c>
    </row>
    <row r="1413" spans="4:42" x14ac:dyDescent="0.35">
      <c r="D1413" s="21"/>
      <c r="E1413" s="21"/>
      <c r="L1413" s="22"/>
      <c r="S1413">
        <f t="shared" si="88"/>
        <v>0</v>
      </c>
      <c r="T1413" s="5" t="e" cm="1">
        <f t="array" ref="T14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3" t="e">
        <f>Table1[[#This Row],[Term to Maturity (Years)]]*Table1[[#This Row],[Coupon Frequency2]]</f>
        <v>#N/A</v>
      </c>
      <c r="V1413">
        <f>Table1[[#This Row],[Face value]]*Table1[[#This Row],[Current coupon %]]</f>
        <v>0</v>
      </c>
      <c r="W1413" s="36" t="e">
        <f>RATE(Table1[[#This Row],[Total No. of Coupons]],Table1[[#This Row],[Coupon Amount]],-Table1[[#This Row],[Ask Price]],Table1[[#This Row],[Face value]])</f>
        <v>#N/A</v>
      </c>
      <c r="X1413" s="27" t="e">
        <f>Table1[[#This Row],[IRR]]*Table1[[#This Row],[Coupon Frequency2]]</f>
        <v>#N/A</v>
      </c>
      <c r="Y1413" s="19" t="e" cm="1">
        <f t="array" ref="Y14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3" s="33" t="e">
        <f>DURATION(Table1[[#This Row],[Issue date]],Table1[[#This Row],[Maturity date]],Table1[[#This Row],[Current coupon %]],Table1[[#This Row],[Yield (Annualised)]],Table1[[#This Row],[Coupon Frequency2]])</f>
        <v>#N/A</v>
      </c>
      <c r="AA1413" s="33" t="e">
        <f>Table1[[#This Row],[Macaulay Duration in Years]]/(1+Table1[[#This Row],[IRR]])</f>
        <v>#N/A</v>
      </c>
      <c r="AB1413" s="58" t="e">
        <f>VLOOKUP(Table1[[#This Row],[Yield Cluster]],'Cluster Details'!$B$3:$C$16,2,0)</f>
        <v>#N/A</v>
      </c>
      <c r="AC14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3" s="58" t="e">
        <f>IF(Table1[[#This Row],[Ask Price]]&gt;Table1[[#This Row],[Calculated Bond Price]],"Rich","Cheap")</f>
        <v>#N/A</v>
      </c>
      <c r="AE14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3" s="78" t="e">
        <f>(Table1[[#This Row],[P (+ shock)]]+Table1[[#This Row],[P (-shock)]]-2*Table1[[#This Row],[Ask Price]])/(2*Table1[[#This Row],[Ask Price]]*($AF$2^2))</f>
        <v>#N/A</v>
      </c>
      <c r="AH1413">
        <v>4.3880918315027602</v>
      </c>
      <c r="AI1413" s="6" t="e">
        <f t="shared" si="89"/>
        <v>#DIV/0!</v>
      </c>
      <c r="AK1413" s="47" t="e">
        <f>RATE(Table1[[#This Row],[Total No. of Coupons]],Table1[[#This Row],[Coupon Amount]],-Table1[[#This Row],[Ask Price]],Table1[[#This Row],[Face value]])</f>
        <v>#N/A</v>
      </c>
      <c r="AL1413" s="27" t="e">
        <f>Table1[[#This Row],[IRR]]*Table1[[#This Row],[Coupon Frequency2]]</f>
        <v>#N/A</v>
      </c>
      <c r="AM1413" s="5" t="e">
        <f t="shared" si="90"/>
        <v>#N/A</v>
      </c>
      <c r="AN1413" t="s">
        <v>64</v>
      </c>
      <c r="AO1413" t="s">
        <v>62</v>
      </c>
      <c r="AP1413" t="str">
        <f t="shared" si="91"/>
        <v/>
      </c>
    </row>
    <row r="1414" spans="4:42" x14ac:dyDescent="0.35">
      <c r="D1414" s="21"/>
      <c r="E1414" s="21"/>
      <c r="L1414" s="22"/>
      <c r="S1414">
        <f t="shared" si="88"/>
        <v>0</v>
      </c>
      <c r="T1414" s="5" t="e" cm="1">
        <f t="array" ref="T14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4" t="e">
        <f>Table1[[#This Row],[Term to Maturity (Years)]]*Table1[[#This Row],[Coupon Frequency2]]</f>
        <v>#N/A</v>
      </c>
      <c r="V1414">
        <f>Table1[[#This Row],[Face value]]*Table1[[#This Row],[Current coupon %]]</f>
        <v>0</v>
      </c>
      <c r="W1414" s="36" t="e">
        <f>RATE(Table1[[#This Row],[Total No. of Coupons]],Table1[[#This Row],[Coupon Amount]],-Table1[[#This Row],[Ask Price]],Table1[[#This Row],[Face value]])</f>
        <v>#N/A</v>
      </c>
      <c r="X1414" s="27" t="e">
        <f>Table1[[#This Row],[IRR]]*Table1[[#This Row],[Coupon Frequency2]]</f>
        <v>#N/A</v>
      </c>
      <c r="Y1414" s="19" t="e" cm="1">
        <f t="array" ref="Y14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4" s="33" t="e">
        <f>DURATION(Table1[[#This Row],[Issue date]],Table1[[#This Row],[Maturity date]],Table1[[#This Row],[Current coupon %]],Table1[[#This Row],[Yield (Annualised)]],Table1[[#This Row],[Coupon Frequency2]])</f>
        <v>#N/A</v>
      </c>
      <c r="AA1414" s="33" t="e">
        <f>Table1[[#This Row],[Macaulay Duration in Years]]/(1+Table1[[#This Row],[IRR]])</f>
        <v>#N/A</v>
      </c>
      <c r="AB1414" s="58" t="e">
        <f>VLOOKUP(Table1[[#This Row],[Yield Cluster]],'Cluster Details'!$B$3:$C$16,2,0)</f>
        <v>#N/A</v>
      </c>
      <c r="AC14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4" s="58" t="e">
        <f>IF(Table1[[#This Row],[Ask Price]]&gt;Table1[[#This Row],[Calculated Bond Price]],"Rich","Cheap")</f>
        <v>#N/A</v>
      </c>
      <c r="AE14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4" s="78" t="e">
        <f>(Table1[[#This Row],[P (+ shock)]]+Table1[[#This Row],[P (-shock)]]-2*Table1[[#This Row],[Ask Price]])/(2*Table1[[#This Row],[Ask Price]]*($AF$2^2))</f>
        <v>#N/A</v>
      </c>
      <c r="AH1414">
        <v>4.4055720083360699</v>
      </c>
      <c r="AI1414" s="6" t="e">
        <f t="shared" si="89"/>
        <v>#DIV/0!</v>
      </c>
      <c r="AK1414" s="47" t="e">
        <f>RATE(Table1[[#This Row],[Total No. of Coupons]],Table1[[#This Row],[Coupon Amount]],-Table1[[#This Row],[Ask Price]],Table1[[#This Row],[Face value]])</f>
        <v>#N/A</v>
      </c>
      <c r="AL1414" s="27" t="e">
        <f>Table1[[#This Row],[IRR]]*Table1[[#This Row],[Coupon Frequency2]]</f>
        <v>#N/A</v>
      </c>
      <c r="AM1414" s="5" t="e">
        <f t="shared" si="90"/>
        <v>#N/A</v>
      </c>
      <c r="AN1414" t="s">
        <v>64</v>
      </c>
      <c r="AO1414" t="s">
        <v>62</v>
      </c>
      <c r="AP1414" t="str">
        <f t="shared" si="91"/>
        <v/>
      </c>
    </row>
    <row r="1415" spans="4:42" x14ac:dyDescent="0.35">
      <c r="D1415" s="21"/>
      <c r="E1415" s="21"/>
      <c r="L1415" s="22"/>
      <c r="S1415">
        <f t="shared" si="88"/>
        <v>0</v>
      </c>
      <c r="T1415" s="5" t="e" cm="1">
        <f t="array" ref="T14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5" t="e">
        <f>Table1[[#This Row],[Term to Maturity (Years)]]*Table1[[#This Row],[Coupon Frequency2]]</f>
        <v>#N/A</v>
      </c>
      <c r="V1415">
        <f>Table1[[#This Row],[Face value]]*Table1[[#This Row],[Current coupon %]]</f>
        <v>0</v>
      </c>
      <c r="W1415" s="36" t="e">
        <f>RATE(Table1[[#This Row],[Total No. of Coupons]],Table1[[#This Row],[Coupon Amount]],-Table1[[#This Row],[Ask Price]],Table1[[#This Row],[Face value]])</f>
        <v>#N/A</v>
      </c>
      <c r="X1415" s="27" t="e">
        <f>Table1[[#This Row],[IRR]]*Table1[[#This Row],[Coupon Frequency2]]</f>
        <v>#N/A</v>
      </c>
      <c r="Y1415" s="19" t="e" cm="1">
        <f t="array" ref="Y14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5" s="33" t="e">
        <f>DURATION(Table1[[#This Row],[Issue date]],Table1[[#This Row],[Maturity date]],Table1[[#This Row],[Current coupon %]],Table1[[#This Row],[Yield (Annualised)]],Table1[[#This Row],[Coupon Frequency2]])</f>
        <v>#N/A</v>
      </c>
      <c r="AA1415" s="33" t="e">
        <f>Table1[[#This Row],[Macaulay Duration in Years]]/(1+Table1[[#This Row],[IRR]])</f>
        <v>#N/A</v>
      </c>
      <c r="AB1415" s="58" t="e">
        <f>VLOOKUP(Table1[[#This Row],[Yield Cluster]],'Cluster Details'!$B$3:$C$16,2,0)</f>
        <v>#N/A</v>
      </c>
      <c r="AC14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5" s="58" t="e">
        <f>IF(Table1[[#This Row],[Ask Price]]&gt;Table1[[#This Row],[Calculated Bond Price]],"Rich","Cheap")</f>
        <v>#N/A</v>
      </c>
      <c r="AE14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5" s="78" t="e">
        <f>(Table1[[#This Row],[P (+ shock)]]+Table1[[#This Row],[P (-shock)]]-2*Table1[[#This Row],[Ask Price]])/(2*Table1[[#This Row],[Ask Price]]*($AF$2^2))</f>
        <v>#N/A</v>
      </c>
      <c r="AH1415">
        <v>4.6452324406630803</v>
      </c>
      <c r="AI1415" s="6" t="e">
        <f t="shared" si="89"/>
        <v>#DIV/0!</v>
      </c>
      <c r="AK1415" s="47" t="e">
        <f>RATE(Table1[[#This Row],[Total No. of Coupons]],Table1[[#This Row],[Coupon Amount]],-Table1[[#This Row],[Ask Price]],Table1[[#This Row],[Face value]])</f>
        <v>#N/A</v>
      </c>
      <c r="AL1415" s="27" t="e">
        <f>Table1[[#This Row],[IRR]]*Table1[[#This Row],[Coupon Frequency2]]</f>
        <v>#N/A</v>
      </c>
      <c r="AM1415" s="5" t="e">
        <f t="shared" si="90"/>
        <v>#N/A</v>
      </c>
      <c r="AN1415" t="s">
        <v>64</v>
      </c>
      <c r="AO1415" t="s">
        <v>62</v>
      </c>
      <c r="AP1415" t="str">
        <f t="shared" si="91"/>
        <v/>
      </c>
    </row>
    <row r="1416" spans="4:42" x14ac:dyDescent="0.35">
      <c r="D1416" s="21"/>
      <c r="E1416" s="21"/>
      <c r="L1416" s="22"/>
      <c r="S1416">
        <f t="shared" si="88"/>
        <v>0</v>
      </c>
      <c r="T1416" s="5" t="e" cm="1">
        <f t="array" ref="T14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6" t="e">
        <f>Table1[[#This Row],[Term to Maturity (Years)]]*Table1[[#This Row],[Coupon Frequency2]]</f>
        <v>#N/A</v>
      </c>
      <c r="V1416">
        <f>Table1[[#This Row],[Face value]]*Table1[[#This Row],[Current coupon %]]</f>
        <v>0</v>
      </c>
      <c r="W1416" s="36" t="e">
        <f>RATE(Table1[[#This Row],[Total No. of Coupons]],Table1[[#This Row],[Coupon Amount]],-Table1[[#This Row],[Ask Price]],Table1[[#This Row],[Face value]])</f>
        <v>#N/A</v>
      </c>
      <c r="X1416" s="27" t="e">
        <f>Table1[[#This Row],[IRR]]*Table1[[#This Row],[Coupon Frequency2]]</f>
        <v>#N/A</v>
      </c>
      <c r="Y1416" s="19" t="e" cm="1">
        <f t="array" ref="Y14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6" s="33" t="e">
        <f>DURATION(Table1[[#This Row],[Issue date]],Table1[[#This Row],[Maturity date]],Table1[[#This Row],[Current coupon %]],Table1[[#This Row],[Yield (Annualised)]],Table1[[#This Row],[Coupon Frequency2]])</f>
        <v>#N/A</v>
      </c>
      <c r="AA1416" s="33" t="e">
        <f>Table1[[#This Row],[Macaulay Duration in Years]]/(1+Table1[[#This Row],[IRR]])</f>
        <v>#N/A</v>
      </c>
      <c r="AB1416" s="58" t="e">
        <f>VLOOKUP(Table1[[#This Row],[Yield Cluster]],'Cluster Details'!$B$3:$C$16,2,0)</f>
        <v>#N/A</v>
      </c>
      <c r="AC14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6" s="58" t="e">
        <f>IF(Table1[[#This Row],[Ask Price]]&gt;Table1[[#This Row],[Calculated Bond Price]],"Rich","Cheap")</f>
        <v>#N/A</v>
      </c>
      <c r="AE14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6" s="78" t="e">
        <f>(Table1[[#This Row],[P (+ shock)]]+Table1[[#This Row],[P (-shock)]]-2*Table1[[#This Row],[Ask Price]])/(2*Table1[[#This Row],[Ask Price]]*($AF$2^2))</f>
        <v>#N/A</v>
      </c>
      <c r="AI1416" s="6" t="e">
        <f t="shared" si="89"/>
        <v>#DIV/0!</v>
      </c>
      <c r="AK1416" s="47" t="e">
        <f>RATE(Table1[[#This Row],[Total No. of Coupons]],Table1[[#This Row],[Coupon Amount]],-Table1[[#This Row],[Ask Price]],Table1[[#This Row],[Face value]])</f>
        <v>#N/A</v>
      </c>
      <c r="AL1416" s="27" t="e">
        <f>Table1[[#This Row],[IRR]]*Table1[[#This Row],[Coupon Frequency2]]</f>
        <v>#N/A</v>
      </c>
      <c r="AM1416" s="5" t="e">
        <f t="shared" si="90"/>
        <v>#N/A</v>
      </c>
      <c r="AN1416" t="s">
        <v>64</v>
      </c>
      <c r="AO1416" t="s">
        <v>62</v>
      </c>
      <c r="AP1416" t="str">
        <f t="shared" si="91"/>
        <v/>
      </c>
    </row>
    <row r="1417" spans="4:42" x14ac:dyDescent="0.35">
      <c r="D1417" s="21"/>
      <c r="E1417" s="21"/>
      <c r="L1417" s="22"/>
      <c r="S1417">
        <f t="shared" si="88"/>
        <v>0</v>
      </c>
      <c r="T1417" s="5" t="e" cm="1">
        <f t="array" ref="T14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7" t="e">
        <f>Table1[[#This Row],[Term to Maturity (Years)]]*Table1[[#This Row],[Coupon Frequency2]]</f>
        <v>#N/A</v>
      </c>
      <c r="V1417">
        <f>Table1[[#This Row],[Face value]]*Table1[[#This Row],[Current coupon %]]</f>
        <v>0</v>
      </c>
      <c r="W1417" s="36" t="e">
        <f>RATE(Table1[[#This Row],[Total No. of Coupons]],Table1[[#This Row],[Coupon Amount]],-Table1[[#This Row],[Ask Price]],Table1[[#This Row],[Face value]])</f>
        <v>#N/A</v>
      </c>
      <c r="X1417" s="27" t="e">
        <f>Table1[[#This Row],[IRR]]*Table1[[#This Row],[Coupon Frequency2]]</f>
        <v>#N/A</v>
      </c>
      <c r="Y1417" s="19" t="e" cm="1">
        <f t="array" ref="Y14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7" s="33" t="e">
        <f>DURATION(Table1[[#This Row],[Issue date]],Table1[[#This Row],[Maturity date]],Table1[[#This Row],[Current coupon %]],Table1[[#This Row],[Yield (Annualised)]],Table1[[#This Row],[Coupon Frequency2]])</f>
        <v>#N/A</v>
      </c>
      <c r="AA1417" s="33" t="e">
        <f>Table1[[#This Row],[Macaulay Duration in Years]]/(1+Table1[[#This Row],[IRR]])</f>
        <v>#N/A</v>
      </c>
      <c r="AB1417" s="58" t="e">
        <f>VLOOKUP(Table1[[#This Row],[Yield Cluster]],'Cluster Details'!$B$3:$C$16,2,0)</f>
        <v>#N/A</v>
      </c>
      <c r="AC14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7" s="58" t="e">
        <f>IF(Table1[[#This Row],[Ask Price]]&gt;Table1[[#This Row],[Calculated Bond Price]],"Rich","Cheap")</f>
        <v>#N/A</v>
      </c>
      <c r="AE14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7" s="78" t="e">
        <f>(Table1[[#This Row],[P (+ shock)]]+Table1[[#This Row],[P (-shock)]]-2*Table1[[#This Row],[Ask Price]])/(2*Table1[[#This Row],[Ask Price]]*($AF$2^2))</f>
        <v>#N/A</v>
      </c>
      <c r="AH1417">
        <v>4.5135332370788896</v>
      </c>
      <c r="AI1417" s="6" t="e">
        <f t="shared" si="89"/>
        <v>#DIV/0!</v>
      </c>
      <c r="AK1417" s="47" t="e">
        <f>RATE(Table1[[#This Row],[Total No. of Coupons]],Table1[[#This Row],[Coupon Amount]],-Table1[[#This Row],[Ask Price]],Table1[[#This Row],[Face value]])</f>
        <v>#N/A</v>
      </c>
      <c r="AL1417" s="27" t="e">
        <f>Table1[[#This Row],[IRR]]*Table1[[#This Row],[Coupon Frequency2]]</f>
        <v>#N/A</v>
      </c>
      <c r="AM1417" s="5" t="e">
        <f t="shared" si="90"/>
        <v>#N/A</v>
      </c>
      <c r="AN1417" t="s">
        <v>64</v>
      </c>
      <c r="AO1417" t="s">
        <v>62</v>
      </c>
      <c r="AP1417" t="str">
        <f t="shared" si="91"/>
        <v/>
      </c>
    </row>
    <row r="1418" spans="4:42" x14ac:dyDescent="0.35">
      <c r="D1418" s="21"/>
      <c r="E1418" s="21"/>
      <c r="L1418" s="22"/>
      <c r="S1418">
        <f t="shared" si="88"/>
        <v>0</v>
      </c>
      <c r="T1418" s="5" t="e" cm="1">
        <f t="array" ref="T14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8" t="e">
        <f>Table1[[#This Row],[Term to Maturity (Years)]]*Table1[[#This Row],[Coupon Frequency2]]</f>
        <v>#N/A</v>
      </c>
      <c r="V1418">
        <f>Table1[[#This Row],[Face value]]*Table1[[#This Row],[Current coupon %]]</f>
        <v>0</v>
      </c>
      <c r="W1418" s="36" t="e">
        <f>RATE(Table1[[#This Row],[Total No. of Coupons]],Table1[[#This Row],[Coupon Amount]],-Table1[[#This Row],[Ask Price]],Table1[[#This Row],[Face value]])</f>
        <v>#N/A</v>
      </c>
      <c r="X1418" s="27" t="e">
        <f>Table1[[#This Row],[IRR]]*Table1[[#This Row],[Coupon Frequency2]]</f>
        <v>#N/A</v>
      </c>
      <c r="Y1418" s="19" t="e" cm="1">
        <f t="array" ref="Y14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8" s="33" t="e">
        <f>DURATION(Table1[[#This Row],[Issue date]],Table1[[#This Row],[Maturity date]],Table1[[#This Row],[Current coupon %]],Table1[[#This Row],[Yield (Annualised)]],Table1[[#This Row],[Coupon Frequency2]])</f>
        <v>#N/A</v>
      </c>
      <c r="AA1418" s="33" t="e">
        <f>Table1[[#This Row],[Macaulay Duration in Years]]/(1+Table1[[#This Row],[IRR]])</f>
        <v>#N/A</v>
      </c>
      <c r="AB1418" s="58" t="e">
        <f>VLOOKUP(Table1[[#This Row],[Yield Cluster]],'Cluster Details'!$B$3:$C$16,2,0)</f>
        <v>#N/A</v>
      </c>
      <c r="AC14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8" s="58" t="e">
        <f>IF(Table1[[#This Row],[Ask Price]]&gt;Table1[[#This Row],[Calculated Bond Price]],"Rich","Cheap")</f>
        <v>#N/A</v>
      </c>
      <c r="AE14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8" s="78" t="e">
        <f>(Table1[[#This Row],[P (+ shock)]]+Table1[[#This Row],[P (-shock)]]-2*Table1[[#This Row],[Ask Price]])/(2*Table1[[#This Row],[Ask Price]]*($AF$2^2))</f>
        <v>#N/A</v>
      </c>
      <c r="AH1418">
        <v>4.2970625533455102</v>
      </c>
      <c r="AI1418" s="6" t="e">
        <f t="shared" si="89"/>
        <v>#DIV/0!</v>
      </c>
      <c r="AK1418" s="47" t="e">
        <f>RATE(Table1[[#This Row],[Total No. of Coupons]],Table1[[#This Row],[Coupon Amount]],-Table1[[#This Row],[Ask Price]],Table1[[#This Row],[Face value]])</f>
        <v>#N/A</v>
      </c>
      <c r="AL1418" s="27" t="e">
        <f>Table1[[#This Row],[IRR]]*Table1[[#This Row],[Coupon Frequency2]]</f>
        <v>#N/A</v>
      </c>
      <c r="AM1418" s="5" t="e">
        <f t="shared" si="90"/>
        <v>#N/A</v>
      </c>
      <c r="AN1418" t="s">
        <v>64</v>
      </c>
      <c r="AO1418" t="s">
        <v>62</v>
      </c>
      <c r="AP1418" t="str">
        <f t="shared" si="91"/>
        <v/>
      </c>
    </row>
    <row r="1419" spans="4:42" x14ac:dyDescent="0.35">
      <c r="D1419" s="21"/>
      <c r="E1419" s="21"/>
      <c r="L1419" s="22"/>
      <c r="S1419">
        <f t="shared" si="88"/>
        <v>0</v>
      </c>
      <c r="T1419" s="5" t="e" cm="1">
        <f t="array" ref="T14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19" t="e">
        <f>Table1[[#This Row],[Term to Maturity (Years)]]*Table1[[#This Row],[Coupon Frequency2]]</f>
        <v>#N/A</v>
      </c>
      <c r="V1419">
        <f>Table1[[#This Row],[Face value]]*Table1[[#This Row],[Current coupon %]]</f>
        <v>0</v>
      </c>
      <c r="W1419" s="36" t="e">
        <f>RATE(Table1[[#This Row],[Total No. of Coupons]],Table1[[#This Row],[Coupon Amount]],-Table1[[#This Row],[Ask Price]],Table1[[#This Row],[Face value]])</f>
        <v>#N/A</v>
      </c>
      <c r="X1419" s="27" t="e">
        <f>Table1[[#This Row],[IRR]]*Table1[[#This Row],[Coupon Frequency2]]</f>
        <v>#N/A</v>
      </c>
      <c r="Y1419" s="19" t="e" cm="1">
        <f t="array" ref="Y14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19" s="33" t="e">
        <f>DURATION(Table1[[#This Row],[Issue date]],Table1[[#This Row],[Maturity date]],Table1[[#This Row],[Current coupon %]],Table1[[#This Row],[Yield (Annualised)]],Table1[[#This Row],[Coupon Frequency2]])</f>
        <v>#N/A</v>
      </c>
      <c r="AA1419" s="33" t="e">
        <f>Table1[[#This Row],[Macaulay Duration in Years]]/(1+Table1[[#This Row],[IRR]])</f>
        <v>#N/A</v>
      </c>
      <c r="AB1419" s="58" t="e">
        <f>VLOOKUP(Table1[[#This Row],[Yield Cluster]],'Cluster Details'!$B$3:$C$16,2,0)</f>
        <v>#N/A</v>
      </c>
      <c r="AC14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19" s="58" t="e">
        <f>IF(Table1[[#This Row],[Ask Price]]&gt;Table1[[#This Row],[Calculated Bond Price]],"Rich","Cheap")</f>
        <v>#N/A</v>
      </c>
      <c r="AE14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19" s="78" t="e">
        <f>(Table1[[#This Row],[P (+ shock)]]+Table1[[#This Row],[P (-shock)]]-2*Table1[[#This Row],[Ask Price]])/(2*Table1[[#This Row],[Ask Price]]*($AF$2^2))</f>
        <v>#N/A</v>
      </c>
      <c r="AH1419">
        <v>7.1000208639981803</v>
      </c>
      <c r="AI1419" s="6" t="e">
        <f t="shared" si="89"/>
        <v>#DIV/0!</v>
      </c>
      <c r="AK1419" s="47" t="e">
        <f>RATE(Table1[[#This Row],[Total No. of Coupons]],Table1[[#This Row],[Coupon Amount]],-Table1[[#This Row],[Ask Price]],Table1[[#This Row],[Face value]])</f>
        <v>#N/A</v>
      </c>
      <c r="AL1419" s="27" t="e">
        <f>Table1[[#This Row],[IRR]]*Table1[[#This Row],[Coupon Frequency2]]</f>
        <v>#N/A</v>
      </c>
      <c r="AM1419" s="5" t="e">
        <f t="shared" si="90"/>
        <v>#N/A</v>
      </c>
      <c r="AN1419" t="s">
        <v>64</v>
      </c>
      <c r="AO1419" t="s">
        <v>62</v>
      </c>
      <c r="AP1419" t="str">
        <f t="shared" si="91"/>
        <v/>
      </c>
    </row>
    <row r="1420" spans="4:42" x14ac:dyDescent="0.35">
      <c r="D1420" s="21"/>
      <c r="E1420" s="21"/>
      <c r="L1420" s="22"/>
      <c r="S1420">
        <f t="shared" si="88"/>
        <v>0</v>
      </c>
      <c r="T1420" s="5" t="e" cm="1">
        <f t="array" ref="T14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0" t="e">
        <f>Table1[[#This Row],[Term to Maturity (Years)]]*Table1[[#This Row],[Coupon Frequency2]]</f>
        <v>#N/A</v>
      </c>
      <c r="V1420">
        <f>Table1[[#This Row],[Face value]]*Table1[[#This Row],[Current coupon %]]</f>
        <v>0</v>
      </c>
      <c r="W1420" s="36" t="e">
        <f>RATE(Table1[[#This Row],[Total No. of Coupons]],Table1[[#This Row],[Coupon Amount]],-Table1[[#This Row],[Ask Price]],Table1[[#This Row],[Face value]])</f>
        <v>#N/A</v>
      </c>
      <c r="X1420" s="27" t="e">
        <f>Table1[[#This Row],[IRR]]*Table1[[#This Row],[Coupon Frequency2]]</f>
        <v>#N/A</v>
      </c>
      <c r="Y1420" s="19" t="e" cm="1">
        <f t="array" ref="Y14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0" s="33" t="e">
        <f>DURATION(Table1[[#This Row],[Issue date]],Table1[[#This Row],[Maturity date]],Table1[[#This Row],[Current coupon %]],Table1[[#This Row],[Yield (Annualised)]],Table1[[#This Row],[Coupon Frequency2]])</f>
        <v>#N/A</v>
      </c>
      <c r="AA1420" s="33" t="e">
        <f>Table1[[#This Row],[Macaulay Duration in Years]]/(1+Table1[[#This Row],[IRR]])</f>
        <v>#N/A</v>
      </c>
      <c r="AB1420" s="58" t="e">
        <f>VLOOKUP(Table1[[#This Row],[Yield Cluster]],'Cluster Details'!$B$3:$C$16,2,0)</f>
        <v>#N/A</v>
      </c>
      <c r="AC14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0" s="58" t="e">
        <f>IF(Table1[[#This Row],[Ask Price]]&gt;Table1[[#This Row],[Calculated Bond Price]],"Rich","Cheap")</f>
        <v>#N/A</v>
      </c>
      <c r="AE14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0" s="78" t="e">
        <f>(Table1[[#This Row],[P (+ shock)]]+Table1[[#This Row],[P (-shock)]]-2*Table1[[#This Row],[Ask Price]])/(2*Table1[[#This Row],[Ask Price]]*($AF$2^2))</f>
        <v>#N/A</v>
      </c>
      <c r="AH1420">
        <v>12.646597194773999</v>
      </c>
      <c r="AI1420" s="6" t="e">
        <f t="shared" si="89"/>
        <v>#DIV/0!</v>
      </c>
      <c r="AK1420" s="47" t="e">
        <f>RATE(Table1[[#This Row],[Total No. of Coupons]],Table1[[#This Row],[Coupon Amount]],-Table1[[#This Row],[Ask Price]],Table1[[#This Row],[Face value]])</f>
        <v>#N/A</v>
      </c>
      <c r="AL1420" s="27" t="e">
        <f>Table1[[#This Row],[IRR]]*Table1[[#This Row],[Coupon Frequency2]]</f>
        <v>#N/A</v>
      </c>
      <c r="AM1420" s="5" t="e">
        <f t="shared" si="90"/>
        <v>#N/A</v>
      </c>
      <c r="AN1420" t="s">
        <v>64</v>
      </c>
      <c r="AO1420" t="s">
        <v>62</v>
      </c>
      <c r="AP1420" t="str">
        <f t="shared" si="91"/>
        <v/>
      </c>
    </row>
    <row r="1421" spans="4:42" x14ac:dyDescent="0.35">
      <c r="D1421" s="21"/>
      <c r="E1421" s="21"/>
      <c r="L1421" s="22"/>
      <c r="S1421">
        <f t="shared" si="88"/>
        <v>0</v>
      </c>
      <c r="T1421" s="5" t="e" cm="1">
        <f t="array" ref="T14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1" t="e">
        <f>Table1[[#This Row],[Term to Maturity (Years)]]*Table1[[#This Row],[Coupon Frequency2]]</f>
        <v>#N/A</v>
      </c>
      <c r="V1421">
        <f>Table1[[#This Row],[Face value]]*Table1[[#This Row],[Current coupon %]]</f>
        <v>0</v>
      </c>
      <c r="W1421" s="36" t="e">
        <f>RATE(Table1[[#This Row],[Total No. of Coupons]],Table1[[#This Row],[Coupon Amount]],-Table1[[#This Row],[Ask Price]],Table1[[#This Row],[Face value]])</f>
        <v>#N/A</v>
      </c>
      <c r="X1421" s="27" t="e">
        <f>Table1[[#This Row],[IRR]]*Table1[[#This Row],[Coupon Frequency2]]</f>
        <v>#N/A</v>
      </c>
      <c r="Y1421" s="19" t="e" cm="1">
        <f t="array" ref="Y14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1" s="33" t="e">
        <f>DURATION(Table1[[#This Row],[Issue date]],Table1[[#This Row],[Maturity date]],Table1[[#This Row],[Current coupon %]],Table1[[#This Row],[Yield (Annualised)]],Table1[[#This Row],[Coupon Frequency2]])</f>
        <v>#N/A</v>
      </c>
      <c r="AA1421" s="33" t="e">
        <f>Table1[[#This Row],[Macaulay Duration in Years]]/(1+Table1[[#This Row],[IRR]])</f>
        <v>#N/A</v>
      </c>
      <c r="AB1421" s="58" t="e">
        <f>VLOOKUP(Table1[[#This Row],[Yield Cluster]],'Cluster Details'!$B$3:$C$16,2,0)</f>
        <v>#N/A</v>
      </c>
      <c r="AC14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1" s="58" t="e">
        <f>IF(Table1[[#This Row],[Ask Price]]&gt;Table1[[#This Row],[Calculated Bond Price]],"Rich","Cheap")</f>
        <v>#N/A</v>
      </c>
      <c r="AE14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1" s="78" t="e">
        <f>(Table1[[#This Row],[P (+ shock)]]+Table1[[#This Row],[P (-shock)]]-2*Table1[[#This Row],[Ask Price]])/(2*Table1[[#This Row],[Ask Price]]*($AF$2^2))</f>
        <v>#N/A</v>
      </c>
      <c r="AH1421">
        <v>17.695985003763099</v>
      </c>
      <c r="AI1421" s="6" t="e">
        <f t="shared" si="89"/>
        <v>#DIV/0!</v>
      </c>
      <c r="AK1421" s="47" t="e">
        <f>RATE(Table1[[#This Row],[Total No. of Coupons]],Table1[[#This Row],[Coupon Amount]],-Table1[[#This Row],[Ask Price]],Table1[[#This Row],[Face value]])</f>
        <v>#N/A</v>
      </c>
      <c r="AL1421" s="27" t="e">
        <f>Table1[[#This Row],[IRR]]*Table1[[#This Row],[Coupon Frequency2]]</f>
        <v>#N/A</v>
      </c>
      <c r="AM1421" s="5" t="e">
        <f t="shared" si="90"/>
        <v>#N/A</v>
      </c>
      <c r="AN1421" t="s">
        <v>64</v>
      </c>
      <c r="AO1421" t="s">
        <v>62</v>
      </c>
      <c r="AP1421" t="str">
        <f t="shared" si="91"/>
        <v/>
      </c>
    </row>
    <row r="1422" spans="4:42" x14ac:dyDescent="0.35">
      <c r="D1422" s="21"/>
      <c r="E1422" s="21"/>
      <c r="L1422" s="22"/>
      <c r="S1422">
        <f t="shared" si="88"/>
        <v>0</v>
      </c>
      <c r="T1422" s="5" t="e" cm="1">
        <f t="array" ref="T142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2" t="e">
        <f>Table1[[#This Row],[Term to Maturity (Years)]]*Table1[[#This Row],[Coupon Frequency2]]</f>
        <v>#N/A</v>
      </c>
      <c r="V1422">
        <f>Table1[[#This Row],[Face value]]*Table1[[#This Row],[Current coupon %]]</f>
        <v>0</v>
      </c>
      <c r="W1422" s="36" t="e">
        <f>RATE(Table1[[#This Row],[Total No. of Coupons]],Table1[[#This Row],[Coupon Amount]],-Table1[[#This Row],[Ask Price]],Table1[[#This Row],[Face value]])</f>
        <v>#N/A</v>
      </c>
      <c r="X1422" s="27" t="e">
        <f>Table1[[#This Row],[IRR]]*Table1[[#This Row],[Coupon Frequency2]]</f>
        <v>#N/A</v>
      </c>
      <c r="Y1422" s="19" t="e" cm="1">
        <f t="array" ref="Y142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2" s="33" t="e">
        <f>DURATION(Table1[[#This Row],[Issue date]],Table1[[#This Row],[Maturity date]],Table1[[#This Row],[Current coupon %]],Table1[[#This Row],[Yield (Annualised)]],Table1[[#This Row],[Coupon Frequency2]])</f>
        <v>#N/A</v>
      </c>
      <c r="AA1422" s="33" t="e">
        <f>Table1[[#This Row],[Macaulay Duration in Years]]/(1+Table1[[#This Row],[IRR]])</f>
        <v>#N/A</v>
      </c>
      <c r="AB1422" s="58" t="e">
        <f>VLOOKUP(Table1[[#This Row],[Yield Cluster]],'Cluster Details'!$B$3:$C$16,2,0)</f>
        <v>#N/A</v>
      </c>
      <c r="AC142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2" s="58" t="e">
        <f>IF(Table1[[#This Row],[Ask Price]]&gt;Table1[[#This Row],[Calculated Bond Price]],"Rich","Cheap")</f>
        <v>#N/A</v>
      </c>
      <c r="AE142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2" s="78" t="e">
        <f>(Table1[[#This Row],[P (+ shock)]]+Table1[[#This Row],[P (-shock)]]-2*Table1[[#This Row],[Ask Price]])/(2*Table1[[#This Row],[Ask Price]]*($AF$2^2))</f>
        <v>#N/A</v>
      </c>
      <c r="AH1422">
        <v>9.6999999999999993</v>
      </c>
      <c r="AI1422" s="6" t="e">
        <f t="shared" si="89"/>
        <v>#DIV/0!</v>
      </c>
      <c r="AK1422" s="47" t="e">
        <f>RATE(Table1[[#This Row],[Total No. of Coupons]],Table1[[#This Row],[Coupon Amount]],-Table1[[#This Row],[Ask Price]],Table1[[#This Row],[Face value]])</f>
        <v>#N/A</v>
      </c>
      <c r="AL1422" s="27" t="e">
        <f>Table1[[#This Row],[IRR]]*Table1[[#This Row],[Coupon Frequency2]]</f>
        <v>#N/A</v>
      </c>
      <c r="AM1422" s="5" t="e">
        <f t="shared" si="90"/>
        <v>#N/A</v>
      </c>
      <c r="AN1422" t="s">
        <v>64</v>
      </c>
      <c r="AO1422" t="s">
        <v>62</v>
      </c>
      <c r="AP1422" t="str">
        <f t="shared" si="91"/>
        <v/>
      </c>
    </row>
    <row r="1423" spans="4:42" x14ac:dyDescent="0.35">
      <c r="D1423" s="21"/>
      <c r="E1423" s="21"/>
      <c r="L1423" s="22"/>
      <c r="S1423">
        <f t="shared" si="88"/>
        <v>0</v>
      </c>
      <c r="T1423" s="5" t="e" cm="1">
        <f t="array" ref="T142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3" t="e">
        <f>Table1[[#This Row],[Term to Maturity (Years)]]*Table1[[#This Row],[Coupon Frequency2]]</f>
        <v>#N/A</v>
      </c>
      <c r="V1423">
        <f>Table1[[#This Row],[Face value]]*Table1[[#This Row],[Current coupon %]]</f>
        <v>0</v>
      </c>
      <c r="W1423" s="36" t="e">
        <f>RATE(Table1[[#This Row],[Total No. of Coupons]],Table1[[#This Row],[Coupon Amount]],-Table1[[#This Row],[Ask Price]],Table1[[#This Row],[Face value]])</f>
        <v>#N/A</v>
      </c>
      <c r="X1423" s="27" t="e">
        <f>Table1[[#This Row],[IRR]]*Table1[[#This Row],[Coupon Frequency2]]</f>
        <v>#N/A</v>
      </c>
      <c r="Y1423" s="19" t="e" cm="1">
        <f t="array" ref="Y142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3" s="33" t="e">
        <f>DURATION(Table1[[#This Row],[Issue date]],Table1[[#This Row],[Maturity date]],Table1[[#This Row],[Current coupon %]],Table1[[#This Row],[Yield (Annualised)]],Table1[[#This Row],[Coupon Frequency2]])</f>
        <v>#N/A</v>
      </c>
      <c r="AA1423" s="33" t="e">
        <f>Table1[[#This Row],[Macaulay Duration in Years]]/(1+Table1[[#This Row],[IRR]])</f>
        <v>#N/A</v>
      </c>
      <c r="AB1423" s="58" t="e">
        <f>VLOOKUP(Table1[[#This Row],[Yield Cluster]],'Cluster Details'!$B$3:$C$16,2,0)</f>
        <v>#N/A</v>
      </c>
      <c r="AC142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3" s="58" t="e">
        <f>IF(Table1[[#This Row],[Ask Price]]&gt;Table1[[#This Row],[Calculated Bond Price]],"Rich","Cheap")</f>
        <v>#N/A</v>
      </c>
      <c r="AE142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3" s="78" t="e">
        <f>(Table1[[#This Row],[P (+ shock)]]+Table1[[#This Row],[P (-shock)]]-2*Table1[[#This Row],[Ask Price]])/(2*Table1[[#This Row],[Ask Price]]*($AF$2^2))</f>
        <v>#N/A</v>
      </c>
      <c r="AH1423">
        <v>7.8094219708368398</v>
      </c>
      <c r="AI1423" s="6" t="e">
        <f t="shared" si="89"/>
        <v>#DIV/0!</v>
      </c>
      <c r="AK1423" s="47" t="e">
        <f>RATE(Table1[[#This Row],[Total No. of Coupons]],Table1[[#This Row],[Coupon Amount]],-Table1[[#This Row],[Ask Price]],Table1[[#This Row],[Face value]])</f>
        <v>#N/A</v>
      </c>
      <c r="AL1423" s="27" t="e">
        <f>Table1[[#This Row],[IRR]]*Table1[[#This Row],[Coupon Frequency2]]</f>
        <v>#N/A</v>
      </c>
      <c r="AM1423" s="5" t="e">
        <f t="shared" si="90"/>
        <v>#N/A</v>
      </c>
      <c r="AN1423" t="s">
        <v>64</v>
      </c>
      <c r="AO1423" t="s">
        <v>62</v>
      </c>
      <c r="AP1423" t="str">
        <f t="shared" si="91"/>
        <v/>
      </c>
    </row>
    <row r="1424" spans="4:42" x14ac:dyDescent="0.35">
      <c r="D1424" s="21"/>
      <c r="E1424" s="21"/>
      <c r="L1424" s="22"/>
      <c r="S1424">
        <f t="shared" si="88"/>
        <v>0</v>
      </c>
      <c r="T1424" s="5" t="e" cm="1">
        <f t="array" ref="T142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4" t="e">
        <f>Table1[[#This Row],[Term to Maturity (Years)]]*Table1[[#This Row],[Coupon Frequency2]]</f>
        <v>#N/A</v>
      </c>
      <c r="V1424">
        <f>Table1[[#This Row],[Face value]]*Table1[[#This Row],[Current coupon %]]</f>
        <v>0</v>
      </c>
      <c r="W1424" s="36" t="e">
        <f>RATE(Table1[[#This Row],[Total No. of Coupons]],Table1[[#This Row],[Coupon Amount]],-Table1[[#This Row],[Ask Price]],Table1[[#This Row],[Face value]])</f>
        <v>#N/A</v>
      </c>
      <c r="X1424" s="27" t="e">
        <f>Table1[[#This Row],[IRR]]*Table1[[#This Row],[Coupon Frequency2]]</f>
        <v>#N/A</v>
      </c>
      <c r="Y1424" s="19" t="e" cm="1">
        <f t="array" ref="Y142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4" s="33" t="e">
        <f>DURATION(Table1[[#This Row],[Issue date]],Table1[[#This Row],[Maturity date]],Table1[[#This Row],[Current coupon %]],Table1[[#This Row],[Yield (Annualised)]],Table1[[#This Row],[Coupon Frequency2]])</f>
        <v>#N/A</v>
      </c>
      <c r="AA1424" s="33" t="e">
        <f>Table1[[#This Row],[Macaulay Duration in Years]]/(1+Table1[[#This Row],[IRR]])</f>
        <v>#N/A</v>
      </c>
      <c r="AB1424" s="58" t="e">
        <f>VLOOKUP(Table1[[#This Row],[Yield Cluster]],'Cluster Details'!$B$3:$C$16,2,0)</f>
        <v>#N/A</v>
      </c>
      <c r="AC142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4" s="58" t="e">
        <f>IF(Table1[[#This Row],[Ask Price]]&gt;Table1[[#This Row],[Calculated Bond Price]],"Rich","Cheap")</f>
        <v>#N/A</v>
      </c>
      <c r="AE142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4" s="78" t="e">
        <f>(Table1[[#This Row],[P (+ shock)]]+Table1[[#This Row],[P (-shock)]]-2*Table1[[#This Row],[Ask Price]])/(2*Table1[[#This Row],[Ask Price]]*($AF$2^2))</f>
        <v>#N/A</v>
      </c>
      <c r="AI1424" s="6" t="e">
        <f t="shared" si="89"/>
        <v>#DIV/0!</v>
      </c>
      <c r="AK1424" s="47" t="e">
        <f>RATE(Table1[[#This Row],[Total No. of Coupons]],Table1[[#This Row],[Coupon Amount]],-Table1[[#This Row],[Ask Price]],Table1[[#This Row],[Face value]])</f>
        <v>#N/A</v>
      </c>
      <c r="AL1424" s="27" t="e">
        <f>Table1[[#This Row],[IRR]]*Table1[[#This Row],[Coupon Frequency2]]</f>
        <v>#N/A</v>
      </c>
      <c r="AM1424" s="5" t="e">
        <f t="shared" si="90"/>
        <v>#N/A</v>
      </c>
      <c r="AN1424" t="s">
        <v>64</v>
      </c>
      <c r="AO1424" t="s">
        <v>62</v>
      </c>
      <c r="AP1424" t="str">
        <f t="shared" si="91"/>
        <v/>
      </c>
    </row>
    <row r="1425" spans="4:42" x14ac:dyDescent="0.35">
      <c r="D1425" s="21"/>
      <c r="E1425" s="21"/>
      <c r="L1425" s="22"/>
      <c r="S1425">
        <f t="shared" si="88"/>
        <v>0</v>
      </c>
      <c r="T1425" s="5" t="e" cm="1">
        <f t="array" ref="T142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5" t="e">
        <f>Table1[[#This Row],[Term to Maturity (Years)]]*Table1[[#This Row],[Coupon Frequency2]]</f>
        <v>#N/A</v>
      </c>
      <c r="V1425">
        <f>Table1[[#This Row],[Face value]]*Table1[[#This Row],[Current coupon %]]</f>
        <v>0</v>
      </c>
      <c r="W1425" s="36" t="e">
        <f>RATE(Table1[[#This Row],[Total No. of Coupons]],Table1[[#This Row],[Coupon Amount]],-Table1[[#This Row],[Ask Price]],Table1[[#This Row],[Face value]])</f>
        <v>#N/A</v>
      </c>
      <c r="X1425" s="27" t="e">
        <f>Table1[[#This Row],[IRR]]*Table1[[#This Row],[Coupon Frequency2]]</f>
        <v>#N/A</v>
      </c>
      <c r="Y1425" s="19" t="e" cm="1">
        <f t="array" ref="Y142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5" s="33" t="e">
        <f>DURATION(Table1[[#This Row],[Issue date]],Table1[[#This Row],[Maturity date]],Table1[[#This Row],[Current coupon %]],Table1[[#This Row],[Yield (Annualised)]],Table1[[#This Row],[Coupon Frequency2]])</f>
        <v>#N/A</v>
      </c>
      <c r="AA1425" s="33" t="e">
        <f>Table1[[#This Row],[Macaulay Duration in Years]]/(1+Table1[[#This Row],[IRR]])</f>
        <v>#N/A</v>
      </c>
      <c r="AB1425" s="58" t="e">
        <f>VLOOKUP(Table1[[#This Row],[Yield Cluster]],'Cluster Details'!$B$3:$C$16,2,0)</f>
        <v>#N/A</v>
      </c>
      <c r="AC142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5" s="58" t="e">
        <f>IF(Table1[[#This Row],[Ask Price]]&gt;Table1[[#This Row],[Calculated Bond Price]],"Rich","Cheap")</f>
        <v>#N/A</v>
      </c>
      <c r="AE142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5" s="78" t="e">
        <f>(Table1[[#This Row],[P (+ shock)]]+Table1[[#This Row],[P (-shock)]]-2*Table1[[#This Row],[Ask Price]])/(2*Table1[[#This Row],[Ask Price]]*($AF$2^2))</f>
        <v>#N/A</v>
      </c>
      <c r="AH1425">
        <v>4.4400905607802104</v>
      </c>
      <c r="AI1425" s="6" t="e">
        <f t="shared" si="89"/>
        <v>#DIV/0!</v>
      </c>
      <c r="AK1425" s="47" t="e">
        <f>RATE(Table1[[#This Row],[Total No. of Coupons]],Table1[[#This Row],[Coupon Amount]],-Table1[[#This Row],[Ask Price]],Table1[[#This Row],[Face value]])</f>
        <v>#N/A</v>
      </c>
      <c r="AL1425" s="27" t="e">
        <f>Table1[[#This Row],[IRR]]*Table1[[#This Row],[Coupon Frequency2]]</f>
        <v>#N/A</v>
      </c>
      <c r="AM1425" s="5" t="e">
        <f t="shared" si="90"/>
        <v>#N/A</v>
      </c>
      <c r="AN1425" t="s">
        <v>64</v>
      </c>
      <c r="AO1425" t="s">
        <v>62</v>
      </c>
      <c r="AP1425" t="str">
        <f t="shared" si="91"/>
        <v/>
      </c>
    </row>
    <row r="1426" spans="4:42" x14ac:dyDescent="0.35">
      <c r="D1426" s="21"/>
      <c r="E1426" s="21"/>
      <c r="L1426" s="22"/>
      <c r="S1426">
        <f t="shared" si="88"/>
        <v>0</v>
      </c>
      <c r="T1426" s="5" t="e" cm="1">
        <f t="array" ref="T142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6" t="e">
        <f>Table1[[#This Row],[Term to Maturity (Years)]]*Table1[[#This Row],[Coupon Frequency2]]</f>
        <v>#N/A</v>
      </c>
      <c r="V1426">
        <f>Table1[[#This Row],[Face value]]*Table1[[#This Row],[Current coupon %]]</f>
        <v>0</v>
      </c>
      <c r="W1426" s="36" t="e">
        <f>RATE(Table1[[#This Row],[Total No. of Coupons]],Table1[[#This Row],[Coupon Amount]],-Table1[[#This Row],[Ask Price]],Table1[[#This Row],[Face value]])</f>
        <v>#N/A</v>
      </c>
      <c r="X1426" s="27" t="e">
        <f>Table1[[#This Row],[IRR]]*Table1[[#This Row],[Coupon Frequency2]]</f>
        <v>#N/A</v>
      </c>
      <c r="Y1426" s="19" t="e" cm="1">
        <f t="array" ref="Y142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6" s="33" t="e">
        <f>DURATION(Table1[[#This Row],[Issue date]],Table1[[#This Row],[Maturity date]],Table1[[#This Row],[Current coupon %]],Table1[[#This Row],[Yield (Annualised)]],Table1[[#This Row],[Coupon Frequency2]])</f>
        <v>#N/A</v>
      </c>
      <c r="AA1426" s="33" t="e">
        <f>Table1[[#This Row],[Macaulay Duration in Years]]/(1+Table1[[#This Row],[IRR]])</f>
        <v>#N/A</v>
      </c>
      <c r="AB1426" s="58" t="e">
        <f>VLOOKUP(Table1[[#This Row],[Yield Cluster]],'Cluster Details'!$B$3:$C$16,2,0)</f>
        <v>#N/A</v>
      </c>
      <c r="AC142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6" s="58" t="e">
        <f>IF(Table1[[#This Row],[Ask Price]]&gt;Table1[[#This Row],[Calculated Bond Price]],"Rich","Cheap")</f>
        <v>#N/A</v>
      </c>
      <c r="AE142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6" s="78" t="e">
        <f>(Table1[[#This Row],[P (+ shock)]]+Table1[[#This Row],[P (-shock)]]-2*Table1[[#This Row],[Ask Price]])/(2*Table1[[#This Row],[Ask Price]]*($AF$2^2))</f>
        <v>#N/A</v>
      </c>
      <c r="AH1426">
        <v>2.68436806799048</v>
      </c>
      <c r="AI1426" s="6" t="e">
        <f t="shared" si="89"/>
        <v>#DIV/0!</v>
      </c>
      <c r="AK1426" s="47" t="e">
        <f>RATE(Table1[[#This Row],[Total No. of Coupons]],Table1[[#This Row],[Coupon Amount]],-Table1[[#This Row],[Ask Price]],Table1[[#This Row],[Face value]])</f>
        <v>#N/A</v>
      </c>
      <c r="AL1426" s="27" t="e">
        <f>Table1[[#This Row],[IRR]]*Table1[[#This Row],[Coupon Frequency2]]</f>
        <v>#N/A</v>
      </c>
      <c r="AM1426" s="5" t="e">
        <f t="shared" si="90"/>
        <v>#N/A</v>
      </c>
      <c r="AN1426" t="s">
        <v>64</v>
      </c>
      <c r="AO1426" t="s">
        <v>62</v>
      </c>
      <c r="AP1426" t="str">
        <f t="shared" si="91"/>
        <v/>
      </c>
    </row>
    <row r="1427" spans="4:42" x14ac:dyDescent="0.35">
      <c r="D1427" s="21"/>
      <c r="E1427" s="21"/>
      <c r="L1427" s="22"/>
      <c r="S1427">
        <f t="shared" si="88"/>
        <v>0</v>
      </c>
      <c r="T1427" s="5" t="e" cm="1">
        <f t="array" ref="T142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7" t="e">
        <f>Table1[[#This Row],[Term to Maturity (Years)]]*Table1[[#This Row],[Coupon Frequency2]]</f>
        <v>#N/A</v>
      </c>
      <c r="V1427">
        <f>Table1[[#This Row],[Face value]]*Table1[[#This Row],[Current coupon %]]</f>
        <v>0</v>
      </c>
      <c r="W1427" s="36" t="e">
        <f>RATE(Table1[[#This Row],[Total No. of Coupons]],Table1[[#This Row],[Coupon Amount]],-Table1[[#This Row],[Ask Price]],Table1[[#This Row],[Face value]])</f>
        <v>#N/A</v>
      </c>
      <c r="X1427" s="27" t="e">
        <f>Table1[[#This Row],[IRR]]*Table1[[#This Row],[Coupon Frequency2]]</f>
        <v>#N/A</v>
      </c>
      <c r="Y1427" s="19" t="e" cm="1">
        <f t="array" ref="Y142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7" s="33" t="e">
        <f>DURATION(Table1[[#This Row],[Issue date]],Table1[[#This Row],[Maturity date]],Table1[[#This Row],[Current coupon %]],Table1[[#This Row],[Yield (Annualised)]],Table1[[#This Row],[Coupon Frequency2]])</f>
        <v>#N/A</v>
      </c>
      <c r="AA1427" s="33" t="e">
        <f>Table1[[#This Row],[Macaulay Duration in Years]]/(1+Table1[[#This Row],[IRR]])</f>
        <v>#N/A</v>
      </c>
      <c r="AB1427" s="58" t="e">
        <f>VLOOKUP(Table1[[#This Row],[Yield Cluster]],'Cluster Details'!$B$3:$C$16,2,0)</f>
        <v>#N/A</v>
      </c>
      <c r="AC142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7" s="58" t="e">
        <f>IF(Table1[[#This Row],[Ask Price]]&gt;Table1[[#This Row],[Calculated Bond Price]],"Rich","Cheap")</f>
        <v>#N/A</v>
      </c>
      <c r="AE142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7" s="78" t="e">
        <f>(Table1[[#This Row],[P (+ shock)]]+Table1[[#This Row],[P (-shock)]]-2*Table1[[#This Row],[Ask Price]])/(2*Table1[[#This Row],[Ask Price]]*($AF$2^2))</f>
        <v>#N/A</v>
      </c>
      <c r="AH1427">
        <v>10.4743195091304</v>
      </c>
      <c r="AI1427" s="6" t="e">
        <f t="shared" si="89"/>
        <v>#DIV/0!</v>
      </c>
      <c r="AK1427" s="47" t="e">
        <f>RATE(Table1[[#This Row],[Total No. of Coupons]],Table1[[#This Row],[Coupon Amount]],-Table1[[#This Row],[Ask Price]],Table1[[#This Row],[Face value]])</f>
        <v>#N/A</v>
      </c>
      <c r="AL1427" s="27" t="e">
        <f>Table1[[#This Row],[IRR]]*Table1[[#This Row],[Coupon Frequency2]]</f>
        <v>#N/A</v>
      </c>
      <c r="AM1427" s="5" t="e">
        <f t="shared" si="90"/>
        <v>#N/A</v>
      </c>
      <c r="AN1427" t="s">
        <v>64</v>
      </c>
      <c r="AO1427" t="s">
        <v>62</v>
      </c>
      <c r="AP1427" t="str">
        <f t="shared" si="91"/>
        <v/>
      </c>
    </row>
    <row r="1428" spans="4:42" x14ac:dyDescent="0.35">
      <c r="D1428" s="21"/>
      <c r="E1428" s="21"/>
      <c r="L1428" s="22"/>
      <c r="S1428">
        <f t="shared" si="88"/>
        <v>0</v>
      </c>
      <c r="T1428" s="5" t="e" cm="1">
        <f t="array" ref="T142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8" t="e">
        <f>Table1[[#This Row],[Term to Maturity (Years)]]*Table1[[#This Row],[Coupon Frequency2]]</f>
        <v>#N/A</v>
      </c>
      <c r="V1428">
        <f>Table1[[#This Row],[Face value]]*Table1[[#This Row],[Current coupon %]]</f>
        <v>0</v>
      </c>
      <c r="W1428" s="36" t="e">
        <f>RATE(Table1[[#This Row],[Total No. of Coupons]],Table1[[#This Row],[Coupon Amount]],-Table1[[#This Row],[Ask Price]],Table1[[#This Row],[Face value]])</f>
        <v>#N/A</v>
      </c>
      <c r="X1428" s="27" t="e">
        <f>Table1[[#This Row],[IRR]]*Table1[[#This Row],[Coupon Frequency2]]</f>
        <v>#N/A</v>
      </c>
      <c r="Y1428" s="19" t="e" cm="1">
        <f t="array" ref="Y142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8" s="33" t="e">
        <f>DURATION(Table1[[#This Row],[Issue date]],Table1[[#This Row],[Maturity date]],Table1[[#This Row],[Current coupon %]],Table1[[#This Row],[Yield (Annualised)]],Table1[[#This Row],[Coupon Frequency2]])</f>
        <v>#N/A</v>
      </c>
      <c r="AA1428" s="33" t="e">
        <f>Table1[[#This Row],[Macaulay Duration in Years]]/(1+Table1[[#This Row],[IRR]])</f>
        <v>#N/A</v>
      </c>
      <c r="AB1428" s="58" t="e">
        <f>VLOOKUP(Table1[[#This Row],[Yield Cluster]],'Cluster Details'!$B$3:$C$16,2,0)</f>
        <v>#N/A</v>
      </c>
      <c r="AC142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8" s="58" t="e">
        <f>IF(Table1[[#This Row],[Ask Price]]&gt;Table1[[#This Row],[Calculated Bond Price]],"Rich","Cheap")</f>
        <v>#N/A</v>
      </c>
      <c r="AE142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8" s="78" t="e">
        <f>(Table1[[#This Row],[P (+ shock)]]+Table1[[#This Row],[P (-shock)]]-2*Table1[[#This Row],[Ask Price]])/(2*Table1[[#This Row],[Ask Price]]*($AF$2^2))</f>
        <v>#N/A</v>
      </c>
      <c r="AH1428">
        <v>11.1588161816835</v>
      </c>
      <c r="AI1428" s="6" t="e">
        <f t="shared" si="89"/>
        <v>#DIV/0!</v>
      </c>
      <c r="AK1428" s="47" t="e">
        <f>RATE(Table1[[#This Row],[Total No. of Coupons]],Table1[[#This Row],[Coupon Amount]],-Table1[[#This Row],[Ask Price]],Table1[[#This Row],[Face value]])</f>
        <v>#N/A</v>
      </c>
      <c r="AL1428" s="27" t="e">
        <f>Table1[[#This Row],[IRR]]*Table1[[#This Row],[Coupon Frequency2]]</f>
        <v>#N/A</v>
      </c>
      <c r="AM1428" s="5" t="e">
        <f t="shared" si="90"/>
        <v>#N/A</v>
      </c>
      <c r="AN1428" t="s">
        <v>64</v>
      </c>
      <c r="AO1428" t="s">
        <v>62</v>
      </c>
      <c r="AP1428" t="str">
        <f t="shared" si="91"/>
        <v/>
      </c>
    </row>
    <row r="1429" spans="4:42" x14ac:dyDescent="0.35">
      <c r="D1429" s="21"/>
      <c r="E1429" s="21"/>
      <c r="L1429" s="22"/>
      <c r="S1429">
        <f t="shared" si="88"/>
        <v>0</v>
      </c>
      <c r="T1429" s="5" t="e" cm="1">
        <f t="array" ref="T142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29" t="e">
        <f>Table1[[#This Row],[Term to Maturity (Years)]]*Table1[[#This Row],[Coupon Frequency2]]</f>
        <v>#N/A</v>
      </c>
      <c r="V1429">
        <f>Table1[[#This Row],[Face value]]*Table1[[#This Row],[Current coupon %]]</f>
        <v>0</v>
      </c>
      <c r="W1429" s="36" t="e">
        <f>RATE(Table1[[#This Row],[Total No. of Coupons]],Table1[[#This Row],[Coupon Amount]],-Table1[[#This Row],[Ask Price]],Table1[[#This Row],[Face value]])</f>
        <v>#N/A</v>
      </c>
      <c r="X1429" s="27" t="e">
        <f>Table1[[#This Row],[IRR]]*Table1[[#This Row],[Coupon Frequency2]]</f>
        <v>#N/A</v>
      </c>
      <c r="Y1429" s="19" t="e" cm="1">
        <f t="array" ref="Y142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29" s="33" t="e">
        <f>DURATION(Table1[[#This Row],[Issue date]],Table1[[#This Row],[Maturity date]],Table1[[#This Row],[Current coupon %]],Table1[[#This Row],[Yield (Annualised)]],Table1[[#This Row],[Coupon Frequency2]])</f>
        <v>#N/A</v>
      </c>
      <c r="AA1429" s="33" t="e">
        <f>Table1[[#This Row],[Macaulay Duration in Years]]/(1+Table1[[#This Row],[IRR]])</f>
        <v>#N/A</v>
      </c>
      <c r="AB1429" s="58" t="e">
        <f>VLOOKUP(Table1[[#This Row],[Yield Cluster]],'Cluster Details'!$B$3:$C$16,2,0)</f>
        <v>#N/A</v>
      </c>
      <c r="AC142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29" s="58" t="e">
        <f>IF(Table1[[#This Row],[Ask Price]]&gt;Table1[[#This Row],[Calculated Bond Price]],"Rich","Cheap")</f>
        <v>#N/A</v>
      </c>
      <c r="AE142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2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29" s="78" t="e">
        <f>(Table1[[#This Row],[P (+ shock)]]+Table1[[#This Row],[P (-shock)]]-2*Table1[[#This Row],[Ask Price]])/(2*Table1[[#This Row],[Ask Price]]*($AF$2^2))</f>
        <v>#N/A</v>
      </c>
      <c r="AH1429">
        <v>8.8313035385962593</v>
      </c>
      <c r="AI1429" s="6" t="e">
        <f t="shared" si="89"/>
        <v>#DIV/0!</v>
      </c>
      <c r="AK1429" s="47" t="e">
        <f>RATE(Table1[[#This Row],[Total No. of Coupons]],Table1[[#This Row],[Coupon Amount]],-Table1[[#This Row],[Ask Price]],Table1[[#This Row],[Face value]])</f>
        <v>#N/A</v>
      </c>
      <c r="AL1429" s="27" t="e">
        <f>Table1[[#This Row],[IRR]]*Table1[[#This Row],[Coupon Frequency2]]</f>
        <v>#N/A</v>
      </c>
      <c r="AM1429" s="5" t="e">
        <f t="shared" si="90"/>
        <v>#N/A</v>
      </c>
      <c r="AN1429" t="s">
        <v>64</v>
      </c>
      <c r="AO1429" t="s">
        <v>62</v>
      </c>
      <c r="AP1429" t="str">
        <f t="shared" si="91"/>
        <v/>
      </c>
    </row>
    <row r="1430" spans="4:42" x14ac:dyDescent="0.35">
      <c r="D1430" s="21"/>
      <c r="E1430" s="21"/>
      <c r="L1430" s="22"/>
      <c r="S1430">
        <f t="shared" si="88"/>
        <v>0</v>
      </c>
      <c r="T1430" s="5" t="e" cm="1">
        <f t="array" ref="T143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0" t="e">
        <f>Table1[[#This Row],[Term to Maturity (Years)]]*Table1[[#This Row],[Coupon Frequency2]]</f>
        <v>#N/A</v>
      </c>
      <c r="V1430">
        <f>Table1[[#This Row],[Face value]]*Table1[[#This Row],[Current coupon %]]</f>
        <v>0</v>
      </c>
      <c r="W1430" s="36" t="e">
        <f>RATE(Table1[[#This Row],[Total No. of Coupons]],Table1[[#This Row],[Coupon Amount]],-Table1[[#This Row],[Ask Price]],Table1[[#This Row],[Face value]])</f>
        <v>#N/A</v>
      </c>
      <c r="X1430" s="27" t="e">
        <f>Table1[[#This Row],[IRR]]*Table1[[#This Row],[Coupon Frequency2]]</f>
        <v>#N/A</v>
      </c>
      <c r="Y1430" s="19" t="e" cm="1">
        <f t="array" ref="Y143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0" s="33" t="e">
        <f>DURATION(Table1[[#This Row],[Issue date]],Table1[[#This Row],[Maturity date]],Table1[[#This Row],[Current coupon %]],Table1[[#This Row],[Yield (Annualised)]],Table1[[#This Row],[Coupon Frequency2]])</f>
        <v>#N/A</v>
      </c>
      <c r="AA1430" s="33" t="e">
        <f>Table1[[#This Row],[Macaulay Duration in Years]]/(1+Table1[[#This Row],[IRR]])</f>
        <v>#N/A</v>
      </c>
      <c r="AB1430" s="58" t="e">
        <f>VLOOKUP(Table1[[#This Row],[Yield Cluster]],'Cluster Details'!$B$3:$C$16,2,0)</f>
        <v>#N/A</v>
      </c>
      <c r="AC143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0" s="58" t="e">
        <f>IF(Table1[[#This Row],[Ask Price]]&gt;Table1[[#This Row],[Calculated Bond Price]],"Rich","Cheap")</f>
        <v>#N/A</v>
      </c>
      <c r="AE143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0" s="78" t="e">
        <f>(Table1[[#This Row],[P (+ shock)]]+Table1[[#This Row],[P (-shock)]]-2*Table1[[#This Row],[Ask Price]])/(2*Table1[[#This Row],[Ask Price]]*($AF$2^2))</f>
        <v>#N/A</v>
      </c>
      <c r="AI1430" s="6" t="e">
        <f t="shared" si="89"/>
        <v>#DIV/0!</v>
      </c>
      <c r="AK1430" s="47" t="e">
        <f>RATE(Table1[[#This Row],[Total No. of Coupons]],Table1[[#This Row],[Coupon Amount]],-Table1[[#This Row],[Ask Price]],Table1[[#This Row],[Face value]])</f>
        <v>#N/A</v>
      </c>
      <c r="AL1430" s="27" t="e">
        <f>Table1[[#This Row],[IRR]]*Table1[[#This Row],[Coupon Frequency2]]</f>
        <v>#N/A</v>
      </c>
      <c r="AM1430" s="5" t="e">
        <f t="shared" si="90"/>
        <v>#N/A</v>
      </c>
      <c r="AN1430" t="s">
        <v>64</v>
      </c>
      <c r="AO1430" t="s">
        <v>62</v>
      </c>
      <c r="AP1430" t="str">
        <f t="shared" si="91"/>
        <v/>
      </c>
    </row>
    <row r="1431" spans="4:42" x14ac:dyDescent="0.35">
      <c r="D1431" s="21"/>
      <c r="E1431" s="21"/>
      <c r="L1431" s="22"/>
      <c r="S1431">
        <f t="shared" si="88"/>
        <v>0</v>
      </c>
      <c r="T1431" s="5" t="e" cm="1">
        <f t="array" ref="T143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1" t="e">
        <f>Table1[[#This Row],[Term to Maturity (Years)]]*Table1[[#This Row],[Coupon Frequency2]]</f>
        <v>#N/A</v>
      </c>
      <c r="V1431">
        <f>Table1[[#This Row],[Face value]]*Table1[[#This Row],[Current coupon %]]</f>
        <v>0</v>
      </c>
      <c r="W1431" s="36" t="e">
        <f>RATE(Table1[[#This Row],[Total No. of Coupons]],Table1[[#This Row],[Coupon Amount]],-Table1[[#This Row],[Ask Price]],Table1[[#This Row],[Face value]])</f>
        <v>#N/A</v>
      </c>
      <c r="X1431" s="27" t="e">
        <f>Table1[[#This Row],[IRR]]*Table1[[#This Row],[Coupon Frequency2]]</f>
        <v>#N/A</v>
      </c>
      <c r="Y1431" s="19" t="e" cm="1">
        <f t="array" ref="Y143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1" s="33" t="e">
        <f>DURATION(Table1[[#This Row],[Issue date]],Table1[[#This Row],[Maturity date]],Table1[[#This Row],[Current coupon %]],Table1[[#This Row],[Yield (Annualised)]],Table1[[#This Row],[Coupon Frequency2]])</f>
        <v>#N/A</v>
      </c>
      <c r="AA1431" s="33" t="e">
        <f>Table1[[#This Row],[Macaulay Duration in Years]]/(1+Table1[[#This Row],[IRR]])</f>
        <v>#N/A</v>
      </c>
      <c r="AB1431" s="58" t="e">
        <f>VLOOKUP(Table1[[#This Row],[Yield Cluster]],'Cluster Details'!$B$3:$C$16,2,0)</f>
        <v>#N/A</v>
      </c>
      <c r="AC143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1" s="58" t="e">
        <f>IF(Table1[[#This Row],[Ask Price]]&gt;Table1[[#This Row],[Calculated Bond Price]],"Rich","Cheap")</f>
        <v>#N/A</v>
      </c>
      <c r="AE143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1" s="78" t="e">
        <f>(Table1[[#This Row],[P (+ shock)]]+Table1[[#This Row],[P (-shock)]]-2*Table1[[#This Row],[Ask Price]])/(2*Table1[[#This Row],[Ask Price]]*($AF$2^2))</f>
        <v>#N/A</v>
      </c>
      <c r="AH1431">
        <v>10.6923511845063</v>
      </c>
      <c r="AI1431" s="6" t="e">
        <f t="shared" si="89"/>
        <v>#DIV/0!</v>
      </c>
      <c r="AK1431" s="47" t="e">
        <f>RATE(Table1[[#This Row],[Total No. of Coupons]],Table1[[#This Row],[Coupon Amount]],-Table1[[#This Row],[Ask Price]],Table1[[#This Row],[Face value]])</f>
        <v>#N/A</v>
      </c>
      <c r="AL1431" s="27" t="e">
        <f>Table1[[#This Row],[IRR]]*Table1[[#This Row],[Coupon Frequency2]]</f>
        <v>#N/A</v>
      </c>
      <c r="AM1431" s="5" t="e">
        <f t="shared" si="90"/>
        <v>#N/A</v>
      </c>
      <c r="AN1431" t="s">
        <v>64</v>
      </c>
      <c r="AO1431" t="s">
        <v>62</v>
      </c>
      <c r="AP1431" t="str">
        <f t="shared" si="91"/>
        <v/>
      </c>
    </row>
    <row r="1432" spans="4:42" x14ac:dyDescent="0.35">
      <c r="D1432" s="21"/>
      <c r="E1432" s="21"/>
      <c r="L1432" s="22"/>
      <c r="S1432">
        <f t="shared" si="88"/>
        <v>0</v>
      </c>
      <c r="T1432" s="5" t="e" cm="1">
        <f t="array" ref="T143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2" t="e">
        <f>Table1[[#This Row],[Term to Maturity (Years)]]*Table1[[#This Row],[Coupon Frequency2]]</f>
        <v>#N/A</v>
      </c>
      <c r="V1432">
        <f>Table1[[#This Row],[Face value]]*Table1[[#This Row],[Current coupon %]]</f>
        <v>0</v>
      </c>
      <c r="W1432" s="36" t="e">
        <f>RATE(Table1[[#This Row],[Total No. of Coupons]],Table1[[#This Row],[Coupon Amount]],-Table1[[#This Row],[Ask Price]],Table1[[#This Row],[Face value]])</f>
        <v>#N/A</v>
      </c>
      <c r="X1432" s="27" t="e">
        <f>Table1[[#This Row],[IRR]]*Table1[[#This Row],[Coupon Frequency2]]</f>
        <v>#N/A</v>
      </c>
      <c r="Y1432" s="19" t="e" cm="1">
        <f t="array" ref="Y143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2" s="33" t="e">
        <f>DURATION(Table1[[#This Row],[Issue date]],Table1[[#This Row],[Maturity date]],Table1[[#This Row],[Current coupon %]],Table1[[#This Row],[Yield (Annualised)]],Table1[[#This Row],[Coupon Frequency2]])</f>
        <v>#N/A</v>
      </c>
      <c r="AA1432" s="33" t="e">
        <f>Table1[[#This Row],[Macaulay Duration in Years]]/(1+Table1[[#This Row],[IRR]])</f>
        <v>#N/A</v>
      </c>
      <c r="AB1432" s="58" t="e">
        <f>VLOOKUP(Table1[[#This Row],[Yield Cluster]],'Cluster Details'!$B$3:$C$16,2,0)</f>
        <v>#N/A</v>
      </c>
      <c r="AC143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2" s="58" t="e">
        <f>IF(Table1[[#This Row],[Ask Price]]&gt;Table1[[#This Row],[Calculated Bond Price]],"Rich","Cheap")</f>
        <v>#N/A</v>
      </c>
      <c r="AE143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2" s="78" t="e">
        <f>(Table1[[#This Row],[P (+ shock)]]+Table1[[#This Row],[P (-shock)]]-2*Table1[[#This Row],[Ask Price]])/(2*Table1[[#This Row],[Ask Price]]*($AF$2^2))</f>
        <v>#N/A</v>
      </c>
      <c r="AH1432">
        <v>12.4965270269269</v>
      </c>
      <c r="AI1432" s="6" t="e">
        <f t="shared" si="89"/>
        <v>#DIV/0!</v>
      </c>
      <c r="AK1432" s="47" t="e">
        <f>RATE(Table1[[#This Row],[Total No. of Coupons]],Table1[[#This Row],[Coupon Amount]],-Table1[[#This Row],[Ask Price]],Table1[[#This Row],[Face value]])</f>
        <v>#N/A</v>
      </c>
      <c r="AL1432" s="27" t="e">
        <f>Table1[[#This Row],[IRR]]*Table1[[#This Row],[Coupon Frequency2]]</f>
        <v>#N/A</v>
      </c>
      <c r="AM1432" s="5" t="e">
        <f t="shared" si="90"/>
        <v>#N/A</v>
      </c>
      <c r="AN1432" t="s">
        <v>64</v>
      </c>
      <c r="AO1432" t="s">
        <v>62</v>
      </c>
      <c r="AP1432" t="str">
        <f t="shared" si="91"/>
        <v/>
      </c>
    </row>
    <row r="1433" spans="4:42" x14ac:dyDescent="0.35">
      <c r="D1433" s="21"/>
      <c r="E1433" s="21"/>
      <c r="L1433" s="22"/>
      <c r="S1433">
        <f t="shared" si="88"/>
        <v>0</v>
      </c>
      <c r="T1433" s="5" t="e" cm="1">
        <f t="array" ref="T143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3" t="e">
        <f>Table1[[#This Row],[Term to Maturity (Years)]]*Table1[[#This Row],[Coupon Frequency2]]</f>
        <v>#N/A</v>
      </c>
      <c r="V1433">
        <f>Table1[[#This Row],[Face value]]*Table1[[#This Row],[Current coupon %]]</f>
        <v>0</v>
      </c>
      <c r="W1433" s="36" t="e">
        <f>RATE(Table1[[#This Row],[Total No. of Coupons]],Table1[[#This Row],[Coupon Amount]],-Table1[[#This Row],[Ask Price]],Table1[[#This Row],[Face value]])</f>
        <v>#N/A</v>
      </c>
      <c r="X1433" s="27" t="e">
        <f>Table1[[#This Row],[IRR]]*Table1[[#This Row],[Coupon Frequency2]]</f>
        <v>#N/A</v>
      </c>
      <c r="Y1433" s="19" t="e" cm="1">
        <f t="array" ref="Y143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3" s="33" t="e">
        <f>DURATION(Table1[[#This Row],[Issue date]],Table1[[#This Row],[Maturity date]],Table1[[#This Row],[Current coupon %]],Table1[[#This Row],[Yield (Annualised)]],Table1[[#This Row],[Coupon Frequency2]])</f>
        <v>#N/A</v>
      </c>
      <c r="AA1433" s="33" t="e">
        <f>Table1[[#This Row],[Macaulay Duration in Years]]/(1+Table1[[#This Row],[IRR]])</f>
        <v>#N/A</v>
      </c>
      <c r="AB1433" s="58" t="e">
        <f>VLOOKUP(Table1[[#This Row],[Yield Cluster]],'Cluster Details'!$B$3:$C$16,2,0)</f>
        <v>#N/A</v>
      </c>
      <c r="AC143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3" s="58" t="e">
        <f>IF(Table1[[#This Row],[Ask Price]]&gt;Table1[[#This Row],[Calculated Bond Price]],"Rich","Cheap")</f>
        <v>#N/A</v>
      </c>
      <c r="AE143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3" s="78" t="e">
        <f>(Table1[[#This Row],[P (+ shock)]]+Table1[[#This Row],[P (-shock)]]-2*Table1[[#This Row],[Ask Price]])/(2*Table1[[#This Row],[Ask Price]]*($AF$2^2))</f>
        <v>#N/A</v>
      </c>
      <c r="AH1433">
        <v>10.1832935469085</v>
      </c>
      <c r="AI1433" s="6" t="e">
        <f t="shared" si="89"/>
        <v>#DIV/0!</v>
      </c>
      <c r="AK1433" s="47" t="e">
        <f>RATE(Table1[[#This Row],[Total No. of Coupons]],Table1[[#This Row],[Coupon Amount]],-Table1[[#This Row],[Ask Price]],Table1[[#This Row],[Face value]])</f>
        <v>#N/A</v>
      </c>
      <c r="AL1433" s="27" t="e">
        <f>Table1[[#This Row],[IRR]]*Table1[[#This Row],[Coupon Frequency2]]</f>
        <v>#N/A</v>
      </c>
      <c r="AM1433" s="5" t="e">
        <f t="shared" si="90"/>
        <v>#N/A</v>
      </c>
      <c r="AN1433" t="s">
        <v>64</v>
      </c>
      <c r="AO1433" t="s">
        <v>62</v>
      </c>
      <c r="AP1433" t="str">
        <f t="shared" si="91"/>
        <v/>
      </c>
    </row>
    <row r="1434" spans="4:42" x14ac:dyDescent="0.35">
      <c r="D1434" s="21"/>
      <c r="E1434" s="21"/>
      <c r="L1434" s="22"/>
      <c r="S1434">
        <f t="shared" si="88"/>
        <v>0</v>
      </c>
      <c r="T1434" s="5" t="e" cm="1">
        <f t="array" ref="T143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4" t="e">
        <f>Table1[[#This Row],[Term to Maturity (Years)]]*Table1[[#This Row],[Coupon Frequency2]]</f>
        <v>#N/A</v>
      </c>
      <c r="V1434">
        <f>Table1[[#This Row],[Face value]]*Table1[[#This Row],[Current coupon %]]</f>
        <v>0</v>
      </c>
      <c r="W1434" s="36" t="e">
        <f>RATE(Table1[[#This Row],[Total No. of Coupons]],Table1[[#This Row],[Coupon Amount]],-Table1[[#This Row],[Ask Price]],Table1[[#This Row],[Face value]])</f>
        <v>#N/A</v>
      </c>
      <c r="X1434" s="27" t="e">
        <f>Table1[[#This Row],[IRR]]*Table1[[#This Row],[Coupon Frequency2]]</f>
        <v>#N/A</v>
      </c>
      <c r="Y1434" s="19" t="e" cm="1">
        <f t="array" ref="Y143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4" s="33" t="e">
        <f>DURATION(Table1[[#This Row],[Issue date]],Table1[[#This Row],[Maturity date]],Table1[[#This Row],[Current coupon %]],Table1[[#This Row],[Yield (Annualised)]],Table1[[#This Row],[Coupon Frequency2]])</f>
        <v>#N/A</v>
      </c>
      <c r="AA1434" s="33" t="e">
        <f>Table1[[#This Row],[Macaulay Duration in Years]]/(1+Table1[[#This Row],[IRR]])</f>
        <v>#N/A</v>
      </c>
      <c r="AB1434" s="58" t="e">
        <f>VLOOKUP(Table1[[#This Row],[Yield Cluster]],'Cluster Details'!$B$3:$C$16,2,0)</f>
        <v>#N/A</v>
      </c>
      <c r="AC143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4" s="58" t="e">
        <f>IF(Table1[[#This Row],[Ask Price]]&gt;Table1[[#This Row],[Calculated Bond Price]],"Rich","Cheap")</f>
        <v>#N/A</v>
      </c>
      <c r="AE143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4" s="78" t="e">
        <f>(Table1[[#This Row],[P (+ shock)]]+Table1[[#This Row],[P (-shock)]]-2*Table1[[#This Row],[Ask Price]])/(2*Table1[[#This Row],[Ask Price]]*($AF$2^2))</f>
        <v>#N/A</v>
      </c>
      <c r="AH1434">
        <v>4.4506831321830802</v>
      </c>
      <c r="AI1434" s="6" t="e">
        <f t="shared" si="89"/>
        <v>#DIV/0!</v>
      </c>
      <c r="AK1434" s="47" t="e">
        <f>RATE(Table1[[#This Row],[Total No. of Coupons]],Table1[[#This Row],[Coupon Amount]],-Table1[[#This Row],[Ask Price]],Table1[[#This Row],[Face value]])</f>
        <v>#N/A</v>
      </c>
      <c r="AL1434" s="27" t="e">
        <f>Table1[[#This Row],[IRR]]*Table1[[#This Row],[Coupon Frequency2]]</f>
        <v>#N/A</v>
      </c>
      <c r="AM1434" s="5" t="e">
        <f t="shared" si="90"/>
        <v>#N/A</v>
      </c>
      <c r="AN1434" t="s">
        <v>64</v>
      </c>
      <c r="AO1434" t="s">
        <v>62</v>
      </c>
      <c r="AP1434" t="str">
        <f t="shared" si="91"/>
        <v/>
      </c>
    </row>
    <row r="1435" spans="4:42" x14ac:dyDescent="0.35">
      <c r="D1435" s="21"/>
      <c r="E1435" s="21"/>
      <c r="L1435" s="22"/>
      <c r="S1435">
        <f t="shared" si="88"/>
        <v>0</v>
      </c>
      <c r="T1435" s="5" t="e" cm="1">
        <f t="array" ref="T143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5" t="e">
        <f>Table1[[#This Row],[Term to Maturity (Years)]]*Table1[[#This Row],[Coupon Frequency2]]</f>
        <v>#N/A</v>
      </c>
      <c r="V1435">
        <f>Table1[[#This Row],[Face value]]*Table1[[#This Row],[Current coupon %]]</f>
        <v>0</v>
      </c>
      <c r="W1435" s="36" t="e">
        <f>RATE(Table1[[#This Row],[Total No. of Coupons]],Table1[[#This Row],[Coupon Amount]],-Table1[[#This Row],[Ask Price]],Table1[[#This Row],[Face value]])</f>
        <v>#N/A</v>
      </c>
      <c r="X1435" s="27" t="e">
        <f>Table1[[#This Row],[IRR]]*Table1[[#This Row],[Coupon Frequency2]]</f>
        <v>#N/A</v>
      </c>
      <c r="Y1435" s="19" t="e" cm="1">
        <f t="array" ref="Y143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5" s="33" t="e">
        <f>DURATION(Table1[[#This Row],[Issue date]],Table1[[#This Row],[Maturity date]],Table1[[#This Row],[Current coupon %]],Table1[[#This Row],[Yield (Annualised)]],Table1[[#This Row],[Coupon Frequency2]])</f>
        <v>#N/A</v>
      </c>
      <c r="AA1435" s="33" t="e">
        <f>Table1[[#This Row],[Macaulay Duration in Years]]/(1+Table1[[#This Row],[IRR]])</f>
        <v>#N/A</v>
      </c>
      <c r="AB1435" s="58" t="e">
        <f>VLOOKUP(Table1[[#This Row],[Yield Cluster]],'Cluster Details'!$B$3:$C$16,2,0)</f>
        <v>#N/A</v>
      </c>
      <c r="AC143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5" s="58" t="e">
        <f>IF(Table1[[#This Row],[Ask Price]]&gt;Table1[[#This Row],[Calculated Bond Price]],"Rich","Cheap")</f>
        <v>#N/A</v>
      </c>
      <c r="AE143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5" s="78" t="e">
        <f>(Table1[[#This Row],[P (+ shock)]]+Table1[[#This Row],[P (-shock)]]-2*Table1[[#This Row],[Ask Price]])/(2*Table1[[#This Row],[Ask Price]]*($AF$2^2))</f>
        <v>#N/A</v>
      </c>
      <c r="AH1435">
        <v>7.3354791749563599</v>
      </c>
      <c r="AI1435" s="6" t="e">
        <f t="shared" si="89"/>
        <v>#DIV/0!</v>
      </c>
      <c r="AK1435" s="47" t="e">
        <f>RATE(Table1[[#This Row],[Total No. of Coupons]],Table1[[#This Row],[Coupon Amount]],-Table1[[#This Row],[Ask Price]],Table1[[#This Row],[Face value]])</f>
        <v>#N/A</v>
      </c>
      <c r="AL1435" s="27" t="e">
        <f>Table1[[#This Row],[IRR]]*Table1[[#This Row],[Coupon Frequency2]]</f>
        <v>#N/A</v>
      </c>
      <c r="AM1435" s="5" t="e">
        <f t="shared" si="90"/>
        <v>#N/A</v>
      </c>
      <c r="AN1435" t="s">
        <v>64</v>
      </c>
      <c r="AO1435" t="s">
        <v>62</v>
      </c>
      <c r="AP1435" t="str">
        <f t="shared" si="91"/>
        <v/>
      </c>
    </row>
    <row r="1436" spans="4:42" x14ac:dyDescent="0.35">
      <c r="D1436" s="21"/>
      <c r="E1436" s="21"/>
      <c r="L1436" s="22"/>
      <c r="S1436">
        <f t="shared" si="88"/>
        <v>0</v>
      </c>
      <c r="T1436" s="5" t="e" cm="1">
        <f t="array" ref="T143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6" t="e">
        <f>Table1[[#This Row],[Term to Maturity (Years)]]*Table1[[#This Row],[Coupon Frequency2]]</f>
        <v>#N/A</v>
      </c>
      <c r="V1436">
        <f>Table1[[#This Row],[Face value]]*Table1[[#This Row],[Current coupon %]]</f>
        <v>0</v>
      </c>
      <c r="W1436" s="36" t="e">
        <f>RATE(Table1[[#This Row],[Total No. of Coupons]],Table1[[#This Row],[Coupon Amount]],-Table1[[#This Row],[Ask Price]],Table1[[#This Row],[Face value]])</f>
        <v>#N/A</v>
      </c>
      <c r="X1436" s="27" t="e">
        <f>Table1[[#This Row],[IRR]]*Table1[[#This Row],[Coupon Frequency2]]</f>
        <v>#N/A</v>
      </c>
      <c r="Y1436" s="19" t="e" cm="1">
        <f t="array" ref="Y143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6" s="33" t="e">
        <f>DURATION(Table1[[#This Row],[Issue date]],Table1[[#This Row],[Maturity date]],Table1[[#This Row],[Current coupon %]],Table1[[#This Row],[Yield (Annualised)]],Table1[[#This Row],[Coupon Frequency2]])</f>
        <v>#N/A</v>
      </c>
      <c r="AA1436" s="33" t="e">
        <f>Table1[[#This Row],[Macaulay Duration in Years]]/(1+Table1[[#This Row],[IRR]])</f>
        <v>#N/A</v>
      </c>
      <c r="AB1436" s="58" t="e">
        <f>VLOOKUP(Table1[[#This Row],[Yield Cluster]],'Cluster Details'!$B$3:$C$16,2,0)</f>
        <v>#N/A</v>
      </c>
      <c r="AC143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6" s="58" t="e">
        <f>IF(Table1[[#This Row],[Ask Price]]&gt;Table1[[#This Row],[Calculated Bond Price]],"Rich","Cheap")</f>
        <v>#N/A</v>
      </c>
      <c r="AE143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6" s="78" t="e">
        <f>(Table1[[#This Row],[P (+ shock)]]+Table1[[#This Row],[P (-shock)]]-2*Table1[[#This Row],[Ask Price]])/(2*Table1[[#This Row],[Ask Price]]*($AF$2^2))</f>
        <v>#N/A</v>
      </c>
      <c r="AH1436">
        <v>3.67867709831713</v>
      </c>
      <c r="AI1436" s="6" t="e">
        <f t="shared" si="89"/>
        <v>#DIV/0!</v>
      </c>
      <c r="AK1436" s="47" t="e">
        <f>RATE(Table1[[#This Row],[Total No. of Coupons]],Table1[[#This Row],[Coupon Amount]],-Table1[[#This Row],[Ask Price]],Table1[[#This Row],[Face value]])</f>
        <v>#N/A</v>
      </c>
      <c r="AL1436" s="27" t="e">
        <f>Table1[[#This Row],[IRR]]*Table1[[#This Row],[Coupon Frequency2]]</f>
        <v>#N/A</v>
      </c>
      <c r="AM1436" s="5" t="e">
        <f t="shared" si="90"/>
        <v>#N/A</v>
      </c>
      <c r="AN1436" t="s">
        <v>64</v>
      </c>
      <c r="AO1436" t="s">
        <v>62</v>
      </c>
      <c r="AP1436" t="str">
        <f t="shared" si="91"/>
        <v/>
      </c>
    </row>
    <row r="1437" spans="4:42" x14ac:dyDescent="0.35">
      <c r="D1437" s="21"/>
      <c r="E1437" s="21"/>
      <c r="L1437" s="22"/>
      <c r="S1437">
        <f t="shared" si="88"/>
        <v>0</v>
      </c>
      <c r="T1437" s="5" t="e" cm="1">
        <f t="array" ref="T143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7" t="e">
        <f>Table1[[#This Row],[Term to Maturity (Years)]]*Table1[[#This Row],[Coupon Frequency2]]</f>
        <v>#N/A</v>
      </c>
      <c r="V1437">
        <f>Table1[[#This Row],[Face value]]*Table1[[#This Row],[Current coupon %]]</f>
        <v>0</v>
      </c>
      <c r="W1437" s="36" t="e">
        <f>RATE(Table1[[#This Row],[Total No. of Coupons]],Table1[[#This Row],[Coupon Amount]],-Table1[[#This Row],[Ask Price]],Table1[[#This Row],[Face value]])</f>
        <v>#N/A</v>
      </c>
      <c r="X1437" s="27" t="e">
        <f>Table1[[#This Row],[IRR]]*Table1[[#This Row],[Coupon Frequency2]]</f>
        <v>#N/A</v>
      </c>
      <c r="Y1437" s="19" t="e" cm="1">
        <f t="array" ref="Y143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7" s="33" t="e">
        <f>DURATION(Table1[[#This Row],[Issue date]],Table1[[#This Row],[Maturity date]],Table1[[#This Row],[Current coupon %]],Table1[[#This Row],[Yield (Annualised)]],Table1[[#This Row],[Coupon Frequency2]])</f>
        <v>#N/A</v>
      </c>
      <c r="AA1437" s="33" t="e">
        <f>Table1[[#This Row],[Macaulay Duration in Years]]/(1+Table1[[#This Row],[IRR]])</f>
        <v>#N/A</v>
      </c>
      <c r="AB1437" s="58" t="e">
        <f>VLOOKUP(Table1[[#This Row],[Yield Cluster]],'Cluster Details'!$B$3:$C$16,2,0)</f>
        <v>#N/A</v>
      </c>
      <c r="AC143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7" s="58" t="e">
        <f>IF(Table1[[#This Row],[Ask Price]]&gt;Table1[[#This Row],[Calculated Bond Price]],"Rich","Cheap")</f>
        <v>#N/A</v>
      </c>
      <c r="AE143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7" s="78" t="e">
        <f>(Table1[[#This Row],[P (+ shock)]]+Table1[[#This Row],[P (-shock)]]-2*Table1[[#This Row],[Ask Price]])/(2*Table1[[#This Row],[Ask Price]]*($AF$2^2))</f>
        <v>#N/A</v>
      </c>
      <c r="AH1437">
        <v>16.305747529931999</v>
      </c>
      <c r="AI1437" s="6" t="e">
        <f t="shared" si="89"/>
        <v>#DIV/0!</v>
      </c>
      <c r="AK1437" s="47" t="e">
        <f>RATE(Table1[[#This Row],[Total No. of Coupons]],Table1[[#This Row],[Coupon Amount]],-Table1[[#This Row],[Ask Price]],Table1[[#This Row],[Face value]])</f>
        <v>#N/A</v>
      </c>
      <c r="AL1437" s="27" t="e">
        <f>Table1[[#This Row],[IRR]]*Table1[[#This Row],[Coupon Frequency2]]</f>
        <v>#N/A</v>
      </c>
      <c r="AM1437" s="5" t="e">
        <f t="shared" si="90"/>
        <v>#N/A</v>
      </c>
      <c r="AN1437" t="s">
        <v>64</v>
      </c>
      <c r="AO1437" t="s">
        <v>62</v>
      </c>
      <c r="AP1437" t="str">
        <f t="shared" si="91"/>
        <v/>
      </c>
    </row>
    <row r="1438" spans="4:42" x14ac:dyDescent="0.35">
      <c r="D1438" s="21"/>
      <c r="E1438" s="21"/>
      <c r="L1438" s="22"/>
      <c r="S1438">
        <f t="shared" si="88"/>
        <v>0</v>
      </c>
      <c r="T1438" s="5" t="e" cm="1">
        <f t="array" ref="T143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8" t="e">
        <f>Table1[[#This Row],[Term to Maturity (Years)]]*Table1[[#This Row],[Coupon Frequency2]]</f>
        <v>#N/A</v>
      </c>
      <c r="V1438">
        <f>Table1[[#This Row],[Face value]]*Table1[[#This Row],[Current coupon %]]</f>
        <v>0</v>
      </c>
      <c r="W1438" s="36" t="e">
        <f>RATE(Table1[[#This Row],[Total No. of Coupons]],Table1[[#This Row],[Coupon Amount]],-Table1[[#This Row],[Ask Price]],Table1[[#This Row],[Face value]])</f>
        <v>#N/A</v>
      </c>
      <c r="X1438" s="27" t="e">
        <f>Table1[[#This Row],[IRR]]*Table1[[#This Row],[Coupon Frequency2]]</f>
        <v>#N/A</v>
      </c>
      <c r="Y1438" s="19" t="e" cm="1">
        <f t="array" ref="Y143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8" s="33" t="e">
        <f>DURATION(Table1[[#This Row],[Issue date]],Table1[[#This Row],[Maturity date]],Table1[[#This Row],[Current coupon %]],Table1[[#This Row],[Yield (Annualised)]],Table1[[#This Row],[Coupon Frequency2]])</f>
        <v>#N/A</v>
      </c>
      <c r="AA1438" s="33" t="e">
        <f>Table1[[#This Row],[Macaulay Duration in Years]]/(1+Table1[[#This Row],[IRR]])</f>
        <v>#N/A</v>
      </c>
      <c r="AB1438" s="58" t="e">
        <f>VLOOKUP(Table1[[#This Row],[Yield Cluster]],'Cluster Details'!$B$3:$C$16,2,0)</f>
        <v>#N/A</v>
      </c>
      <c r="AC143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8" s="58" t="e">
        <f>IF(Table1[[#This Row],[Ask Price]]&gt;Table1[[#This Row],[Calculated Bond Price]],"Rich","Cheap")</f>
        <v>#N/A</v>
      </c>
      <c r="AE143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8" s="78" t="e">
        <f>(Table1[[#This Row],[P (+ shock)]]+Table1[[#This Row],[P (-shock)]]-2*Table1[[#This Row],[Ask Price]])/(2*Table1[[#This Row],[Ask Price]]*($AF$2^2))</f>
        <v>#N/A</v>
      </c>
      <c r="AH1438">
        <v>11.3956752088488</v>
      </c>
      <c r="AI1438" s="6" t="e">
        <f t="shared" si="89"/>
        <v>#DIV/0!</v>
      </c>
      <c r="AK1438" s="47" t="e">
        <f>RATE(Table1[[#This Row],[Total No. of Coupons]],Table1[[#This Row],[Coupon Amount]],-Table1[[#This Row],[Ask Price]],Table1[[#This Row],[Face value]])</f>
        <v>#N/A</v>
      </c>
      <c r="AL1438" s="27" t="e">
        <f>Table1[[#This Row],[IRR]]*Table1[[#This Row],[Coupon Frequency2]]</f>
        <v>#N/A</v>
      </c>
      <c r="AM1438" s="5" t="e">
        <f t="shared" si="90"/>
        <v>#N/A</v>
      </c>
      <c r="AN1438" t="s">
        <v>64</v>
      </c>
      <c r="AO1438" t="s">
        <v>62</v>
      </c>
      <c r="AP1438" t="str">
        <f t="shared" si="91"/>
        <v/>
      </c>
    </row>
    <row r="1439" spans="4:42" x14ac:dyDescent="0.35">
      <c r="D1439" s="21"/>
      <c r="E1439" s="21"/>
      <c r="L1439" s="22"/>
      <c r="S1439">
        <f t="shared" si="88"/>
        <v>0</v>
      </c>
      <c r="T1439" s="5" t="e" cm="1">
        <f t="array" ref="T143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39" t="e">
        <f>Table1[[#This Row],[Term to Maturity (Years)]]*Table1[[#This Row],[Coupon Frequency2]]</f>
        <v>#N/A</v>
      </c>
      <c r="V1439">
        <f>Table1[[#This Row],[Face value]]*Table1[[#This Row],[Current coupon %]]</f>
        <v>0</v>
      </c>
      <c r="W1439" s="36" t="e">
        <f>RATE(Table1[[#This Row],[Total No. of Coupons]],Table1[[#This Row],[Coupon Amount]],-Table1[[#This Row],[Ask Price]],Table1[[#This Row],[Face value]])</f>
        <v>#N/A</v>
      </c>
      <c r="X1439" s="27" t="e">
        <f>Table1[[#This Row],[IRR]]*Table1[[#This Row],[Coupon Frequency2]]</f>
        <v>#N/A</v>
      </c>
      <c r="Y1439" s="19" t="e" cm="1">
        <f t="array" ref="Y143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39" s="33" t="e">
        <f>DURATION(Table1[[#This Row],[Issue date]],Table1[[#This Row],[Maturity date]],Table1[[#This Row],[Current coupon %]],Table1[[#This Row],[Yield (Annualised)]],Table1[[#This Row],[Coupon Frequency2]])</f>
        <v>#N/A</v>
      </c>
      <c r="AA1439" s="33" t="e">
        <f>Table1[[#This Row],[Macaulay Duration in Years]]/(1+Table1[[#This Row],[IRR]])</f>
        <v>#N/A</v>
      </c>
      <c r="AB1439" s="58" t="e">
        <f>VLOOKUP(Table1[[#This Row],[Yield Cluster]],'Cluster Details'!$B$3:$C$16,2,0)</f>
        <v>#N/A</v>
      </c>
      <c r="AC143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39" s="58" t="e">
        <f>IF(Table1[[#This Row],[Ask Price]]&gt;Table1[[#This Row],[Calculated Bond Price]],"Rich","Cheap")</f>
        <v>#N/A</v>
      </c>
      <c r="AE143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3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39" s="78" t="e">
        <f>(Table1[[#This Row],[P (+ shock)]]+Table1[[#This Row],[P (-shock)]]-2*Table1[[#This Row],[Ask Price]])/(2*Table1[[#This Row],[Ask Price]]*($AF$2^2))</f>
        <v>#N/A</v>
      </c>
      <c r="AH1439">
        <v>4.7372908951725803</v>
      </c>
      <c r="AI1439" s="6" t="e">
        <f t="shared" si="89"/>
        <v>#DIV/0!</v>
      </c>
      <c r="AK1439" s="47" t="e">
        <f>RATE(Table1[[#This Row],[Total No. of Coupons]],Table1[[#This Row],[Coupon Amount]],-Table1[[#This Row],[Ask Price]],Table1[[#This Row],[Face value]])</f>
        <v>#N/A</v>
      </c>
      <c r="AL1439" s="27" t="e">
        <f>Table1[[#This Row],[IRR]]*Table1[[#This Row],[Coupon Frequency2]]</f>
        <v>#N/A</v>
      </c>
      <c r="AM1439" s="5" t="e">
        <f t="shared" si="90"/>
        <v>#N/A</v>
      </c>
      <c r="AN1439" t="s">
        <v>64</v>
      </c>
      <c r="AO1439" t="s">
        <v>62</v>
      </c>
      <c r="AP1439" t="str">
        <f t="shared" si="91"/>
        <v/>
      </c>
    </row>
    <row r="1440" spans="4:42" x14ac:dyDescent="0.35">
      <c r="D1440" s="21"/>
      <c r="E1440" s="21"/>
      <c r="L1440" s="22"/>
      <c r="S1440">
        <f t="shared" si="88"/>
        <v>0</v>
      </c>
      <c r="T1440" s="5" t="e" cm="1">
        <f t="array" ref="T144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0" t="e">
        <f>Table1[[#This Row],[Term to Maturity (Years)]]*Table1[[#This Row],[Coupon Frequency2]]</f>
        <v>#N/A</v>
      </c>
      <c r="V1440">
        <f>Table1[[#This Row],[Face value]]*Table1[[#This Row],[Current coupon %]]</f>
        <v>0</v>
      </c>
      <c r="W1440" s="36" t="e">
        <f>RATE(Table1[[#This Row],[Total No. of Coupons]],Table1[[#This Row],[Coupon Amount]],-Table1[[#This Row],[Ask Price]],Table1[[#This Row],[Face value]])</f>
        <v>#N/A</v>
      </c>
      <c r="X1440" s="27" t="e">
        <f>Table1[[#This Row],[IRR]]*Table1[[#This Row],[Coupon Frequency2]]</f>
        <v>#N/A</v>
      </c>
      <c r="Y1440" s="19" t="e" cm="1">
        <f t="array" ref="Y144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0" s="33" t="e">
        <f>DURATION(Table1[[#This Row],[Issue date]],Table1[[#This Row],[Maturity date]],Table1[[#This Row],[Current coupon %]],Table1[[#This Row],[Yield (Annualised)]],Table1[[#This Row],[Coupon Frequency2]])</f>
        <v>#N/A</v>
      </c>
      <c r="AA1440" s="33" t="e">
        <f>Table1[[#This Row],[Macaulay Duration in Years]]/(1+Table1[[#This Row],[IRR]])</f>
        <v>#N/A</v>
      </c>
      <c r="AB1440" s="58" t="e">
        <f>VLOOKUP(Table1[[#This Row],[Yield Cluster]],'Cluster Details'!$B$3:$C$16,2,0)</f>
        <v>#N/A</v>
      </c>
      <c r="AC144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0" s="58" t="e">
        <f>IF(Table1[[#This Row],[Ask Price]]&gt;Table1[[#This Row],[Calculated Bond Price]],"Rich","Cheap")</f>
        <v>#N/A</v>
      </c>
      <c r="AE144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0" s="78" t="e">
        <f>(Table1[[#This Row],[P (+ shock)]]+Table1[[#This Row],[P (-shock)]]-2*Table1[[#This Row],[Ask Price]])/(2*Table1[[#This Row],[Ask Price]]*($AF$2^2))</f>
        <v>#N/A</v>
      </c>
      <c r="AH1440">
        <v>4.9000744049624503</v>
      </c>
      <c r="AI1440" s="6" t="e">
        <f t="shared" si="89"/>
        <v>#DIV/0!</v>
      </c>
      <c r="AK1440" s="47" t="e">
        <f>RATE(Table1[[#This Row],[Total No. of Coupons]],Table1[[#This Row],[Coupon Amount]],-Table1[[#This Row],[Ask Price]],Table1[[#This Row],[Face value]])</f>
        <v>#N/A</v>
      </c>
      <c r="AL1440" s="27" t="e">
        <f>Table1[[#This Row],[IRR]]*Table1[[#This Row],[Coupon Frequency2]]</f>
        <v>#N/A</v>
      </c>
      <c r="AM1440" s="5" t="e">
        <f t="shared" si="90"/>
        <v>#N/A</v>
      </c>
      <c r="AN1440" t="s">
        <v>64</v>
      </c>
      <c r="AO1440" t="s">
        <v>62</v>
      </c>
      <c r="AP1440" t="str">
        <f t="shared" si="91"/>
        <v/>
      </c>
    </row>
    <row r="1441" spans="4:42" x14ac:dyDescent="0.35">
      <c r="D1441" s="21"/>
      <c r="E1441" s="21"/>
      <c r="L1441" s="22"/>
      <c r="S1441">
        <f t="shared" si="88"/>
        <v>0</v>
      </c>
      <c r="T1441" s="5" t="e" cm="1">
        <f t="array" ref="T144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1" t="e">
        <f>Table1[[#This Row],[Term to Maturity (Years)]]*Table1[[#This Row],[Coupon Frequency2]]</f>
        <v>#N/A</v>
      </c>
      <c r="V1441">
        <f>Table1[[#This Row],[Face value]]*Table1[[#This Row],[Current coupon %]]</f>
        <v>0</v>
      </c>
      <c r="W1441" s="36" t="e">
        <f>RATE(Table1[[#This Row],[Total No. of Coupons]],Table1[[#This Row],[Coupon Amount]],-Table1[[#This Row],[Ask Price]],Table1[[#This Row],[Face value]])</f>
        <v>#N/A</v>
      </c>
      <c r="X1441" s="27" t="e">
        <f>Table1[[#This Row],[IRR]]*Table1[[#This Row],[Coupon Frequency2]]</f>
        <v>#N/A</v>
      </c>
      <c r="Y1441" s="19" t="e" cm="1">
        <f t="array" ref="Y144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1" s="33" t="e">
        <f>DURATION(Table1[[#This Row],[Issue date]],Table1[[#This Row],[Maturity date]],Table1[[#This Row],[Current coupon %]],Table1[[#This Row],[Yield (Annualised)]],Table1[[#This Row],[Coupon Frequency2]])</f>
        <v>#N/A</v>
      </c>
      <c r="AA1441" s="33" t="e">
        <f>Table1[[#This Row],[Macaulay Duration in Years]]/(1+Table1[[#This Row],[IRR]])</f>
        <v>#N/A</v>
      </c>
      <c r="AB1441" s="58" t="e">
        <f>VLOOKUP(Table1[[#This Row],[Yield Cluster]],'Cluster Details'!$B$3:$C$16,2,0)</f>
        <v>#N/A</v>
      </c>
      <c r="AC144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1" s="58" t="e">
        <f>IF(Table1[[#This Row],[Ask Price]]&gt;Table1[[#This Row],[Calculated Bond Price]],"Rich","Cheap")</f>
        <v>#N/A</v>
      </c>
      <c r="AE144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1" s="78" t="e">
        <f>(Table1[[#This Row],[P (+ shock)]]+Table1[[#This Row],[P (-shock)]]-2*Table1[[#This Row],[Ask Price]])/(2*Table1[[#This Row],[Ask Price]]*($AF$2^2))</f>
        <v>#N/A</v>
      </c>
      <c r="AI1441" s="6" t="e">
        <f t="shared" si="89"/>
        <v>#DIV/0!</v>
      </c>
      <c r="AK1441" s="47" t="e">
        <f>RATE(Table1[[#This Row],[Total No. of Coupons]],Table1[[#This Row],[Coupon Amount]],-Table1[[#This Row],[Ask Price]],Table1[[#This Row],[Face value]])</f>
        <v>#N/A</v>
      </c>
      <c r="AL1441" s="27" t="e">
        <f>Table1[[#This Row],[IRR]]*Table1[[#This Row],[Coupon Frequency2]]</f>
        <v>#N/A</v>
      </c>
      <c r="AM1441" s="5" t="e">
        <f t="shared" si="90"/>
        <v>#N/A</v>
      </c>
      <c r="AN1441" t="s">
        <v>64</v>
      </c>
      <c r="AO1441" t="s">
        <v>62</v>
      </c>
      <c r="AP1441" t="str">
        <f t="shared" si="91"/>
        <v/>
      </c>
    </row>
    <row r="1442" spans="4:42" x14ac:dyDescent="0.35">
      <c r="D1442" s="21"/>
      <c r="E1442" s="21"/>
      <c r="L1442" s="22"/>
      <c r="S1442">
        <f t="shared" si="88"/>
        <v>0</v>
      </c>
      <c r="T1442" s="5" t="e" cm="1">
        <f t="array" ref="T144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2" t="e">
        <f>Table1[[#This Row],[Term to Maturity (Years)]]*Table1[[#This Row],[Coupon Frequency2]]</f>
        <v>#N/A</v>
      </c>
      <c r="V1442">
        <f>Table1[[#This Row],[Face value]]*Table1[[#This Row],[Current coupon %]]</f>
        <v>0</v>
      </c>
      <c r="W1442" s="36" t="e">
        <f>RATE(Table1[[#This Row],[Total No. of Coupons]],Table1[[#This Row],[Coupon Amount]],-Table1[[#This Row],[Ask Price]],Table1[[#This Row],[Face value]])</f>
        <v>#N/A</v>
      </c>
      <c r="X1442" s="27" t="e">
        <f>Table1[[#This Row],[IRR]]*Table1[[#This Row],[Coupon Frequency2]]</f>
        <v>#N/A</v>
      </c>
      <c r="Y1442" s="19" t="e" cm="1">
        <f t="array" ref="Y144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2" s="33" t="e">
        <f>DURATION(Table1[[#This Row],[Issue date]],Table1[[#This Row],[Maturity date]],Table1[[#This Row],[Current coupon %]],Table1[[#This Row],[Yield (Annualised)]],Table1[[#This Row],[Coupon Frequency2]])</f>
        <v>#N/A</v>
      </c>
      <c r="AA1442" s="33" t="e">
        <f>Table1[[#This Row],[Macaulay Duration in Years]]/(1+Table1[[#This Row],[IRR]])</f>
        <v>#N/A</v>
      </c>
      <c r="AB1442" s="58" t="e">
        <f>VLOOKUP(Table1[[#This Row],[Yield Cluster]],'Cluster Details'!$B$3:$C$16,2,0)</f>
        <v>#N/A</v>
      </c>
      <c r="AC144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2" s="58" t="e">
        <f>IF(Table1[[#This Row],[Ask Price]]&gt;Table1[[#This Row],[Calculated Bond Price]],"Rich","Cheap")</f>
        <v>#N/A</v>
      </c>
      <c r="AE144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2" s="78" t="e">
        <f>(Table1[[#This Row],[P (+ shock)]]+Table1[[#This Row],[P (-shock)]]-2*Table1[[#This Row],[Ask Price]])/(2*Table1[[#This Row],[Ask Price]]*($AF$2^2))</f>
        <v>#N/A</v>
      </c>
      <c r="AI1442" s="6" t="e">
        <f t="shared" si="89"/>
        <v>#DIV/0!</v>
      </c>
      <c r="AK1442" s="47" t="e">
        <f>RATE(Table1[[#This Row],[Total No. of Coupons]],Table1[[#This Row],[Coupon Amount]],-Table1[[#This Row],[Ask Price]],Table1[[#This Row],[Face value]])</f>
        <v>#N/A</v>
      </c>
      <c r="AL1442" s="27" t="e">
        <f>Table1[[#This Row],[IRR]]*Table1[[#This Row],[Coupon Frequency2]]</f>
        <v>#N/A</v>
      </c>
      <c r="AM1442" s="5" t="e">
        <f t="shared" si="90"/>
        <v>#N/A</v>
      </c>
      <c r="AN1442" t="s">
        <v>64</v>
      </c>
      <c r="AO1442" t="s">
        <v>62</v>
      </c>
      <c r="AP1442" t="str">
        <f t="shared" si="91"/>
        <v/>
      </c>
    </row>
    <row r="1443" spans="4:42" x14ac:dyDescent="0.35">
      <c r="D1443" s="21"/>
      <c r="E1443" s="21"/>
      <c r="L1443" s="22"/>
      <c r="S1443">
        <f t="shared" si="88"/>
        <v>0</v>
      </c>
      <c r="T1443" s="5" t="e" cm="1">
        <f t="array" ref="T144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3" t="e">
        <f>Table1[[#This Row],[Term to Maturity (Years)]]*Table1[[#This Row],[Coupon Frequency2]]</f>
        <v>#N/A</v>
      </c>
      <c r="V1443">
        <f>Table1[[#This Row],[Face value]]*Table1[[#This Row],[Current coupon %]]</f>
        <v>0</v>
      </c>
      <c r="W1443" s="36" t="e">
        <f>RATE(Table1[[#This Row],[Total No. of Coupons]],Table1[[#This Row],[Coupon Amount]],-Table1[[#This Row],[Ask Price]],Table1[[#This Row],[Face value]])</f>
        <v>#N/A</v>
      </c>
      <c r="X1443" s="27" t="e">
        <f>Table1[[#This Row],[IRR]]*Table1[[#This Row],[Coupon Frequency2]]</f>
        <v>#N/A</v>
      </c>
      <c r="Y1443" s="19" t="e" cm="1">
        <f t="array" ref="Y144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3" s="33" t="e">
        <f>DURATION(Table1[[#This Row],[Issue date]],Table1[[#This Row],[Maturity date]],Table1[[#This Row],[Current coupon %]],Table1[[#This Row],[Yield (Annualised)]],Table1[[#This Row],[Coupon Frequency2]])</f>
        <v>#N/A</v>
      </c>
      <c r="AA1443" s="33" t="e">
        <f>Table1[[#This Row],[Macaulay Duration in Years]]/(1+Table1[[#This Row],[IRR]])</f>
        <v>#N/A</v>
      </c>
      <c r="AB1443" s="58" t="e">
        <f>VLOOKUP(Table1[[#This Row],[Yield Cluster]],'Cluster Details'!$B$3:$C$16,2,0)</f>
        <v>#N/A</v>
      </c>
      <c r="AC144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3" s="58" t="e">
        <f>IF(Table1[[#This Row],[Ask Price]]&gt;Table1[[#This Row],[Calculated Bond Price]],"Rich","Cheap")</f>
        <v>#N/A</v>
      </c>
      <c r="AE144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3" s="78" t="e">
        <f>(Table1[[#This Row],[P (+ shock)]]+Table1[[#This Row],[P (-shock)]]-2*Table1[[#This Row],[Ask Price]])/(2*Table1[[#This Row],[Ask Price]]*($AF$2^2))</f>
        <v>#N/A</v>
      </c>
      <c r="AI1443" s="6" t="e">
        <f t="shared" si="89"/>
        <v>#DIV/0!</v>
      </c>
      <c r="AK1443" s="47" t="e">
        <f>RATE(Table1[[#This Row],[Total No. of Coupons]],Table1[[#This Row],[Coupon Amount]],-Table1[[#This Row],[Ask Price]],Table1[[#This Row],[Face value]])</f>
        <v>#N/A</v>
      </c>
      <c r="AL1443" s="27" t="e">
        <f>Table1[[#This Row],[IRR]]*Table1[[#This Row],[Coupon Frequency2]]</f>
        <v>#N/A</v>
      </c>
      <c r="AM1443" s="5" t="e">
        <f t="shared" si="90"/>
        <v>#N/A</v>
      </c>
      <c r="AN1443" t="s">
        <v>64</v>
      </c>
      <c r="AO1443" t="s">
        <v>62</v>
      </c>
      <c r="AP1443" t="str">
        <f t="shared" si="91"/>
        <v/>
      </c>
    </row>
    <row r="1444" spans="4:42" x14ac:dyDescent="0.35">
      <c r="D1444" s="21"/>
      <c r="E1444" s="21"/>
      <c r="L1444" s="22"/>
      <c r="S1444">
        <f t="shared" si="88"/>
        <v>0</v>
      </c>
      <c r="T1444" s="5" t="e" cm="1">
        <f t="array" ref="T144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4" t="e">
        <f>Table1[[#This Row],[Term to Maturity (Years)]]*Table1[[#This Row],[Coupon Frequency2]]</f>
        <v>#N/A</v>
      </c>
      <c r="V1444">
        <f>Table1[[#This Row],[Face value]]*Table1[[#This Row],[Current coupon %]]</f>
        <v>0</v>
      </c>
      <c r="W1444" s="36" t="e">
        <f>RATE(Table1[[#This Row],[Total No. of Coupons]],Table1[[#This Row],[Coupon Amount]],-Table1[[#This Row],[Ask Price]],Table1[[#This Row],[Face value]])</f>
        <v>#N/A</v>
      </c>
      <c r="X1444" s="27" t="e">
        <f>Table1[[#This Row],[IRR]]*Table1[[#This Row],[Coupon Frequency2]]</f>
        <v>#N/A</v>
      </c>
      <c r="Y1444" s="19" t="e" cm="1">
        <f t="array" ref="Y144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4" s="33" t="e">
        <f>DURATION(Table1[[#This Row],[Issue date]],Table1[[#This Row],[Maturity date]],Table1[[#This Row],[Current coupon %]],Table1[[#This Row],[Yield (Annualised)]],Table1[[#This Row],[Coupon Frequency2]])</f>
        <v>#N/A</v>
      </c>
      <c r="AA1444" s="33" t="e">
        <f>Table1[[#This Row],[Macaulay Duration in Years]]/(1+Table1[[#This Row],[IRR]])</f>
        <v>#N/A</v>
      </c>
      <c r="AB1444" s="58" t="e">
        <f>VLOOKUP(Table1[[#This Row],[Yield Cluster]],'Cluster Details'!$B$3:$C$16,2,0)</f>
        <v>#N/A</v>
      </c>
      <c r="AC144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4" s="58" t="e">
        <f>IF(Table1[[#This Row],[Ask Price]]&gt;Table1[[#This Row],[Calculated Bond Price]],"Rich","Cheap")</f>
        <v>#N/A</v>
      </c>
      <c r="AE144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4" s="78" t="e">
        <f>(Table1[[#This Row],[P (+ shock)]]+Table1[[#This Row],[P (-shock)]]-2*Table1[[#This Row],[Ask Price]])/(2*Table1[[#This Row],[Ask Price]]*($AF$2^2))</f>
        <v>#N/A</v>
      </c>
      <c r="AH1444">
        <v>11.568022658657201</v>
      </c>
      <c r="AI1444" s="6" t="e">
        <f t="shared" si="89"/>
        <v>#DIV/0!</v>
      </c>
      <c r="AK1444" s="47" t="e">
        <f>RATE(Table1[[#This Row],[Total No. of Coupons]],Table1[[#This Row],[Coupon Amount]],-Table1[[#This Row],[Ask Price]],Table1[[#This Row],[Face value]])</f>
        <v>#N/A</v>
      </c>
      <c r="AL1444" s="27" t="e">
        <f>Table1[[#This Row],[IRR]]*Table1[[#This Row],[Coupon Frequency2]]</f>
        <v>#N/A</v>
      </c>
      <c r="AM1444" s="5" t="e">
        <f t="shared" si="90"/>
        <v>#N/A</v>
      </c>
      <c r="AN1444" t="s">
        <v>64</v>
      </c>
      <c r="AO1444" t="s">
        <v>62</v>
      </c>
      <c r="AP1444" t="str">
        <f t="shared" si="91"/>
        <v/>
      </c>
    </row>
    <row r="1445" spans="4:42" x14ac:dyDescent="0.35">
      <c r="D1445" s="21"/>
      <c r="E1445" s="21"/>
      <c r="L1445" s="22"/>
      <c r="S1445">
        <f t="shared" si="88"/>
        <v>0</v>
      </c>
      <c r="T1445" s="5" t="e" cm="1">
        <f t="array" ref="T144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5" t="e">
        <f>Table1[[#This Row],[Term to Maturity (Years)]]*Table1[[#This Row],[Coupon Frequency2]]</f>
        <v>#N/A</v>
      </c>
      <c r="V1445">
        <f>Table1[[#This Row],[Face value]]*Table1[[#This Row],[Current coupon %]]</f>
        <v>0</v>
      </c>
      <c r="W1445" s="36" t="e">
        <f>RATE(Table1[[#This Row],[Total No. of Coupons]],Table1[[#This Row],[Coupon Amount]],-Table1[[#This Row],[Ask Price]],Table1[[#This Row],[Face value]])</f>
        <v>#N/A</v>
      </c>
      <c r="X1445" s="27" t="e">
        <f>Table1[[#This Row],[IRR]]*Table1[[#This Row],[Coupon Frequency2]]</f>
        <v>#N/A</v>
      </c>
      <c r="Y1445" s="19" t="e" cm="1">
        <f t="array" ref="Y144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5" s="33" t="e">
        <f>DURATION(Table1[[#This Row],[Issue date]],Table1[[#This Row],[Maturity date]],Table1[[#This Row],[Current coupon %]],Table1[[#This Row],[Yield (Annualised)]],Table1[[#This Row],[Coupon Frequency2]])</f>
        <v>#N/A</v>
      </c>
      <c r="AA1445" s="33" t="e">
        <f>Table1[[#This Row],[Macaulay Duration in Years]]/(1+Table1[[#This Row],[IRR]])</f>
        <v>#N/A</v>
      </c>
      <c r="AB1445" s="58" t="e">
        <f>VLOOKUP(Table1[[#This Row],[Yield Cluster]],'Cluster Details'!$B$3:$C$16,2,0)</f>
        <v>#N/A</v>
      </c>
      <c r="AC144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5" s="58" t="e">
        <f>IF(Table1[[#This Row],[Ask Price]]&gt;Table1[[#This Row],[Calculated Bond Price]],"Rich","Cheap")</f>
        <v>#N/A</v>
      </c>
      <c r="AE144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5" s="78" t="e">
        <f>(Table1[[#This Row],[P (+ shock)]]+Table1[[#This Row],[P (-shock)]]-2*Table1[[#This Row],[Ask Price]])/(2*Table1[[#This Row],[Ask Price]]*($AF$2^2))</f>
        <v>#N/A</v>
      </c>
      <c r="AH1445">
        <v>10.7256940838774</v>
      </c>
      <c r="AI1445" s="6" t="e">
        <f t="shared" si="89"/>
        <v>#DIV/0!</v>
      </c>
      <c r="AK1445" s="47" t="e">
        <f>RATE(Table1[[#This Row],[Total No. of Coupons]],Table1[[#This Row],[Coupon Amount]],-Table1[[#This Row],[Ask Price]],Table1[[#This Row],[Face value]])</f>
        <v>#N/A</v>
      </c>
      <c r="AL1445" s="27" t="e">
        <f>Table1[[#This Row],[IRR]]*Table1[[#This Row],[Coupon Frequency2]]</f>
        <v>#N/A</v>
      </c>
      <c r="AM1445" s="5" t="e">
        <f t="shared" si="90"/>
        <v>#N/A</v>
      </c>
      <c r="AN1445" t="s">
        <v>64</v>
      </c>
      <c r="AO1445" t="s">
        <v>62</v>
      </c>
      <c r="AP1445" t="str">
        <f t="shared" si="91"/>
        <v/>
      </c>
    </row>
    <row r="1446" spans="4:42" x14ac:dyDescent="0.35">
      <c r="D1446" s="21"/>
      <c r="E1446" s="21"/>
      <c r="L1446" s="22"/>
      <c r="S1446">
        <f t="shared" si="88"/>
        <v>0</v>
      </c>
      <c r="T1446" s="5" t="e" cm="1">
        <f t="array" ref="T144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6" t="e">
        <f>Table1[[#This Row],[Term to Maturity (Years)]]*Table1[[#This Row],[Coupon Frequency2]]</f>
        <v>#N/A</v>
      </c>
      <c r="V1446">
        <f>Table1[[#This Row],[Face value]]*Table1[[#This Row],[Current coupon %]]</f>
        <v>0</v>
      </c>
      <c r="W1446" s="36" t="e">
        <f>RATE(Table1[[#This Row],[Total No. of Coupons]],Table1[[#This Row],[Coupon Amount]],-Table1[[#This Row],[Ask Price]],Table1[[#This Row],[Face value]])</f>
        <v>#N/A</v>
      </c>
      <c r="X1446" s="27" t="e">
        <f>Table1[[#This Row],[IRR]]*Table1[[#This Row],[Coupon Frequency2]]</f>
        <v>#N/A</v>
      </c>
      <c r="Y1446" s="19" t="e" cm="1">
        <f t="array" ref="Y144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6" s="33" t="e">
        <f>DURATION(Table1[[#This Row],[Issue date]],Table1[[#This Row],[Maturity date]],Table1[[#This Row],[Current coupon %]],Table1[[#This Row],[Yield (Annualised)]],Table1[[#This Row],[Coupon Frequency2]])</f>
        <v>#N/A</v>
      </c>
      <c r="AA1446" s="33" t="e">
        <f>Table1[[#This Row],[Macaulay Duration in Years]]/(1+Table1[[#This Row],[IRR]])</f>
        <v>#N/A</v>
      </c>
      <c r="AB1446" s="58" t="e">
        <f>VLOOKUP(Table1[[#This Row],[Yield Cluster]],'Cluster Details'!$B$3:$C$16,2,0)</f>
        <v>#N/A</v>
      </c>
      <c r="AC144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6" s="58" t="e">
        <f>IF(Table1[[#This Row],[Ask Price]]&gt;Table1[[#This Row],[Calculated Bond Price]],"Rich","Cheap")</f>
        <v>#N/A</v>
      </c>
      <c r="AE144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6" s="78" t="e">
        <f>(Table1[[#This Row],[P (+ shock)]]+Table1[[#This Row],[P (-shock)]]-2*Table1[[#This Row],[Ask Price]])/(2*Table1[[#This Row],[Ask Price]]*($AF$2^2))</f>
        <v>#N/A</v>
      </c>
      <c r="AH1446">
        <v>10.2377816776561</v>
      </c>
      <c r="AI1446" s="6" t="e">
        <f t="shared" si="89"/>
        <v>#DIV/0!</v>
      </c>
      <c r="AK1446" s="47" t="e">
        <f>RATE(Table1[[#This Row],[Total No. of Coupons]],Table1[[#This Row],[Coupon Amount]],-Table1[[#This Row],[Ask Price]],Table1[[#This Row],[Face value]])</f>
        <v>#N/A</v>
      </c>
      <c r="AL1446" s="27" t="e">
        <f>Table1[[#This Row],[IRR]]*Table1[[#This Row],[Coupon Frequency2]]</f>
        <v>#N/A</v>
      </c>
      <c r="AM1446" s="5" t="e">
        <f t="shared" si="90"/>
        <v>#N/A</v>
      </c>
      <c r="AN1446" t="s">
        <v>64</v>
      </c>
      <c r="AO1446" t="s">
        <v>62</v>
      </c>
      <c r="AP1446" t="str">
        <f t="shared" si="91"/>
        <v/>
      </c>
    </row>
    <row r="1447" spans="4:42" x14ac:dyDescent="0.35">
      <c r="D1447" s="21"/>
      <c r="E1447" s="21"/>
      <c r="L1447" s="22"/>
      <c r="S1447">
        <f t="shared" si="88"/>
        <v>0</v>
      </c>
      <c r="T1447" s="5" t="e" cm="1">
        <f t="array" ref="T144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7" t="e">
        <f>Table1[[#This Row],[Term to Maturity (Years)]]*Table1[[#This Row],[Coupon Frequency2]]</f>
        <v>#N/A</v>
      </c>
      <c r="V1447">
        <f>Table1[[#This Row],[Face value]]*Table1[[#This Row],[Current coupon %]]</f>
        <v>0</v>
      </c>
      <c r="W1447" s="36" t="e">
        <f>RATE(Table1[[#This Row],[Total No. of Coupons]],Table1[[#This Row],[Coupon Amount]],-Table1[[#This Row],[Ask Price]],Table1[[#This Row],[Face value]])</f>
        <v>#N/A</v>
      </c>
      <c r="X1447" s="27" t="e">
        <f>Table1[[#This Row],[IRR]]*Table1[[#This Row],[Coupon Frequency2]]</f>
        <v>#N/A</v>
      </c>
      <c r="Y1447" s="19" t="e" cm="1">
        <f t="array" ref="Y144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7" s="33" t="e">
        <f>DURATION(Table1[[#This Row],[Issue date]],Table1[[#This Row],[Maturity date]],Table1[[#This Row],[Current coupon %]],Table1[[#This Row],[Yield (Annualised)]],Table1[[#This Row],[Coupon Frequency2]])</f>
        <v>#N/A</v>
      </c>
      <c r="AA1447" s="33" t="e">
        <f>Table1[[#This Row],[Macaulay Duration in Years]]/(1+Table1[[#This Row],[IRR]])</f>
        <v>#N/A</v>
      </c>
      <c r="AB1447" s="58" t="e">
        <f>VLOOKUP(Table1[[#This Row],[Yield Cluster]],'Cluster Details'!$B$3:$C$16,2,0)</f>
        <v>#N/A</v>
      </c>
      <c r="AC144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7" s="58" t="e">
        <f>IF(Table1[[#This Row],[Ask Price]]&gt;Table1[[#This Row],[Calculated Bond Price]],"Rich","Cheap")</f>
        <v>#N/A</v>
      </c>
      <c r="AE144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7" s="78" t="e">
        <f>(Table1[[#This Row],[P (+ shock)]]+Table1[[#This Row],[P (-shock)]]-2*Table1[[#This Row],[Ask Price]])/(2*Table1[[#This Row],[Ask Price]]*($AF$2^2))</f>
        <v>#N/A</v>
      </c>
      <c r="AH1447">
        <v>8.5045017457253103</v>
      </c>
      <c r="AI1447" s="6" t="e">
        <f t="shared" si="89"/>
        <v>#DIV/0!</v>
      </c>
      <c r="AK1447" s="47" t="e">
        <f>RATE(Table1[[#This Row],[Total No. of Coupons]],Table1[[#This Row],[Coupon Amount]],-Table1[[#This Row],[Ask Price]],Table1[[#This Row],[Face value]])</f>
        <v>#N/A</v>
      </c>
      <c r="AL1447" s="27" t="e">
        <f>Table1[[#This Row],[IRR]]*Table1[[#This Row],[Coupon Frequency2]]</f>
        <v>#N/A</v>
      </c>
      <c r="AM1447" s="5" t="e">
        <f t="shared" si="90"/>
        <v>#N/A</v>
      </c>
      <c r="AN1447" t="s">
        <v>64</v>
      </c>
      <c r="AO1447" t="s">
        <v>62</v>
      </c>
      <c r="AP1447" t="str">
        <f t="shared" si="91"/>
        <v/>
      </c>
    </row>
    <row r="1448" spans="4:42" x14ac:dyDescent="0.35">
      <c r="D1448" s="21"/>
      <c r="E1448" s="21"/>
      <c r="L1448" s="22"/>
      <c r="S1448">
        <f t="shared" si="88"/>
        <v>0</v>
      </c>
      <c r="T1448" s="5" t="e" cm="1">
        <f t="array" ref="T144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8" t="e">
        <f>Table1[[#This Row],[Term to Maturity (Years)]]*Table1[[#This Row],[Coupon Frequency2]]</f>
        <v>#N/A</v>
      </c>
      <c r="V1448">
        <f>Table1[[#This Row],[Face value]]*Table1[[#This Row],[Current coupon %]]</f>
        <v>0</v>
      </c>
      <c r="W1448" s="36" t="e">
        <f>RATE(Table1[[#This Row],[Total No. of Coupons]],Table1[[#This Row],[Coupon Amount]],-Table1[[#This Row],[Ask Price]],Table1[[#This Row],[Face value]])</f>
        <v>#N/A</v>
      </c>
      <c r="X1448" s="27" t="e">
        <f>Table1[[#This Row],[IRR]]*Table1[[#This Row],[Coupon Frequency2]]</f>
        <v>#N/A</v>
      </c>
      <c r="Y1448" s="19" t="e" cm="1">
        <f t="array" ref="Y144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8" s="33" t="e">
        <f>DURATION(Table1[[#This Row],[Issue date]],Table1[[#This Row],[Maturity date]],Table1[[#This Row],[Current coupon %]],Table1[[#This Row],[Yield (Annualised)]],Table1[[#This Row],[Coupon Frequency2]])</f>
        <v>#N/A</v>
      </c>
      <c r="AA1448" s="33" t="e">
        <f>Table1[[#This Row],[Macaulay Duration in Years]]/(1+Table1[[#This Row],[IRR]])</f>
        <v>#N/A</v>
      </c>
      <c r="AB1448" s="58" t="e">
        <f>VLOOKUP(Table1[[#This Row],[Yield Cluster]],'Cluster Details'!$B$3:$C$16,2,0)</f>
        <v>#N/A</v>
      </c>
      <c r="AC144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8" s="58" t="e">
        <f>IF(Table1[[#This Row],[Ask Price]]&gt;Table1[[#This Row],[Calculated Bond Price]],"Rich","Cheap")</f>
        <v>#N/A</v>
      </c>
      <c r="AE144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8" s="78" t="e">
        <f>(Table1[[#This Row],[P (+ shock)]]+Table1[[#This Row],[P (-shock)]]-2*Table1[[#This Row],[Ask Price]])/(2*Table1[[#This Row],[Ask Price]]*($AF$2^2))</f>
        <v>#N/A</v>
      </c>
      <c r="AH1448">
        <v>8.5437866367397906</v>
      </c>
      <c r="AI1448" s="6" t="e">
        <f t="shared" si="89"/>
        <v>#DIV/0!</v>
      </c>
      <c r="AK1448" s="47" t="e">
        <f>RATE(Table1[[#This Row],[Total No. of Coupons]],Table1[[#This Row],[Coupon Amount]],-Table1[[#This Row],[Ask Price]],Table1[[#This Row],[Face value]])</f>
        <v>#N/A</v>
      </c>
      <c r="AL1448" s="27" t="e">
        <f>Table1[[#This Row],[IRR]]*Table1[[#This Row],[Coupon Frequency2]]</f>
        <v>#N/A</v>
      </c>
      <c r="AM1448" s="5" t="e">
        <f t="shared" si="90"/>
        <v>#N/A</v>
      </c>
      <c r="AN1448" t="s">
        <v>64</v>
      </c>
      <c r="AO1448" t="s">
        <v>62</v>
      </c>
      <c r="AP1448" t="str">
        <f t="shared" si="91"/>
        <v/>
      </c>
    </row>
    <row r="1449" spans="4:42" x14ac:dyDescent="0.35">
      <c r="D1449" s="21"/>
      <c r="E1449" s="21"/>
      <c r="L1449" s="22"/>
      <c r="S1449">
        <f t="shared" si="88"/>
        <v>0</v>
      </c>
      <c r="T1449" s="5" t="e" cm="1">
        <f t="array" ref="T144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49" t="e">
        <f>Table1[[#This Row],[Term to Maturity (Years)]]*Table1[[#This Row],[Coupon Frequency2]]</f>
        <v>#N/A</v>
      </c>
      <c r="V1449">
        <f>Table1[[#This Row],[Face value]]*Table1[[#This Row],[Current coupon %]]</f>
        <v>0</v>
      </c>
      <c r="W1449" s="36" t="e">
        <f>RATE(Table1[[#This Row],[Total No. of Coupons]],Table1[[#This Row],[Coupon Amount]],-Table1[[#This Row],[Ask Price]],Table1[[#This Row],[Face value]])</f>
        <v>#N/A</v>
      </c>
      <c r="X1449" s="27" t="e">
        <f>Table1[[#This Row],[IRR]]*Table1[[#This Row],[Coupon Frequency2]]</f>
        <v>#N/A</v>
      </c>
      <c r="Y1449" s="19" t="e" cm="1">
        <f t="array" ref="Y144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49" s="33" t="e">
        <f>DURATION(Table1[[#This Row],[Issue date]],Table1[[#This Row],[Maturity date]],Table1[[#This Row],[Current coupon %]],Table1[[#This Row],[Yield (Annualised)]],Table1[[#This Row],[Coupon Frequency2]])</f>
        <v>#N/A</v>
      </c>
      <c r="AA1449" s="33" t="e">
        <f>Table1[[#This Row],[Macaulay Duration in Years]]/(1+Table1[[#This Row],[IRR]])</f>
        <v>#N/A</v>
      </c>
      <c r="AB1449" s="58" t="e">
        <f>VLOOKUP(Table1[[#This Row],[Yield Cluster]],'Cluster Details'!$B$3:$C$16,2,0)</f>
        <v>#N/A</v>
      </c>
      <c r="AC144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49" s="58" t="e">
        <f>IF(Table1[[#This Row],[Ask Price]]&gt;Table1[[#This Row],[Calculated Bond Price]],"Rich","Cheap")</f>
        <v>#N/A</v>
      </c>
      <c r="AE144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4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49" s="78" t="e">
        <f>(Table1[[#This Row],[P (+ shock)]]+Table1[[#This Row],[P (-shock)]]-2*Table1[[#This Row],[Ask Price]])/(2*Table1[[#This Row],[Ask Price]]*($AF$2^2))</f>
        <v>#N/A</v>
      </c>
      <c r="AH1449">
        <v>11.542578363565999</v>
      </c>
      <c r="AI1449" s="6" t="e">
        <f t="shared" si="89"/>
        <v>#DIV/0!</v>
      </c>
      <c r="AK1449" s="47" t="e">
        <f>RATE(Table1[[#This Row],[Total No. of Coupons]],Table1[[#This Row],[Coupon Amount]],-Table1[[#This Row],[Ask Price]],Table1[[#This Row],[Face value]])</f>
        <v>#N/A</v>
      </c>
      <c r="AL1449" s="27" t="e">
        <f>Table1[[#This Row],[IRR]]*Table1[[#This Row],[Coupon Frequency2]]</f>
        <v>#N/A</v>
      </c>
      <c r="AM1449" s="5" t="e">
        <f t="shared" si="90"/>
        <v>#N/A</v>
      </c>
      <c r="AN1449" t="s">
        <v>64</v>
      </c>
      <c r="AO1449" t="s">
        <v>62</v>
      </c>
      <c r="AP1449" t="str">
        <f t="shared" si="91"/>
        <v/>
      </c>
    </row>
    <row r="1450" spans="4:42" x14ac:dyDescent="0.35">
      <c r="D1450" s="21"/>
      <c r="E1450" s="21"/>
      <c r="L1450" s="22"/>
      <c r="S1450">
        <f t="shared" si="88"/>
        <v>0</v>
      </c>
      <c r="T1450" s="5" t="e" cm="1">
        <f t="array" ref="T145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0" t="e">
        <f>Table1[[#This Row],[Term to Maturity (Years)]]*Table1[[#This Row],[Coupon Frequency2]]</f>
        <v>#N/A</v>
      </c>
      <c r="V1450">
        <f>Table1[[#This Row],[Face value]]*Table1[[#This Row],[Current coupon %]]</f>
        <v>0</v>
      </c>
      <c r="W1450" s="36" t="e">
        <f>RATE(Table1[[#This Row],[Total No. of Coupons]],Table1[[#This Row],[Coupon Amount]],-Table1[[#This Row],[Ask Price]],Table1[[#This Row],[Face value]])</f>
        <v>#N/A</v>
      </c>
      <c r="X1450" s="27" t="e">
        <f>Table1[[#This Row],[IRR]]*Table1[[#This Row],[Coupon Frequency2]]</f>
        <v>#N/A</v>
      </c>
      <c r="Y1450" s="19" t="e" cm="1">
        <f t="array" ref="Y145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0" s="33" t="e">
        <f>DURATION(Table1[[#This Row],[Issue date]],Table1[[#This Row],[Maturity date]],Table1[[#This Row],[Current coupon %]],Table1[[#This Row],[Yield (Annualised)]],Table1[[#This Row],[Coupon Frequency2]])</f>
        <v>#N/A</v>
      </c>
      <c r="AA1450" s="33" t="e">
        <f>Table1[[#This Row],[Macaulay Duration in Years]]/(1+Table1[[#This Row],[IRR]])</f>
        <v>#N/A</v>
      </c>
      <c r="AB1450" s="58" t="e">
        <f>VLOOKUP(Table1[[#This Row],[Yield Cluster]],'Cluster Details'!$B$3:$C$16,2,0)</f>
        <v>#N/A</v>
      </c>
      <c r="AC145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0" s="58" t="e">
        <f>IF(Table1[[#This Row],[Ask Price]]&gt;Table1[[#This Row],[Calculated Bond Price]],"Rich","Cheap")</f>
        <v>#N/A</v>
      </c>
      <c r="AE145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0" s="78" t="e">
        <f>(Table1[[#This Row],[P (+ shock)]]+Table1[[#This Row],[P (-shock)]]-2*Table1[[#This Row],[Ask Price]])/(2*Table1[[#This Row],[Ask Price]]*($AF$2^2))</f>
        <v>#N/A</v>
      </c>
      <c r="AH1450">
        <v>10.6895169941817</v>
      </c>
      <c r="AI1450" s="6" t="e">
        <f t="shared" si="89"/>
        <v>#DIV/0!</v>
      </c>
      <c r="AK1450" s="47" t="e">
        <f>RATE(Table1[[#This Row],[Total No. of Coupons]],Table1[[#This Row],[Coupon Amount]],-Table1[[#This Row],[Ask Price]],Table1[[#This Row],[Face value]])</f>
        <v>#N/A</v>
      </c>
      <c r="AL1450" s="27" t="e">
        <f>Table1[[#This Row],[IRR]]*Table1[[#This Row],[Coupon Frequency2]]</f>
        <v>#N/A</v>
      </c>
      <c r="AM1450" s="5" t="e">
        <f t="shared" si="90"/>
        <v>#N/A</v>
      </c>
      <c r="AN1450" t="s">
        <v>64</v>
      </c>
      <c r="AO1450" t="s">
        <v>62</v>
      </c>
      <c r="AP1450" t="str">
        <f t="shared" si="91"/>
        <v/>
      </c>
    </row>
    <row r="1451" spans="4:42" x14ac:dyDescent="0.35">
      <c r="D1451" s="21"/>
      <c r="E1451" s="21"/>
      <c r="L1451" s="22"/>
      <c r="S1451">
        <f t="shared" si="88"/>
        <v>0</v>
      </c>
      <c r="T1451" s="5" t="e" cm="1">
        <f t="array" ref="T145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1" t="e">
        <f>Table1[[#This Row],[Term to Maturity (Years)]]*Table1[[#This Row],[Coupon Frequency2]]</f>
        <v>#N/A</v>
      </c>
      <c r="V1451">
        <f>Table1[[#This Row],[Face value]]*Table1[[#This Row],[Current coupon %]]</f>
        <v>0</v>
      </c>
      <c r="W1451" s="36" t="e">
        <f>RATE(Table1[[#This Row],[Total No. of Coupons]],Table1[[#This Row],[Coupon Amount]],-Table1[[#This Row],[Ask Price]],Table1[[#This Row],[Face value]])</f>
        <v>#N/A</v>
      </c>
      <c r="X1451" s="27" t="e">
        <f>Table1[[#This Row],[IRR]]*Table1[[#This Row],[Coupon Frequency2]]</f>
        <v>#N/A</v>
      </c>
      <c r="Y1451" s="19" t="e" cm="1">
        <f t="array" ref="Y145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1" s="33" t="e">
        <f>DURATION(Table1[[#This Row],[Issue date]],Table1[[#This Row],[Maturity date]],Table1[[#This Row],[Current coupon %]],Table1[[#This Row],[Yield (Annualised)]],Table1[[#This Row],[Coupon Frequency2]])</f>
        <v>#N/A</v>
      </c>
      <c r="AA1451" s="33" t="e">
        <f>Table1[[#This Row],[Macaulay Duration in Years]]/(1+Table1[[#This Row],[IRR]])</f>
        <v>#N/A</v>
      </c>
      <c r="AB1451" s="58" t="e">
        <f>VLOOKUP(Table1[[#This Row],[Yield Cluster]],'Cluster Details'!$B$3:$C$16,2,0)</f>
        <v>#N/A</v>
      </c>
      <c r="AC145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1" s="58" t="e">
        <f>IF(Table1[[#This Row],[Ask Price]]&gt;Table1[[#This Row],[Calculated Bond Price]],"Rich","Cheap")</f>
        <v>#N/A</v>
      </c>
      <c r="AE145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1" s="78" t="e">
        <f>(Table1[[#This Row],[P (+ shock)]]+Table1[[#This Row],[P (-shock)]]-2*Table1[[#This Row],[Ask Price]])/(2*Table1[[#This Row],[Ask Price]]*($AF$2^2))</f>
        <v>#N/A</v>
      </c>
      <c r="AH1451">
        <v>9.4812662293728902</v>
      </c>
      <c r="AI1451" s="6" t="e">
        <f t="shared" si="89"/>
        <v>#DIV/0!</v>
      </c>
      <c r="AK1451" s="47" t="e">
        <f>RATE(Table1[[#This Row],[Total No. of Coupons]],Table1[[#This Row],[Coupon Amount]],-Table1[[#This Row],[Ask Price]],Table1[[#This Row],[Face value]])</f>
        <v>#N/A</v>
      </c>
      <c r="AL1451" s="27" t="e">
        <f>Table1[[#This Row],[IRR]]*Table1[[#This Row],[Coupon Frequency2]]</f>
        <v>#N/A</v>
      </c>
      <c r="AM1451" s="5" t="e">
        <f t="shared" si="90"/>
        <v>#N/A</v>
      </c>
      <c r="AN1451" t="s">
        <v>64</v>
      </c>
      <c r="AO1451" t="s">
        <v>62</v>
      </c>
      <c r="AP1451" t="str">
        <f t="shared" si="91"/>
        <v/>
      </c>
    </row>
    <row r="1452" spans="4:42" x14ac:dyDescent="0.35">
      <c r="D1452" s="21"/>
      <c r="E1452" s="21"/>
      <c r="L1452" s="22"/>
      <c r="S1452">
        <f t="shared" si="88"/>
        <v>0</v>
      </c>
      <c r="T1452" s="5" t="e" cm="1">
        <f t="array" ref="T145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2" t="e">
        <f>Table1[[#This Row],[Term to Maturity (Years)]]*Table1[[#This Row],[Coupon Frequency2]]</f>
        <v>#N/A</v>
      </c>
      <c r="V1452">
        <f>Table1[[#This Row],[Face value]]*Table1[[#This Row],[Current coupon %]]</f>
        <v>0</v>
      </c>
      <c r="W1452" s="36" t="e">
        <f>RATE(Table1[[#This Row],[Total No. of Coupons]],Table1[[#This Row],[Coupon Amount]],-Table1[[#This Row],[Ask Price]],Table1[[#This Row],[Face value]])</f>
        <v>#N/A</v>
      </c>
      <c r="X1452" s="27" t="e">
        <f>Table1[[#This Row],[IRR]]*Table1[[#This Row],[Coupon Frequency2]]</f>
        <v>#N/A</v>
      </c>
      <c r="Y1452" s="19" t="e" cm="1">
        <f t="array" ref="Y145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2" s="33" t="e">
        <f>DURATION(Table1[[#This Row],[Issue date]],Table1[[#This Row],[Maturity date]],Table1[[#This Row],[Current coupon %]],Table1[[#This Row],[Yield (Annualised)]],Table1[[#This Row],[Coupon Frequency2]])</f>
        <v>#N/A</v>
      </c>
      <c r="AA1452" s="33" t="e">
        <f>Table1[[#This Row],[Macaulay Duration in Years]]/(1+Table1[[#This Row],[IRR]])</f>
        <v>#N/A</v>
      </c>
      <c r="AB1452" s="58" t="e">
        <f>VLOOKUP(Table1[[#This Row],[Yield Cluster]],'Cluster Details'!$B$3:$C$16,2,0)</f>
        <v>#N/A</v>
      </c>
      <c r="AC145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2" s="58" t="e">
        <f>IF(Table1[[#This Row],[Ask Price]]&gt;Table1[[#This Row],[Calculated Bond Price]],"Rich","Cheap")</f>
        <v>#N/A</v>
      </c>
      <c r="AE145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2" s="78" t="e">
        <f>(Table1[[#This Row],[P (+ shock)]]+Table1[[#This Row],[P (-shock)]]-2*Table1[[#This Row],[Ask Price]])/(2*Table1[[#This Row],[Ask Price]]*($AF$2^2))</f>
        <v>#N/A</v>
      </c>
      <c r="AH1452">
        <v>9.0606725146198794</v>
      </c>
      <c r="AI1452" s="6" t="e">
        <f t="shared" si="89"/>
        <v>#DIV/0!</v>
      </c>
      <c r="AK1452" s="47" t="e">
        <f>RATE(Table1[[#This Row],[Total No. of Coupons]],Table1[[#This Row],[Coupon Amount]],-Table1[[#This Row],[Ask Price]],Table1[[#This Row],[Face value]])</f>
        <v>#N/A</v>
      </c>
      <c r="AL1452" s="27" t="e">
        <f>Table1[[#This Row],[IRR]]*Table1[[#This Row],[Coupon Frequency2]]</f>
        <v>#N/A</v>
      </c>
      <c r="AM1452" s="5" t="e">
        <f t="shared" si="90"/>
        <v>#N/A</v>
      </c>
      <c r="AN1452" t="s">
        <v>64</v>
      </c>
      <c r="AO1452" t="s">
        <v>62</v>
      </c>
      <c r="AP1452" t="str">
        <f t="shared" si="91"/>
        <v/>
      </c>
    </row>
    <row r="1453" spans="4:42" x14ac:dyDescent="0.35">
      <c r="D1453" s="21"/>
      <c r="E1453" s="21"/>
      <c r="L1453" s="22"/>
      <c r="S1453">
        <f t="shared" si="88"/>
        <v>0</v>
      </c>
      <c r="T1453" s="5" t="e" cm="1">
        <f t="array" ref="T145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3" t="e">
        <f>Table1[[#This Row],[Term to Maturity (Years)]]*Table1[[#This Row],[Coupon Frequency2]]</f>
        <v>#N/A</v>
      </c>
      <c r="V1453">
        <f>Table1[[#This Row],[Face value]]*Table1[[#This Row],[Current coupon %]]</f>
        <v>0</v>
      </c>
      <c r="W1453" s="36" t="e">
        <f>RATE(Table1[[#This Row],[Total No. of Coupons]],Table1[[#This Row],[Coupon Amount]],-Table1[[#This Row],[Ask Price]],Table1[[#This Row],[Face value]])</f>
        <v>#N/A</v>
      </c>
      <c r="X1453" s="27" t="e">
        <f>Table1[[#This Row],[IRR]]*Table1[[#This Row],[Coupon Frequency2]]</f>
        <v>#N/A</v>
      </c>
      <c r="Y1453" s="19" t="e" cm="1">
        <f t="array" ref="Y145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3" s="33" t="e">
        <f>DURATION(Table1[[#This Row],[Issue date]],Table1[[#This Row],[Maturity date]],Table1[[#This Row],[Current coupon %]],Table1[[#This Row],[Yield (Annualised)]],Table1[[#This Row],[Coupon Frequency2]])</f>
        <v>#N/A</v>
      </c>
      <c r="AA1453" s="33" t="e">
        <f>Table1[[#This Row],[Macaulay Duration in Years]]/(1+Table1[[#This Row],[IRR]])</f>
        <v>#N/A</v>
      </c>
      <c r="AB1453" s="58" t="e">
        <f>VLOOKUP(Table1[[#This Row],[Yield Cluster]],'Cluster Details'!$B$3:$C$16,2,0)</f>
        <v>#N/A</v>
      </c>
      <c r="AC145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3" s="58" t="e">
        <f>IF(Table1[[#This Row],[Ask Price]]&gt;Table1[[#This Row],[Calculated Bond Price]],"Rich","Cheap")</f>
        <v>#N/A</v>
      </c>
      <c r="AE145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3" s="78" t="e">
        <f>(Table1[[#This Row],[P (+ shock)]]+Table1[[#This Row],[P (-shock)]]-2*Table1[[#This Row],[Ask Price]])/(2*Table1[[#This Row],[Ask Price]]*($AF$2^2))</f>
        <v>#N/A</v>
      </c>
      <c r="AH1453">
        <v>7.1990743234699197</v>
      </c>
      <c r="AI1453" s="6" t="e">
        <f t="shared" si="89"/>
        <v>#DIV/0!</v>
      </c>
      <c r="AK1453" s="47" t="e">
        <f>RATE(Table1[[#This Row],[Total No. of Coupons]],Table1[[#This Row],[Coupon Amount]],-Table1[[#This Row],[Ask Price]],Table1[[#This Row],[Face value]])</f>
        <v>#N/A</v>
      </c>
      <c r="AL1453" s="27" t="e">
        <f>Table1[[#This Row],[IRR]]*Table1[[#This Row],[Coupon Frequency2]]</f>
        <v>#N/A</v>
      </c>
      <c r="AM1453" s="5" t="e">
        <f t="shared" si="90"/>
        <v>#N/A</v>
      </c>
      <c r="AN1453" t="s">
        <v>64</v>
      </c>
      <c r="AO1453" t="s">
        <v>62</v>
      </c>
      <c r="AP1453" t="str">
        <f t="shared" si="91"/>
        <v/>
      </c>
    </row>
    <row r="1454" spans="4:42" x14ac:dyDescent="0.35">
      <c r="D1454" s="21"/>
      <c r="E1454" s="21"/>
      <c r="L1454" s="22"/>
      <c r="S1454">
        <f t="shared" si="88"/>
        <v>0</v>
      </c>
      <c r="T1454" s="5" t="e" cm="1">
        <f t="array" ref="T145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4" t="e">
        <f>Table1[[#This Row],[Term to Maturity (Years)]]*Table1[[#This Row],[Coupon Frequency2]]</f>
        <v>#N/A</v>
      </c>
      <c r="V1454">
        <f>Table1[[#This Row],[Face value]]*Table1[[#This Row],[Current coupon %]]</f>
        <v>0</v>
      </c>
      <c r="W1454" s="36" t="e">
        <f>RATE(Table1[[#This Row],[Total No. of Coupons]],Table1[[#This Row],[Coupon Amount]],-Table1[[#This Row],[Ask Price]],Table1[[#This Row],[Face value]])</f>
        <v>#N/A</v>
      </c>
      <c r="X1454" s="27" t="e">
        <f>Table1[[#This Row],[IRR]]*Table1[[#This Row],[Coupon Frequency2]]</f>
        <v>#N/A</v>
      </c>
      <c r="Y1454" s="19" t="e" cm="1">
        <f t="array" ref="Y145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4" s="33" t="e">
        <f>DURATION(Table1[[#This Row],[Issue date]],Table1[[#This Row],[Maturity date]],Table1[[#This Row],[Current coupon %]],Table1[[#This Row],[Yield (Annualised)]],Table1[[#This Row],[Coupon Frequency2]])</f>
        <v>#N/A</v>
      </c>
      <c r="AA1454" s="33" t="e">
        <f>Table1[[#This Row],[Macaulay Duration in Years]]/(1+Table1[[#This Row],[IRR]])</f>
        <v>#N/A</v>
      </c>
      <c r="AB1454" s="58" t="e">
        <f>VLOOKUP(Table1[[#This Row],[Yield Cluster]],'Cluster Details'!$B$3:$C$16,2,0)</f>
        <v>#N/A</v>
      </c>
      <c r="AC145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4" s="58" t="e">
        <f>IF(Table1[[#This Row],[Ask Price]]&gt;Table1[[#This Row],[Calculated Bond Price]],"Rich","Cheap")</f>
        <v>#N/A</v>
      </c>
      <c r="AE145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4" s="78" t="e">
        <f>(Table1[[#This Row],[P (+ shock)]]+Table1[[#This Row],[P (-shock)]]-2*Table1[[#This Row],[Ask Price]])/(2*Table1[[#This Row],[Ask Price]]*($AF$2^2))</f>
        <v>#N/A</v>
      </c>
      <c r="AH1454">
        <v>10.063783822616299</v>
      </c>
      <c r="AI1454" s="6" t="e">
        <f t="shared" si="89"/>
        <v>#DIV/0!</v>
      </c>
      <c r="AK1454" s="47" t="e">
        <f>RATE(Table1[[#This Row],[Total No. of Coupons]],Table1[[#This Row],[Coupon Amount]],-Table1[[#This Row],[Ask Price]],Table1[[#This Row],[Face value]])</f>
        <v>#N/A</v>
      </c>
      <c r="AL1454" s="27" t="e">
        <f>Table1[[#This Row],[IRR]]*Table1[[#This Row],[Coupon Frequency2]]</f>
        <v>#N/A</v>
      </c>
      <c r="AM1454" s="5" t="e">
        <f t="shared" si="90"/>
        <v>#N/A</v>
      </c>
      <c r="AN1454" t="s">
        <v>64</v>
      </c>
      <c r="AO1454" t="s">
        <v>62</v>
      </c>
      <c r="AP1454" t="str">
        <f t="shared" si="91"/>
        <v/>
      </c>
    </row>
    <row r="1455" spans="4:42" x14ac:dyDescent="0.35">
      <c r="D1455" s="21"/>
      <c r="E1455" s="21"/>
      <c r="L1455" s="22"/>
      <c r="S1455">
        <f t="shared" si="88"/>
        <v>0</v>
      </c>
      <c r="T1455" s="5" t="e" cm="1">
        <f t="array" ref="T145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5" t="e">
        <f>Table1[[#This Row],[Term to Maturity (Years)]]*Table1[[#This Row],[Coupon Frequency2]]</f>
        <v>#N/A</v>
      </c>
      <c r="V1455">
        <f>Table1[[#This Row],[Face value]]*Table1[[#This Row],[Current coupon %]]</f>
        <v>0</v>
      </c>
      <c r="W1455" s="36" t="e">
        <f>RATE(Table1[[#This Row],[Total No. of Coupons]],Table1[[#This Row],[Coupon Amount]],-Table1[[#This Row],[Ask Price]],Table1[[#This Row],[Face value]])</f>
        <v>#N/A</v>
      </c>
      <c r="X1455" s="27" t="e">
        <f>Table1[[#This Row],[IRR]]*Table1[[#This Row],[Coupon Frequency2]]</f>
        <v>#N/A</v>
      </c>
      <c r="Y1455" s="19" t="e" cm="1">
        <f t="array" ref="Y145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5" s="33" t="e">
        <f>DURATION(Table1[[#This Row],[Issue date]],Table1[[#This Row],[Maturity date]],Table1[[#This Row],[Current coupon %]],Table1[[#This Row],[Yield (Annualised)]],Table1[[#This Row],[Coupon Frequency2]])</f>
        <v>#N/A</v>
      </c>
      <c r="AA1455" s="33" t="e">
        <f>Table1[[#This Row],[Macaulay Duration in Years]]/(1+Table1[[#This Row],[IRR]])</f>
        <v>#N/A</v>
      </c>
      <c r="AB1455" s="58" t="e">
        <f>VLOOKUP(Table1[[#This Row],[Yield Cluster]],'Cluster Details'!$B$3:$C$16,2,0)</f>
        <v>#N/A</v>
      </c>
      <c r="AC145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5" s="58" t="e">
        <f>IF(Table1[[#This Row],[Ask Price]]&gt;Table1[[#This Row],[Calculated Bond Price]],"Rich","Cheap")</f>
        <v>#N/A</v>
      </c>
      <c r="AE145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5" s="78" t="e">
        <f>(Table1[[#This Row],[P (+ shock)]]+Table1[[#This Row],[P (-shock)]]-2*Table1[[#This Row],[Ask Price]])/(2*Table1[[#This Row],[Ask Price]]*($AF$2^2))</f>
        <v>#N/A</v>
      </c>
      <c r="AH1455">
        <v>10.7421178382323</v>
      </c>
      <c r="AI1455" s="6" t="e">
        <f t="shared" si="89"/>
        <v>#DIV/0!</v>
      </c>
      <c r="AK1455" s="47" t="e">
        <f>RATE(Table1[[#This Row],[Total No. of Coupons]],Table1[[#This Row],[Coupon Amount]],-Table1[[#This Row],[Ask Price]],Table1[[#This Row],[Face value]])</f>
        <v>#N/A</v>
      </c>
      <c r="AL1455" s="27" t="e">
        <f>Table1[[#This Row],[IRR]]*Table1[[#This Row],[Coupon Frequency2]]</f>
        <v>#N/A</v>
      </c>
      <c r="AM1455" s="5" t="e">
        <f t="shared" si="90"/>
        <v>#N/A</v>
      </c>
      <c r="AN1455" t="s">
        <v>64</v>
      </c>
      <c r="AO1455" t="s">
        <v>62</v>
      </c>
      <c r="AP1455" t="str">
        <f t="shared" si="91"/>
        <v/>
      </c>
    </row>
    <row r="1456" spans="4:42" x14ac:dyDescent="0.35">
      <c r="D1456" s="21"/>
      <c r="E1456" s="21"/>
      <c r="L1456" s="22"/>
      <c r="S1456">
        <f t="shared" si="88"/>
        <v>0</v>
      </c>
      <c r="T1456" s="5" t="e" cm="1">
        <f t="array" ref="T145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6" t="e">
        <f>Table1[[#This Row],[Term to Maturity (Years)]]*Table1[[#This Row],[Coupon Frequency2]]</f>
        <v>#N/A</v>
      </c>
      <c r="V1456">
        <f>Table1[[#This Row],[Face value]]*Table1[[#This Row],[Current coupon %]]</f>
        <v>0</v>
      </c>
      <c r="W1456" s="36" t="e">
        <f>RATE(Table1[[#This Row],[Total No. of Coupons]],Table1[[#This Row],[Coupon Amount]],-Table1[[#This Row],[Ask Price]],Table1[[#This Row],[Face value]])</f>
        <v>#N/A</v>
      </c>
      <c r="X1456" s="27" t="e">
        <f>Table1[[#This Row],[IRR]]*Table1[[#This Row],[Coupon Frequency2]]</f>
        <v>#N/A</v>
      </c>
      <c r="Y1456" s="19" t="e" cm="1">
        <f t="array" ref="Y145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6" s="33" t="e">
        <f>DURATION(Table1[[#This Row],[Issue date]],Table1[[#This Row],[Maturity date]],Table1[[#This Row],[Current coupon %]],Table1[[#This Row],[Yield (Annualised)]],Table1[[#This Row],[Coupon Frequency2]])</f>
        <v>#N/A</v>
      </c>
      <c r="AA1456" s="33" t="e">
        <f>Table1[[#This Row],[Macaulay Duration in Years]]/(1+Table1[[#This Row],[IRR]])</f>
        <v>#N/A</v>
      </c>
      <c r="AB1456" s="58" t="e">
        <f>VLOOKUP(Table1[[#This Row],[Yield Cluster]],'Cluster Details'!$B$3:$C$16,2,0)</f>
        <v>#N/A</v>
      </c>
      <c r="AC145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6" s="58" t="e">
        <f>IF(Table1[[#This Row],[Ask Price]]&gt;Table1[[#This Row],[Calculated Bond Price]],"Rich","Cheap")</f>
        <v>#N/A</v>
      </c>
      <c r="AE145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6" s="78" t="e">
        <f>(Table1[[#This Row],[P (+ shock)]]+Table1[[#This Row],[P (-shock)]]-2*Table1[[#This Row],[Ask Price]])/(2*Table1[[#This Row],[Ask Price]]*($AF$2^2))</f>
        <v>#N/A</v>
      </c>
      <c r="AH1456">
        <v>11</v>
      </c>
      <c r="AI1456" s="6" t="e">
        <f t="shared" si="89"/>
        <v>#DIV/0!</v>
      </c>
      <c r="AK1456" s="47" t="e">
        <f>RATE(Table1[[#This Row],[Total No. of Coupons]],Table1[[#This Row],[Coupon Amount]],-Table1[[#This Row],[Ask Price]],Table1[[#This Row],[Face value]])</f>
        <v>#N/A</v>
      </c>
      <c r="AL1456" s="27" t="e">
        <f>Table1[[#This Row],[IRR]]*Table1[[#This Row],[Coupon Frequency2]]</f>
        <v>#N/A</v>
      </c>
      <c r="AM1456" s="5" t="e">
        <f t="shared" si="90"/>
        <v>#N/A</v>
      </c>
      <c r="AN1456" t="s">
        <v>64</v>
      </c>
      <c r="AO1456" t="s">
        <v>62</v>
      </c>
      <c r="AP1456" t="str">
        <f t="shared" si="91"/>
        <v/>
      </c>
    </row>
    <row r="1457" spans="4:42" x14ac:dyDescent="0.35">
      <c r="D1457" s="21"/>
      <c r="E1457" s="21"/>
      <c r="L1457" s="22"/>
      <c r="S1457">
        <f t="shared" si="88"/>
        <v>0</v>
      </c>
      <c r="T1457" s="5" t="e" cm="1">
        <f t="array" ref="T145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7" t="e">
        <f>Table1[[#This Row],[Term to Maturity (Years)]]*Table1[[#This Row],[Coupon Frequency2]]</f>
        <v>#N/A</v>
      </c>
      <c r="V1457">
        <f>Table1[[#This Row],[Face value]]*Table1[[#This Row],[Current coupon %]]</f>
        <v>0</v>
      </c>
      <c r="W1457" s="36" t="e">
        <f>RATE(Table1[[#This Row],[Total No. of Coupons]],Table1[[#This Row],[Coupon Amount]],-Table1[[#This Row],[Ask Price]],Table1[[#This Row],[Face value]])</f>
        <v>#N/A</v>
      </c>
      <c r="X1457" s="27" t="e">
        <f>Table1[[#This Row],[IRR]]*Table1[[#This Row],[Coupon Frequency2]]</f>
        <v>#N/A</v>
      </c>
      <c r="Y1457" s="19" t="e" cm="1">
        <f t="array" ref="Y145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7" s="33" t="e">
        <f>DURATION(Table1[[#This Row],[Issue date]],Table1[[#This Row],[Maturity date]],Table1[[#This Row],[Current coupon %]],Table1[[#This Row],[Yield (Annualised)]],Table1[[#This Row],[Coupon Frequency2]])</f>
        <v>#N/A</v>
      </c>
      <c r="AA1457" s="33" t="e">
        <f>Table1[[#This Row],[Macaulay Duration in Years]]/(1+Table1[[#This Row],[IRR]])</f>
        <v>#N/A</v>
      </c>
      <c r="AB1457" s="58" t="e">
        <f>VLOOKUP(Table1[[#This Row],[Yield Cluster]],'Cluster Details'!$B$3:$C$16,2,0)</f>
        <v>#N/A</v>
      </c>
      <c r="AC145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7" s="58" t="e">
        <f>IF(Table1[[#This Row],[Ask Price]]&gt;Table1[[#This Row],[Calculated Bond Price]],"Rich","Cheap")</f>
        <v>#N/A</v>
      </c>
      <c r="AE145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7" s="78" t="e">
        <f>(Table1[[#This Row],[P (+ shock)]]+Table1[[#This Row],[P (-shock)]]-2*Table1[[#This Row],[Ask Price]])/(2*Table1[[#This Row],[Ask Price]]*($AF$2^2))</f>
        <v>#N/A</v>
      </c>
      <c r="AH1457">
        <v>10.9784234348694</v>
      </c>
      <c r="AI1457" s="6" t="e">
        <f t="shared" si="89"/>
        <v>#DIV/0!</v>
      </c>
      <c r="AK1457" s="47" t="e">
        <f>RATE(Table1[[#This Row],[Total No. of Coupons]],Table1[[#This Row],[Coupon Amount]],-Table1[[#This Row],[Ask Price]],Table1[[#This Row],[Face value]])</f>
        <v>#N/A</v>
      </c>
      <c r="AL1457" s="27" t="e">
        <f>Table1[[#This Row],[IRR]]*Table1[[#This Row],[Coupon Frequency2]]</f>
        <v>#N/A</v>
      </c>
      <c r="AM1457" s="5" t="e">
        <f t="shared" si="90"/>
        <v>#N/A</v>
      </c>
      <c r="AN1457" t="s">
        <v>64</v>
      </c>
      <c r="AO1457" t="s">
        <v>62</v>
      </c>
      <c r="AP1457" t="str">
        <f t="shared" si="91"/>
        <v/>
      </c>
    </row>
    <row r="1458" spans="4:42" x14ac:dyDescent="0.35">
      <c r="D1458" s="21"/>
      <c r="E1458" s="21"/>
      <c r="L1458" s="22"/>
      <c r="S1458">
        <f t="shared" si="88"/>
        <v>0</v>
      </c>
      <c r="T1458" s="5" t="e" cm="1">
        <f t="array" ref="T145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8" t="e">
        <f>Table1[[#This Row],[Term to Maturity (Years)]]*Table1[[#This Row],[Coupon Frequency2]]</f>
        <v>#N/A</v>
      </c>
      <c r="V1458">
        <f>Table1[[#This Row],[Face value]]*Table1[[#This Row],[Current coupon %]]</f>
        <v>0</v>
      </c>
      <c r="W1458" s="36" t="e">
        <f>RATE(Table1[[#This Row],[Total No. of Coupons]],Table1[[#This Row],[Coupon Amount]],-Table1[[#This Row],[Ask Price]],Table1[[#This Row],[Face value]])</f>
        <v>#N/A</v>
      </c>
      <c r="X1458" s="27" t="e">
        <f>Table1[[#This Row],[IRR]]*Table1[[#This Row],[Coupon Frequency2]]</f>
        <v>#N/A</v>
      </c>
      <c r="Y1458" s="19" t="e" cm="1">
        <f t="array" ref="Y145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8" s="33" t="e">
        <f>DURATION(Table1[[#This Row],[Issue date]],Table1[[#This Row],[Maturity date]],Table1[[#This Row],[Current coupon %]],Table1[[#This Row],[Yield (Annualised)]],Table1[[#This Row],[Coupon Frequency2]])</f>
        <v>#N/A</v>
      </c>
      <c r="AA1458" s="33" t="e">
        <f>Table1[[#This Row],[Macaulay Duration in Years]]/(1+Table1[[#This Row],[IRR]])</f>
        <v>#N/A</v>
      </c>
      <c r="AB1458" s="58" t="e">
        <f>VLOOKUP(Table1[[#This Row],[Yield Cluster]],'Cluster Details'!$B$3:$C$16,2,0)</f>
        <v>#N/A</v>
      </c>
      <c r="AC145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8" s="58" t="e">
        <f>IF(Table1[[#This Row],[Ask Price]]&gt;Table1[[#This Row],[Calculated Bond Price]],"Rich","Cheap")</f>
        <v>#N/A</v>
      </c>
      <c r="AE145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8" s="78" t="e">
        <f>(Table1[[#This Row],[P (+ shock)]]+Table1[[#This Row],[P (-shock)]]-2*Table1[[#This Row],[Ask Price]])/(2*Table1[[#This Row],[Ask Price]]*($AF$2^2))</f>
        <v>#N/A</v>
      </c>
      <c r="AH1458">
        <v>10.9304943862043</v>
      </c>
      <c r="AI1458" s="6" t="e">
        <f t="shared" si="89"/>
        <v>#DIV/0!</v>
      </c>
      <c r="AK1458" s="47" t="e">
        <f>RATE(Table1[[#This Row],[Total No. of Coupons]],Table1[[#This Row],[Coupon Amount]],-Table1[[#This Row],[Ask Price]],Table1[[#This Row],[Face value]])</f>
        <v>#N/A</v>
      </c>
      <c r="AL1458" s="27" t="e">
        <f>Table1[[#This Row],[IRR]]*Table1[[#This Row],[Coupon Frequency2]]</f>
        <v>#N/A</v>
      </c>
      <c r="AM1458" s="5" t="e">
        <f t="shared" si="90"/>
        <v>#N/A</v>
      </c>
      <c r="AN1458" t="s">
        <v>64</v>
      </c>
      <c r="AO1458" t="s">
        <v>62</v>
      </c>
      <c r="AP1458" t="str">
        <f t="shared" si="91"/>
        <v/>
      </c>
    </row>
    <row r="1459" spans="4:42" x14ac:dyDescent="0.35">
      <c r="D1459" s="21"/>
      <c r="E1459" s="21"/>
      <c r="L1459" s="22"/>
      <c r="S1459">
        <f t="shared" si="88"/>
        <v>0</v>
      </c>
      <c r="T1459" s="5" t="e" cm="1">
        <f t="array" ref="T145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59" t="e">
        <f>Table1[[#This Row],[Term to Maturity (Years)]]*Table1[[#This Row],[Coupon Frequency2]]</f>
        <v>#N/A</v>
      </c>
      <c r="V1459">
        <f>Table1[[#This Row],[Face value]]*Table1[[#This Row],[Current coupon %]]</f>
        <v>0</v>
      </c>
      <c r="W1459" s="36" t="e">
        <f>RATE(Table1[[#This Row],[Total No. of Coupons]],Table1[[#This Row],[Coupon Amount]],-Table1[[#This Row],[Ask Price]],Table1[[#This Row],[Face value]])</f>
        <v>#N/A</v>
      </c>
      <c r="X1459" s="27" t="e">
        <f>Table1[[#This Row],[IRR]]*Table1[[#This Row],[Coupon Frequency2]]</f>
        <v>#N/A</v>
      </c>
      <c r="Y1459" s="19" t="e" cm="1">
        <f t="array" ref="Y145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59" s="33" t="e">
        <f>DURATION(Table1[[#This Row],[Issue date]],Table1[[#This Row],[Maturity date]],Table1[[#This Row],[Current coupon %]],Table1[[#This Row],[Yield (Annualised)]],Table1[[#This Row],[Coupon Frequency2]])</f>
        <v>#N/A</v>
      </c>
      <c r="AA1459" s="33" t="e">
        <f>Table1[[#This Row],[Macaulay Duration in Years]]/(1+Table1[[#This Row],[IRR]])</f>
        <v>#N/A</v>
      </c>
      <c r="AB1459" s="58" t="e">
        <f>VLOOKUP(Table1[[#This Row],[Yield Cluster]],'Cluster Details'!$B$3:$C$16,2,0)</f>
        <v>#N/A</v>
      </c>
      <c r="AC145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59" s="58" t="e">
        <f>IF(Table1[[#This Row],[Ask Price]]&gt;Table1[[#This Row],[Calculated Bond Price]],"Rich","Cheap")</f>
        <v>#N/A</v>
      </c>
      <c r="AE145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5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59" s="78" t="e">
        <f>(Table1[[#This Row],[P (+ shock)]]+Table1[[#This Row],[P (-shock)]]-2*Table1[[#This Row],[Ask Price]])/(2*Table1[[#This Row],[Ask Price]]*($AF$2^2))</f>
        <v>#N/A</v>
      </c>
      <c r="AH1459">
        <v>6.4141822537203304</v>
      </c>
      <c r="AI1459" s="6" t="e">
        <f t="shared" si="89"/>
        <v>#DIV/0!</v>
      </c>
      <c r="AK1459" s="47" t="e">
        <f>RATE(Table1[[#This Row],[Total No. of Coupons]],Table1[[#This Row],[Coupon Amount]],-Table1[[#This Row],[Ask Price]],Table1[[#This Row],[Face value]])</f>
        <v>#N/A</v>
      </c>
      <c r="AL1459" s="27" t="e">
        <f>Table1[[#This Row],[IRR]]*Table1[[#This Row],[Coupon Frequency2]]</f>
        <v>#N/A</v>
      </c>
      <c r="AM1459" s="5" t="e">
        <f t="shared" si="90"/>
        <v>#N/A</v>
      </c>
      <c r="AN1459" t="s">
        <v>64</v>
      </c>
      <c r="AO1459" t="s">
        <v>62</v>
      </c>
      <c r="AP1459" t="str">
        <f t="shared" si="91"/>
        <v/>
      </c>
    </row>
    <row r="1460" spans="4:42" x14ac:dyDescent="0.35">
      <c r="D1460" s="21"/>
      <c r="E1460" s="21"/>
      <c r="L1460" s="22"/>
      <c r="S1460">
        <f t="shared" si="88"/>
        <v>0</v>
      </c>
      <c r="T1460" s="5" t="e" cm="1">
        <f t="array" ref="T146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0" t="e">
        <f>Table1[[#This Row],[Term to Maturity (Years)]]*Table1[[#This Row],[Coupon Frequency2]]</f>
        <v>#N/A</v>
      </c>
      <c r="V1460">
        <f>Table1[[#This Row],[Face value]]*Table1[[#This Row],[Current coupon %]]</f>
        <v>0</v>
      </c>
      <c r="W1460" s="36" t="e">
        <f>RATE(Table1[[#This Row],[Total No. of Coupons]],Table1[[#This Row],[Coupon Amount]],-Table1[[#This Row],[Ask Price]],Table1[[#This Row],[Face value]])</f>
        <v>#N/A</v>
      </c>
      <c r="X1460" s="27" t="e">
        <f>Table1[[#This Row],[IRR]]*Table1[[#This Row],[Coupon Frequency2]]</f>
        <v>#N/A</v>
      </c>
      <c r="Y1460" s="19" t="e" cm="1">
        <f t="array" ref="Y146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0" s="33" t="e">
        <f>DURATION(Table1[[#This Row],[Issue date]],Table1[[#This Row],[Maturity date]],Table1[[#This Row],[Current coupon %]],Table1[[#This Row],[Yield (Annualised)]],Table1[[#This Row],[Coupon Frequency2]])</f>
        <v>#N/A</v>
      </c>
      <c r="AA1460" s="33" t="e">
        <f>Table1[[#This Row],[Macaulay Duration in Years]]/(1+Table1[[#This Row],[IRR]])</f>
        <v>#N/A</v>
      </c>
      <c r="AB1460" s="58" t="e">
        <f>VLOOKUP(Table1[[#This Row],[Yield Cluster]],'Cluster Details'!$B$3:$C$16,2,0)</f>
        <v>#N/A</v>
      </c>
      <c r="AC146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0" s="58" t="e">
        <f>IF(Table1[[#This Row],[Ask Price]]&gt;Table1[[#This Row],[Calculated Bond Price]],"Rich","Cheap")</f>
        <v>#N/A</v>
      </c>
      <c r="AE146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0" s="78" t="e">
        <f>(Table1[[#This Row],[P (+ shock)]]+Table1[[#This Row],[P (-shock)]]-2*Table1[[#This Row],[Ask Price]])/(2*Table1[[#This Row],[Ask Price]]*($AF$2^2))</f>
        <v>#N/A</v>
      </c>
      <c r="AH1460">
        <v>7.1808468751165604</v>
      </c>
      <c r="AI1460" s="6" t="e">
        <f t="shared" si="89"/>
        <v>#DIV/0!</v>
      </c>
      <c r="AK1460" s="47" t="e">
        <f>RATE(Table1[[#This Row],[Total No. of Coupons]],Table1[[#This Row],[Coupon Amount]],-Table1[[#This Row],[Ask Price]],Table1[[#This Row],[Face value]])</f>
        <v>#N/A</v>
      </c>
      <c r="AL1460" s="27" t="e">
        <f>Table1[[#This Row],[IRR]]*Table1[[#This Row],[Coupon Frequency2]]</f>
        <v>#N/A</v>
      </c>
      <c r="AM1460" s="5" t="e">
        <f t="shared" si="90"/>
        <v>#N/A</v>
      </c>
      <c r="AN1460" t="s">
        <v>64</v>
      </c>
      <c r="AO1460" t="s">
        <v>62</v>
      </c>
      <c r="AP1460" t="str">
        <f t="shared" si="91"/>
        <v/>
      </c>
    </row>
    <row r="1461" spans="4:42" x14ac:dyDescent="0.35">
      <c r="D1461" s="21"/>
      <c r="E1461" s="21"/>
      <c r="L1461" s="22"/>
      <c r="S1461">
        <f t="shared" si="88"/>
        <v>0</v>
      </c>
      <c r="T1461" s="5" t="e" cm="1">
        <f t="array" ref="T146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1" t="e">
        <f>Table1[[#This Row],[Term to Maturity (Years)]]*Table1[[#This Row],[Coupon Frequency2]]</f>
        <v>#N/A</v>
      </c>
      <c r="V1461">
        <f>Table1[[#This Row],[Face value]]*Table1[[#This Row],[Current coupon %]]</f>
        <v>0</v>
      </c>
      <c r="W1461" s="36" t="e">
        <f>RATE(Table1[[#This Row],[Total No. of Coupons]],Table1[[#This Row],[Coupon Amount]],-Table1[[#This Row],[Ask Price]],Table1[[#This Row],[Face value]])</f>
        <v>#N/A</v>
      </c>
      <c r="X1461" s="27" t="e">
        <f>Table1[[#This Row],[IRR]]*Table1[[#This Row],[Coupon Frequency2]]</f>
        <v>#N/A</v>
      </c>
      <c r="Y1461" s="19" t="e" cm="1">
        <f t="array" ref="Y146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1" s="33" t="e">
        <f>DURATION(Table1[[#This Row],[Issue date]],Table1[[#This Row],[Maturity date]],Table1[[#This Row],[Current coupon %]],Table1[[#This Row],[Yield (Annualised)]],Table1[[#This Row],[Coupon Frequency2]])</f>
        <v>#N/A</v>
      </c>
      <c r="AA1461" s="33" t="e">
        <f>Table1[[#This Row],[Macaulay Duration in Years]]/(1+Table1[[#This Row],[IRR]])</f>
        <v>#N/A</v>
      </c>
      <c r="AB1461" s="58" t="e">
        <f>VLOOKUP(Table1[[#This Row],[Yield Cluster]],'Cluster Details'!$B$3:$C$16,2,0)</f>
        <v>#N/A</v>
      </c>
      <c r="AC146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1" s="58" t="e">
        <f>IF(Table1[[#This Row],[Ask Price]]&gt;Table1[[#This Row],[Calculated Bond Price]],"Rich","Cheap")</f>
        <v>#N/A</v>
      </c>
      <c r="AE146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1" s="78" t="e">
        <f>(Table1[[#This Row],[P (+ shock)]]+Table1[[#This Row],[P (-shock)]]-2*Table1[[#This Row],[Ask Price]])/(2*Table1[[#This Row],[Ask Price]]*($AF$2^2))</f>
        <v>#N/A</v>
      </c>
      <c r="AH1461">
        <v>10.6788527855848</v>
      </c>
      <c r="AI1461" s="6" t="e">
        <f t="shared" si="89"/>
        <v>#DIV/0!</v>
      </c>
      <c r="AK1461" s="47" t="e">
        <f>RATE(Table1[[#This Row],[Total No. of Coupons]],Table1[[#This Row],[Coupon Amount]],-Table1[[#This Row],[Ask Price]],Table1[[#This Row],[Face value]])</f>
        <v>#N/A</v>
      </c>
      <c r="AL1461" s="27" t="e">
        <f>Table1[[#This Row],[IRR]]*Table1[[#This Row],[Coupon Frequency2]]</f>
        <v>#N/A</v>
      </c>
      <c r="AM1461" s="5" t="e">
        <f t="shared" si="90"/>
        <v>#N/A</v>
      </c>
      <c r="AN1461" t="s">
        <v>64</v>
      </c>
      <c r="AO1461" t="s">
        <v>62</v>
      </c>
      <c r="AP1461" t="str">
        <f t="shared" si="91"/>
        <v/>
      </c>
    </row>
    <row r="1462" spans="4:42" x14ac:dyDescent="0.35">
      <c r="D1462" s="21"/>
      <c r="E1462" s="21"/>
      <c r="L1462" s="22"/>
      <c r="S1462">
        <f t="shared" si="88"/>
        <v>0</v>
      </c>
      <c r="T1462" s="5" t="e" cm="1">
        <f t="array" ref="T146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2" t="e">
        <f>Table1[[#This Row],[Term to Maturity (Years)]]*Table1[[#This Row],[Coupon Frequency2]]</f>
        <v>#N/A</v>
      </c>
      <c r="V1462">
        <f>Table1[[#This Row],[Face value]]*Table1[[#This Row],[Current coupon %]]</f>
        <v>0</v>
      </c>
      <c r="W1462" s="36" t="e">
        <f>RATE(Table1[[#This Row],[Total No. of Coupons]],Table1[[#This Row],[Coupon Amount]],-Table1[[#This Row],[Ask Price]],Table1[[#This Row],[Face value]])</f>
        <v>#N/A</v>
      </c>
      <c r="X1462" s="27" t="e">
        <f>Table1[[#This Row],[IRR]]*Table1[[#This Row],[Coupon Frequency2]]</f>
        <v>#N/A</v>
      </c>
      <c r="Y1462" s="19" t="e" cm="1">
        <f t="array" ref="Y146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2" s="33" t="e">
        <f>DURATION(Table1[[#This Row],[Issue date]],Table1[[#This Row],[Maturity date]],Table1[[#This Row],[Current coupon %]],Table1[[#This Row],[Yield (Annualised)]],Table1[[#This Row],[Coupon Frequency2]])</f>
        <v>#N/A</v>
      </c>
      <c r="AA1462" s="33" t="e">
        <f>Table1[[#This Row],[Macaulay Duration in Years]]/(1+Table1[[#This Row],[IRR]])</f>
        <v>#N/A</v>
      </c>
      <c r="AB1462" s="58" t="e">
        <f>VLOOKUP(Table1[[#This Row],[Yield Cluster]],'Cluster Details'!$B$3:$C$16,2,0)</f>
        <v>#N/A</v>
      </c>
      <c r="AC146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2" s="58" t="e">
        <f>IF(Table1[[#This Row],[Ask Price]]&gt;Table1[[#This Row],[Calculated Bond Price]],"Rich","Cheap")</f>
        <v>#N/A</v>
      </c>
      <c r="AE146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2" s="78" t="e">
        <f>(Table1[[#This Row],[P (+ shock)]]+Table1[[#This Row],[P (-shock)]]-2*Table1[[#This Row],[Ask Price]])/(2*Table1[[#This Row],[Ask Price]]*($AF$2^2))</f>
        <v>#N/A</v>
      </c>
      <c r="AH1462">
        <v>15.6064208742823</v>
      </c>
      <c r="AI1462" s="6" t="e">
        <f t="shared" si="89"/>
        <v>#DIV/0!</v>
      </c>
      <c r="AK1462" s="47" t="e">
        <f>RATE(Table1[[#This Row],[Total No. of Coupons]],Table1[[#This Row],[Coupon Amount]],-Table1[[#This Row],[Ask Price]],Table1[[#This Row],[Face value]])</f>
        <v>#N/A</v>
      </c>
      <c r="AL1462" s="27" t="e">
        <f>Table1[[#This Row],[IRR]]*Table1[[#This Row],[Coupon Frequency2]]</f>
        <v>#N/A</v>
      </c>
      <c r="AM1462" s="5" t="e">
        <f t="shared" si="90"/>
        <v>#N/A</v>
      </c>
      <c r="AN1462" t="s">
        <v>64</v>
      </c>
      <c r="AO1462" t="s">
        <v>62</v>
      </c>
      <c r="AP1462" t="str">
        <f t="shared" si="91"/>
        <v/>
      </c>
    </row>
    <row r="1463" spans="4:42" x14ac:dyDescent="0.35">
      <c r="D1463" s="21"/>
      <c r="E1463" s="21"/>
      <c r="L1463" s="22"/>
      <c r="S1463">
        <f t="shared" si="88"/>
        <v>0</v>
      </c>
      <c r="T1463" s="5" t="e" cm="1">
        <f t="array" ref="T146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3" t="e">
        <f>Table1[[#This Row],[Term to Maturity (Years)]]*Table1[[#This Row],[Coupon Frequency2]]</f>
        <v>#N/A</v>
      </c>
      <c r="V1463">
        <f>Table1[[#This Row],[Face value]]*Table1[[#This Row],[Current coupon %]]</f>
        <v>0</v>
      </c>
      <c r="W1463" s="36" t="e">
        <f>RATE(Table1[[#This Row],[Total No. of Coupons]],Table1[[#This Row],[Coupon Amount]],-Table1[[#This Row],[Ask Price]],Table1[[#This Row],[Face value]])</f>
        <v>#N/A</v>
      </c>
      <c r="X1463" s="27" t="e">
        <f>Table1[[#This Row],[IRR]]*Table1[[#This Row],[Coupon Frequency2]]</f>
        <v>#N/A</v>
      </c>
      <c r="Y1463" s="19" t="e" cm="1">
        <f t="array" ref="Y146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3" s="33" t="e">
        <f>DURATION(Table1[[#This Row],[Issue date]],Table1[[#This Row],[Maturity date]],Table1[[#This Row],[Current coupon %]],Table1[[#This Row],[Yield (Annualised)]],Table1[[#This Row],[Coupon Frequency2]])</f>
        <v>#N/A</v>
      </c>
      <c r="AA1463" s="33" t="e">
        <f>Table1[[#This Row],[Macaulay Duration in Years]]/(1+Table1[[#This Row],[IRR]])</f>
        <v>#N/A</v>
      </c>
      <c r="AB1463" s="58" t="e">
        <f>VLOOKUP(Table1[[#This Row],[Yield Cluster]],'Cluster Details'!$B$3:$C$16,2,0)</f>
        <v>#N/A</v>
      </c>
      <c r="AC146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3" s="58" t="e">
        <f>IF(Table1[[#This Row],[Ask Price]]&gt;Table1[[#This Row],[Calculated Bond Price]],"Rich","Cheap")</f>
        <v>#N/A</v>
      </c>
      <c r="AE146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3" s="78" t="e">
        <f>(Table1[[#This Row],[P (+ shock)]]+Table1[[#This Row],[P (-shock)]]-2*Table1[[#This Row],[Ask Price]])/(2*Table1[[#This Row],[Ask Price]]*($AF$2^2))</f>
        <v>#N/A</v>
      </c>
      <c r="AH1463">
        <v>7.90134157759105</v>
      </c>
      <c r="AI1463" s="6" t="e">
        <f t="shared" si="89"/>
        <v>#DIV/0!</v>
      </c>
      <c r="AK1463" s="47" t="e">
        <f>RATE(Table1[[#This Row],[Total No. of Coupons]],Table1[[#This Row],[Coupon Amount]],-Table1[[#This Row],[Ask Price]],Table1[[#This Row],[Face value]])</f>
        <v>#N/A</v>
      </c>
      <c r="AL1463" s="27" t="e">
        <f>Table1[[#This Row],[IRR]]*Table1[[#This Row],[Coupon Frequency2]]</f>
        <v>#N/A</v>
      </c>
      <c r="AM1463" s="5" t="e">
        <f t="shared" si="90"/>
        <v>#N/A</v>
      </c>
      <c r="AN1463" t="s">
        <v>64</v>
      </c>
      <c r="AO1463" t="s">
        <v>62</v>
      </c>
      <c r="AP1463" t="str">
        <f t="shared" si="91"/>
        <v/>
      </c>
    </row>
    <row r="1464" spans="4:42" x14ac:dyDescent="0.35">
      <c r="D1464" s="21"/>
      <c r="E1464" s="21"/>
      <c r="L1464" s="22"/>
      <c r="S1464">
        <f t="shared" si="88"/>
        <v>0</v>
      </c>
      <c r="T1464" s="5" t="e" cm="1">
        <f t="array" ref="T146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4" t="e">
        <f>Table1[[#This Row],[Term to Maturity (Years)]]*Table1[[#This Row],[Coupon Frequency2]]</f>
        <v>#N/A</v>
      </c>
      <c r="V1464">
        <f>Table1[[#This Row],[Face value]]*Table1[[#This Row],[Current coupon %]]</f>
        <v>0</v>
      </c>
      <c r="W1464" s="36" t="e">
        <f>RATE(Table1[[#This Row],[Total No. of Coupons]],Table1[[#This Row],[Coupon Amount]],-Table1[[#This Row],[Ask Price]],Table1[[#This Row],[Face value]])</f>
        <v>#N/A</v>
      </c>
      <c r="X1464" s="27" t="e">
        <f>Table1[[#This Row],[IRR]]*Table1[[#This Row],[Coupon Frequency2]]</f>
        <v>#N/A</v>
      </c>
      <c r="Y1464" s="19" t="e" cm="1">
        <f t="array" ref="Y146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4" s="33" t="e">
        <f>DURATION(Table1[[#This Row],[Issue date]],Table1[[#This Row],[Maturity date]],Table1[[#This Row],[Current coupon %]],Table1[[#This Row],[Yield (Annualised)]],Table1[[#This Row],[Coupon Frequency2]])</f>
        <v>#N/A</v>
      </c>
      <c r="AA1464" s="33" t="e">
        <f>Table1[[#This Row],[Macaulay Duration in Years]]/(1+Table1[[#This Row],[IRR]])</f>
        <v>#N/A</v>
      </c>
      <c r="AB1464" s="58" t="e">
        <f>VLOOKUP(Table1[[#This Row],[Yield Cluster]],'Cluster Details'!$B$3:$C$16,2,0)</f>
        <v>#N/A</v>
      </c>
      <c r="AC146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4" s="58" t="e">
        <f>IF(Table1[[#This Row],[Ask Price]]&gt;Table1[[#This Row],[Calculated Bond Price]],"Rich","Cheap")</f>
        <v>#N/A</v>
      </c>
      <c r="AE146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4" s="78" t="e">
        <f>(Table1[[#This Row],[P (+ shock)]]+Table1[[#This Row],[P (-shock)]]-2*Table1[[#This Row],[Ask Price]])/(2*Table1[[#This Row],[Ask Price]]*($AF$2^2))</f>
        <v>#N/A</v>
      </c>
      <c r="AH1464">
        <v>10.3510268459779</v>
      </c>
      <c r="AI1464" s="6" t="e">
        <f t="shared" si="89"/>
        <v>#DIV/0!</v>
      </c>
      <c r="AK1464" s="47" t="e">
        <f>RATE(Table1[[#This Row],[Total No. of Coupons]],Table1[[#This Row],[Coupon Amount]],-Table1[[#This Row],[Ask Price]],Table1[[#This Row],[Face value]])</f>
        <v>#N/A</v>
      </c>
      <c r="AL1464" s="27" t="e">
        <f>Table1[[#This Row],[IRR]]*Table1[[#This Row],[Coupon Frequency2]]</f>
        <v>#N/A</v>
      </c>
      <c r="AM1464" s="5" t="e">
        <f t="shared" si="90"/>
        <v>#N/A</v>
      </c>
      <c r="AN1464" t="s">
        <v>64</v>
      </c>
      <c r="AO1464" t="s">
        <v>62</v>
      </c>
      <c r="AP1464" t="str">
        <f t="shared" si="91"/>
        <v/>
      </c>
    </row>
    <row r="1465" spans="4:42" x14ac:dyDescent="0.35">
      <c r="D1465" s="21"/>
      <c r="E1465" s="21"/>
      <c r="L1465" s="22"/>
      <c r="S1465">
        <f t="shared" si="88"/>
        <v>0</v>
      </c>
      <c r="T1465" s="5" t="e" cm="1">
        <f t="array" ref="T146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5" t="e">
        <f>Table1[[#This Row],[Term to Maturity (Years)]]*Table1[[#This Row],[Coupon Frequency2]]</f>
        <v>#N/A</v>
      </c>
      <c r="V1465">
        <f>Table1[[#This Row],[Face value]]*Table1[[#This Row],[Current coupon %]]</f>
        <v>0</v>
      </c>
      <c r="W1465" s="36" t="e">
        <f>RATE(Table1[[#This Row],[Total No. of Coupons]],Table1[[#This Row],[Coupon Amount]],-Table1[[#This Row],[Ask Price]],Table1[[#This Row],[Face value]])</f>
        <v>#N/A</v>
      </c>
      <c r="X1465" s="27" t="e">
        <f>Table1[[#This Row],[IRR]]*Table1[[#This Row],[Coupon Frequency2]]</f>
        <v>#N/A</v>
      </c>
      <c r="Y1465" s="19" t="e" cm="1">
        <f t="array" ref="Y146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5" s="33" t="e">
        <f>DURATION(Table1[[#This Row],[Issue date]],Table1[[#This Row],[Maturity date]],Table1[[#This Row],[Current coupon %]],Table1[[#This Row],[Yield (Annualised)]],Table1[[#This Row],[Coupon Frequency2]])</f>
        <v>#N/A</v>
      </c>
      <c r="AA1465" s="33" t="e">
        <f>Table1[[#This Row],[Macaulay Duration in Years]]/(1+Table1[[#This Row],[IRR]])</f>
        <v>#N/A</v>
      </c>
      <c r="AB1465" s="58" t="e">
        <f>VLOOKUP(Table1[[#This Row],[Yield Cluster]],'Cluster Details'!$B$3:$C$16,2,0)</f>
        <v>#N/A</v>
      </c>
      <c r="AC146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5" s="58" t="e">
        <f>IF(Table1[[#This Row],[Ask Price]]&gt;Table1[[#This Row],[Calculated Bond Price]],"Rich","Cheap")</f>
        <v>#N/A</v>
      </c>
      <c r="AE146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5" s="78" t="e">
        <f>(Table1[[#This Row],[P (+ shock)]]+Table1[[#This Row],[P (-shock)]]-2*Table1[[#This Row],[Ask Price]])/(2*Table1[[#This Row],[Ask Price]]*($AF$2^2))</f>
        <v>#N/A</v>
      </c>
      <c r="AH1465">
        <v>10.49</v>
      </c>
      <c r="AI1465" s="6" t="e">
        <f t="shared" si="89"/>
        <v>#DIV/0!</v>
      </c>
      <c r="AK1465" s="47" t="e">
        <f>RATE(Table1[[#This Row],[Total No. of Coupons]],Table1[[#This Row],[Coupon Amount]],-Table1[[#This Row],[Ask Price]],Table1[[#This Row],[Face value]])</f>
        <v>#N/A</v>
      </c>
      <c r="AL1465" s="27" t="e">
        <f>Table1[[#This Row],[IRR]]*Table1[[#This Row],[Coupon Frequency2]]</f>
        <v>#N/A</v>
      </c>
      <c r="AM1465" s="5" t="e">
        <f t="shared" si="90"/>
        <v>#N/A</v>
      </c>
      <c r="AN1465" t="s">
        <v>64</v>
      </c>
      <c r="AO1465" t="s">
        <v>62</v>
      </c>
      <c r="AP1465" t="str">
        <f t="shared" si="91"/>
        <v/>
      </c>
    </row>
    <row r="1466" spans="4:42" x14ac:dyDescent="0.35">
      <c r="D1466" s="21"/>
      <c r="E1466" s="21"/>
      <c r="L1466" s="22"/>
      <c r="S1466">
        <f t="shared" si="88"/>
        <v>0</v>
      </c>
      <c r="T1466" s="5" t="e" cm="1">
        <f t="array" ref="T146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6" t="e">
        <f>Table1[[#This Row],[Term to Maturity (Years)]]*Table1[[#This Row],[Coupon Frequency2]]</f>
        <v>#N/A</v>
      </c>
      <c r="V1466">
        <f>Table1[[#This Row],[Face value]]*Table1[[#This Row],[Current coupon %]]</f>
        <v>0</v>
      </c>
      <c r="W1466" s="36" t="e">
        <f>RATE(Table1[[#This Row],[Total No. of Coupons]],Table1[[#This Row],[Coupon Amount]],-Table1[[#This Row],[Ask Price]],Table1[[#This Row],[Face value]])</f>
        <v>#N/A</v>
      </c>
      <c r="X1466" s="27" t="e">
        <f>Table1[[#This Row],[IRR]]*Table1[[#This Row],[Coupon Frequency2]]</f>
        <v>#N/A</v>
      </c>
      <c r="Y1466" s="19" t="e" cm="1">
        <f t="array" ref="Y146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6" s="33" t="e">
        <f>DURATION(Table1[[#This Row],[Issue date]],Table1[[#This Row],[Maturity date]],Table1[[#This Row],[Current coupon %]],Table1[[#This Row],[Yield (Annualised)]],Table1[[#This Row],[Coupon Frequency2]])</f>
        <v>#N/A</v>
      </c>
      <c r="AA1466" s="33" t="e">
        <f>Table1[[#This Row],[Macaulay Duration in Years]]/(1+Table1[[#This Row],[IRR]])</f>
        <v>#N/A</v>
      </c>
      <c r="AB1466" s="58" t="e">
        <f>VLOOKUP(Table1[[#This Row],[Yield Cluster]],'Cluster Details'!$B$3:$C$16,2,0)</f>
        <v>#N/A</v>
      </c>
      <c r="AC146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6" s="58" t="e">
        <f>IF(Table1[[#This Row],[Ask Price]]&gt;Table1[[#This Row],[Calculated Bond Price]],"Rich","Cheap")</f>
        <v>#N/A</v>
      </c>
      <c r="AE146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6" s="78" t="e">
        <f>(Table1[[#This Row],[P (+ shock)]]+Table1[[#This Row],[P (-shock)]]-2*Table1[[#This Row],[Ask Price]])/(2*Table1[[#This Row],[Ask Price]]*($AF$2^2))</f>
        <v>#N/A</v>
      </c>
      <c r="AH1466">
        <v>13.366627401889801</v>
      </c>
      <c r="AI1466" s="6" t="e">
        <f t="shared" si="89"/>
        <v>#DIV/0!</v>
      </c>
      <c r="AK1466" s="47" t="e">
        <f>RATE(Table1[[#This Row],[Total No. of Coupons]],Table1[[#This Row],[Coupon Amount]],-Table1[[#This Row],[Ask Price]],Table1[[#This Row],[Face value]])</f>
        <v>#N/A</v>
      </c>
      <c r="AL1466" s="27" t="e">
        <f>Table1[[#This Row],[IRR]]*Table1[[#This Row],[Coupon Frequency2]]</f>
        <v>#N/A</v>
      </c>
      <c r="AM1466" s="5" t="e">
        <f t="shared" si="90"/>
        <v>#N/A</v>
      </c>
      <c r="AN1466" t="s">
        <v>64</v>
      </c>
      <c r="AO1466" t="s">
        <v>62</v>
      </c>
      <c r="AP1466" t="str">
        <f t="shared" si="91"/>
        <v/>
      </c>
    </row>
    <row r="1467" spans="4:42" x14ac:dyDescent="0.35">
      <c r="D1467" s="21"/>
      <c r="E1467" s="21"/>
      <c r="L1467" s="22"/>
      <c r="S1467">
        <f t="shared" si="88"/>
        <v>0</v>
      </c>
      <c r="T1467" s="5" t="e" cm="1">
        <f t="array" ref="T146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7" t="e">
        <f>Table1[[#This Row],[Term to Maturity (Years)]]*Table1[[#This Row],[Coupon Frequency2]]</f>
        <v>#N/A</v>
      </c>
      <c r="V1467">
        <f>Table1[[#This Row],[Face value]]*Table1[[#This Row],[Current coupon %]]</f>
        <v>0</v>
      </c>
      <c r="W1467" s="36" t="e">
        <f>RATE(Table1[[#This Row],[Total No. of Coupons]],Table1[[#This Row],[Coupon Amount]],-Table1[[#This Row],[Ask Price]],Table1[[#This Row],[Face value]])</f>
        <v>#N/A</v>
      </c>
      <c r="X1467" s="27" t="e">
        <f>Table1[[#This Row],[IRR]]*Table1[[#This Row],[Coupon Frequency2]]</f>
        <v>#N/A</v>
      </c>
      <c r="Y1467" s="19" t="e" cm="1">
        <f t="array" ref="Y146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7" s="33" t="e">
        <f>DURATION(Table1[[#This Row],[Issue date]],Table1[[#This Row],[Maturity date]],Table1[[#This Row],[Current coupon %]],Table1[[#This Row],[Yield (Annualised)]],Table1[[#This Row],[Coupon Frequency2]])</f>
        <v>#N/A</v>
      </c>
      <c r="AA1467" s="33" t="e">
        <f>Table1[[#This Row],[Macaulay Duration in Years]]/(1+Table1[[#This Row],[IRR]])</f>
        <v>#N/A</v>
      </c>
      <c r="AB1467" s="58" t="e">
        <f>VLOOKUP(Table1[[#This Row],[Yield Cluster]],'Cluster Details'!$B$3:$C$16,2,0)</f>
        <v>#N/A</v>
      </c>
      <c r="AC146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7" s="58" t="e">
        <f>IF(Table1[[#This Row],[Ask Price]]&gt;Table1[[#This Row],[Calculated Bond Price]],"Rich","Cheap")</f>
        <v>#N/A</v>
      </c>
      <c r="AE146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7" s="78" t="e">
        <f>(Table1[[#This Row],[P (+ shock)]]+Table1[[#This Row],[P (-shock)]]-2*Table1[[#This Row],[Ask Price]])/(2*Table1[[#This Row],[Ask Price]]*($AF$2^2))</f>
        <v>#N/A</v>
      </c>
      <c r="AH1467">
        <v>10.511294159743199</v>
      </c>
      <c r="AI1467" s="6" t="e">
        <f t="shared" si="89"/>
        <v>#DIV/0!</v>
      </c>
      <c r="AK1467" s="47" t="e">
        <f>RATE(Table1[[#This Row],[Total No. of Coupons]],Table1[[#This Row],[Coupon Amount]],-Table1[[#This Row],[Ask Price]],Table1[[#This Row],[Face value]])</f>
        <v>#N/A</v>
      </c>
      <c r="AL1467" s="27" t="e">
        <f>Table1[[#This Row],[IRR]]*Table1[[#This Row],[Coupon Frequency2]]</f>
        <v>#N/A</v>
      </c>
      <c r="AM1467" s="5" t="e">
        <f t="shared" si="90"/>
        <v>#N/A</v>
      </c>
      <c r="AN1467" t="s">
        <v>64</v>
      </c>
      <c r="AO1467" t="s">
        <v>62</v>
      </c>
      <c r="AP1467" t="str">
        <f t="shared" si="91"/>
        <v/>
      </c>
    </row>
    <row r="1468" spans="4:42" x14ac:dyDescent="0.35">
      <c r="D1468" s="21"/>
      <c r="E1468" s="21"/>
      <c r="L1468" s="22"/>
      <c r="S1468">
        <f t="shared" si="88"/>
        <v>0</v>
      </c>
      <c r="T1468" s="5" t="e" cm="1">
        <f t="array" ref="T146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8" t="e">
        <f>Table1[[#This Row],[Term to Maturity (Years)]]*Table1[[#This Row],[Coupon Frequency2]]</f>
        <v>#N/A</v>
      </c>
      <c r="V1468">
        <f>Table1[[#This Row],[Face value]]*Table1[[#This Row],[Current coupon %]]</f>
        <v>0</v>
      </c>
      <c r="W1468" s="36" t="e">
        <f>RATE(Table1[[#This Row],[Total No. of Coupons]],Table1[[#This Row],[Coupon Amount]],-Table1[[#This Row],[Ask Price]],Table1[[#This Row],[Face value]])</f>
        <v>#N/A</v>
      </c>
      <c r="X1468" s="27" t="e">
        <f>Table1[[#This Row],[IRR]]*Table1[[#This Row],[Coupon Frequency2]]</f>
        <v>#N/A</v>
      </c>
      <c r="Y1468" s="19" t="e" cm="1">
        <f t="array" ref="Y146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8" s="33" t="e">
        <f>DURATION(Table1[[#This Row],[Issue date]],Table1[[#This Row],[Maturity date]],Table1[[#This Row],[Current coupon %]],Table1[[#This Row],[Yield (Annualised)]],Table1[[#This Row],[Coupon Frequency2]])</f>
        <v>#N/A</v>
      </c>
      <c r="AA1468" s="33" t="e">
        <f>Table1[[#This Row],[Macaulay Duration in Years]]/(1+Table1[[#This Row],[IRR]])</f>
        <v>#N/A</v>
      </c>
      <c r="AB1468" s="58" t="e">
        <f>VLOOKUP(Table1[[#This Row],[Yield Cluster]],'Cluster Details'!$B$3:$C$16,2,0)</f>
        <v>#N/A</v>
      </c>
      <c r="AC146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8" s="58" t="e">
        <f>IF(Table1[[#This Row],[Ask Price]]&gt;Table1[[#This Row],[Calculated Bond Price]],"Rich","Cheap")</f>
        <v>#N/A</v>
      </c>
      <c r="AE146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8" s="78" t="e">
        <f>(Table1[[#This Row],[P (+ shock)]]+Table1[[#This Row],[P (-shock)]]-2*Table1[[#This Row],[Ask Price]])/(2*Table1[[#This Row],[Ask Price]]*($AF$2^2))</f>
        <v>#N/A</v>
      </c>
      <c r="AH1468">
        <v>9.6705293305871596</v>
      </c>
      <c r="AI1468" s="6" t="e">
        <f t="shared" si="89"/>
        <v>#DIV/0!</v>
      </c>
      <c r="AK1468" s="47" t="e">
        <f>RATE(Table1[[#This Row],[Total No. of Coupons]],Table1[[#This Row],[Coupon Amount]],-Table1[[#This Row],[Ask Price]],Table1[[#This Row],[Face value]])</f>
        <v>#N/A</v>
      </c>
      <c r="AL1468" s="27" t="e">
        <f>Table1[[#This Row],[IRR]]*Table1[[#This Row],[Coupon Frequency2]]</f>
        <v>#N/A</v>
      </c>
      <c r="AM1468" s="5" t="e">
        <f t="shared" si="90"/>
        <v>#N/A</v>
      </c>
      <c r="AN1468" t="s">
        <v>64</v>
      </c>
      <c r="AO1468" t="s">
        <v>62</v>
      </c>
      <c r="AP1468" t="str">
        <f t="shared" si="91"/>
        <v/>
      </c>
    </row>
    <row r="1469" spans="4:42" x14ac:dyDescent="0.35">
      <c r="D1469" s="21"/>
      <c r="E1469" s="21"/>
      <c r="L1469" s="22"/>
      <c r="S1469">
        <f t="shared" si="88"/>
        <v>0</v>
      </c>
      <c r="T1469" s="5" t="e" cm="1">
        <f t="array" ref="T146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69" t="e">
        <f>Table1[[#This Row],[Term to Maturity (Years)]]*Table1[[#This Row],[Coupon Frequency2]]</f>
        <v>#N/A</v>
      </c>
      <c r="V1469">
        <f>Table1[[#This Row],[Face value]]*Table1[[#This Row],[Current coupon %]]</f>
        <v>0</v>
      </c>
      <c r="W1469" s="36" t="e">
        <f>RATE(Table1[[#This Row],[Total No. of Coupons]],Table1[[#This Row],[Coupon Amount]],-Table1[[#This Row],[Ask Price]],Table1[[#This Row],[Face value]])</f>
        <v>#N/A</v>
      </c>
      <c r="X1469" s="27" t="e">
        <f>Table1[[#This Row],[IRR]]*Table1[[#This Row],[Coupon Frequency2]]</f>
        <v>#N/A</v>
      </c>
      <c r="Y1469" s="19" t="e" cm="1">
        <f t="array" ref="Y146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69" s="33" t="e">
        <f>DURATION(Table1[[#This Row],[Issue date]],Table1[[#This Row],[Maturity date]],Table1[[#This Row],[Current coupon %]],Table1[[#This Row],[Yield (Annualised)]],Table1[[#This Row],[Coupon Frequency2]])</f>
        <v>#N/A</v>
      </c>
      <c r="AA1469" s="33" t="e">
        <f>Table1[[#This Row],[Macaulay Duration in Years]]/(1+Table1[[#This Row],[IRR]])</f>
        <v>#N/A</v>
      </c>
      <c r="AB1469" s="58" t="e">
        <f>VLOOKUP(Table1[[#This Row],[Yield Cluster]],'Cluster Details'!$B$3:$C$16,2,0)</f>
        <v>#N/A</v>
      </c>
      <c r="AC146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69" s="58" t="e">
        <f>IF(Table1[[#This Row],[Ask Price]]&gt;Table1[[#This Row],[Calculated Bond Price]],"Rich","Cheap")</f>
        <v>#N/A</v>
      </c>
      <c r="AE146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6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69" s="78" t="e">
        <f>(Table1[[#This Row],[P (+ shock)]]+Table1[[#This Row],[P (-shock)]]-2*Table1[[#This Row],[Ask Price]])/(2*Table1[[#This Row],[Ask Price]]*($AF$2^2))</f>
        <v>#N/A</v>
      </c>
      <c r="AH1469">
        <v>7.4513045035586103</v>
      </c>
      <c r="AI1469" s="6" t="e">
        <f t="shared" si="89"/>
        <v>#DIV/0!</v>
      </c>
      <c r="AK1469" s="47" t="e">
        <f>RATE(Table1[[#This Row],[Total No. of Coupons]],Table1[[#This Row],[Coupon Amount]],-Table1[[#This Row],[Ask Price]],Table1[[#This Row],[Face value]])</f>
        <v>#N/A</v>
      </c>
      <c r="AL1469" s="27" t="e">
        <f>Table1[[#This Row],[IRR]]*Table1[[#This Row],[Coupon Frequency2]]</f>
        <v>#N/A</v>
      </c>
      <c r="AM1469" s="5" t="e">
        <f t="shared" si="90"/>
        <v>#N/A</v>
      </c>
      <c r="AN1469" t="s">
        <v>64</v>
      </c>
      <c r="AO1469" t="s">
        <v>62</v>
      </c>
      <c r="AP1469" t="str">
        <f t="shared" si="91"/>
        <v/>
      </c>
    </row>
    <row r="1470" spans="4:42" x14ac:dyDescent="0.35">
      <c r="D1470" s="21"/>
      <c r="E1470" s="21"/>
      <c r="L1470" s="22"/>
      <c r="S1470">
        <f t="shared" si="88"/>
        <v>0</v>
      </c>
      <c r="T1470" s="5" t="e" cm="1">
        <f t="array" ref="T147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0" t="e">
        <f>Table1[[#This Row],[Term to Maturity (Years)]]*Table1[[#This Row],[Coupon Frequency2]]</f>
        <v>#N/A</v>
      </c>
      <c r="V1470">
        <f>Table1[[#This Row],[Face value]]*Table1[[#This Row],[Current coupon %]]</f>
        <v>0</v>
      </c>
      <c r="W1470" s="36" t="e">
        <f>RATE(Table1[[#This Row],[Total No. of Coupons]],Table1[[#This Row],[Coupon Amount]],-Table1[[#This Row],[Ask Price]],Table1[[#This Row],[Face value]])</f>
        <v>#N/A</v>
      </c>
      <c r="X1470" s="27" t="e">
        <f>Table1[[#This Row],[IRR]]*Table1[[#This Row],[Coupon Frequency2]]</f>
        <v>#N/A</v>
      </c>
      <c r="Y1470" s="19" t="e" cm="1">
        <f t="array" ref="Y147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0" s="33" t="e">
        <f>DURATION(Table1[[#This Row],[Issue date]],Table1[[#This Row],[Maturity date]],Table1[[#This Row],[Current coupon %]],Table1[[#This Row],[Yield (Annualised)]],Table1[[#This Row],[Coupon Frequency2]])</f>
        <v>#N/A</v>
      </c>
      <c r="AA1470" s="33" t="e">
        <f>Table1[[#This Row],[Macaulay Duration in Years]]/(1+Table1[[#This Row],[IRR]])</f>
        <v>#N/A</v>
      </c>
      <c r="AB1470" s="58" t="e">
        <f>VLOOKUP(Table1[[#This Row],[Yield Cluster]],'Cluster Details'!$B$3:$C$16,2,0)</f>
        <v>#N/A</v>
      </c>
      <c r="AC147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0" s="58" t="e">
        <f>IF(Table1[[#This Row],[Ask Price]]&gt;Table1[[#This Row],[Calculated Bond Price]],"Rich","Cheap")</f>
        <v>#N/A</v>
      </c>
      <c r="AE147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0" s="78" t="e">
        <f>(Table1[[#This Row],[P (+ shock)]]+Table1[[#This Row],[P (-shock)]]-2*Table1[[#This Row],[Ask Price]])/(2*Table1[[#This Row],[Ask Price]]*($AF$2^2))</f>
        <v>#N/A</v>
      </c>
      <c r="AH1470">
        <v>11.8435511856564</v>
      </c>
      <c r="AI1470" s="6" t="e">
        <f t="shared" si="89"/>
        <v>#DIV/0!</v>
      </c>
      <c r="AK1470" s="47" t="e">
        <f>RATE(Table1[[#This Row],[Total No. of Coupons]],Table1[[#This Row],[Coupon Amount]],-Table1[[#This Row],[Ask Price]],Table1[[#This Row],[Face value]])</f>
        <v>#N/A</v>
      </c>
      <c r="AL1470" s="27" t="e">
        <f>Table1[[#This Row],[IRR]]*Table1[[#This Row],[Coupon Frequency2]]</f>
        <v>#N/A</v>
      </c>
      <c r="AM1470" s="5" t="e">
        <f t="shared" si="90"/>
        <v>#N/A</v>
      </c>
      <c r="AN1470" t="s">
        <v>64</v>
      </c>
      <c r="AO1470" t="s">
        <v>62</v>
      </c>
      <c r="AP1470" t="str">
        <f t="shared" si="91"/>
        <v/>
      </c>
    </row>
    <row r="1471" spans="4:42" x14ac:dyDescent="0.35">
      <c r="D1471" s="21"/>
      <c r="E1471" s="21"/>
      <c r="L1471" s="22"/>
      <c r="S1471">
        <f t="shared" si="88"/>
        <v>0</v>
      </c>
      <c r="T1471" s="5" t="e" cm="1">
        <f t="array" ref="T147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1" t="e">
        <f>Table1[[#This Row],[Term to Maturity (Years)]]*Table1[[#This Row],[Coupon Frequency2]]</f>
        <v>#N/A</v>
      </c>
      <c r="V1471">
        <f>Table1[[#This Row],[Face value]]*Table1[[#This Row],[Current coupon %]]</f>
        <v>0</v>
      </c>
      <c r="W1471" s="36" t="e">
        <f>RATE(Table1[[#This Row],[Total No. of Coupons]],Table1[[#This Row],[Coupon Amount]],-Table1[[#This Row],[Ask Price]],Table1[[#This Row],[Face value]])</f>
        <v>#N/A</v>
      </c>
      <c r="X1471" s="27" t="e">
        <f>Table1[[#This Row],[IRR]]*Table1[[#This Row],[Coupon Frequency2]]</f>
        <v>#N/A</v>
      </c>
      <c r="Y1471" s="19" t="e" cm="1">
        <f t="array" ref="Y147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1" s="33" t="e">
        <f>DURATION(Table1[[#This Row],[Issue date]],Table1[[#This Row],[Maturity date]],Table1[[#This Row],[Current coupon %]],Table1[[#This Row],[Yield (Annualised)]],Table1[[#This Row],[Coupon Frequency2]])</f>
        <v>#N/A</v>
      </c>
      <c r="AA1471" s="33" t="e">
        <f>Table1[[#This Row],[Macaulay Duration in Years]]/(1+Table1[[#This Row],[IRR]])</f>
        <v>#N/A</v>
      </c>
      <c r="AB1471" s="58" t="e">
        <f>VLOOKUP(Table1[[#This Row],[Yield Cluster]],'Cluster Details'!$B$3:$C$16,2,0)</f>
        <v>#N/A</v>
      </c>
      <c r="AC147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1" s="58" t="e">
        <f>IF(Table1[[#This Row],[Ask Price]]&gt;Table1[[#This Row],[Calculated Bond Price]],"Rich","Cheap")</f>
        <v>#N/A</v>
      </c>
      <c r="AE147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1" s="78" t="e">
        <f>(Table1[[#This Row],[P (+ shock)]]+Table1[[#This Row],[P (-shock)]]-2*Table1[[#This Row],[Ask Price]])/(2*Table1[[#This Row],[Ask Price]]*($AF$2^2))</f>
        <v>#N/A</v>
      </c>
      <c r="AH1471">
        <v>10.5655398970792</v>
      </c>
      <c r="AI1471" s="6" t="e">
        <f t="shared" si="89"/>
        <v>#DIV/0!</v>
      </c>
      <c r="AK1471" s="47" t="e">
        <f>RATE(Table1[[#This Row],[Total No. of Coupons]],Table1[[#This Row],[Coupon Amount]],-Table1[[#This Row],[Ask Price]],Table1[[#This Row],[Face value]])</f>
        <v>#N/A</v>
      </c>
      <c r="AL1471" s="27" t="e">
        <f>Table1[[#This Row],[IRR]]*Table1[[#This Row],[Coupon Frequency2]]</f>
        <v>#N/A</v>
      </c>
      <c r="AM1471" s="5" t="e">
        <f t="shared" si="90"/>
        <v>#N/A</v>
      </c>
      <c r="AN1471" t="s">
        <v>64</v>
      </c>
      <c r="AO1471" t="s">
        <v>62</v>
      </c>
      <c r="AP1471" t="str">
        <f t="shared" si="91"/>
        <v/>
      </c>
    </row>
    <row r="1472" spans="4:42" x14ac:dyDescent="0.35">
      <c r="D1472" s="21"/>
      <c r="E1472" s="21"/>
      <c r="L1472" s="22"/>
      <c r="S1472">
        <f t="shared" si="88"/>
        <v>0</v>
      </c>
      <c r="T1472" s="5" t="e" cm="1">
        <f t="array" ref="T147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2" t="e">
        <f>Table1[[#This Row],[Term to Maturity (Years)]]*Table1[[#This Row],[Coupon Frequency2]]</f>
        <v>#N/A</v>
      </c>
      <c r="V1472">
        <f>Table1[[#This Row],[Face value]]*Table1[[#This Row],[Current coupon %]]</f>
        <v>0</v>
      </c>
      <c r="W1472" s="36" t="e">
        <f>RATE(Table1[[#This Row],[Total No. of Coupons]],Table1[[#This Row],[Coupon Amount]],-Table1[[#This Row],[Ask Price]],Table1[[#This Row],[Face value]])</f>
        <v>#N/A</v>
      </c>
      <c r="X1472" s="27" t="e">
        <f>Table1[[#This Row],[IRR]]*Table1[[#This Row],[Coupon Frequency2]]</f>
        <v>#N/A</v>
      </c>
      <c r="Y1472" s="19" t="e" cm="1">
        <f t="array" ref="Y147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2" s="33" t="e">
        <f>DURATION(Table1[[#This Row],[Issue date]],Table1[[#This Row],[Maturity date]],Table1[[#This Row],[Current coupon %]],Table1[[#This Row],[Yield (Annualised)]],Table1[[#This Row],[Coupon Frequency2]])</f>
        <v>#N/A</v>
      </c>
      <c r="AA1472" s="33" t="e">
        <f>Table1[[#This Row],[Macaulay Duration in Years]]/(1+Table1[[#This Row],[IRR]])</f>
        <v>#N/A</v>
      </c>
      <c r="AB1472" s="58" t="e">
        <f>VLOOKUP(Table1[[#This Row],[Yield Cluster]],'Cluster Details'!$B$3:$C$16,2,0)</f>
        <v>#N/A</v>
      </c>
      <c r="AC147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2" s="58" t="e">
        <f>IF(Table1[[#This Row],[Ask Price]]&gt;Table1[[#This Row],[Calculated Bond Price]],"Rich","Cheap")</f>
        <v>#N/A</v>
      </c>
      <c r="AE147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2" s="78" t="e">
        <f>(Table1[[#This Row],[P (+ shock)]]+Table1[[#This Row],[P (-shock)]]-2*Table1[[#This Row],[Ask Price]])/(2*Table1[[#This Row],[Ask Price]]*($AF$2^2))</f>
        <v>#N/A</v>
      </c>
      <c r="AH1472">
        <v>11</v>
      </c>
      <c r="AI1472" s="6" t="e">
        <f t="shared" si="89"/>
        <v>#DIV/0!</v>
      </c>
      <c r="AK1472" s="47" t="e">
        <f>RATE(Table1[[#This Row],[Total No. of Coupons]],Table1[[#This Row],[Coupon Amount]],-Table1[[#This Row],[Ask Price]],Table1[[#This Row],[Face value]])</f>
        <v>#N/A</v>
      </c>
      <c r="AL1472" s="27" t="e">
        <f>Table1[[#This Row],[IRR]]*Table1[[#This Row],[Coupon Frequency2]]</f>
        <v>#N/A</v>
      </c>
      <c r="AM1472" s="5" t="e">
        <f t="shared" si="90"/>
        <v>#N/A</v>
      </c>
      <c r="AN1472" t="s">
        <v>64</v>
      </c>
      <c r="AO1472" t="s">
        <v>62</v>
      </c>
      <c r="AP1472" t="str">
        <f t="shared" si="91"/>
        <v/>
      </c>
    </row>
    <row r="1473" spans="4:42" x14ac:dyDescent="0.35">
      <c r="D1473" s="21"/>
      <c r="E1473" s="21"/>
      <c r="L1473" s="22"/>
      <c r="S1473">
        <f t="shared" si="88"/>
        <v>0</v>
      </c>
      <c r="T1473" s="5" t="e" cm="1">
        <f t="array" ref="T147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3" t="e">
        <f>Table1[[#This Row],[Term to Maturity (Years)]]*Table1[[#This Row],[Coupon Frequency2]]</f>
        <v>#N/A</v>
      </c>
      <c r="V1473">
        <f>Table1[[#This Row],[Face value]]*Table1[[#This Row],[Current coupon %]]</f>
        <v>0</v>
      </c>
      <c r="W1473" s="36" t="e">
        <f>RATE(Table1[[#This Row],[Total No. of Coupons]],Table1[[#This Row],[Coupon Amount]],-Table1[[#This Row],[Ask Price]],Table1[[#This Row],[Face value]])</f>
        <v>#N/A</v>
      </c>
      <c r="X1473" s="27" t="e">
        <f>Table1[[#This Row],[IRR]]*Table1[[#This Row],[Coupon Frequency2]]</f>
        <v>#N/A</v>
      </c>
      <c r="Y1473" s="19" t="e" cm="1">
        <f t="array" ref="Y147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3" s="33" t="e">
        <f>DURATION(Table1[[#This Row],[Issue date]],Table1[[#This Row],[Maturity date]],Table1[[#This Row],[Current coupon %]],Table1[[#This Row],[Yield (Annualised)]],Table1[[#This Row],[Coupon Frequency2]])</f>
        <v>#N/A</v>
      </c>
      <c r="AA1473" s="33" t="e">
        <f>Table1[[#This Row],[Macaulay Duration in Years]]/(1+Table1[[#This Row],[IRR]])</f>
        <v>#N/A</v>
      </c>
      <c r="AB1473" s="58" t="e">
        <f>VLOOKUP(Table1[[#This Row],[Yield Cluster]],'Cluster Details'!$B$3:$C$16,2,0)</f>
        <v>#N/A</v>
      </c>
      <c r="AC147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3" s="58" t="e">
        <f>IF(Table1[[#This Row],[Ask Price]]&gt;Table1[[#This Row],[Calculated Bond Price]],"Rich","Cheap")</f>
        <v>#N/A</v>
      </c>
      <c r="AE147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3" s="78" t="e">
        <f>(Table1[[#This Row],[P (+ shock)]]+Table1[[#This Row],[P (-shock)]]-2*Table1[[#This Row],[Ask Price]])/(2*Table1[[#This Row],[Ask Price]]*($AF$2^2))</f>
        <v>#N/A</v>
      </c>
      <c r="AH1473">
        <v>15.6181998128398</v>
      </c>
      <c r="AI1473" s="6" t="e">
        <f t="shared" si="89"/>
        <v>#DIV/0!</v>
      </c>
      <c r="AK1473" s="47" t="e">
        <f>RATE(Table1[[#This Row],[Total No. of Coupons]],Table1[[#This Row],[Coupon Amount]],-Table1[[#This Row],[Ask Price]],Table1[[#This Row],[Face value]])</f>
        <v>#N/A</v>
      </c>
      <c r="AL1473" s="27" t="e">
        <f>Table1[[#This Row],[IRR]]*Table1[[#This Row],[Coupon Frequency2]]</f>
        <v>#N/A</v>
      </c>
      <c r="AM1473" s="5" t="e">
        <f t="shared" si="90"/>
        <v>#N/A</v>
      </c>
      <c r="AN1473" t="s">
        <v>64</v>
      </c>
      <c r="AO1473" t="s">
        <v>62</v>
      </c>
      <c r="AP1473" t="str">
        <f t="shared" si="91"/>
        <v/>
      </c>
    </row>
    <row r="1474" spans="4:42" x14ac:dyDescent="0.35">
      <c r="D1474" s="21"/>
      <c r="E1474" s="21"/>
      <c r="L1474" s="22"/>
      <c r="S1474">
        <f t="shared" si="88"/>
        <v>0</v>
      </c>
      <c r="T1474" s="5" t="e" cm="1">
        <f t="array" ref="T147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4" t="e">
        <f>Table1[[#This Row],[Term to Maturity (Years)]]*Table1[[#This Row],[Coupon Frequency2]]</f>
        <v>#N/A</v>
      </c>
      <c r="V1474">
        <f>Table1[[#This Row],[Face value]]*Table1[[#This Row],[Current coupon %]]</f>
        <v>0</v>
      </c>
      <c r="W1474" s="36" t="e">
        <f>RATE(Table1[[#This Row],[Total No. of Coupons]],Table1[[#This Row],[Coupon Amount]],-Table1[[#This Row],[Ask Price]],Table1[[#This Row],[Face value]])</f>
        <v>#N/A</v>
      </c>
      <c r="X1474" s="27" t="e">
        <f>Table1[[#This Row],[IRR]]*Table1[[#This Row],[Coupon Frequency2]]</f>
        <v>#N/A</v>
      </c>
      <c r="Y1474" s="19" t="e" cm="1">
        <f t="array" ref="Y147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4" s="33" t="e">
        <f>DURATION(Table1[[#This Row],[Issue date]],Table1[[#This Row],[Maturity date]],Table1[[#This Row],[Current coupon %]],Table1[[#This Row],[Yield (Annualised)]],Table1[[#This Row],[Coupon Frequency2]])</f>
        <v>#N/A</v>
      </c>
      <c r="AA1474" s="33" t="e">
        <f>Table1[[#This Row],[Macaulay Duration in Years]]/(1+Table1[[#This Row],[IRR]])</f>
        <v>#N/A</v>
      </c>
      <c r="AB1474" s="58" t="e">
        <f>VLOOKUP(Table1[[#This Row],[Yield Cluster]],'Cluster Details'!$B$3:$C$16,2,0)</f>
        <v>#N/A</v>
      </c>
      <c r="AC147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4" s="58" t="e">
        <f>IF(Table1[[#This Row],[Ask Price]]&gt;Table1[[#This Row],[Calculated Bond Price]],"Rich","Cheap")</f>
        <v>#N/A</v>
      </c>
      <c r="AE147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4" s="78" t="e">
        <f>(Table1[[#This Row],[P (+ shock)]]+Table1[[#This Row],[P (-shock)]]-2*Table1[[#This Row],[Ask Price]])/(2*Table1[[#This Row],[Ask Price]]*($AF$2^2))</f>
        <v>#N/A</v>
      </c>
      <c r="AH1474">
        <v>10.0104638346043</v>
      </c>
      <c r="AI1474" s="6" t="e">
        <f t="shared" si="89"/>
        <v>#DIV/0!</v>
      </c>
      <c r="AK1474" s="47" t="e">
        <f>RATE(Table1[[#This Row],[Total No. of Coupons]],Table1[[#This Row],[Coupon Amount]],-Table1[[#This Row],[Ask Price]],Table1[[#This Row],[Face value]])</f>
        <v>#N/A</v>
      </c>
      <c r="AL1474" s="27" t="e">
        <f>Table1[[#This Row],[IRR]]*Table1[[#This Row],[Coupon Frequency2]]</f>
        <v>#N/A</v>
      </c>
      <c r="AM1474" s="5" t="e">
        <f t="shared" si="90"/>
        <v>#N/A</v>
      </c>
      <c r="AN1474" t="s">
        <v>64</v>
      </c>
      <c r="AO1474" t="s">
        <v>62</v>
      </c>
      <c r="AP1474" t="str">
        <f t="shared" si="91"/>
        <v/>
      </c>
    </row>
    <row r="1475" spans="4:42" x14ac:dyDescent="0.35">
      <c r="D1475" s="21"/>
      <c r="E1475" s="21"/>
      <c r="L1475" s="22"/>
      <c r="S1475">
        <f t="shared" si="88"/>
        <v>0</v>
      </c>
      <c r="T1475" s="5" t="e" cm="1">
        <f t="array" ref="T147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5" t="e">
        <f>Table1[[#This Row],[Term to Maturity (Years)]]*Table1[[#This Row],[Coupon Frequency2]]</f>
        <v>#N/A</v>
      </c>
      <c r="V1475">
        <f>Table1[[#This Row],[Face value]]*Table1[[#This Row],[Current coupon %]]</f>
        <v>0</v>
      </c>
      <c r="W1475" s="36" t="e">
        <f>RATE(Table1[[#This Row],[Total No. of Coupons]],Table1[[#This Row],[Coupon Amount]],-Table1[[#This Row],[Ask Price]],Table1[[#This Row],[Face value]])</f>
        <v>#N/A</v>
      </c>
      <c r="X1475" s="27" t="e">
        <f>Table1[[#This Row],[IRR]]*Table1[[#This Row],[Coupon Frequency2]]</f>
        <v>#N/A</v>
      </c>
      <c r="Y1475" s="19" t="e" cm="1">
        <f t="array" ref="Y147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5" s="33" t="e">
        <f>DURATION(Table1[[#This Row],[Issue date]],Table1[[#This Row],[Maturity date]],Table1[[#This Row],[Current coupon %]],Table1[[#This Row],[Yield (Annualised)]],Table1[[#This Row],[Coupon Frequency2]])</f>
        <v>#N/A</v>
      </c>
      <c r="AA1475" s="33" t="e">
        <f>Table1[[#This Row],[Macaulay Duration in Years]]/(1+Table1[[#This Row],[IRR]])</f>
        <v>#N/A</v>
      </c>
      <c r="AB1475" s="58" t="e">
        <f>VLOOKUP(Table1[[#This Row],[Yield Cluster]],'Cluster Details'!$B$3:$C$16,2,0)</f>
        <v>#N/A</v>
      </c>
      <c r="AC147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5" s="58" t="e">
        <f>IF(Table1[[#This Row],[Ask Price]]&gt;Table1[[#This Row],[Calculated Bond Price]],"Rich","Cheap")</f>
        <v>#N/A</v>
      </c>
      <c r="AE147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5" s="78" t="e">
        <f>(Table1[[#This Row],[P (+ shock)]]+Table1[[#This Row],[P (-shock)]]-2*Table1[[#This Row],[Ask Price]])/(2*Table1[[#This Row],[Ask Price]]*($AF$2^2))</f>
        <v>#N/A</v>
      </c>
      <c r="AH1475">
        <v>10.5110085639277</v>
      </c>
      <c r="AI1475" s="6" t="e">
        <f t="shared" si="89"/>
        <v>#DIV/0!</v>
      </c>
      <c r="AK1475" s="47" t="e">
        <f>RATE(Table1[[#This Row],[Total No. of Coupons]],Table1[[#This Row],[Coupon Amount]],-Table1[[#This Row],[Ask Price]],Table1[[#This Row],[Face value]])</f>
        <v>#N/A</v>
      </c>
      <c r="AL1475" s="27" t="e">
        <f>Table1[[#This Row],[IRR]]*Table1[[#This Row],[Coupon Frequency2]]</f>
        <v>#N/A</v>
      </c>
      <c r="AM1475" s="5" t="e">
        <f t="shared" si="90"/>
        <v>#N/A</v>
      </c>
      <c r="AN1475" t="s">
        <v>64</v>
      </c>
      <c r="AO1475" t="s">
        <v>62</v>
      </c>
      <c r="AP1475" t="str">
        <f t="shared" si="91"/>
        <v/>
      </c>
    </row>
    <row r="1476" spans="4:42" x14ac:dyDescent="0.35">
      <c r="D1476" s="21"/>
      <c r="E1476" s="21"/>
      <c r="L1476" s="22"/>
      <c r="S1476">
        <f t="shared" ref="S1476:S1521" si="92">ROUND(YEARFRAC(D1476,E1476),0)</f>
        <v>0</v>
      </c>
      <c r="T1476" s="5" t="e" cm="1">
        <f t="array" ref="T147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6" t="e">
        <f>Table1[[#This Row],[Term to Maturity (Years)]]*Table1[[#This Row],[Coupon Frequency2]]</f>
        <v>#N/A</v>
      </c>
      <c r="V1476">
        <f>Table1[[#This Row],[Face value]]*Table1[[#This Row],[Current coupon %]]</f>
        <v>0</v>
      </c>
      <c r="W1476" s="36" t="e">
        <f>RATE(Table1[[#This Row],[Total No. of Coupons]],Table1[[#This Row],[Coupon Amount]],-Table1[[#This Row],[Ask Price]],Table1[[#This Row],[Face value]])</f>
        <v>#N/A</v>
      </c>
      <c r="X1476" s="27" t="e">
        <f>Table1[[#This Row],[IRR]]*Table1[[#This Row],[Coupon Frequency2]]</f>
        <v>#N/A</v>
      </c>
      <c r="Y1476" s="19" t="e" cm="1">
        <f t="array" ref="Y147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6" s="33" t="e">
        <f>DURATION(Table1[[#This Row],[Issue date]],Table1[[#This Row],[Maturity date]],Table1[[#This Row],[Current coupon %]],Table1[[#This Row],[Yield (Annualised)]],Table1[[#This Row],[Coupon Frequency2]])</f>
        <v>#N/A</v>
      </c>
      <c r="AA1476" s="33" t="e">
        <f>Table1[[#This Row],[Macaulay Duration in Years]]/(1+Table1[[#This Row],[IRR]])</f>
        <v>#N/A</v>
      </c>
      <c r="AB1476" s="58" t="e">
        <f>VLOOKUP(Table1[[#This Row],[Yield Cluster]],'Cluster Details'!$B$3:$C$16,2,0)</f>
        <v>#N/A</v>
      </c>
      <c r="AC147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6" s="58" t="e">
        <f>IF(Table1[[#This Row],[Ask Price]]&gt;Table1[[#This Row],[Calculated Bond Price]],"Rich","Cheap")</f>
        <v>#N/A</v>
      </c>
      <c r="AE147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6" s="78" t="e">
        <f>(Table1[[#This Row],[P (+ shock)]]+Table1[[#This Row],[P (-shock)]]-2*Table1[[#This Row],[Ask Price]])/(2*Table1[[#This Row],[Ask Price]]*($AF$2^2))</f>
        <v>#N/A</v>
      </c>
      <c r="AH1476">
        <v>11</v>
      </c>
      <c r="AI1476" s="6" t="e">
        <f t="shared" ref="AI1476:AI1521" si="93">(L1476*F1476)/H1476</f>
        <v>#DIV/0!</v>
      </c>
      <c r="AK1476" s="47" t="e">
        <f>RATE(Table1[[#This Row],[Total No. of Coupons]],Table1[[#This Row],[Coupon Amount]],-Table1[[#This Row],[Ask Price]],Table1[[#This Row],[Face value]])</f>
        <v>#N/A</v>
      </c>
      <c r="AL1476" s="27" t="e">
        <f>Table1[[#This Row],[IRR]]*Table1[[#This Row],[Coupon Frequency2]]</f>
        <v>#N/A</v>
      </c>
      <c r="AM1476" s="5" t="e">
        <f t="shared" ref="AM1476:AM1521" si="94">-AA1476*H1476</f>
        <v>#N/A</v>
      </c>
      <c r="AN1476" t="s">
        <v>64</v>
      </c>
      <c r="AO1476" t="s">
        <v>62</v>
      </c>
      <c r="AP1476" t="str">
        <f t="shared" ref="AP1476:AP1521" si="95">_xlfn.SWITCH(PROPER(TRIM(M1476)),
   "Annual",1,
   "Semi-Annual",2,
   "Quarterly",4,
   "Monthly",12,
   "")</f>
        <v/>
      </c>
    </row>
    <row r="1477" spans="4:42" x14ac:dyDescent="0.35">
      <c r="D1477" s="21"/>
      <c r="E1477" s="21"/>
      <c r="L1477" s="22"/>
      <c r="S1477">
        <f t="shared" si="92"/>
        <v>0</v>
      </c>
      <c r="T1477" s="5" t="e" cm="1">
        <f t="array" ref="T147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7" t="e">
        <f>Table1[[#This Row],[Term to Maturity (Years)]]*Table1[[#This Row],[Coupon Frequency2]]</f>
        <v>#N/A</v>
      </c>
      <c r="V1477">
        <f>Table1[[#This Row],[Face value]]*Table1[[#This Row],[Current coupon %]]</f>
        <v>0</v>
      </c>
      <c r="W1477" s="36" t="e">
        <f>RATE(Table1[[#This Row],[Total No. of Coupons]],Table1[[#This Row],[Coupon Amount]],-Table1[[#This Row],[Ask Price]],Table1[[#This Row],[Face value]])</f>
        <v>#N/A</v>
      </c>
      <c r="X1477" s="27" t="e">
        <f>Table1[[#This Row],[IRR]]*Table1[[#This Row],[Coupon Frequency2]]</f>
        <v>#N/A</v>
      </c>
      <c r="Y1477" s="19" t="e" cm="1">
        <f t="array" ref="Y147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7" s="33" t="e">
        <f>DURATION(Table1[[#This Row],[Issue date]],Table1[[#This Row],[Maturity date]],Table1[[#This Row],[Current coupon %]],Table1[[#This Row],[Yield (Annualised)]],Table1[[#This Row],[Coupon Frequency2]])</f>
        <v>#N/A</v>
      </c>
      <c r="AA1477" s="33" t="e">
        <f>Table1[[#This Row],[Macaulay Duration in Years]]/(1+Table1[[#This Row],[IRR]])</f>
        <v>#N/A</v>
      </c>
      <c r="AB1477" s="58" t="e">
        <f>VLOOKUP(Table1[[#This Row],[Yield Cluster]],'Cluster Details'!$B$3:$C$16,2,0)</f>
        <v>#N/A</v>
      </c>
      <c r="AC147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7" s="58" t="e">
        <f>IF(Table1[[#This Row],[Ask Price]]&gt;Table1[[#This Row],[Calculated Bond Price]],"Rich","Cheap")</f>
        <v>#N/A</v>
      </c>
      <c r="AE147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7" s="78" t="e">
        <f>(Table1[[#This Row],[P (+ shock)]]+Table1[[#This Row],[P (-shock)]]-2*Table1[[#This Row],[Ask Price]])/(2*Table1[[#This Row],[Ask Price]]*($AF$2^2))</f>
        <v>#N/A</v>
      </c>
      <c r="AH1477">
        <v>10.457420072804601</v>
      </c>
      <c r="AI1477" s="6" t="e">
        <f t="shared" si="93"/>
        <v>#DIV/0!</v>
      </c>
      <c r="AK1477" s="47" t="e">
        <f>RATE(Table1[[#This Row],[Total No. of Coupons]],Table1[[#This Row],[Coupon Amount]],-Table1[[#This Row],[Ask Price]],Table1[[#This Row],[Face value]])</f>
        <v>#N/A</v>
      </c>
      <c r="AL1477" s="27" t="e">
        <f>Table1[[#This Row],[IRR]]*Table1[[#This Row],[Coupon Frequency2]]</f>
        <v>#N/A</v>
      </c>
      <c r="AM1477" s="5" t="e">
        <f t="shared" si="94"/>
        <v>#N/A</v>
      </c>
      <c r="AN1477" t="s">
        <v>64</v>
      </c>
      <c r="AO1477" t="s">
        <v>62</v>
      </c>
      <c r="AP1477" t="str">
        <f t="shared" si="95"/>
        <v/>
      </c>
    </row>
    <row r="1478" spans="4:42" x14ac:dyDescent="0.35">
      <c r="D1478" s="21"/>
      <c r="E1478" s="21"/>
      <c r="L1478" s="22"/>
      <c r="S1478">
        <f t="shared" si="92"/>
        <v>0</v>
      </c>
      <c r="T1478" s="5" t="e" cm="1">
        <f t="array" ref="T147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8" t="e">
        <f>Table1[[#This Row],[Term to Maturity (Years)]]*Table1[[#This Row],[Coupon Frequency2]]</f>
        <v>#N/A</v>
      </c>
      <c r="V1478">
        <f>Table1[[#This Row],[Face value]]*Table1[[#This Row],[Current coupon %]]</f>
        <v>0</v>
      </c>
      <c r="W1478" s="36" t="e">
        <f>RATE(Table1[[#This Row],[Total No. of Coupons]],Table1[[#This Row],[Coupon Amount]],-Table1[[#This Row],[Ask Price]],Table1[[#This Row],[Face value]])</f>
        <v>#N/A</v>
      </c>
      <c r="X1478" s="27" t="e">
        <f>Table1[[#This Row],[IRR]]*Table1[[#This Row],[Coupon Frequency2]]</f>
        <v>#N/A</v>
      </c>
      <c r="Y1478" s="19" t="e" cm="1">
        <f t="array" ref="Y147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8" s="33" t="e">
        <f>DURATION(Table1[[#This Row],[Issue date]],Table1[[#This Row],[Maturity date]],Table1[[#This Row],[Current coupon %]],Table1[[#This Row],[Yield (Annualised)]],Table1[[#This Row],[Coupon Frequency2]])</f>
        <v>#N/A</v>
      </c>
      <c r="AA1478" s="33" t="e">
        <f>Table1[[#This Row],[Macaulay Duration in Years]]/(1+Table1[[#This Row],[IRR]])</f>
        <v>#N/A</v>
      </c>
      <c r="AB1478" s="58" t="e">
        <f>VLOOKUP(Table1[[#This Row],[Yield Cluster]],'Cluster Details'!$B$3:$C$16,2,0)</f>
        <v>#N/A</v>
      </c>
      <c r="AC147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8" s="58" t="e">
        <f>IF(Table1[[#This Row],[Ask Price]]&gt;Table1[[#This Row],[Calculated Bond Price]],"Rich","Cheap")</f>
        <v>#N/A</v>
      </c>
      <c r="AE147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8" s="78" t="e">
        <f>(Table1[[#This Row],[P (+ shock)]]+Table1[[#This Row],[P (-shock)]]-2*Table1[[#This Row],[Ask Price]])/(2*Table1[[#This Row],[Ask Price]]*($AF$2^2))</f>
        <v>#N/A</v>
      </c>
      <c r="AH1478">
        <v>11.175217531057701</v>
      </c>
      <c r="AI1478" s="6" t="e">
        <f t="shared" si="93"/>
        <v>#DIV/0!</v>
      </c>
      <c r="AK1478" s="47" t="e">
        <f>RATE(Table1[[#This Row],[Total No. of Coupons]],Table1[[#This Row],[Coupon Amount]],-Table1[[#This Row],[Ask Price]],Table1[[#This Row],[Face value]])</f>
        <v>#N/A</v>
      </c>
      <c r="AL1478" s="27" t="e">
        <f>Table1[[#This Row],[IRR]]*Table1[[#This Row],[Coupon Frequency2]]</f>
        <v>#N/A</v>
      </c>
      <c r="AM1478" s="5" t="e">
        <f t="shared" si="94"/>
        <v>#N/A</v>
      </c>
      <c r="AN1478" t="s">
        <v>64</v>
      </c>
      <c r="AO1478" t="s">
        <v>62</v>
      </c>
      <c r="AP1478" t="str">
        <f t="shared" si="95"/>
        <v/>
      </c>
    </row>
    <row r="1479" spans="4:42" x14ac:dyDescent="0.35">
      <c r="D1479" s="21"/>
      <c r="E1479" s="21"/>
      <c r="L1479" s="22"/>
      <c r="S1479">
        <f t="shared" si="92"/>
        <v>0</v>
      </c>
      <c r="T1479" s="5" t="e" cm="1">
        <f t="array" ref="T147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79" t="e">
        <f>Table1[[#This Row],[Term to Maturity (Years)]]*Table1[[#This Row],[Coupon Frequency2]]</f>
        <v>#N/A</v>
      </c>
      <c r="V1479">
        <f>Table1[[#This Row],[Face value]]*Table1[[#This Row],[Current coupon %]]</f>
        <v>0</v>
      </c>
      <c r="W1479" s="36" t="e">
        <f>RATE(Table1[[#This Row],[Total No. of Coupons]],Table1[[#This Row],[Coupon Amount]],-Table1[[#This Row],[Ask Price]],Table1[[#This Row],[Face value]])</f>
        <v>#N/A</v>
      </c>
      <c r="X1479" s="27" t="e">
        <f>Table1[[#This Row],[IRR]]*Table1[[#This Row],[Coupon Frequency2]]</f>
        <v>#N/A</v>
      </c>
      <c r="Y1479" s="19" t="e" cm="1">
        <f t="array" ref="Y147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79" s="33" t="e">
        <f>DURATION(Table1[[#This Row],[Issue date]],Table1[[#This Row],[Maturity date]],Table1[[#This Row],[Current coupon %]],Table1[[#This Row],[Yield (Annualised)]],Table1[[#This Row],[Coupon Frequency2]])</f>
        <v>#N/A</v>
      </c>
      <c r="AA1479" s="33" t="e">
        <f>Table1[[#This Row],[Macaulay Duration in Years]]/(1+Table1[[#This Row],[IRR]])</f>
        <v>#N/A</v>
      </c>
      <c r="AB1479" s="58" t="e">
        <f>VLOOKUP(Table1[[#This Row],[Yield Cluster]],'Cluster Details'!$B$3:$C$16,2,0)</f>
        <v>#N/A</v>
      </c>
      <c r="AC147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79" s="58" t="e">
        <f>IF(Table1[[#This Row],[Ask Price]]&gt;Table1[[#This Row],[Calculated Bond Price]],"Rich","Cheap")</f>
        <v>#N/A</v>
      </c>
      <c r="AE147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7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79" s="78" t="e">
        <f>(Table1[[#This Row],[P (+ shock)]]+Table1[[#This Row],[P (-shock)]]-2*Table1[[#This Row],[Ask Price]])/(2*Table1[[#This Row],[Ask Price]]*($AF$2^2))</f>
        <v>#N/A</v>
      </c>
      <c r="AH1479">
        <v>11.0222366475531</v>
      </c>
      <c r="AI1479" s="6" t="e">
        <f t="shared" si="93"/>
        <v>#DIV/0!</v>
      </c>
      <c r="AK1479" s="47" t="e">
        <f>RATE(Table1[[#This Row],[Total No. of Coupons]],Table1[[#This Row],[Coupon Amount]],-Table1[[#This Row],[Ask Price]],Table1[[#This Row],[Face value]])</f>
        <v>#N/A</v>
      </c>
      <c r="AL1479" s="27" t="e">
        <f>Table1[[#This Row],[IRR]]*Table1[[#This Row],[Coupon Frequency2]]</f>
        <v>#N/A</v>
      </c>
      <c r="AM1479" s="5" t="e">
        <f t="shared" si="94"/>
        <v>#N/A</v>
      </c>
      <c r="AN1479" t="s">
        <v>64</v>
      </c>
      <c r="AO1479" t="s">
        <v>62</v>
      </c>
      <c r="AP1479" t="str">
        <f t="shared" si="95"/>
        <v/>
      </c>
    </row>
    <row r="1480" spans="4:42" x14ac:dyDescent="0.35">
      <c r="D1480" s="21"/>
      <c r="E1480" s="21"/>
      <c r="L1480" s="22"/>
      <c r="S1480">
        <f t="shared" si="92"/>
        <v>0</v>
      </c>
      <c r="T1480" s="5" t="e" cm="1">
        <f t="array" ref="T148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0" t="e">
        <f>Table1[[#This Row],[Term to Maturity (Years)]]*Table1[[#This Row],[Coupon Frequency2]]</f>
        <v>#N/A</v>
      </c>
      <c r="V1480">
        <f>Table1[[#This Row],[Face value]]*Table1[[#This Row],[Current coupon %]]</f>
        <v>0</v>
      </c>
      <c r="W1480" s="36" t="e">
        <f>RATE(Table1[[#This Row],[Total No. of Coupons]],Table1[[#This Row],[Coupon Amount]],-Table1[[#This Row],[Ask Price]],Table1[[#This Row],[Face value]])</f>
        <v>#N/A</v>
      </c>
      <c r="X1480" s="27" t="e">
        <f>Table1[[#This Row],[IRR]]*Table1[[#This Row],[Coupon Frequency2]]</f>
        <v>#N/A</v>
      </c>
      <c r="Y1480" s="19" t="e" cm="1">
        <f t="array" ref="Y148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0" s="33" t="e">
        <f>DURATION(Table1[[#This Row],[Issue date]],Table1[[#This Row],[Maturity date]],Table1[[#This Row],[Current coupon %]],Table1[[#This Row],[Yield (Annualised)]],Table1[[#This Row],[Coupon Frequency2]])</f>
        <v>#N/A</v>
      </c>
      <c r="AA1480" s="33" t="e">
        <f>Table1[[#This Row],[Macaulay Duration in Years]]/(1+Table1[[#This Row],[IRR]])</f>
        <v>#N/A</v>
      </c>
      <c r="AB1480" s="58" t="e">
        <f>VLOOKUP(Table1[[#This Row],[Yield Cluster]],'Cluster Details'!$B$3:$C$16,2,0)</f>
        <v>#N/A</v>
      </c>
      <c r="AC148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0" s="58" t="e">
        <f>IF(Table1[[#This Row],[Ask Price]]&gt;Table1[[#This Row],[Calculated Bond Price]],"Rich","Cheap")</f>
        <v>#N/A</v>
      </c>
      <c r="AE148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0" s="78" t="e">
        <f>(Table1[[#This Row],[P (+ shock)]]+Table1[[#This Row],[P (-shock)]]-2*Table1[[#This Row],[Ask Price]])/(2*Table1[[#This Row],[Ask Price]]*($AF$2^2))</f>
        <v>#N/A</v>
      </c>
      <c r="AH1480">
        <v>11</v>
      </c>
      <c r="AI1480" s="6" t="e">
        <f t="shared" si="93"/>
        <v>#DIV/0!</v>
      </c>
      <c r="AK1480" s="47" t="e">
        <f>RATE(Table1[[#This Row],[Total No. of Coupons]],Table1[[#This Row],[Coupon Amount]],-Table1[[#This Row],[Ask Price]],Table1[[#This Row],[Face value]])</f>
        <v>#N/A</v>
      </c>
      <c r="AL1480" s="27" t="e">
        <f>Table1[[#This Row],[IRR]]*Table1[[#This Row],[Coupon Frequency2]]</f>
        <v>#N/A</v>
      </c>
      <c r="AM1480" s="5" t="e">
        <f t="shared" si="94"/>
        <v>#N/A</v>
      </c>
      <c r="AN1480" t="s">
        <v>64</v>
      </c>
      <c r="AO1480" t="s">
        <v>62</v>
      </c>
      <c r="AP1480" t="str">
        <f t="shared" si="95"/>
        <v/>
      </c>
    </row>
    <row r="1481" spans="4:42" x14ac:dyDescent="0.35">
      <c r="D1481" s="21"/>
      <c r="E1481" s="21"/>
      <c r="L1481" s="22"/>
      <c r="S1481">
        <f t="shared" si="92"/>
        <v>0</v>
      </c>
      <c r="T1481" s="5" t="e" cm="1">
        <f t="array" ref="T148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1" t="e">
        <f>Table1[[#This Row],[Term to Maturity (Years)]]*Table1[[#This Row],[Coupon Frequency2]]</f>
        <v>#N/A</v>
      </c>
      <c r="V1481">
        <f>Table1[[#This Row],[Face value]]*Table1[[#This Row],[Current coupon %]]</f>
        <v>0</v>
      </c>
      <c r="W1481" s="36" t="e">
        <f>RATE(Table1[[#This Row],[Total No. of Coupons]],Table1[[#This Row],[Coupon Amount]],-Table1[[#This Row],[Ask Price]],Table1[[#This Row],[Face value]])</f>
        <v>#N/A</v>
      </c>
      <c r="X1481" s="27" t="e">
        <f>Table1[[#This Row],[IRR]]*Table1[[#This Row],[Coupon Frequency2]]</f>
        <v>#N/A</v>
      </c>
      <c r="Y1481" s="19" t="e" cm="1">
        <f t="array" ref="Y148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1" s="33" t="e">
        <f>DURATION(Table1[[#This Row],[Issue date]],Table1[[#This Row],[Maturity date]],Table1[[#This Row],[Current coupon %]],Table1[[#This Row],[Yield (Annualised)]],Table1[[#This Row],[Coupon Frequency2]])</f>
        <v>#N/A</v>
      </c>
      <c r="AA1481" s="33" t="e">
        <f>Table1[[#This Row],[Macaulay Duration in Years]]/(1+Table1[[#This Row],[IRR]])</f>
        <v>#N/A</v>
      </c>
      <c r="AB1481" s="58" t="e">
        <f>VLOOKUP(Table1[[#This Row],[Yield Cluster]],'Cluster Details'!$B$3:$C$16,2,0)</f>
        <v>#N/A</v>
      </c>
      <c r="AC148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1" s="58" t="e">
        <f>IF(Table1[[#This Row],[Ask Price]]&gt;Table1[[#This Row],[Calculated Bond Price]],"Rich","Cheap")</f>
        <v>#N/A</v>
      </c>
      <c r="AE148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1" s="78" t="e">
        <f>(Table1[[#This Row],[P (+ shock)]]+Table1[[#This Row],[P (-shock)]]-2*Table1[[#This Row],[Ask Price]])/(2*Table1[[#This Row],[Ask Price]]*($AF$2^2))</f>
        <v>#N/A</v>
      </c>
      <c r="AH1481">
        <v>10.978791387984201</v>
      </c>
      <c r="AI1481" s="6" t="e">
        <f t="shared" si="93"/>
        <v>#DIV/0!</v>
      </c>
      <c r="AK1481" s="47" t="e">
        <f>RATE(Table1[[#This Row],[Total No. of Coupons]],Table1[[#This Row],[Coupon Amount]],-Table1[[#This Row],[Ask Price]],Table1[[#This Row],[Face value]])</f>
        <v>#N/A</v>
      </c>
      <c r="AL1481" s="27" t="e">
        <f>Table1[[#This Row],[IRR]]*Table1[[#This Row],[Coupon Frequency2]]</f>
        <v>#N/A</v>
      </c>
      <c r="AM1481" s="5" t="e">
        <f t="shared" si="94"/>
        <v>#N/A</v>
      </c>
      <c r="AN1481" t="s">
        <v>64</v>
      </c>
      <c r="AO1481" t="s">
        <v>62</v>
      </c>
      <c r="AP1481" t="str">
        <f t="shared" si="95"/>
        <v/>
      </c>
    </row>
    <row r="1482" spans="4:42" x14ac:dyDescent="0.35">
      <c r="D1482" s="21"/>
      <c r="E1482" s="21"/>
      <c r="L1482" s="22"/>
      <c r="S1482">
        <f t="shared" si="92"/>
        <v>0</v>
      </c>
      <c r="T1482" s="5" t="e" cm="1">
        <f t="array" ref="T148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2" t="e">
        <f>Table1[[#This Row],[Term to Maturity (Years)]]*Table1[[#This Row],[Coupon Frequency2]]</f>
        <v>#N/A</v>
      </c>
      <c r="V1482">
        <f>Table1[[#This Row],[Face value]]*Table1[[#This Row],[Current coupon %]]</f>
        <v>0</v>
      </c>
      <c r="W1482" s="36" t="e">
        <f>RATE(Table1[[#This Row],[Total No. of Coupons]],Table1[[#This Row],[Coupon Amount]],-Table1[[#This Row],[Ask Price]],Table1[[#This Row],[Face value]])</f>
        <v>#N/A</v>
      </c>
      <c r="X1482" s="27" t="e">
        <f>Table1[[#This Row],[IRR]]*Table1[[#This Row],[Coupon Frequency2]]</f>
        <v>#N/A</v>
      </c>
      <c r="Y1482" s="19" t="e" cm="1">
        <f t="array" ref="Y148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2" s="33" t="e">
        <f>DURATION(Table1[[#This Row],[Issue date]],Table1[[#This Row],[Maturity date]],Table1[[#This Row],[Current coupon %]],Table1[[#This Row],[Yield (Annualised)]],Table1[[#This Row],[Coupon Frequency2]])</f>
        <v>#N/A</v>
      </c>
      <c r="AA1482" s="33" t="e">
        <f>Table1[[#This Row],[Macaulay Duration in Years]]/(1+Table1[[#This Row],[IRR]])</f>
        <v>#N/A</v>
      </c>
      <c r="AB1482" s="58" t="e">
        <f>VLOOKUP(Table1[[#This Row],[Yield Cluster]],'Cluster Details'!$B$3:$C$16,2,0)</f>
        <v>#N/A</v>
      </c>
      <c r="AC148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2" s="58" t="e">
        <f>IF(Table1[[#This Row],[Ask Price]]&gt;Table1[[#This Row],[Calculated Bond Price]],"Rich","Cheap")</f>
        <v>#N/A</v>
      </c>
      <c r="AE148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2" s="78" t="e">
        <f>(Table1[[#This Row],[P (+ shock)]]+Table1[[#This Row],[P (-shock)]]-2*Table1[[#This Row],[Ask Price]])/(2*Table1[[#This Row],[Ask Price]]*($AF$2^2))</f>
        <v>#N/A</v>
      </c>
      <c r="AH1482">
        <v>11</v>
      </c>
      <c r="AI1482" s="6" t="e">
        <f t="shared" si="93"/>
        <v>#DIV/0!</v>
      </c>
      <c r="AK1482" s="47" t="e">
        <f>RATE(Table1[[#This Row],[Total No. of Coupons]],Table1[[#This Row],[Coupon Amount]],-Table1[[#This Row],[Ask Price]],Table1[[#This Row],[Face value]])</f>
        <v>#N/A</v>
      </c>
      <c r="AL1482" s="27" t="e">
        <f>Table1[[#This Row],[IRR]]*Table1[[#This Row],[Coupon Frequency2]]</f>
        <v>#N/A</v>
      </c>
      <c r="AM1482" s="5" t="e">
        <f t="shared" si="94"/>
        <v>#N/A</v>
      </c>
      <c r="AN1482" t="s">
        <v>64</v>
      </c>
      <c r="AO1482" t="s">
        <v>62</v>
      </c>
      <c r="AP1482" t="str">
        <f t="shared" si="95"/>
        <v/>
      </c>
    </row>
    <row r="1483" spans="4:42" x14ac:dyDescent="0.35">
      <c r="D1483" s="21"/>
      <c r="E1483" s="21"/>
      <c r="L1483" s="22"/>
      <c r="S1483">
        <f t="shared" si="92"/>
        <v>0</v>
      </c>
      <c r="T1483" s="5" t="e" cm="1">
        <f t="array" ref="T148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3" t="e">
        <f>Table1[[#This Row],[Term to Maturity (Years)]]*Table1[[#This Row],[Coupon Frequency2]]</f>
        <v>#N/A</v>
      </c>
      <c r="V1483">
        <f>Table1[[#This Row],[Face value]]*Table1[[#This Row],[Current coupon %]]</f>
        <v>0</v>
      </c>
      <c r="W1483" s="36" t="e">
        <f>RATE(Table1[[#This Row],[Total No. of Coupons]],Table1[[#This Row],[Coupon Amount]],-Table1[[#This Row],[Ask Price]],Table1[[#This Row],[Face value]])</f>
        <v>#N/A</v>
      </c>
      <c r="X1483" s="27" t="e">
        <f>Table1[[#This Row],[IRR]]*Table1[[#This Row],[Coupon Frequency2]]</f>
        <v>#N/A</v>
      </c>
      <c r="Y1483" s="19" t="e" cm="1">
        <f t="array" ref="Y148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3" s="33" t="e">
        <f>DURATION(Table1[[#This Row],[Issue date]],Table1[[#This Row],[Maturity date]],Table1[[#This Row],[Current coupon %]],Table1[[#This Row],[Yield (Annualised)]],Table1[[#This Row],[Coupon Frequency2]])</f>
        <v>#N/A</v>
      </c>
      <c r="AA1483" s="33" t="e">
        <f>Table1[[#This Row],[Macaulay Duration in Years]]/(1+Table1[[#This Row],[IRR]])</f>
        <v>#N/A</v>
      </c>
      <c r="AB1483" s="58" t="e">
        <f>VLOOKUP(Table1[[#This Row],[Yield Cluster]],'Cluster Details'!$B$3:$C$16,2,0)</f>
        <v>#N/A</v>
      </c>
      <c r="AC148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3" s="58" t="e">
        <f>IF(Table1[[#This Row],[Ask Price]]&gt;Table1[[#This Row],[Calculated Bond Price]],"Rich","Cheap")</f>
        <v>#N/A</v>
      </c>
      <c r="AE148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3" s="78" t="e">
        <f>(Table1[[#This Row],[P (+ shock)]]+Table1[[#This Row],[P (-shock)]]-2*Table1[[#This Row],[Ask Price]])/(2*Table1[[#This Row],[Ask Price]]*($AF$2^2))</f>
        <v>#N/A</v>
      </c>
      <c r="AH1483">
        <v>9.8865100788018605</v>
      </c>
      <c r="AI1483" s="6" t="e">
        <f t="shared" si="93"/>
        <v>#DIV/0!</v>
      </c>
      <c r="AK1483" s="47" t="e">
        <f>RATE(Table1[[#This Row],[Total No. of Coupons]],Table1[[#This Row],[Coupon Amount]],-Table1[[#This Row],[Ask Price]],Table1[[#This Row],[Face value]])</f>
        <v>#N/A</v>
      </c>
      <c r="AL1483" s="27" t="e">
        <f>Table1[[#This Row],[IRR]]*Table1[[#This Row],[Coupon Frequency2]]</f>
        <v>#N/A</v>
      </c>
      <c r="AM1483" s="5" t="e">
        <f t="shared" si="94"/>
        <v>#N/A</v>
      </c>
      <c r="AN1483" t="s">
        <v>64</v>
      </c>
      <c r="AO1483" t="s">
        <v>62</v>
      </c>
      <c r="AP1483" t="str">
        <f t="shared" si="95"/>
        <v/>
      </c>
    </row>
    <row r="1484" spans="4:42" x14ac:dyDescent="0.35">
      <c r="D1484" s="21"/>
      <c r="E1484" s="21"/>
      <c r="L1484" s="22"/>
      <c r="S1484">
        <f t="shared" si="92"/>
        <v>0</v>
      </c>
      <c r="T1484" s="5" t="e" cm="1">
        <f t="array" ref="T148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4" t="e">
        <f>Table1[[#This Row],[Term to Maturity (Years)]]*Table1[[#This Row],[Coupon Frequency2]]</f>
        <v>#N/A</v>
      </c>
      <c r="V1484">
        <f>Table1[[#This Row],[Face value]]*Table1[[#This Row],[Current coupon %]]</f>
        <v>0</v>
      </c>
      <c r="W1484" s="36" t="e">
        <f>RATE(Table1[[#This Row],[Total No. of Coupons]],Table1[[#This Row],[Coupon Amount]],-Table1[[#This Row],[Ask Price]],Table1[[#This Row],[Face value]])</f>
        <v>#N/A</v>
      </c>
      <c r="X1484" s="27" t="e">
        <f>Table1[[#This Row],[IRR]]*Table1[[#This Row],[Coupon Frequency2]]</f>
        <v>#N/A</v>
      </c>
      <c r="Y1484" s="19" t="e" cm="1">
        <f t="array" ref="Y148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4" s="33" t="e">
        <f>DURATION(Table1[[#This Row],[Issue date]],Table1[[#This Row],[Maturity date]],Table1[[#This Row],[Current coupon %]],Table1[[#This Row],[Yield (Annualised)]],Table1[[#This Row],[Coupon Frequency2]])</f>
        <v>#N/A</v>
      </c>
      <c r="AA1484" s="33" t="e">
        <f>Table1[[#This Row],[Macaulay Duration in Years]]/(1+Table1[[#This Row],[IRR]])</f>
        <v>#N/A</v>
      </c>
      <c r="AB1484" s="58" t="e">
        <f>VLOOKUP(Table1[[#This Row],[Yield Cluster]],'Cluster Details'!$B$3:$C$16,2,0)</f>
        <v>#N/A</v>
      </c>
      <c r="AC148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4" s="58" t="e">
        <f>IF(Table1[[#This Row],[Ask Price]]&gt;Table1[[#This Row],[Calculated Bond Price]],"Rich","Cheap")</f>
        <v>#N/A</v>
      </c>
      <c r="AE148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4" s="78" t="e">
        <f>(Table1[[#This Row],[P (+ shock)]]+Table1[[#This Row],[P (-shock)]]-2*Table1[[#This Row],[Ask Price]])/(2*Table1[[#This Row],[Ask Price]]*($AF$2^2))</f>
        <v>#N/A</v>
      </c>
      <c r="AH1484">
        <v>9.5068562043237996</v>
      </c>
      <c r="AI1484" s="6" t="e">
        <f t="shared" si="93"/>
        <v>#DIV/0!</v>
      </c>
      <c r="AK1484" s="47" t="e">
        <f>RATE(Table1[[#This Row],[Total No. of Coupons]],Table1[[#This Row],[Coupon Amount]],-Table1[[#This Row],[Ask Price]],Table1[[#This Row],[Face value]])</f>
        <v>#N/A</v>
      </c>
      <c r="AL1484" s="27" t="e">
        <f>Table1[[#This Row],[IRR]]*Table1[[#This Row],[Coupon Frequency2]]</f>
        <v>#N/A</v>
      </c>
      <c r="AM1484" s="5" t="e">
        <f t="shared" si="94"/>
        <v>#N/A</v>
      </c>
      <c r="AN1484" t="s">
        <v>64</v>
      </c>
      <c r="AO1484" t="s">
        <v>62</v>
      </c>
      <c r="AP1484" t="str">
        <f t="shared" si="95"/>
        <v/>
      </c>
    </row>
    <row r="1485" spans="4:42" x14ac:dyDescent="0.35">
      <c r="D1485" s="21"/>
      <c r="E1485" s="21"/>
      <c r="L1485" s="22"/>
      <c r="S1485">
        <f t="shared" si="92"/>
        <v>0</v>
      </c>
      <c r="T1485" s="5" t="e" cm="1">
        <f t="array" ref="T148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5" t="e">
        <f>Table1[[#This Row],[Term to Maturity (Years)]]*Table1[[#This Row],[Coupon Frequency2]]</f>
        <v>#N/A</v>
      </c>
      <c r="V1485">
        <f>Table1[[#This Row],[Face value]]*Table1[[#This Row],[Current coupon %]]</f>
        <v>0</v>
      </c>
      <c r="W1485" s="36" t="e">
        <f>RATE(Table1[[#This Row],[Total No. of Coupons]],Table1[[#This Row],[Coupon Amount]],-Table1[[#This Row],[Ask Price]],Table1[[#This Row],[Face value]])</f>
        <v>#N/A</v>
      </c>
      <c r="X1485" s="27" t="e">
        <f>Table1[[#This Row],[IRR]]*Table1[[#This Row],[Coupon Frequency2]]</f>
        <v>#N/A</v>
      </c>
      <c r="Y1485" s="19" t="e" cm="1">
        <f t="array" ref="Y148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5" s="33" t="e">
        <f>DURATION(Table1[[#This Row],[Issue date]],Table1[[#This Row],[Maturity date]],Table1[[#This Row],[Current coupon %]],Table1[[#This Row],[Yield (Annualised)]],Table1[[#This Row],[Coupon Frequency2]])</f>
        <v>#N/A</v>
      </c>
      <c r="AA1485" s="33" t="e">
        <f>Table1[[#This Row],[Macaulay Duration in Years]]/(1+Table1[[#This Row],[IRR]])</f>
        <v>#N/A</v>
      </c>
      <c r="AB1485" s="58" t="e">
        <f>VLOOKUP(Table1[[#This Row],[Yield Cluster]],'Cluster Details'!$B$3:$C$16,2,0)</f>
        <v>#N/A</v>
      </c>
      <c r="AC148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5" s="58" t="e">
        <f>IF(Table1[[#This Row],[Ask Price]]&gt;Table1[[#This Row],[Calculated Bond Price]],"Rich","Cheap")</f>
        <v>#N/A</v>
      </c>
      <c r="AE148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5" s="78" t="e">
        <f>(Table1[[#This Row],[P (+ shock)]]+Table1[[#This Row],[P (-shock)]]-2*Table1[[#This Row],[Ask Price]])/(2*Table1[[#This Row],[Ask Price]]*($AF$2^2))</f>
        <v>#N/A</v>
      </c>
      <c r="AH1485">
        <v>11.1656004441733</v>
      </c>
      <c r="AI1485" s="6" t="e">
        <f t="shared" si="93"/>
        <v>#DIV/0!</v>
      </c>
      <c r="AK1485" s="47" t="e">
        <f>RATE(Table1[[#This Row],[Total No. of Coupons]],Table1[[#This Row],[Coupon Amount]],-Table1[[#This Row],[Ask Price]],Table1[[#This Row],[Face value]])</f>
        <v>#N/A</v>
      </c>
      <c r="AL1485" s="27" t="e">
        <f>Table1[[#This Row],[IRR]]*Table1[[#This Row],[Coupon Frequency2]]</f>
        <v>#N/A</v>
      </c>
      <c r="AM1485" s="5" t="e">
        <f t="shared" si="94"/>
        <v>#N/A</v>
      </c>
      <c r="AN1485" t="s">
        <v>64</v>
      </c>
      <c r="AO1485" t="s">
        <v>62</v>
      </c>
      <c r="AP1485" t="str">
        <f t="shared" si="95"/>
        <v/>
      </c>
    </row>
    <row r="1486" spans="4:42" x14ac:dyDescent="0.35">
      <c r="D1486" s="21"/>
      <c r="E1486" s="21"/>
      <c r="L1486" s="22"/>
      <c r="S1486">
        <f t="shared" si="92"/>
        <v>0</v>
      </c>
      <c r="T1486" s="5" t="e" cm="1">
        <f t="array" ref="T148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6" t="e">
        <f>Table1[[#This Row],[Term to Maturity (Years)]]*Table1[[#This Row],[Coupon Frequency2]]</f>
        <v>#N/A</v>
      </c>
      <c r="V1486">
        <f>Table1[[#This Row],[Face value]]*Table1[[#This Row],[Current coupon %]]</f>
        <v>0</v>
      </c>
      <c r="W1486" s="36" t="e">
        <f>RATE(Table1[[#This Row],[Total No. of Coupons]],Table1[[#This Row],[Coupon Amount]],-Table1[[#This Row],[Ask Price]],Table1[[#This Row],[Face value]])</f>
        <v>#N/A</v>
      </c>
      <c r="X1486" s="27" t="e">
        <f>Table1[[#This Row],[IRR]]*Table1[[#This Row],[Coupon Frequency2]]</f>
        <v>#N/A</v>
      </c>
      <c r="Y1486" s="19" t="e" cm="1">
        <f t="array" ref="Y148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6" s="33" t="e">
        <f>DURATION(Table1[[#This Row],[Issue date]],Table1[[#This Row],[Maturity date]],Table1[[#This Row],[Current coupon %]],Table1[[#This Row],[Yield (Annualised)]],Table1[[#This Row],[Coupon Frequency2]])</f>
        <v>#N/A</v>
      </c>
      <c r="AA1486" s="33" t="e">
        <f>Table1[[#This Row],[Macaulay Duration in Years]]/(1+Table1[[#This Row],[IRR]])</f>
        <v>#N/A</v>
      </c>
      <c r="AB1486" s="58" t="e">
        <f>VLOOKUP(Table1[[#This Row],[Yield Cluster]],'Cluster Details'!$B$3:$C$16,2,0)</f>
        <v>#N/A</v>
      </c>
      <c r="AC148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6" s="58" t="e">
        <f>IF(Table1[[#This Row],[Ask Price]]&gt;Table1[[#This Row],[Calculated Bond Price]],"Rich","Cheap")</f>
        <v>#N/A</v>
      </c>
      <c r="AE148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6" s="78" t="e">
        <f>(Table1[[#This Row],[P (+ shock)]]+Table1[[#This Row],[P (-shock)]]-2*Table1[[#This Row],[Ask Price]])/(2*Table1[[#This Row],[Ask Price]]*($AF$2^2))</f>
        <v>#N/A</v>
      </c>
      <c r="AH1486">
        <v>6.5790837495869603</v>
      </c>
      <c r="AI1486" s="6" t="e">
        <f t="shared" si="93"/>
        <v>#DIV/0!</v>
      </c>
      <c r="AK1486" s="47" t="e">
        <f>RATE(Table1[[#This Row],[Total No. of Coupons]],Table1[[#This Row],[Coupon Amount]],-Table1[[#This Row],[Ask Price]],Table1[[#This Row],[Face value]])</f>
        <v>#N/A</v>
      </c>
      <c r="AL1486" s="27" t="e">
        <f>Table1[[#This Row],[IRR]]*Table1[[#This Row],[Coupon Frequency2]]</f>
        <v>#N/A</v>
      </c>
      <c r="AM1486" s="5" t="e">
        <f t="shared" si="94"/>
        <v>#N/A</v>
      </c>
      <c r="AN1486" t="s">
        <v>64</v>
      </c>
      <c r="AO1486" t="s">
        <v>62</v>
      </c>
      <c r="AP1486" t="str">
        <f t="shared" si="95"/>
        <v/>
      </c>
    </row>
    <row r="1487" spans="4:42" x14ac:dyDescent="0.35">
      <c r="D1487" s="21"/>
      <c r="E1487" s="21"/>
      <c r="L1487" s="22"/>
      <c r="S1487">
        <f t="shared" si="92"/>
        <v>0</v>
      </c>
      <c r="T1487" s="5" t="e" cm="1">
        <f t="array" ref="T148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7" t="e">
        <f>Table1[[#This Row],[Term to Maturity (Years)]]*Table1[[#This Row],[Coupon Frequency2]]</f>
        <v>#N/A</v>
      </c>
      <c r="V1487">
        <f>Table1[[#This Row],[Face value]]*Table1[[#This Row],[Current coupon %]]</f>
        <v>0</v>
      </c>
      <c r="W1487" s="36" t="e">
        <f>RATE(Table1[[#This Row],[Total No. of Coupons]],Table1[[#This Row],[Coupon Amount]],-Table1[[#This Row],[Ask Price]],Table1[[#This Row],[Face value]])</f>
        <v>#N/A</v>
      </c>
      <c r="X1487" s="27" t="e">
        <f>Table1[[#This Row],[IRR]]*Table1[[#This Row],[Coupon Frequency2]]</f>
        <v>#N/A</v>
      </c>
      <c r="Y1487" s="19" t="e" cm="1">
        <f t="array" ref="Y148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7" s="33" t="e">
        <f>DURATION(Table1[[#This Row],[Issue date]],Table1[[#This Row],[Maturity date]],Table1[[#This Row],[Current coupon %]],Table1[[#This Row],[Yield (Annualised)]],Table1[[#This Row],[Coupon Frequency2]])</f>
        <v>#N/A</v>
      </c>
      <c r="AA1487" s="33" t="e">
        <f>Table1[[#This Row],[Macaulay Duration in Years]]/(1+Table1[[#This Row],[IRR]])</f>
        <v>#N/A</v>
      </c>
      <c r="AB1487" s="58" t="e">
        <f>VLOOKUP(Table1[[#This Row],[Yield Cluster]],'Cluster Details'!$B$3:$C$16,2,0)</f>
        <v>#N/A</v>
      </c>
      <c r="AC148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7" s="58" t="e">
        <f>IF(Table1[[#This Row],[Ask Price]]&gt;Table1[[#This Row],[Calculated Bond Price]],"Rich","Cheap")</f>
        <v>#N/A</v>
      </c>
      <c r="AE148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7" s="78" t="e">
        <f>(Table1[[#This Row],[P (+ shock)]]+Table1[[#This Row],[P (-shock)]]-2*Table1[[#This Row],[Ask Price]])/(2*Table1[[#This Row],[Ask Price]]*($AF$2^2))</f>
        <v>#N/A</v>
      </c>
      <c r="AH1487">
        <v>6.3674018081836401</v>
      </c>
      <c r="AI1487" s="6" t="e">
        <f t="shared" si="93"/>
        <v>#DIV/0!</v>
      </c>
      <c r="AK1487" s="47" t="e">
        <f>RATE(Table1[[#This Row],[Total No. of Coupons]],Table1[[#This Row],[Coupon Amount]],-Table1[[#This Row],[Ask Price]],Table1[[#This Row],[Face value]])</f>
        <v>#N/A</v>
      </c>
      <c r="AL1487" s="27" t="e">
        <f>Table1[[#This Row],[IRR]]*Table1[[#This Row],[Coupon Frequency2]]</f>
        <v>#N/A</v>
      </c>
      <c r="AM1487" s="5" t="e">
        <f t="shared" si="94"/>
        <v>#N/A</v>
      </c>
      <c r="AN1487" t="s">
        <v>69</v>
      </c>
      <c r="AO1487" t="s">
        <v>62</v>
      </c>
      <c r="AP1487" t="str">
        <f t="shared" si="95"/>
        <v/>
      </c>
    </row>
    <row r="1488" spans="4:42" x14ac:dyDescent="0.35">
      <c r="D1488" s="21"/>
      <c r="E1488" s="21"/>
      <c r="L1488" s="22"/>
      <c r="S1488">
        <f t="shared" si="92"/>
        <v>0</v>
      </c>
      <c r="T1488" s="5" t="e" cm="1">
        <f t="array" ref="T148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8" t="e">
        <f>Table1[[#This Row],[Term to Maturity (Years)]]*Table1[[#This Row],[Coupon Frequency2]]</f>
        <v>#N/A</v>
      </c>
      <c r="V1488">
        <f>Table1[[#This Row],[Face value]]*Table1[[#This Row],[Current coupon %]]</f>
        <v>0</v>
      </c>
      <c r="W1488" s="36" t="e">
        <f>RATE(Table1[[#This Row],[Total No. of Coupons]],Table1[[#This Row],[Coupon Amount]],-Table1[[#This Row],[Ask Price]],Table1[[#This Row],[Face value]])</f>
        <v>#N/A</v>
      </c>
      <c r="X1488" s="27" t="e">
        <f>Table1[[#This Row],[IRR]]*Table1[[#This Row],[Coupon Frequency2]]</f>
        <v>#N/A</v>
      </c>
      <c r="Y1488" s="19" t="e" cm="1">
        <f t="array" ref="Y148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8" s="33" t="e">
        <f>DURATION(Table1[[#This Row],[Issue date]],Table1[[#This Row],[Maturity date]],Table1[[#This Row],[Current coupon %]],Table1[[#This Row],[Yield (Annualised)]],Table1[[#This Row],[Coupon Frequency2]])</f>
        <v>#N/A</v>
      </c>
      <c r="AA1488" s="33" t="e">
        <f>Table1[[#This Row],[Macaulay Duration in Years]]/(1+Table1[[#This Row],[IRR]])</f>
        <v>#N/A</v>
      </c>
      <c r="AB1488" s="58" t="e">
        <f>VLOOKUP(Table1[[#This Row],[Yield Cluster]],'Cluster Details'!$B$3:$C$16,2,0)</f>
        <v>#N/A</v>
      </c>
      <c r="AC148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8" s="58" t="e">
        <f>IF(Table1[[#This Row],[Ask Price]]&gt;Table1[[#This Row],[Calculated Bond Price]],"Rich","Cheap")</f>
        <v>#N/A</v>
      </c>
      <c r="AE148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8" s="78" t="e">
        <f>(Table1[[#This Row],[P (+ shock)]]+Table1[[#This Row],[P (-shock)]]-2*Table1[[#This Row],[Ask Price]])/(2*Table1[[#This Row],[Ask Price]]*($AF$2^2))</f>
        <v>#N/A</v>
      </c>
      <c r="AH1488">
        <v>4.3984501300997598</v>
      </c>
      <c r="AI1488" s="6" t="e">
        <f t="shared" si="93"/>
        <v>#DIV/0!</v>
      </c>
      <c r="AK1488" s="47" t="e">
        <f>RATE(Table1[[#This Row],[Total No. of Coupons]],Table1[[#This Row],[Coupon Amount]],-Table1[[#This Row],[Ask Price]],Table1[[#This Row],[Face value]])</f>
        <v>#N/A</v>
      </c>
      <c r="AL1488" s="27" t="e">
        <f>Table1[[#This Row],[IRR]]*Table1[[#This Row],[Coupon Frequency2]]</f>
        <v>#N/A</v>
      </c>
      <c r="AM1488" s="5" t="e">
        <f t="shared" si="94"/>
        <v>#N/A</v>
      </c>
      <c r="AN1488" t="s">
        <v>64</v>
      </c>
      <c r="AO1488" t="s">
        <v>62</v>
      </c>
      <c r="AP1488" t="str">
        <f t="shared" si="95"/>
        <v/>
      </c>
    </row>
    <row r="1489" spans="4:42" x14ac:dyDescent="0.35">
      <c r="D1489" s="21"/>
      <c r="E1489" s="21"/>
      <c r="L1489" s="22"/>
      <c r="S1489">
        <f t="shared" si="92"/>
        <v>0</v>
      </c>
      <c r="T1489" s="5" t="e" cm="1">
        <f t="array" ref="T148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89" t="e">
        <f>Table1[[#This Row],[Term to Maturity (Years)]]*Table1[[#This Row],[Coupon Frequency2]]</f>
        <v>#N/A</v>
      </c>
      <c r="V1489">
        <f>Table1[[#This Row],[Face value]]*Table1[[#This Row],[Current coupon %]]</f>
        <v>0</v>
      </c>
      <c r="W1489" s="36" t="e">
        <f>RATE(Table1[[#This Row],[Total No. of Coupons]],Table1[[#This Row],[Coupon Amount]],-Table1[[#This Row],[Ask Price]],Table1[[#This Row],[Face value]])</f>
        <v>#N/A</v>
      </c>
      <c r="X1489" s="27" t="e">
        <f>Table1[[#This Row],[IRR]]*Table1[[#This Row],[Coupon Frequency2]]</f>
        <v>#N/A</v>
      </c>
      <c r="Y1489" s="19" t="e" cm="1">
        <f t="array" ref="Y148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89" s="33" t="e">
        <f>DURATION(Table1[[#This Row],[Issue date]],Table1[[#This Row],[Maturity date]],Table1[[#This Row],[Current coupon %]],Table1[[#This Row],[Yield (Annualised)]],Table1[[#This Row],[Coupon Frequency2]])</f>
        <v>#N/A</v>
      </c>
      <c r="AA1489" s="33" t="e">
        <f>Table1[[#This Row],[Macaulay Duration in Years]]/(1+Table1[[#This Row],[IRR]])</f>
        <v>#N/A</v>
      </c>
      <c r="AB1489" s="58" t="e">
        <f>VLOOKUP(Table1[[#This Row],[Yield Cluster]],'Cluster Details'!$B$3:$C$16,2,0)</f>
        <v>#N/A</v>
      </c>
      <c r="AC148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89" s="58" t="e">
        <f>IF(Table1[[#This Row],[Ask Price]]&gt;Table1[[#This Row],[Calculated Bond Price]],"Rich","Cheap")</f>
        <v>#N/A</v>
      </c>
      <c r="AE148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8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89" s="78" t="e">
        <f>(Table1[[#This Row],[P (+ shock)]]+Table1[[#This Row],[P (-shock)]]-2*Table1[[#This Row],[Ask Price]])/(2*Table1[[#This Row],[Ask Price]]*($AF$2^2))</f>
        <v>#N/A</v>
      </c>
      <c r="AH1489">
        <v>-1.1087171459020599</v>
      </c>
      <c r="AI1489" s="6" t="e">
        <f t="shared" si="93"/>
        <v>#DIV/0!</v>
      </c>
      <c r="AK1489" s="47" t="e">
        <f>RATE(Table1[[#This Row],[Total No. of Coupons]],Table1[[#This Row],[Coupon Amount]],-Table1[[#This Row],[Ask Price]],Table1[[#This Row],[Face value]])</f>
        <v>#N/A</v>
      </c>
      <c r="AL1489" s="27" t="e">
        <f>Table1[[#This Row],[IRR]]*Table1[[#This Row],[Coupon Frequency2]]</f>
        <v>#N/A</v>
      </c>
      <c r="AM1489" s="5" t="e">
        <f t="shared" si="94"/>
        <v>#N/A</v>
      </c>
      <c r="AN1489" t="s">
        <v>64</v>
      </c>
      <c r="AO1489" t="s">
        <v>62</v>
      </c>
      <c r="AP1489" t="str">
        <f t="shared" si="95"/>
        <v/>
      </c>
    </row>
    <row r="1490" spans="4:42" x14ac:dyDescent="0.35">
      <c r="D1490" s="21"/>
      <c r="E1490" s="21"/>
      <c r="L1490" s="22"/>
      <c r="S1490">
        <f t="shared" si="92"/>
        <v>0</v>
      </c>
      <c r="T1490" s="5" t="e" cm="1">
        <f t="array" ref="T149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0" t="e">
        <f>Table1[[#This Row],[Term to Maturity (Years)]]*Table1[[#This Row],[Coupon Frequency2]]</f>
        <v>#N/A</v>
      </c>
      <c r="V1490">
        <f>Table1[[#This Row],[Face value]]*Table1[[#This Row],[Current coupon %]]</f>
        <v>0</v>
      </c>
      <c r="W1490" s="36" t="e">
        <f>RATE(Table1[[#This Row],[Total No. of Coupons]],Table1[[#This Row],[Coupon Amount]],-Table1[[#This Row],[Ask Price]],Table1[[#This Row],[Face value]])</f>
        <v>#N/A</v>
      </c>
      <c r="X1490" s="27" t="e">
        <f>Table1[[#This Row],[IRR]]*Table1[[#This Row],[Coupon Frequency2]]</f>
        <v>#N/A</v>
      </c>
      <c r="Y1490" s="19" t="e" cm="1">
        <f t="array" ref="Y149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0" s="33" t="e">
        <f>DURATION(Table1[[#This Row],[Issue date]],Table1[[#This Row],[Maturity date]],Table1[[#This Row],[Current coupon %]],Table1[[#This Row],[Yield (Annualised)]],Table1[[#This Row],[Coupon Frequency2]])</f>
        <v>#N/A</v>
      </c>
      <c r="AA1490" s="33" t="e">
        <f>Table1[[#This Row],[Macaulay Duration in Years]]/(1+Table1[[#This Row],[IRR]])</f>
        <v>#N/A</v>
      </c>
      <c r="AB1490" s="58" t="e">
        <f>VLOOKUP(Table1[[#This Row],[Yield Cluster]],'Cluster Details'!$B$3:$C$16,2,0)</f>
        <v>#N/A</v>
      </c>
      <c r="AC149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0" s="58" t="e">
        <f>IF(Table1[[#This Row],[Ask Price]]&gt;Table1[[#This Row],[Calculated Bond Price]],"Rich","Cheap")</f>
        <v>#N/A</v>
      </c>
      <c r="AE149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0" s="78" t="e">
        <f>(Table1[[#This Row],[P (+ shock)]]+Table1[[#This Row],[P (-shock)]]-2*Table1[[#This Row],[Ask Price]])/(2*Table1[[#This Row],[Ask Price]]*($AF$2^2))</f>
        <v>#N/A</v>
      </c>
      <c r="AH1490">
        <v>4.6104030137479004</v>
      </c>
      <c r="AI1490" s="6" t="e">
        <f t="shared" si="93"/>
        <v>#DIV/0!</v>
      </c>
      <c r="AK1490" s="47" t="e">
        <f>RATE(Table1[[#This Row],[Total No. of Coupons]],Table1[[#This Row],[Coupon Amount]],-Table1[[#This Row],[Ask Price]],Table1[[#This Row],[Face value]])</f>
        <v>#N/A</v>
      </c>
      <c r="AL1490" s="27" t="e">
        <f>Table1[[#This Row],[IRR]]*Table1[[#This Row],[Coupon Frequency2]]</f>
        <v>#N/A</v>
      </c>
      <c r="AM1490" s="5" t="e">
        <f t="shared" si="94"/>
        <v>#N/A</v>
      </c>
      <c r="AN1490" t="s">
        <v>64</v>
      </c>
      <c r="AO1490" t="s">
        <v>62</v>
      </c>
      <c r="AP1490" t="str">
        <f t="shared" si="95"/>
        <v/>
      </c>
    </row>
    <row r="1491" spans="4:42" x14ac:dyDescent="0.35">
      <c r="D1491" s="21"/>
      <c r="E1491" s="21"/>
      <c r="L1491" s="22"/>
      <c r="S1491">
        <f t="shared" si="92"/>
        <v>0</v>
      </c>
      <c r="T1491" s="5" t="e" cm="1">
        <f t="array" ref="T149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1" t="e">
        <f>Table1[[#This Row],[Term to Maturity (Years)]]*Table1[[#This Row],[Coupon Frequency2]]</f>
        <v>#N/A</v>
      </c>
      <c r="V1491">
        <f>Table1[[#This Row],[Face value]]*Table1[[#This Row],[Current coupon %]]</f>
        <v>0</v>
      </c>
      <c r="W1491" s="36" t="e">
        <f>RATE(Table1[[#This Row],[Total No. of Coupons]],Table1[[#This Row],[Coupon Amount]],-Table1[[#This Row],[Ask Price]],Table1[[#This Row],[Face value]])</f>
        <v>#N/A</v>
      </c>
      <c r="X1491" s="27" t="e">
        <f>Table1[[#This Row],[IRR]]*Table1[[#This Row],[Coupon Frequency2]]</f>
        <v>#N/A</v>
      </c>
      <c r="Y1491" s="19" t="e" cm="1">
        <f t="array" ref="Y149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1" s="33" t="e">
        <f>DURATION(Table1[[#This Row],[Issue date]],Table1[[#This Row],[Maturity date]],Table1[[#This Row],[Current coupon %]],Table1[[#This Row],[Yield (Annualised)]],Table1[[#This Row],[Coupon Frequency2]])</f>
        <v>#N/A</v>
      </c>
      <c r="AA1491" s="33" t="e">
        <f>Table1[[#This Row],[Macaulay Duration in Years]]/(1+Table1[[#This Row],[IRR]])</f>
        <v>#N/A</v>
      </c>
      <c r="AB1491" s="58" t="e">
        <f>VLOOKUP(Table1[[#This Row],[Yield Cluster]],'Cluster Details'!$B$3:$C$16,2,0)</f>
        <v>#N/A</v>
      </c>
      <c r="AC149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1" s="58" t="e">
        <f>IF(Table1[[#This Row],[Ask Price]]&gt;Table1[[#This Row],[Calculated Bond Price]],"Rich","Cheap")</f>
        <v>#N/A</v>
      </c>
      <c r="AE149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1" s="78" t="e">
        <f>(Table1[[#This Row],[P (+ shock)]]+Table1[[#This Row],[P (-shock)]]-2*Table1[[#This Row],[Ask Price]])/(2*Table1[[#This Row],[Ask Price]]*($AF$2^2))</f>
        <v>#N/A</v>
      </c>
      <c r="AH1491">
        <v>4.87611876280328</v>
      </c>
      <c r="AI1491" s="6" t="e">
        <f t="shared" si="93"/>
        <v>#DIV/0!</v>
      </c>
      <c r="AK1491" s="47" t="e">
        <f>RATE(Table1[[#This Row],[Total No. of Coupons]],Table1[[#This Row],[Coupon Amount]],-Table1[[#This Row],[Ask Price]],Table1[[#This Row],[Face value]])</f>
        <v>#N/A</v>
      </c>
      <c r="AL1491" s="27" t="e">
        <f>Table1[[#This Row],[IRR]]*Table1[[#This Row],[Coupon Frequency2]]</f>
        <v>#N/A</v>
      </c>
      <c r="AM1491" s="5" t="e">
        <f t="shared" si="94"/>
        <v>#N/A</v>
      </c>
      <c r="AN1491" t="s">
        <v>64</v>
      </c>
      <c r="AO1491" t="s">
        <v>62</v>
      </c>
      <c r="AP1491" t="str">
        <f t="shared" si="95"/>
        <v/>
      </c>
    </row>
    <row r="1492" spans="4:42" x14ac:dyDescent="0.35">
      <c r="D1492" s="21"/>
      <c r="E1492" s="21"/>
      <c r="L1492" s="22"/>
      <c r="S1492">
        <f t="shared" si="92"/>
        <v>0</v>
      </c>
      <c r="T1492" s="5" t="e" cm="1">
        <f t="array" ref="T149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2" t="e">
        <f>Table1[[#This Row],[Term to Maturity (Years)]]*Table1[[#This Row],[Coupon Frequency2]]</f>
        <v>#N/A</v>
      </c>
      <c r="V1492">
        <f>Table1[[#This Row],[Face value]]*Table1[[#This Row],[Current coupon %]]</f>
        <v>0</v>
      </c>
      <c r="W1492" s="36" t="e">
        <f>RATE(Table1[[#This Row],[Total No. of Coupons]],Table1[[#This Row],[Coupon Amount]],-Table1[[#This Row],[Ask Price]],Table1[[#This Row],[Face value]])</f>
        <v>#N/A</v>
      </c>
      <c r="X1492" s="27" t="e">
        <f>Table1[[#This Row],[IRR]]*Table1[[#This Row],[Coupon Frequency2]]</f>
        <v>#N/A</v>
      </c>
      <c r="Y1492" s="19" t="e" cm="1">
        <f t="array" ref="Y149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2" s="33" t="e">
        <f>DURATION(Table1[[#This Row],[Issue date]],Table1[[#This Row],[Maturity date]],Table1[[#This Row],[Current coupon %]],Table1[[#This Row],[Yield (Annualised)]],Table1[[#This Row],[Coupon Frequency2]])</f>
        <v>#N/A</v>
      </c>
      <c r="AA1492" s="33" t="e">
        <f>Table1[[#This Row],[Macaulay Duration in Years]]/(1+Table1[[#This Row],[IRR]])</f>
        <v>#N/A</v>
      </c>
      <c r="AB1492" s="58" t="e">
        <f>VLOOKUP(Table1[[#This Row],[Yield Cluster]],'Cluster Details'!$B$3:$C$16,2,0)</f>
        <v>#N/A</v>
      </c>
      <c r="AC149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2" s="58" t="e">
        <f>IF(Table1[[#This Row],[Ask Price]]&gt;Table1[[#This Row],[Calculated Bond Price]],"Rich","Cheap")</f>
        <v>#N/A</v>
      </c>
      <c r="AE149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2" s="78" t="e">
        <f>(Table1[[#This Row],[P (+ shock)]]+Table1[[#This Row],[P (-shock)]]-2*Table1[[#This Row],[Ask Price]])/(2*Table1[[#This Row],[Ask Price]]*($AF$2^2))</f>
        <v>#N/A</v>
      </c>
      <c r="AI1492" s="6" t="e">
        <f t="shared" si="93"/>
        <v>#DIV/0!</v>
      </c>
      <c r="AK1492" s="47" t="e">
        <f>RATE(Table1[[#This Row],[Total No. of Coupons]],Table1[[#This Row],[Coupon Amount]],-Table1[[#This Row],[Ask Price]],Table1[[#This Row],[Face value]])</f>
        <v>#N/A</v>
      </c>
      <c r="AL1492" s="27" t="e">
        <f>Table1[[#This Row],[IRR]]*Table1[[#This Row],[Coupon Frequency2]]</f>
        <v>#N/A</v>
      </c>
      <c r="AM1492" s="5" t="e">
        <f t="shared" si="94"/>
        <v>#N/A</v>
      </c>
      <c r="AN1492" t="s">
        <v>64</v>
      </c>
      <c r="AO1492" t="s">
        <v>62</v>
      </c>
      <c r="AP1492" t="str">
        <f t="shared" si="95"/>
        <v/>
      </c>
    </row>
    <row r="1493" spans="4:42" x14ac:dyDescent="0.35">
      <c r="D1493" s="21"/>
      <c r="E1493" s="21"/>
      <c r="L1493" s="22"/>
      <c r="S1493">
        <f t="shared" si="92"/>
        <v>0</v>
      </c>
      <c r="T1493" s="5" t="e" cm="1">
        <f t="array" ref="T149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3" t="e">
        <f>Table1[[#This Row],[Term to Maturity (Years)]]*Table1[[#This Row],[Coupon Frequency2]]</f>
        <v>#N/A</v>
      </c>
      <c r="V1493">
        <f>Table1[[#This Row],[Face value]]*Table1[[#This Row],[Current coupon %]]</f>
        <v>0</v>
      </c>
      <c r="W1493" s="36" t="e">
        <f>RATE(Table1[[#This Row],[Total No. of Coupons]],Table1[[#This Row],[Coupon Amount]],-Table1[[#This Row],[Ask Price]],Table1[[#This Row],[Face value]])</f>
        <v>#N/A</v>
      </c>
      <c r="X1493" s="27" t="e">
        <f>Table1[[#This Row],[IRR]]*Table1[[#This Row],[Coupon Frequency2]]</f>
        <v>#N/A</v>
      </c>
      <c r="Y1493" s="19" t="e" cm="1">
        <f t="array" ref="Y149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3" s="33" t="e">
        <f>DURATION(Table1[[#This Row],[Issue date]],Table1[[#This Row],[Maturity date]],Table1[[#This Row],[Current coupon %]],Table1[[#This Row],[Yield (Annualised)]],Table1[[#This Row],[Coupon Frequency2]])</f>
        <v>#N/A</v>
      </c>
      <c r="AA1493" s="33" t="e">
        <f>Table1[[#This Row],[Macaulay Duration in Years]]/(1+Table1[[#This Row],[IRR]])</f>
        <v>#N/A</v>
      </c>
      <c r="AB1493" s="58" t="e">
        <f>VLOOKUP(Table1[[#This Row],[Yield Cluster]],'Cluster Details'!$B$3:$C$16,2,0)</f>
        <v>#N/A</v>
      </c>
      <c r="AC149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3" s="58" t="e">
        <f>IF(Table1[[#This Row],[Ask Price]]&gt;Table1[[#This Row],[Calculated Bond Price]],"Rich","Cheap")</f>
        <v>#N/A</v>
      </c>
      <c r="AE149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3" s="78" t="e">
        <f>(Table1[[#This Row],[P (+ shock)]]+Table1[[#This Row],[P (-shock)]]-2*Table1[[#This Row],[Ask Price]])/(2*Table1[[#This Row],[Ask Price]]*($AF$2^2))</f>
        <v>#N/A</v>
      </c>
      <c r="AH1493">
        <v>4.7571460848409597</v>
      </c>
      <c r="AI1493" s="6" t="e">
        <f t="shared" si="93"/>
        <v>#DIV/0!</v>
      </c>
      <c r="AK1493" s="47" t="e">
        <f>RATE(Table1[[#This Row],[Total No. of Coupons]],Table1[[#This Row],[Coupon Amount]],-Table1[[#This Row],[Ask Price]],Table1[[#This Row],[Face value]])</f>
        <v>#N/A</v>
      </c>
      <c r="AL1493" s="27" t="e">
        <f>Table1[[#This Row],[IRR]]*Table1[[#This Row],[Coupon Frequency2]]</f>
        <v>#N/A</v>
      </c>
      <c r="AM1493" s="5" t="e">
        <f t="shared" si="94"/>
        <v>#N/A</v>
      </c>
      <c r="AN1493" t="s">
        <v>64</v>
      </c>
      <c r="AO1493" t="s">
        <v>62</v>
      </c>
      <c r="AP1493" t="str">
        <f t="shared" si="95"/>
        <v/>
      </c>
    </row>
    <row r="1494" spans="4:42" x14ac:dyDescent="0.35">
      <c r="D1494" s="21"/>
      <c r="E1494" s="21"/>
      <c r="L1494" s="22"/>
      <c r="S1494">
        <f t="shared" si="92"/>
        <v>0</v>
      </c>
      <c r="T1494" s="5" t="e" cm="1">
        <f t="array" ref="T149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4" t="e">
        <f>Table1[[#This Row],[Term to Maturity (Years)]]*Table1[[#This Row],[Coupon Frequency2]]</f>
        <v>#N/A</v>
      </c>
      <c r="V1494">
        <f>Table1[[#This Row],[Face value]]*Table1[[#This Row],[Current coupon %]]</f>
        <v>0</v>
      </c>
      <c r="W1494" s="36" t="e">
        <f>RATE(Table1[[#This Row],[Total No. of Coupons]],Table1[[#This Row],[Coupon Amount]],-Table1[[#This Row],[Ask Price]],Table1[[#This Row],[Face value]])</f>
        <v>#N/A</v>
      </c>
      <c r="X1494" s="27" t="e">
        <f>Table1[[#This Row],[IRR]]*Table1[[#This Row],[Coupon Frequency2]]</f>
        <v>#N/A</v>
      </c>
      <c r="Y1494" s="19" t="e" cm="1">
        <f t="array" ref="Y149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4" s="33" t="e">
        <f>DURATION(Table1[[#This Row],[Issue date]],Table1[[#This Row],[Maturity date]],Table1[[#This Row],[Current coupon %]],Table1[[#This Row],[Yield (Annualised)]],Table1[[#This Row],[Coupon Frequency2]])</f>
        <v>#N/A</v>
      </c>
      <c r="AA1494" s="33" t="e">
        <f>Table1[[#This Row],[Macaulay Duration in Years]]/(1+Table1[[#This Row],[IRR]])</f>
        <v>#N/A</v>
      </c>
      <c r="AB1494" s="58" t="e">
        <f>VLOOKUP(Table1[[#This Row],[Yield Cluster]],'Cluster Details'!$B$3:$C$16,2,0)</f>
        <v>#N/A</v>
      </c>
      <c r="AC149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4" s="58" t="e">
        <f>IF(Table1[[#This Row],[Ask Price]]&gt;Table1[[#This Row],[Calculated Bond Price]],"Rich","Cheap")</f>
        <v>#N/A</v>
      </c>
      <c r="AE149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4" s="78" t="e">
        <f>(Table1[[#This Row],[P (+ shock)]]+Table1[[#This Row],[P (-shock)]]-2*Table1[[#This Row],[Ask Price]])/(2*Table1[[#This Row],[Ask Price]]*($AF$2^2))</f>
        <v>#N/A</v>
      </c>
      <c r="AH1494">
        <v>4.7378023073090301</v>
      </c>
      <c r="AI1494" s="6" t="e">
        <f t="shared" si="93"/>
        <v>#DIV/0!</v>
      </c>
      <c r="AK1494" s="47" t="e">
        <f>RATE(Table1[[#This Row],[Total No. of Coupons]],Table1[[#This Row],[Coupon Amount]],-Table1[[#This Row],[Ask Price]],Table1[[#This Row],[Face value]])</f>
        <v>#N/A</v>
      </c>
      <c r="AL1494" s="27" t="e">
        <f>Table1[[#This Row],[IRR]]*Table1[[#This Row],[Coupon Frequency2]]</f>
        <v>#N/A</v>
      </c>
      <c r="AM1494" s="5" t="e">
        <f t="shared" si="94"/>
        <v>#N/A</v>
      </c>
      <c r="AN1494" t="s">
        <v>64</v>
      </c>
      <c r="AO1494" t="s">
        <v>62</v>
      </c>
      <c r="AP1494" t="str">
        <f t="shared" si="95"/>
        <v/>
      </c>
    </row>
    <row r="1495" spans="4:42" x14ac:dyDescent="0.35">
      <c r="D1495" s="21"/>
      <c r="E1495" s="21"/>
      <c r="L1495" s="22"/>
      <c r="S1495">
        <f t="shared" si="92"/>
        <v>0</v>
      </c>
      <c r="T1495" s="5" t="e" cm="1">
        <f t="array" ref="T149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5" t="e">
        <f>Table1[[#This Row],[Term to Maturity (Years)]]*Table1[[#This Row],[Coupon Frequency2]]</f>
        <v>#N/A</v>
      </c>
      <c r="V1495">
        <f>Table1[[#This Row],[Face value]]*Table1[[#This Row],[Current coupon %]]</f>
        <v>0</v>
      </c>
      <c r="W1495" s="36" t="e">
        <f>RATE(Table1[[#This Row],[Total No. of Coupons]],Table1[[#This Row],[Coupon Amount]],-Table1[[#This Row],[Ask Price]],Table1[[#This Row],[Face value]])</f>
        <v>#N/A</v>
      </c>
      <c r="X1495" s="27" t="e">
        <f>Table1[[#This Row],[IRR]]*Table1[[#This Row],[Coupon Frequency2]]</f>
        <v>#N/A</v>
      </c>
      <c r="Y1495" s="19" t="e" cm="1">
        <f t="array" ref="Y149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5" s="33" t="e">
        <f>DURATION(Table1[[#This Row],[Issue date]],Table1[[#This Row],[Maturity date]],Table1[[#This Row],[Current coupon %]],Table1[[#This Row],[Yield (Annualised)]],Table1[[#This Row],[Coupon Frequency2]])</f>
        <v>#N/A</v>
      </c>
      <c r="AA1495" s="33" t="e">
        <f>Table1[[#This Row],[Macaulay Duration in Years]]/(1+Table1[[#This Row],[IRR]])</f>
        <v>#N/A</v>
      </c>
      <c r="AB1495" s="58" t="e">
        <f>VLOOKUP(Table1[[#This Row],[Yield Cluster]],'Cluster Details'!$B$3:$C$16,2,0)</f>
        <v>#N/A</v>
      </c>
      <c r="AC149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5" s="58" t="e">
        <f>IF(Table1[[#This Row],[Ask Price]]&gt;Table1[[#This Row],[Calculated Bond Price]],"Rich","Cheap")</f>
        <v>#N/A</v>
      </c>
      <c r="AE149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5" s="78" t="e">
        <f>(Table1[[#This Row],[P (+ shock)]]+Table1[[#This Row],[P (-shock)]]-2*Table1[[#This Row],[Ask Price]])/(2*Table1[[#This Row],[Ask Price]]*($AF$2^2))</f>
        <v>#N/A</v>
      </c>
      <c r="AH1495">
        <v>2.2087754695847899</v>
      </c>
      <c r="AI1495" s="6" t="e">
        <f t="shared" si="93"/>
        <v>#DIV/0!</v>
      </c>
      <c r="AK1495" s="47" t="e">
        <f>RATE(Table1[[#This Row],[Total No. of Coupons]],Table1[[#This Row],[Coupon Amount]],-Table1[[#This Row],[Ask Price]],Table1[[#This Row],[Face value]])</f>
        <v>#N/A</v>
      </c>
      <c r="AL1495" s="27" t="e">
        <f>Table1[[#This Row],[IRR]]*Table1[[#This Row],[Coupon Frequency2]]</f>
        <v>#N/A</v>
      </c>
      <c r="AM1495" s="5" t="e">
        <f t="shared" si="94"/>
        <v>#N/A</v>
      </c>
      <c r="AN1495" t="s">
        <v>64</v>
      </c>
      <c r="AO1495" t="s">
        <v>62</v>
      </c>
      <c r="AP1495" t="str">
        <f t="shared" si="95"/>
        <v/>
      </c>
    </row>
    <row r="1496" spans="4:42" x14ac:dyDescent="0.35">
      <c r="D1496" s="21"/>
      <c r="E1496" s="21"/>
      <c r="L1496" s="22"/>
      <c r="S1496">
        <f t="shared" si="92"/>
        <v>0</v>
      </c>
      <c r="T1496" s="5" t="e" cm="1">
        <f t="array" ref="T149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6" t="e">
        <f>Table1[[#This Row],[Term to Maturity (Years)]]*Table1[[#This Row],[Coupon Frequency2]]</f>
        <v>#N/A</v>
      </c>
      <c r="V1496">
        <f>Table1[[#This Row],[Face value]]*Table1[[#This Row],[Current coupon %]]</f>
        <v>0</v>
      </c>
      <c r="W1496" s="36" t="e">
        <f>RATE(Table1[[#This Row],[Total No. of Coupons]],Table1[[#This Row],[Coupon Amount]],-Table1[[#This Row],[Ask Price]],Table1[[#This Row],[Face value]])</f>
        <v>#N/A</v>
      </c>
      <c r="X1496" s="27" t="e">
        <f>Table1[[#This Row],[IRR]]*Table1[[#This Row],[Coupon Frequency2]]</f>
        <v>#N/A</v>
      </c>
      <c r="Y1496" s="19" t="e" cm="1">
        <f t="array" ref="Y149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6" s="33" t="e">
        <f>DURATION(Table1[[#This Row],[Issue date]],Table1[[#This Row],[Maturity date]],Table1[[#This Row],[Current coupon %]],Table1[[#This Row],[Yield (Annualised)]],Table1[[#This Row],[Coupon Frequency2]])</f>
        <v>#N/A</v>
      </c>
      <c r="AA1496" s="33" t="e">
        <f>Table1[[#This Row],[Macaulay Duration in Years]]/(1+Table1[[#This Row],[IRR]])</f>
        <v>#N/A</v>
      </c>
      <c r="AB1496" s="58" t="e">
        <f>VLOOKUP(Table1[[#This Row],[Yield Cluster]],'Cluster Details'!$B$3:$C$16,2,0)</f>
        <v>#N/A</v>
      </c>
      <c r="AC149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6" s="58" t="e">
        <f>IF(Table1[[#This Row],[Ask Price]]&gt;Table1[[#This Row],[Calculated Bond Price]],"Rich","Cheap")</f>
        <v>#N/A</v>
      </c>
      <c r="AE149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6" s="78" t="e">
        <f>(Table1[[#This Row],[P (+ shock)]]+Table1[[#This Row],[P (-shock)]]-2*Table1[[#This Row],[Ask Price]])/(2*Table1[[#This Row],[Ask Price]]*($AF$2^2))</f>
        <v>#N/A</v>
      </c>
      <c r="AH1496">
        <v>4.5185918556483697</v>
      </c>
      <c r="AI1496" s="6" t="e">
        <f t="shared" si="93"/>
        <v>#DIV/0!</v>
      </c>
      <c r="AK1496" s="47" t="e">
        <f>RATE(Table1[[#This Row],[Total No. of Coupons]],Table1[[#This Row],[Coupon Amount]],-Table1[[#This Row],[Ask Price]],Table1[[#This Row],[Face value]])</f>
        <v>#N/A</v>
      </c>
      <c r="AL1496" s="27" t="e">
        <f>Table1[[#This Row],[IRR]]*Table1[[#This Row],[Coupon Frequency2]]</f>
        <v>#N/A</v>
      </c>
      <c r="AM1496" s="5" t="e">
        <f t="shared" si="94"/>
        <v>#N/A</v>
      </c>
      <c r="AN1496" t="s">
        <v>64</v>
      </c>
      <c r="AO1496" t="s">
        <v>62</v>
      </c>
      <c r="AP1496" t="str">
        <f t="shared" si="95"/>
        <v/>
      </c>
    </row>
    <row r="1497" spans="4:42" x14ac:dyDescent="0.35">
      <c r="D1497" s="21"/>
      <c r="E1497" s="21"/>
      <c r="L1497" s="22"/>
      <c r="S1497">
        <f t="shared" si="92"/>
        <v>0</v>
      </c>
      <c r="T1497" s="5" t="e" cm="1">
        <f t="array" ref="T149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7" t="e">
        <f>Table1[[#This Row],[Term to Maturity (Years)]]*Table1[[#This Row],[Coupon Frequency2]]</f>
        <v>#N/A</v>
      </c>
      <c r="V1497">
        <f>Table1[[#This Row],[Face value]]*Table1[[#This Row],[Current coupon %]]</f>
        <v>0</v>
      </c>
      <c r="W1497" s="36" t="e">
        <f>RATE(Table1[[#This Row],[Total No. of Coupons]],Table1[[#This Row],[Coupon Amount]],-Table1[[#This Row],[Ask Price]],Table1[[#This Row],[Face value]])</f>
        <v>#N/A</v>
      </c>
      <c r="X1497" s="27" t="e">
        <f>Table1[[#This Row],[IRR]]*Table1[[#This Row],[Coupon Frequency2]]</f>
        <v>#N/A</v>
      </c>
      <c r="Y1497" s="19" t="e" cm="1">
        <f t="array" ref="Y149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7" s="33" t="e">
        <f>DURATION(Table1[[#This Row],[Issue date]],Table1[[#This Row],[Maturity date]],Table1[[#This Row],[Current coupon %]],Table1[[#This Row],[Yield (Annualised)]],Table1[[#This Row],[Coupon Frequency2]])</f>
        <v>#N/A</v>
      </c>
      <c r="AA1497" s="33" t="e">
        <f>Table1[[#This Row],[Macaulay Duration in Years]]/(1+Table1[[#This Row],[IRR]])</f>
        <v>#N/A</v>
      </c>
      <c r="AB1497" s="58" t="e">
        <f>VLOOKUP(Table1[[#This Row],[Yield Cluster]],'Cluster Details'!$B$3:$C$16,2,0)</f>
        <v>#N/A</v>
      </c>
      <c r="AC149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7" s="58" t="e">
        <f>IF(Table1[[#This Row],[Ask Price]]&gt;Table1[[#This Row],[Calculated Bond Price]],"Rich","Cheap")</f>
        <v>#N/A</v>
      </c>
      <c r="AE149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7" s="78" t="e">
        <f>(Table1[[#This Row],[P (+ shock)]]+Table1[[#This Row],[P (-shock)]]-2*Table1[[#This Row],[Ask Price]])/(2*Table1[[#This Row],[Ask Price]]*($AF$2^2))</f>
        <v>#N/A</v>
      </c>
      <c r="AI1497" s="6" t="e">
        <f t="shared" si="93"/>
        <v>#DIV/0!</v>
      </c>
      <c r="AK1497" s="47" t="e">
        <f>RATE(Table1[[#This Row],[Total No. of Coupons]],Table1[[#This Row],[Coupon Amount]],-Table1[[#This Row],[Ask Price]],Table1[[#This Row],[Face value]])</f>
        <v>#N/A</v>
      </c>
      <c r="AL1497" s="27" t="e">
        <f>Table1[[#This Row],[IRR]]*Table1[[#This Row],[Coupon Frequency2]]</f>
        <v>#N/A</v>
      </c>
      <c r="AM1497" s="5" t="e">
        <f t="shared" si="94"/>
        <v>#N/A</v>
      </c>
      <c r="AN1497" t="s">
        <v>64</v>
      </c>
      <c r="AO1497" t="s">
        <v>62</v>
      </c>
      <c r="AP1497" t="str">
        <f t="shared" si="95"/>
        <v/>
      </c>
    </row>
    <row r="1498" spans="4:42" x14ac:dyDescent="0.35">
      <c r="D1498" s="21"/>
      <c r="E1498" s="21"/>
      <c r="L1498" s="22"/>
      <c r="S1498">
        <f t="shared" si="92"/>
        <v>0</v>
      </c>
      <c r="T1498" s="5" t="e" cm="1">
        <f t="array" ref="T149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8" t="e">
        <f>Table1[[#This Row],[Term to Maturity (Years)]]*Table1[[#This Row],[Coupon Frequency2]]</f>
        <v>#N/A</v>
      </c>
      <c r="V1498">
        <f>Table1[[#This Row],[Face value]]*Table1[[#This Row],[Current coupon %]]</f>
        <v>0</v>
      </c>
      <c r="W1498" s="36" t="e">
        <f>RATE(Table1[[#This Row],[Total No. of Coupons]],Table1[[#This Row],[Coupon Amount]],-Table1[[#This Row],[Ask Price]],Table1[[#This Row],[Face value]])</f>
        <v>#N/A</v>
      </c>
      <c r="X1498" s="27" t="e">
        <f>Table1[[#This Row],[IRR]]*Table1[[#This Row],[Coupon Frequency2]]</f>
        <v>#N/A</v>
      </c>
      <c r="Y1498" s="19" t="e" cm="1">
        <f t="array" ref="Y149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8" s="33" t="e">
        <f>DURATION(Table1[[#This Row],[Issue date]],Table1[[#This Row],[Maturity date]],Table1[[#This Row],[Current coupon %]],Table1[[#This Row],[Yield (Annualised)]],Table1[[#This Row],[Coupon Frequency2]])</f>
        <v>#N/A</v>
      </c>
      <c r="AA1498" s="33" t="e">
        <f>Table1[[#This Row],[Macaulay Duration in Years]]/(1+Table1[[#This Row],[IRR]])</f>
        <v>#N/A</v>
      </c>
      <c r="AB1498" s="58" t="e">
        <f>VLOOKUP(Table1[[#This Row],[Yield Cluster]],'Cluster Details'!$B$3:$C$16,2,0)</f>
        <v>#N/A</v>
      </c>
      <c r="AC149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8" s="58" t="e">
        <f>IF(Table1[[#This Row],[Ask Price]]&gt;Table1[[#This Row],[Calculated Bond Price]],"Rich","Cheap")</f>
        <v>#N/A</v>
      </c>
      <c r="AE149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8" s="78" t="e">
        <f>(Table1[[#This Row],[P (+ shock)]]+Table1[[#This Row],[P (-shock)]]-2*Table1[[#This Row],[Ask Price]])/(2*Table1[[#This Row],[Ask Price]]*($AF$2^2))</f>
        <v>#N/A</v>
      </c>
      <c r="AH1498">
        <v>6.6488403178139901</v>
      </c>
      <c r="AI1498" s="6" t="e">
        <f t="shared" si="93"/>
        <v>#DIV/0!</v>
      </c>
      <c r="AK1498" s="47" t="e">
        <f>RATE(Table1[[#This Row],[Total No. of Coupons]],Table1[[#This Row],[Coupon Amount]],-Table1[[#This Row],[Ask Price]],Table1[[#This Row],[Face value]])</f>
        <v>#N/A</v>
      </c>
      <c r="AL1498" s="27" t="e">
        <f>Table1[[#This Row],[IRR]]*Table1[[#This Row],[Coupon Frequency2]]</f>
        <v>#N/A</v>
      </c>
      <c r="AM1498" s="5" t="e">
        <f t="shared" si="94"/>
        <v>#N/A</v>
      </c>
      <c r="AN1498" t="s">
        <v>64</v>
      </c>
      <c r="AO1498" t="s">
        <v>62</v>
      </c>
      <c r="AP1498" t="str">
        <f t="shared" si="95"/>
        <v/>
      </c>
    </row>
    <row r="1499" spans="4:42" x14ac:dyDescent="0.35">
      <c r="D1499" s="21"/>
      <c r="E1499" s="21"/>
      <c r="L1499" s="22"/>
      <c r="S1499">
        <f t="shared" si="92"/>
        <v>0</v>
      </c>
      <c r="T1499" s="5" t="e" cm="1">
        <f t="array" ref="T149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499" t="e">
        <f>Table1[[#This Row],[Term to Maturity (Years)]]*Table1[[#This Row],[Coupon Frequency2]]</f>
        <v>#N/A</v>
      </c>
      <c r="V1499">
        <f>Table1[[#This Row],[Face value]]*Table1[[#This Row],[Current coupon %]]</f>
        <v>0</v>
      </c>
      <c r="W1499" s="36" t="e">
        <f>RATE(Table1[[#This Row],[Total No. of Coupons]],Table1[[#This Row],[Coupon Amount]],-Table1[[#This Row],[Ask Price]],Table1[[#This Row],[Face value]])</f>
        <v>#N/A</v>
      </c>
      <c r="X1499" s="27" t="e">
        <f>Table1[[#This Row],[IRR]]*Table1[[#This Row],[Coupon Frequency2]]</f>
        <v>#N/A</v>
      </c>
      <c r="Y1499" s="19" t="e" cm="1">
        <f t="array" ref="Y149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499" s="33" t="e">
        <f>DURATION(Table1[[#This Row],[Issue date]],Table1[[#This Row],[Maturity date]],Table1[[#This Row],[Current coupon %]],Table1[[#This Row],[Yield (Annualised)]],Table1[[#This Row],[Coupon Frequency2]])</f>
        <v>#N/A</v>
      </c>
      <c r="AA1499" s="33" t="e">
        <f>Table1[[#This Row],[Macaulay Duration in Years]]/(1+Table1[[#This Row],[IRR]])</f>
        <v>#N/A</v>
      </c>
      <c r="AB1499" s="58" t="e">
        <f>VLOOKUP(Table1[[#This Row],[Yield Cluster]],'Cluster Details'!$B$3:$C$16,2,0)</f>
        <v>#N/A</v>
      </c>
      <c r="AC149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499" s="58" t="e">
        <f>IF(Table1[[#This Row],[Ask Price]]&gt;Table1[[#This Row],[Calculated Bond Price]],"Rich","Cheap")</f>
        <v>#N/A</v>
      </c>
      <c r="AE149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49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499" s="78" t="e">
        <f>(Table1[[#This Row],[P (+ shock)]]+Table1[[#This Row],[P (-shock)]]-2*Table1[[#This Row],[Ask Price]])/(2*Table1[[#This Row],[Ask Price]]*($AF$2^2))</f>
        <v>#N/A</v>
      </c>
      <c r="AH1499">
        <v>6.95</v>
      </c>
      <c r="AI1499" s="6" t="e">
        <f t="shared" si="93"/>
        <v>#DIV/0!</v>
      </c>
      <c r="AK1499" s="47" t="e">
        <f>RATE(Table1[[#This Row],[Total No. of Coupons]],Table1[[#This Row],[Coupon Amount]],-Table1[[#This Row],[Ask Price]],Table1[[#This Row],[Face value]])</f>
        <v>#N/A</v>
      </c>
      <c r="AL1499" s="27" t="e">
        <f>Table1[[#This Row],[IRR]]*Table1[[#This Row],[Coupon Frequency2]]</f>
        <v>#N/A</v>
      </c>
      <c r="AM1499" s="5" t="e">
        <f t="shared" si="94"/>
        <v>#N/A</v>
      </c>
      <c r="AN1499" t="s">
        <v>64</v>
      </c>
      <c r="AO1499" t="s">
        <v>62</v>
      </c>
      <c r="AP1499" t="str">
        <f t="shared" si="95"/>
        <v/>
      </c>
    </row>
    <row r="1500" spans="4:42" x14ac:dyDescent="0.35">
      <c r="D1500" s="21"/>
      <c r="E1500" s="21"/>
      <c r="L1500" s="22"/>
      <c r="S1500">
        <f t="shared" si="92"/>
        <v>0</v>
      </c>
      <c r="T1500" s="5" t="e" cm="1">
        <f t="array" ref="T150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0" t="e">
        <f>Table1[[#This Row],[Term to Maturity (Years)]]*Table1[[#This Row],[Coupon Frequency2]]</f>
        <v>#N/A</v>
      </c>
      <c r="V1500">
        <f>Table1[[#This Row],[Face value]]*Table1[[#This Row],[Current coupon %]]</f>
        <v>0</v>
      </c>
      <c r="W1500" s="36" t="e">
        <f>RATE(Table1[[#This Row],[Total No. of Coupons]],Table1[[#This Row],[Coupon Amount]],-Table1[[#This Row],[Ask Price]],Table1[[#This Row],[Face value]])</f>
        <v>#N/A</v>
      </c>
      <c r="X1500" s="27" t="e">
        <f>Table1[[#This Row],[IRR]]*Table1[[#This Row],[Coupon Frequency2]]</f>
        <v>#N/A</v>
      </c>
      <c r="Y1500" s="19" t="e" cm="1">
        <f t="array" ref="Y150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0" s="33" t="e">
        <f>DURATION(Table1[[#This Row],[Issue date]],Table1[[#This Row],[Maturity date]],Table1[[#This Row],[Current coupon %]],Table1[[#This Row],[Yield (Annualised)]],Table1[[#This Row],[Coupon Frequency2]])</f>
        <v>#N/A</v>
      </c>
      <c r="AA1500" s="33" t="e">
        <f>Table1[[#This Row],[Macaulay Duration in Years]]/(1+Table1[[#This Row],[IRR]])</f>
        <v>#N/A</v>
      </c>
      <c r="AB1500" s="58" t="e">
        <f>VLOOKUP(Table1[[#This Row],[Yield Cluster]],'Cluster Details'!$B$3:$C$16,2,0)</f>
        <v>#N/A</v>
      </c>
      <c r="AC150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0" s="58" t="e">
        <f>IF(Table1[[#This Row],[Ask Price]]&gt;Table1[[#This Row],[Calculated Bond Price]],"Rich","Cheap")</f>
        <v>#N/A</v>
      </c>
      <c r="AE150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0" s="78" t="e">
        <f>(Table1[[#This Row],[P (+ shock)]]+Table1[[#This Row],[P (-shock)]]-2*Table1[[#This Row],[Ask Price]])/(2*Table1[[#This Row],[Ask Price]]*($AF$2^2))</f>
        <v>#N/A</v>
      </c>
      <c r="AH1500">
        <v>6.8759999825698701</v>
      </c>
      <c r="AI1500" s="6" t="e">
        <f t="shared" si="93"/>
        <v>#DIV/0!</v>
      </c>
      <c r="AK1500" s="47" t="e">
        <f>RATE(Table1[[#This Row],[Total No. of Coupons]],Table1[[#This Row],[Coupon Amount]],-Table1[[#This Row],[Ask Price]],Table1[[#This Row],[Face value]])</f>
        <v>#N/A</v>
      </c>
      <c r="AL1500" s="27" t="e">
        <f>Table1[[#This Row],[IRR]]*Table1[[#This Row],[Coupon Frequency2]]</f>
        <v>#N/A</v>
      </c>
      <c r="AM1500" s="5" t="e">
        <f t="shared" si="94"/>
        <v>#N/A</v>
      </c>
      <c r="AN1500" t="s">
        <v>64</v>
      </c>
      <c r="AO1500" t="s">
        <v>62</v>
      </c>
      <c r="AP1500" t="str">
        <f t="shared" si="95"/>
        <v/>
      </c>
    </row>
    <row r="1501" spans="4:42" x14ac:dyDescent="0.35">
      <c r="D1501" s="21"/>
      <c r="E1501" s="21"/>
      <c r="L1501" s="22"/>
      <c r="S1501">
        <f t="shared" si="92"/>
        <v>0</v>
      </c>
      <c r="T1501" s="5" t="e" cm="1">
        <f t="array" ref="T150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1" t="e">
        <f>Table1[[#This Row],[Term to Maturity (Years)]]*Table1[[#This Row],[Coupon Frequency2]]</f>
        <v>#N/A</v>
      </c>
      <c r="V1501">
        <f>Table1[[#This Row],[Face value]]*Table1[[#This Row],[Current coupon %]]</f>
        <v>0</v>
      </c>
      <c r="W1501" s="36" t="e">
        <f>RATE(Table1[[#This Row],[Total No. of Coupons]],Table1[[#This Row],[Coupon Amount]],-Table1[[#This Row],[Ask Price]],Table1[[#This Row],[Face value]])</f>
        <v>#N/A</v>
      </c>
      <c r="X1501" s="27" t="e">
        <f>Table1[[#This Row],[IRR]]*Table1[[#This Row],[Coupon Frequency2]]</f>
        <v>#N/A</v>
      </c>
      <c r="Y1501" s="19" t="e" cm="1">
        <f t="array" ref="Y150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1" s="33" t="e">
        <f>DURATION(Table1[[#This Row],[Issue date]],Table1[[#This Row],[Maturity date]],Table1[[#This Row],[Current coupon %]],Table1[[#This Row],[Yield (Annualised)]],Table1[[#This Row],[Coupon Frequency2]])</f>
        <v>#N/A</v>
      </c>
      <c r="AA1501" s="33" t="e">
        <f>Table1[[#This Row],[Macaulay Duration in Years]]/(1+Table1[[#This Row],[IRR]])</f>
        <v>#N/A</v>
      </c>
      <c r="AB1501" s="58" t="e">
        <f>VLOOKUP(Table1[[#This Row],[Yield Cluster]],'Cluster Details'!$B$3:$C$16,2,0)</f>
        <v>#N/A</v>
      </c>
      <c r="AC150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1" s="58" t="e">
        <f>IF(Table1[[#This Row],[Ask Price]]&gt;Table1[[#This Row],[Calculated Bond Price]],"Rich","Cheap")</f>
        <v>#N/A</v>
      </c>
      <c r="AE150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1" s="78" t="e">
        <f>(Table1[[#This Row],[P (+ shock)]]+Table1[[#This Row],[P (-shock)]]-2*Table1[[#This Row],[Ask Price]])/(2*Table1[[#This Row],[Ask Price]]*($AF$2^2))</f>
        <v>#N/A</v>
      </c>
      <c r="AI1501" s="6" t="e">
        <f t="shared" si="93"/>
        <v>#DIV/0!</v>
      </c>
      <c r="AK1501" s="47" t="e">
        <f>RATE(Table1[[#This Row],[Total No. of Coupons]],Table1[[#This Row],[Coupon Amount]],-Table1[[#This Row],[Ask Price]],Table1[[#This Row],[Face value]])</f>
        <v>#N/A</v>
      </c>
      <c r="AL1501" s="27" t="e">
        <f>Table1[[#This Row],[IRR]]*Table1[[#This Row],[Coupon Frequency2]]</f>
        <v>#N/A</v>
      </c>
      <c r="AM1501" s="5" t="e">
        <f t="shared" si="94"/>
        <v>#N/A</v>
      </c>
      <c r="AN1501" t="s">
        <v>69</v>
      </c>
      <c r="AO1501" t="s">
        <v>62</v>
      </c>
      <c r="AP1501" t="str">
        <f t="shared" si="95"/>
        <v/>
      </c>
    </row>
    <row r="1502" spans="4:42" x14ac:dyDescent="0.35">
      <c r="D1502" s="21"/>
      <c r="E1502" s="21"/>
      <c r="L1502" s="22"/>
      <c r="S1502">
        <f t="shared" si="92"/>
        <v>0</v>
      </c>
      <c r="T1502" s="5" t="e" cm="1">
        <f t="array" ref="T150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2" t="e">
        <f>Table1[[#This Row],[Term to Maturity (Years)]]*Table1[[#This Row],[Coupon Frequency2]]</f>
        <v>#N/A</v>
      </c>
      <c r="V1502">
        <f>Table1[[#This Row],[Face value]]*Table1[[#This Row],[Current coupon %]]</f>
        <v>0</v>
      </c>
      <c r="W1502" s="36" t="e">
        <f>RATE(Table1[[#This Row],[Total No. of Coupons]],Table1[[#This Row],[Coupon Amount]],-Table1[[#This Row],[Ask Price]],Table1[[#This Row],[Face value]])</f>
        <v>#N/A</v>
      </c>
      <c r="X1502" s="27" t="e">
        <f>Table1[[#This Row],[IRR]]*Table1[[#This Row],[Coupon Frequency2]]</f>
        <v>#N/A</v>
      </c>
      <c r="Y1502" s="19" t="e" cm="1">
        <f t="array" ref="Y150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2" s="33" t="e">
        <f>DURATION(Table1[[#This Row],[Issue date]],Table1[[#This Row],[Maturity date]],Table1[[#This Row],[Current coupon %]],Table1[[#This Row],[Yield (Annualised)]],Table1[[#This Row],[Coupon Frequency2]])</f>
        <v>#N/A</v>
      </c>
      <c r="AA1502" s="33" t="e">
        <f>Table1[[#This Row],[Macaulay Duration in Years]]/(1+Table1[[#This Row],[IRR]])</f>
        <v>#N/A</v>
      </c>
      <c r="AB1502" s="58" t="e">
        <f>VLOOKUP(Table1[[#This Row],[Yield Cluster]],'Cluster Details'!$B$3:$C$16,2,0)</f>
        <v>#N/A</v>
      </c>
      <c r="AC150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2" s="58" t="e">
        <f>IF(Table1[[#This Row],[Ask Price]]&gt;Table1[[#This Row],[Calculated Bond Price]],"Rich","Cheap")</f>
        <v>#N/A</v>
      </c>
      <c r="AE150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2" s="78" t="e">
        <f>(Table1[[#This Row],[P (+ shock)]]+Table1[[#This Row],[P (-shock)]]-2*Table1[[#This Row],[Ask Price]])/(2*Table1[[#This Row],[Ask Price]]*($AF$2^2))</f>
        <v>#N/A</v>
      </c>
      <c r="AI1502" s="6" t="e">
        <f t="shared" si="93"/>
        <v>#DIV/0!</v>
      </c>
      <c r="AK1502" s="47" t="e">
        <f>RATE(Table1[[#This Row],[Total No. of Coupons]],Table1[[#This Row],[Coupon Amount]],-Table1[[#This Row],[Ask Price]],Table1[[#This Row],[Face value]])</f>
        <v>#N/A</v>
      </c>
      <c r="AL1502" s="27" t="e">
        <f>Table1[[#This Row],[IRR]]*Table1[[#This Row],[Coupon Frequency2]]</f>
        <v>#N/A</v>
      </c>
      <c r="AM1502" s="5" t="e">
        <f t="shared" si="94"/>
        <v>#N/A</v>
      </c>
      <c r="AN1502" t="s">
        <v>69</v>
      </c>
      <c r="AO1502" t="s">
        <v>62</v>
      </c>
      <c r="AP1502" t="str">
        <f t="shared" si="95"/>
        <v/>
      </c>
    </row>
    <row r="1503" spans="4:42" x14ac:dyDescent="0.35">
      <c r="D1503" s="21"/>
      <c r="E1503" s="21"/>
      <c r="L1503" s="22"/>
      <c r="S1503">
        <f t="shared" si="92"/>
        <v>0</v>
      </c>
      <c r="T1503" s="5" t="e" cm="1">
        <f t="array" ref="T150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3" t="e">
        <f>Table1[[#This Row],[Term to Maturity (Years)]]*Table1[[#This Row],[Coupon Frequency2]]</f>
        <v>#N/A</v>
      </c>
      <c r="V1503">
        <f>Table1[[#This Row],[Face value]]*Table1[[#This Row],[Current coupon %]]</f>
        <v>0</v>
      </c>
      <c r="W1503" s="36" t="e">
        <f>RATE(Table1[[#This Row],[Total No. of Coupons]],Table1[[#This Row],[Coupon Amount]],-Table1[[#This Row],[Ask Price]],Table1[[#This Row],[Face value]])</f>
        <v>#N/A</v>
      </c>
      <c r="X1503" s="27" t="e">
        <f>Table1[[#This Row],[IRR]]*Table1[[#This Row],[Coupon Frequency2]]</f>
        <v>#N/A</v>
      </c>
      <c r="Y1503" s="19" t="e" cm="1">
        <f t="array" ref="Y150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3" s="33" t="e">
        <f>DURATION(Table1[[#This Row],[Issue date]],Table1[[#This Row],[Maturity date]],Table1[[#This Row],[Current coupon %]],Table1[[#This Row],[Yield (Annualised)]],Table1[[#This Row],[Coupon Frequency2]])</f>
        <v>#N/A</v>
      </c>
      <c r="AA1503" s="33" t="e">
        <f>Table1[[#This Row],[Macaulay Duration in Years]]/(1+Table1[[#This Row],[IRR]])</f>
        <v>#N/A</v>
      </c>
      <c r="AB1503" s="58" t="e">
        <f>VLOOKUP(Table1[[#This Row],[Yield Cluster]],'Cluster Details'!$B$3:$C$16,2,0)</f>
        <v>#N/A</v>
      </c>
      <c r="AC150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3" s="58" t="e">
        <f>IF(Table1[[#This Row],[Ask Price]]&gt;Table1[[#This Row],[Calculated Bond Price]],"Rich","Cheap")</f>
        <v>#N/A</v>
      </c>
      <c r="AE150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3" s="78" t="e">
        <f>(Table1[[#This Row],[P (+ shock)]]+Table1[[#This Row],[P (-shock)]]-2*Table1[[#This Row],[Ask Price]])/(2*Table1[[#This Row],[Ask Price]]*($AF$2^2))</f>
        <v>#N/A</v>
      </c>
      <c r="AH1503">
        <v>8.5211654379507902</v>
      </c>
      <c r="AI1503" s="6" t="e">
        <f t="shared" si="93"/>
        <v>#DIV/0!</v>
      </c>
      <c r="AK1503" s="47" t="e">
        <f>RATE(Table1[[#This Row],[Total No. of Coupons]],Table1[[#This Row],[Coupon Amount]],-Table1[[#This Row],[Ask Price]],Table1[[#This Row],[Face value]])</f>
        <v>#N/A</v>
      </c>
      <c r="AL1503" s="27" t="e">
        <f>Table1[[#This Row],[IRR]]*Table1[[#This Row],[Coupon Frequency2]]</f>
        <v>#N/A</v>
      </c>
      <c r="AM1503" s="5" t="e">
        <f t="shared" si="94"/>
        <v>#N/A</v>
      </c>
      <c r="AN1503" t="s">
        <v>64</v>
      </c>
      <c r="AO1503" t="s">
        <v>62</v>
      </c>
      <c r="AP1503" t="str">
        <f t="shared" si="95"/>
        <v/>
      </c>
    </row>
    <row r="1504" spans="4:42" x14ac:dyDescent="0.35">
      <c r="D1504" s="21"/>
      <c r="E1504" s="21"/>
      <c r="L1504" s="22"/>
      <c r="S1504">
        <f t="shared" si="92"/>
        <v>0</v>
      </c>
      <c r="T1504" s="5" t="e" cm="1">
        <f t="array" ref="T150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4" t="e">
        <f>Table1[[#This Row],[Term to Maturity (Years)]]*Table1[[#This Row],[Coupon Frequency2]]</f>
        <v>#N/A</v>
      </c>
      <c r="V1504">
        <f>Table1[[#This Row],[Face value]]*Table1[[#This Row],[Current coupon %]]</f>
        <v>0</v>
      </c>
      <c r="W1504" s="36" t="e">
        <f>RATE(Table1[[#This Row],[Total No. of Coupons]],Table1[[#This Row],[Coupon Amount]],-Table1[[#This Row],[Ask Price]],Table1[[#This Row],[Face value]])</f>
        <v>#N/A</v>
      </c>
      <c r="X1504" s="27" t="e">
        <f>Table1[[#This Row],[IRR]]*Table1[[#This Row],[Coupon Frequency2]]</f>
        <v>#N/A</v>
      </c>
      <c r="Y1504" s="19" t="e" cm="1">
        <f t="array" ref="Y150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4" s="33" t="e">
        <f>DURATION(Table1[[#This Row],[Issue date]],Table1[[#This Row],[Maturity date]],Table1[[#This Row],[Current coupon %]],Table1[[#This Row],[Yield (Annualised)]],Table1[[#This Row],[Coupon Frequency2]])</f>
        <v>#N/A</v>
      </c>
      <c r="AA1504" s="33" t="e">
        <f>Table1[[#This Row],[Macaulay Duration in Years]]/(1+Table1[[#This Row],[IRR]])</f>
        <v>#N/A</v>
      </c>
      <c r="AB1504" s="58" t="e">
        <f>VLOOKUP(Table1[[#This Row],[Yield Cluster]],'Cluster Details'!$B$3:$C$16,2,0)</f>
        <v>#N/A</v>
      </c>
      <c r="AC150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4" s="58" t="e">
        <f>IF(Table1[[#This Row],[Ask Price]]&gt;Table1[[#This Row],[Calculated Bond Price]],"Rich","Cheap")</f>
        <v>#N/A</v>
      </c>
      <c r="AE150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4" s="78" t="e">
        <f>(Table1[[#This Row],[P (+ shock)]]+Table1[[#This Row],[P (-shock)]]-2*Table1[[#This Row],[Ask Price]])/(2*Table1[[#This Row],[Ask Price]]*($AF$2^2))</f>
        <v>#N/A</v>
      </c>
      <c r="AH1504">
        <v>7.2370930591938301</v>
      </c>
      <c r="AI1504" s="6" t="e">
        <f t="shared" si="93"/>
        <v>#DIV/0!</v>
      </c>
      <c r="AK1504" s="47" t="e">
        <f>RATE(Table1[[#This Row],[Total No. of Coupons]],Table1[[#This Row],[Coupon Amount]],-Table1[[#This Row],[Ask Price]],Table1[[#This Row],[Face value]])</f>
        <v>#N/A</v>
      </c>
      <c r="AL1504" s="27" t="e">
        <f>Table1[[#This Row],[IRR]]*Table1[[#This Row],[Coupon Frequency2]]</f>
        <v>#N/A</v>
      </c>
      <c r="AM1504" s="5" t="e">
        <f t="shared" si="94"/>
        <v>#N/A</v>
      </c>
      <c r="AN1504" t="s">
        <v>64</v>
      </c>
      <c r="AO1504" t="s">
        <v>62</v>
      </c>
      <c r="AP1504" t="str">
        <f t="shared" si="95"/>
        <v/>
      </c>
    </row>
    <row r="1505" spans="4:42" x14ac:dyDescent="0.35">
      <c r="D1505" s="21"/>
      <c r="E1505" s="21"/>
      <c r="L1505" s="22"/>
      <c r="S1505">
        <f t="shared" si="92"/>
        <v>0</v>
      </c>
      <c r="T1505" s="5" t="e" cm="1">
        <f t="array" ref="T150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5" t="e">
        <f>Table1[[#This Row],[Term to Maturity (Years)]]*Table1[[#This Row],[Coupon Frequency2]]</f>
        <v>#N/A</v>
      </c>
      <c r="V1505">
        <f>Table1[[#This Row],[Face value]]*Table1[[#This Row],[Current coupon %]]</f>
        <v>0</v>
      </c>
      <c r="W1505" s="36" t="e">
        <f>RATE(Table1[[#This Row],[Total No. of Coupons]],Table1[[#This Row],[Coupon Amount]],-Table1[[#This Row],[Ask Price]],Table1[[#This Row],[Face value]])</f>
        <v>#N/A</v>
      </c>
      <c r="X1505" s="27" t="e">
        <f>Table1[[#This Row],[IRR]]*Table1[[#This Row],[Coupon Frequency2]]</f>
        <v>#N/A</v>
      </c>
      <c r="Y1505" s="19" t="e" cm="1">
        <f t="array" ref="Y150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5" s="33" t="e">
        <f>DURATION(Table1[[#This Row],[Issue date]],Table1[[#This Row],[Maturity date]],Table1[[#This Row],[Current coupon %]],Table1[[#This Row],[Yield (Annualised)]],Table1[[#This Row],[Coupon Frequency2]])</f>
        <v>#N/A</v>
      </c>
      <c r="AA1505" s="33" t="e">
        <f>Table1[[#This Row],[Macaulay Duration in Years]]/(1+Table1[[#This Row],[IRR]])</f>
        <v>#N/A</v>
      </c>
      <c r="AB1505" s="58" t="e">
        <f>VLOOKUP(Table1[[#This Row],[Yield Cluster]],'Cluster Details'!$B$3:$C$16,2,0)</f>
        <v>#N/A</v>
      </c>
      <c r="AC150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5" s="58" t="e">
        <f>IF(Table1[[#This Row],[Ask Price]]&gt;Table1[[#This Row],[Calculated Bond Price]],"Rich","Cheap")</f>
        <v>#N/A</v>
      </c>
      <c r="AE150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5" s="78" t="e">
        <f>(Table1[[#This Row],[P (+ shock)]]+Table1[[#This Row],[P (-shock)]]-2*Table1[[#This Row],[Ask Price]])/(2*Table1[[#This Row],[Ask Price]]*($AF$2^2))</f>
        <v>#N/A</v>
      </c>
      <c r="AI1505" s="6" t="e">
        <f t="shared" si="93"/>
        <v>#DIV/0!</v>
      </c>
      <c r="AK1505" s="47" t="e">
        <f>RATE(Table1[[#This Row],[Total No. of Coupons]],Table1[[#This Row],[Coupon Amount]],-Table1[[#This Row],[Ask Price]],Table1[[#This Row],[Face value]])</f>
        <v>#N/A</v>
      </c>
      <c r="AL1505" s="27" t="e">
        <f>Table1[[#This Row],[IRR]]*Table1[[#This Row],[Coupon Frequency2]]</f>
        <v>#N/A</v>
      </c>
      <c r="AM1505" s="5" t="e">
        <f t="shared" si="94"/>
        <v>#N/A</v>
      </c>
      <c r="AN1505" t="s">
        <v>69</v>
      </c>
      <c r="AO1505" t="s">
        <v>62</v>
      </c>
      <c r="AP1505" t="str">
        <f t="shared" si="95"/>
        <v/>
      </c>
    </row>
    <row r="1506" spans="4:42" x14ac:dyDescent="0.35">
      <c r="D1506" s="21"/>
      <c r="E1506" s="21"/>
      <c r="L1506" s="22"/>
      <c r="S1506">
        <f t="shared" si="92"/>
        <v>0</v>
      </c>
      <c r="T1506" s="5" t="e" cm="1">
        <f t="array" ref="T150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6" t="e">
        <f>Table1[[#This Row],[Term to Maturity (Years)]]*Table1[[#This Row],[Coupon Frequency2]]</f>
        <v>#N/A</v>
      </c>
      <c r="V1506">
        <f>Table1[[#This Row],[Face value]]*Table1[[#This Row],[Current coupon %]]</f>
        <v>0</v>
      </c>
      <c r="W1506" s="36" t="e">
        <f>RATE(Table1[[#This Row],[Total No. of Coupons]],Table1[[#This Row],[Coupon Amount]],-Table1[[#This Row],[Ask Price]],Table1[[#This Row],[Face value]])</f>
        <v>#N/A</v>
      </c>
      <c r="X1506" s="27" t="e">
        <f>Table1[[#This Row],[IRR]]*Table1[[#This Row],[Coupon Frequency2]]</f>
        <v>#N/A</v>
      </c>
      <c r="Y1506" s="19" t="e" cm="1">
        <f t="array" ref="Y150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6" s="33" t="e">
        <f>DURATION(Table1[[#This Row],[Issue date]],Table1[[#This Row],[Maturity date]],Table1[[#This Row],[Current coupon %]],Table1[[#This Row],[Yield (Annualised)]],Table1[[#This Row],[Coupon Frequency2]])</f>
        <v>#N/A</v>
      </c>
      <c r="AA1506" s="33" t="e">
        <f>Table1[[#This Row],[Macaulay Duration in Years]]/(1+Table1[[#This Row],[IRR]])</f>
        <v>#N/A</v>
      </c>
      <c r="AB1506" s="58" t="e">
        <f>VLOOKUP(Table1[[#This Row],[Yield Cluster]],'Cluster Details'!$B$3:$C$16,2,0)</f>
        <v>#N/A</v>
      </c>
      <c r="AC150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6" s="58" t="e">
        <f>IF(Table1[[#This Row],[Ask Price]]&gt;Table1[[#This Row],[Calculated Bond Price]],"Rich","Cheap")</f>
        <v>#N/A</v>
      </c>
      <c r="AE150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6" s="78" t="e">
        <f>(Table1[[#This Row],[P (+ shock)]]+Table1[[#This Row],[P (-shock)]]-2*Table1[[#This Row],[Ask Price]])/(2*Table1[[#This Row],[Ask Price]]*($AF$2^2))</f>
        <v>#N/A</v>
      </c>
      <c r="AI1506" s="6" t="e">
        <f t="shared" si="93"/>
        <v>#DIV/0!</v>
      </c>
      <c r="AK1506" s="47" t="e">
        <f>RATE(Table1[[#This Row],[Total No. of Coupons]],Table1[[#This Row],[Coupon Amount]],-Table1[[#This Row],[Ask Price]],Table1[[#This Row],[Face value]])</f>
        <v>#N/A</v>
      </c>
      <c r="AL1506" s="27" t="e">
        <f>Table1[[#This Row],[IRR]]*Table1[[#This Row],[Coupon Frequency2]]</f>
        <v>#N/A</v>
      </c>
      <c r="AM1506" s="5" t="e">
        <f t="shared" si="94"/>
        <v>#N/A</v>
      </c>
      <c r="AN1506" t="s">
        <v>69</v>
      </c>
      <c r="AO1506" t="s">
        <v>62</v>
      </c>
      <c r="AP1506" t="str">
        <f t="shared" si="95"/>
        <v/>
      </c>
    </row>
    <row r="1507" spans="4:42" x14ac:dyDescent="0.35">
      <c r="D1507" s="21"/>
      <c r="E1507" s="21"/>
      <c r="L1507" s="22"/>
      <c r="S1507">
        <f t="shared" si="92"/>
        <v>0</v>
      </c>
      <c r="T1507" s="5" t="e" cm="1">
        <f t="array" ref="T150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7" t="e">
        <f>Table1[[#This Row],[Term to Maturity (Years)]]*Table1[[#This Row],[Coupon Frequency2]]</f>
        <v>#N/A</v>
      </c>
      <c r="V1507">
        <f>Table1[[#This Row],[Face value]]*Table1[[#This Row],[Current coupon %]]</f>
        <v>0</v>
      </c>
      <c r="W1507" s="36" t="e">
        <f>RATE(Table1[[#This Row],[Total No. of Coupons]],Table1[[#This Row],[Coupon Amount]],-Table1[[#This Row],[Ask Price]],Table1[[#This Row],[Face value]])</f>
        <v>#N/A</v>
      </c>
      <c r="X1507" s="27" t="e">
        <f>Table1[[#This Row],[IRR]]*Table1[[#This Row],[Coupon Frequency2]]</f>
        <v>#N/A</v>
      </c>
      <c r="Y1507" s="19" t="e" cm="1">
        <f t="array" ref="Y150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7" s="33" t="e">
        <f>DURATION(Table1[[#This Row],[Issue date]],Table1[[#This Row],[Maturity date]],Table1[[#This Row],[Current coupon %]],Table1[[#This Row],[Yield (Annualised)]],Table1[[#This Row],[Coupon Frequency2]])</f>
        <v>#N/A</v>
      </c>
      <c r="AA1507" s="33" t="e">
        <f>Table1[[#This Row],[Macaulay Duration in Years]]/(1+Table1[[#This Row],[IRR]])</f>
        <v>#N/A</v>
      </c>
      <c r="AB1507" s="58" t="e">
        <f>VLOOKUP(Table1[[#This Row],[Yield Cluster]],'Cluster Details'!$B$3:$C$16,2,0)</f>
        <v>#N/A</v>
      </c>
      <c r="AC150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7" s="58" t="e">
        <f>IF(Table1[[#This Row],[Ask Price]]&gt;Table1[[#This Row],[Calculated Bond Price]],"Rich","Cheap")</f>
        <v>#N/A</v>
      </c>
      <c r="AE150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7" s="78" t="e">
        <f>(Table1[[#This Row],[P (+ shock)]]+Table1[[#This Row],[P (-shock)]]-2*Table1[[#This Row],[Ask Price]])/(2*Table1[[#This Row],[Ask Price]]*($AF$2^2))</f>
        <v>#N/A</v>
      </c>
      <c r="AI1507" s="6" t="e">
        <f t="shared" si="93"/>
        <v>#DIV/0!</v>
      </c>
      <c r="AK1507" s="47" t="e">
        <f>RATE(Table1[[#This Row],[Total No. of Coupons]],Table1[[#This Row],[Coupon Amount]],-Table1[[#This Row],[Ask Price]],Table1[[#This Row],[Face value]])</f>
        <v>#N/A</v>
      </c>
      <c r="AL1507" s="27" t="e">
        <f>Table1[[#This Row],[IRR]]*Table1[[#This Row],[Coupon Frequency2]]</f>
        <v>#N/A</v>
      </c>
      <c r="AM1507" s="5" t="e">
        <f t="shared" si="94"/>
        <v>#N/A</v>
      </c>
      <c r="AN1507" t="s">
        <v>69</v>
      </c>
      <c r="AO1507" t="s">
        <v>62</v>
      </c>
      <c r="AP1507" t="str">
        <f t="shared" si="95"/>
        <v/>
      </c>
    </row>
    <row r="1508" spans="4:42" x14ac:dyDescent="0.35">
      <c r="D1508" s="21"/>
      <c r="E1508" s="21"/>
      <c r="L1508" s="22"/>
      <c r="S1508">
        <f t="shared" si="92"/>
        <v>0</v>
      </c>
      <c r="T1508" s="5" t="e" cm="1">
        <f t="array" ref="T150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8" t="e">
        <f>Table1[[#This Row],[Term to Maturity (Years)]]*Table1[[#This Row],[Coupon Frequency2]]</f>
        <v>#N/A</v>
      </c>
      <c r="V1508">
        <f>Table1[[#This Row],[Face value]]*Table1[[#This Row],[Current coupon %]]</f>
        <v>0</v>
      </c>
      <c r="W1508" s="36" t="e">
        <f>RATE(Table1[[#This Row],[Total No. of Coupons]],Table1[[#This Row],[Coupon Amount]],-Table1[[#This Row],[Ask Price]],Table1[[#This Row],[Face value]])</f>
        <v>#N/A</v>
      </c>
      <c r="X1508" s="27" t="e">
        <f>Table1[[#This Row],[IRR]]*Table1[[#This Row],[Coupon Frequency2]]</f>
        <v>#N/A</v>
      </c>
      <c r="Y1508" s="19" t="e" cm="1">
        <f t="array" ref="Y150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8" s="33" t="e">
        <f>DURATION(Table1[[#This Row],[Issue date]],Table1[[#This Row],[Maturity date]],Table1[[#This Row],[Current coupon %]],Table1[[#This Row],[Yield (Annualised)]],Table1[[#This Row],[Coupon Frequency2]])</f>
        <v>#N/A</v>
      </c>
      <c r="AA1508" s="33" t="e">
        <f>Table1[[#This Row],[Macaulay Duration in Years]]/(1+Table1[[#This Row],[IRR]])</f>
        <v>#N/A</v>
      </c>
      <c r="AB1508" s="58" t="e">
        <f>VLOOKUP(Table1[[#This Row],[Yield Cluster]],'Cluster Details'!$B$3:$C$16,2,0)</f>
        <v>#N/A</v>
      </c>
      <c r="AC150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8" s="58" t="e">
        <f>IF(Table1[[#This Row],[Ask Price]]&gt;Table1[[#This Row],[Calculated Bond Price]],"Rich","Cheap")</f>
        <v>#N/A</v>
      </c>
      <c r="AE150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8" s="78" t="e">
        <f>(Table1[[#This Row],[P (+ shock)]]+Table1[[#This Row],[P (-shock)]]-2*Table1[[#This Row],[Ask Price]])/(2*Table1[[#This Row],[Ask Price]]*($AF$2^2))</f>
        <v>#N/A</v>
      </c>
      <c r="AI1508" s="6" t="e">
        <f t="shared" si="93"/>
        <v>#DIV/0!</v>
      </c>
      <c r="AK1508" s="47" t="e">
        <f>RATE(Table1[[#This Row],[Total No. of Coupons]],Table1[[#This Row],[Coupon Amount]],-Table1[[#This Row],[Ask Price]],Table1[[#This Row],[Face value]])</f>
        <v>#N/A</v>
      </c>
      <c r="AL1508" s="27" t="e">
        <f>Table1[[#This Row],[IRR]]*Table1[[#This Row],[Coupon Frequency2]]</f>
        <v>#N/A</v>
      </c>
      <c r="AM1508" s="5" t="e">
        <f t="shared" si="94"/>
        <v>#N/A</v>
      </c>
      <c r="AN1508" t="s">
        <v>64</v>
      </c>
      <c r="AO1508" t="s">
        <v>62</v>
      </c>
      <c r="AP1508" t="str">
        <f t="shared" si="95"/>
        <v/>
      </c>
    </row>
    <row r="1509" spans="4:42" x14ac:dyDescent="0.35">
      <c r="D1509" s="21"/>
      <c r="E1509" s="21"/>
      <c r="L1509" s="22"/>
      <c r="S1509">
        <f t="shared" si="92"/>
        <v>0</v>
      </c>
      <c r="T1509" s="5" t="e" cm="1">
        <f t="array" ref="T150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09" t="e">
        <f>Table1[[#This Row],[Term to Maturity (Years)]]*Table1[[#This Row],[Coupon Frequency2]]</f>
        <v>#N/A</v>
      </c>
      <c r="V1509">
        <f>Table1[[#This Row],[Face value]]*Table1[[#This Row],[Current coupon %]]</f>
        <v>0</v>
      </c>
      <c r="W1509" s="36" t="e">
        <f>RATE(Table1[[#This Row],[Total No. of Coupons]],Table1[[#This Row],[Coupon Amount]],-Table1[[#This Row],[Ask Price]],Table1[[#This Row],[Face value]])</f>
        <v>#N/A</v>
      </c>
      <c r="X1509" s="27" t="e">
        <f>Table1[[#This Row],[IRR]]*Table1[[#This Row],[Coupon Frequency2]]</f>
        <v>#N/A</v>
      </c>
      <c r="Y1509" s="19" t="e" cm="1">
        <f t="array" ref="Y150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09" s="33" t="e">
        <f>DURATION(Table1[[#This Row],[Issue date]],Table1[[#This Row],[Maturity date]],Table1[[#This Row],[Current coupon %]],Table1[[#This Row],[Yield (Annualised)]],Table1[[#This Row],[Coupon Frequency2]])</f>
        <v>#N/A</v>
      </c>
      <c r="AA1509" s="33" t="e">
        <f>Table1[[#This Row],[Macaulay Duration in Years]]/(1+Table1[[#This Row],[IRR]])</f>
        <v>#N/A</v>
      </c>
      <c r="AB1509" s="58" t="e">
        <f>VLOOKUP(Table1[[#This Row],[Yield Cluster]],'Cluster Details'!$B$3:$C$16,2,0)</f>
        <v>#N/A</v>
      </c>
      <c r="AC150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09" s="58" t="e">
        <f>IF(Table1[[#This Row],[Ask Price]]&gt;Table1[[#This Row],[Calculated Bond Price]],"Rich","Cheap")</f>
        <v>#N/A</v>
      </c>
      <c r="AE150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0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09" s="78" t="e">
        <f>(Table1[[#This Row],[P (+ shock)]]+Table1[[#This Row],[P (-shock)]]-2*Table1[[#This Row],[Ask Price]])/(2*Table1[[#This Row],[Ask Price]]*($AF$2^2))</f>
        <v>#N/A</v>
      </c>
      <c r="AI1509" s="6" t="e">
        <f t="shared" si="93"/>
        <v>#DIV/0!</v>
      </c>
      <c r="AK1509" s="47" t="e">
        <f>RATE(Table1[[#This Row],[Total No. of Coupons]],Table1[[#This Row],[Coupon Amount]],-Table1[[#This Row],[Ask Price]],Table1[[#This Row],[Face value]])</f>
        <v>#N/A</v>
      </c>
      <c r="AL1509" s="27" t="e">
        <f>Table1[[#This Row],[IRR]]*Table1[[#This Row],[Coupon Frequency2]]</f>
        <v>#N/A</v>
      </c>
      <c r="AM1509" s="5" t="e">
        <f t="shared" si="94"/>
        <v>#N/A</v>
      </c>
      <c r="AN1509" t="s">
        <v>69</v>
      </c>
      <c r="AO1509" t="s">
        <v>62</v>
      </c>
      <c r="AP1509" t="str">
        <f t="shared" si="95"/>
        <v/>
      </c>
    </row>
    <row r="1510" spans="4:42" x14ac:dyDescent="0.35">
      <c r="D1510" s="21"/>
      <c r="E1510" s="21"/>
      <c r="L1510" s="22"/>
      <c r="S1510">
        <f t="shared" si="92"/>
        <v>0</v>
      </c>
      <c r="T1510" s="5" t="e" cm="1">
        <f t="array" ref="T151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0" t="e">
        <f>Table1[[#This Row],[Term to Maturity (Years)]]*Table1[[#This Row],[Coupon Frequency2]]</f>
        <v>#N/A</v>
      </c>
      <c r="V1510">
        <f>Table1[[#This Row],[Face value]]*Table1[[#This Row],[Current coupon %]]</f>
        <v>0</v>
      </c>
      <c r="W1510" s="36" t="e">
        <f>RATE(Table1[[#This Row],[Total No. of Coupons]],Table1[[#This Row],[Coupon Amount]],-Table1[[#This Row],[Ask Price]],Table1[[#This Row],[Face value]])</f>
        <v>#N/A</v>
      </c>
      <c r="X1510" s="27" t="e">
        <f>Table1[[#This Row],[IRR]]*Table1[[#This Row],[Coupon Frequency2]]</f>
        <v>#N/A</v>
      </c>
      <c r="Y1510" s="19" t="e" cm="1">
        <f t="array" ref="Y151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0" s="33" t="e">
        <f>DURATION(Table1[[#This Row],[Issue date]],Table1[[#This Row],[Maturity date]],Table1[[#This Row],[Current coupon %]],Table1[[#This Row],[Yield (Annualised)]],Table1[[#This Row],[Coupon Frequency2]])</f>
        <v>#N/A</v>
      </c>
      <c r="AA1510" s="33" t="e">
        <f>Table1[[#This Row],[Macaulay Duration in Years]]/(1+Table1[[#This Row],[IRR]])</f>
        <v>#N/A</v>
      </c>
      <c r="AB1510" s="58" t="e">
        <f>VLOOKUP(Table1[[#This Row],[Yield Cluster]],'Cluster Details'!$B$3:$C$16,2,0)</f>
        <v>#N/A</v>
      </c>
      <c r="AC151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0" s="58" t="e">
        <f>IF(Table1[[#This Row],[Ask Price]]&gt;Table1[[#This Row],[Calculated Bond Price]],"Rich","Cheap")</f>
        <v>#N/A</v>
      </c>
      <c r="AE151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0" s="78" t="e">
        <f>(Table1[[#This Row],[P (+ shock)]]+Table1[[#This Row],[P (-shock)]]-2*Table1[[#This Row],[Ask Price]])/(2*Table1[[#This Row],[Ask Price]]*($AF$2^2))</f>
        <v>#N/A</v>
      </c>
      <c r="AI1510" s="6" t="e">
        <f t="shared" si="93"/>
        <v>#DIV/0!</v>
      </c>
      <c r="AK1510" s="47" t="e">
        <f>RATE(Table1[[#This Row],[Total No. of Coupons]],Table1[[#This Row],[Coupon Amount]],-Table1[[#This Row],[Ask Price]],Table1[[#This Row],[Face value]])</f>
        <v>#N/A</v>
      </c>
      <c r="AL1510" s="27" t="e">
        <f>Table1[[#This Row],[IRR]]*Table1[[#This Row],[Coupon Frequency2]]</f>
        <v>#N/A</v>
      </c>
      <c r="AM1510" s="5" t="e">
        <f t="shared" si="94"/>
        <v>#N/A</v>
      </c>
      <c r="AN1510" t="s">
        <v>69</v>
      </c>
      <c r="AO1510" t="s">
        <v>62</v>
      </c>
      <c r="AP1510" t="str">
        <f t="shared" si="95"/>
        <v/>
      </c>
    </row>
    <row r="1511" spans="4:42" x14ac:dyDescent="0.35">
      <c r="D1511" s="21"/>
      <c r="E1511" s="21"/>
      <c r="L1511" s="22"/>
      <c r="S1511">
        <f t="shared" si="92"/>
        <v>0</v>
      </c>
      <c r="T1511" s="5" t="e" cm="1">
        <f t="array" ref="T151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1" t="e">
        <f>Table1[[#This Row],[Term to Maturity (Years)]]*Table1[[#This Row],[Coupon Frequency2]]</f>
        <v>#N/A</v>
      </c>
      <c r="V1511">
        <f>Table1[[#This Row],[Face value]]*Table1[[#This Row],[Current coupon %]]</f>
        <v>0</v>
      </c>
      <c r="W1511" s="36" t="e">
        <f>RATE(Table1[[#This Row],[Total No. of Coupons]],Table1[[#This Row],[Coupon Amount]],-Table1[[#This Row],[Ask Price]],Table1[[#This Row],[Face value]])</f>
        <v>#N/A</v>
      </c>
      <c r="X1511" s="27" t="e">
        <f>Table1[[#This Row],[IRR]]*Table1[[#This Row],[Coupon Frequency2]]</f>
        <v>#N/A</v>
      </c>
      <c r="Y1511" s="19" t="e" cm="1">
        <f t="array" ref="Y151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1" s="33" t="e">
        <f>DURATION(Table1[[#This Row],[Issue date]],Table1[[#This Row],[Maturity date]],Table1[[#This Row],[Current coupon %]],Table1[[#This Row],[Yield (Annualised)]],Table1[[#This Row],[Coupon Frequency2]])</f>
        <v>#N/A</v>
      </c>
      <c r="AA1511" s="33" t="e">
        <f>Table1[[#This Row],[Macaulay Duration in Years]]/(1+Table1[[#This Row],[IRR]])</f>
        <v>#N/A</v>
      </c>
      <c r="AB1511" s="58" t="e">
        <f>VLOOKUP(Table1[[#This Row],[Yield Cluster]],'Cluster Details'!$B$3:$C$16,2,0)</f>
        <v>#N/A</v>
      </c>
      <c r="AC151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1" s="58" t="e">
        <f>IF(Table1[[#This Row],[Ask Price]]&gt;Table1[[#This Row],[Calculated Bond Price]],"Rich","Cheap")</f>
        <v>#N/A</v>
      </c>
      <c r="AE151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1" s="78" t="e">
        <f>(Table1[[#This Row],[P (+ shock)]]+Table1[[#This Row],[P (-shock)]]-2*Table1[[#This Row],[Ask Price]])/(2*Table1[[#This Row],[Ask Price]]*($AF$2^2))</f>
        <v>#N/A</v>
      </c>
      <c r="AI1511" s="6" t="e">
        <f t="shared" si="93"/>
        <v>#DIV/0!</v>
      </c>
      <c r="AK1511" s="47" t="e">
        <f>RATE(Table1[[#This Row],[Total No. of Coupons]],Table1[[#This Row],[Coupon Amount]],-Table1[[#This Row],[Ask Price]],Table1[[#This Row],[Face value]])</f>
        <v>#N/A</v>
      </c>
      <c r="AL1511" s="27" t="e">
        <f>Table1[[#This Row],[IRR]]*Table1[[#This Row],[Coupon Frequency2]]</f>
        <v>#N/A</v>
      </c>
      <c r="AM1511" s="5" t="e">
        <f t="shared" si="94"/>
        <v>#N/A</v>
      </c>
      <c r="AN1511" t="s">
        <v>69</v>
      </c>
      <c r="AO1511" t="s">
        <v>62</v>
      </c>
      <c r="AP1511" t="str">
        <f t="shared" si="95"/>
        <v/>
      </c>
    </row>
    <row r="1512" spans="4:42" x14ac:dyDescent="0.35">
      <c r="D1512" s="21"/>
      <c r="E1512" s="21"/>
      <c r="L1512" s="22"/>
      <c r="S1512">
        <f t="shared" si="92"/>
        <v>0</v>
      </c>
      <c r="T1512" s="5" t="e" cm="1">
        <f t="array" ref="T1512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2" t="e">
        <f>Table1[[#This Row],[Term to Maturity (Years)]]*Table1[[#This Row],[Coupon Frequency2]]</f>
        <v>#N/A</v>
      </c>
      <c r="V1512">
        <f>Table1[[#This Row],[Face value]]*Table1[[#This Row],[Current coupon %]]</f>
        <v>0</v>
      </c>
      <c r="W1512" s="36" t="e">
        <f>RATE(Table1[[#This Row],[Total No. of Coupons]],Table1[[#This Row],[Coupon Amount]],-Table1[[#This Row],[Ask Price]],Table1[[#This Row],[Face value]])</f>
        <v>#N/A</v>
      </c>
      <c r="X1512" s="27" t="e">
        <f>Table1[[#This Row],[IRR]]*Table1[[#This Row],[Coupon Frequency2]]</f>
        <v>#N/A</v>
      </c>
      <c r="Y1512" s="19" t="e" cm="1">
        <f t="array" ref="Y1512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2" s="33" t="e">
        <f>DURATION(Table1[[#This Row],[Issue date]],Table1[[#This Row],[Maturity date]],Table1[[#This Row],[Current coupon %]],Table1[[#This Row],[Yield (Annualised)]],Table1[[#This Row],[Coupon Frequency2]])</f>
        <v>#N/A</v>
      </c>
      <c r="AA1512" s="33" t="e">
        <f>Table1[[#This Row],[Macaulay Duration in Years]]/(1+Table1[[#This Row],[IRR]])</f>
        <v>#N/A</v>
      </c>
      <c r="AB1512" s="58" t="e">
        <f>VLOOKUP(Table1[[#This Row],[Yield Cluster]],'Cluster Details'!$B$3:$C$16,2,0)</f>
        <v>#N/A</v>
      </c>
      <c r="AC1512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2" s="58" t="e">
        <f>IF(Table1[[#This Row],[Ask Price]]&gt;Table1[[#This Row],[Calculated Bond Price]],"Rich","Cheap")</f>
        <v>#N/A</v>
      </c>
      <c r="AE1512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2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2" s="78" t="e">
        <f>(Table1[[#This Row],[P (+ shock)]]+Table1[[#This Row],[P (-shock)]]-2*Table1[[#This Row],[Ask Price]])/(2*Table1[[#This Row],[Ask Price]]*($AF$2^2))</f>
        <v>#N/A</v>
      </c>
      <c r="AI1512" s="6" t="e">
        <f t="shared" si="93"/>
        <v>#DIV/0!</v>
      </c>
      <c r="AK1512" s="47" t="e">
        <f>RATE(Table1[[#This Row],[Total No. of Coupons]],Table1[[#This Row],[Coupon Amount]],-Table1[[#This Row],[Ask Price]],Table1[[#This Row],[Face value]])</f>
        <v>#N/A</v>
      </c>
      <c r="AL1512" s="27" t="e">
        <f>Table1[[#This Row],[IRR]]*Table1[[#This Row],[Coupon Frequency2]]</f>
        <v>#N/A</v>
      </c>
      <c r="AM1512" s="5" t="e">
        <f t="shared" si="94"/>
        <v>#N/A</v>
      </c>
      <c r="AN1512" t="s">
        <v>69</v>
      </c>
      <c r="AO1512" t="s">
        <v>62</v>
      </c>
      <c r="AP1512" t="str">
        <f t="shared" si="95"/>
        <v/>
      </c>
    </row>
    <row r="1513" spans="4:42" x14ac:dyDescent="0.35">
      <c r="D1513" s="21"/>
      <c r="E1513" s="21"/>
      <c r="L1513" s="22"/>
      <c r="S1513">
        <f t="shared" si="92"/>
        <v>0</v>
      </c>
      <c r="T1513" s="5" t="e" cm="1">
        <f t="array" ref="T1513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3" t="e">
        <f>Table1[[#This Row],[Term to Maturity (Years)]]*Table1[[#This Row],[Coupon Frequency2]]</f>
        <v>#N/A</v>
      </c>
      <c r="V1513">
        <f>Table1[[#This Row],[Face value]]*Table1[[#This Row],[Current coupon %]]</f>
        <v>0</v>
      </c>
      <c r="W1513" s="36" t="e">
        <f>RATE(Table1[[#This Row],[Total No. of Coupons]],Table1[[#This Row],[Coupon Amount]],-Table1[[#This Row],[Ask Price]],Table1[[#This Row],[Face value]])</f>
        <v>#N/A</v>
      </c>
      <c r="X1513" s="27" t="e">
        <f>Table1[[#This Row],[IRR]]*Table1[[#This Row],[Coupon Frequency2]]</f>
        <v>#N/A</v>
      </c>
      <c r="Y1513" s="19" t="e" cm="1">
        <f t="array" ref="Y1513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3" s="33" t="e">
        <f>DURATION(Table1[[#This Row],[Issue date]],Table1[[#This Row],[Maturity date]],Table1[[#This Row],[Current coupon %]],Table1[[#This Row],[Yield (Annualised)]],Table1[[#This Row],[Coupon Frequency2]])</f>
        <v>#N/A</v>
      </c>
      <c r="AA1513" s="33" t="e">
        <f>Table1[[#This Row],[Macaulay Duration in Years]]/(1+Table1[[#This Row],[IRR]])</f>
        <v>#N/A</v>
      </c>
      <c r="AB1513" s="58" t="e">
        <f>VLOOKUP(Table1[[#This Row],[Yield Cluster]],'Cluster Details'!$B$3:$C$16,2,0)</f>
        <v>#N/A</v>
      </c>
      <c r="AC1513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3" s="58" t="e">
        <f>IF(Table1[[#This Row],[Ask Price]]&gt;Table1[[#This Row],[Calculated Bond Price]],"Rich","Cheap")</f>
        <v>#N/A</v>
      </c>
      <c r="AE1513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3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3" s="78" t="e">
        <f>(Table1[[#This Row],[P (+ shock)]]+Table1[[#This Row],[P (-shock)]]-2*Table1[[#This Row],[Ask Price]])/(2*Table1[[#This Row],[Ask Price]]*($AF$2^2))</f>
        <v>#N/A</v>
      </c>
      <c r="AI1513" s="6" t="e">
        <f t="shared" si="93"/>
        <v>#DIV/0!</v>
      </c>
      <c r="AK1513" s="47" t="e">
        <f>RATE(Table1[[#This Row],[Total No. of Coupons]],Table1[[#This Row],[Coupon Amount]],-Table1[[#This Row],[Ask Price]],Table1[[#This Row],[Face value]])</f>
        <v>#N/A</v>
      </c>
      <c r="AL1513" s="27" t="e">
        <f>Table1[[#This Row],[IRR]]*Table1[[#This Row],[Coupon Frequency2]]</f>
        <v>#N/A</v>
      </c>
      <c r="AM1513" s="5" t="e">
        <f t="shared" si="94"/>
        <v>#N/A</v>
      </c>
      <c r="AN1513" t="s">
        <v>69</v>
      </c>
      <c r="AO1513" t="s">
        <v>62</v>
      </c>
      <c r="AP1513" t="str">
        <f t="shared" si="95"/>
        <v/>
      </c>
    </row>
    <row r="1514" spans="4:42" x14ac:dyDescent="0.35">
      <c r="D1514" s="21"/>
      <c r="E1514" s="21"/>
      <c r="L1514" s="22"/>
      <c r="S1514">
        <f t="shared" si="92"/>
        <v>0</v>
      </c>
      <c r="T1514" s="5" t="e" cm="1">
        <f t="array" ref="T1514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4" t="e">
        <f>Table1[[#This Row],[Term to Maturity (Years)]]*Table1[[#This Row],[Coupon Frequency2]]</f>
        <v>#N/A</v>
      </c>
      <c r="V1514">
        <f>Table1[[#This Row],[Face value]]*Table1[[#This Row],[Current coupon %]]</f>
        <v>0</v>
      </c>
      <c r="W1514" s="36" t="e">
        <f>RATE(Table1[[#This Row],[Total No. of Coupons]],Table1[[#This Row],[Coupon Amount]],-Table1[[#This Row],[Ask Price]],Table1[[#This Row],[Face value]])</f>
        <v>#N/A</v>
      </c>
      <c r="X1514" s="27" t="e">
        <f>Table1[[#This Row],[IRR]]*Table1[[#This Row],[Coupon Frequency2]]</f>
        <v>#N/A</v>
      </c>
      <c r="Y1514" s="19" t="e" cm="1">
        <f t="array" ref="Y1514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4" s="33" t="e">
        <f>DURATION(Table1[[#This Row],[Issue date]],Table1[[#This Row],[Maturity date]],Table1[[#This Row],[Current coupon %]],Table1[[#This Row],[Yield (Annualised)]],Table1[[#This Row],[Coupon Frequency2]])</f>
        <v>#N/A</v>
      </c>
      <c r="AA1514" s="33" t="e">
        <f>Table1[[#This Row],[Macaulay Duration in Years]]/(1+Table1[[#This Row],[IRR]])</f>
        <v>#N/A</v>
      </c>
      <c r="AB1514" s="58" t="e">
        <f>VLOOKUP(Table1[[#This Row],[Yield Cluster]],'Cluster Details'!$B$3:$C$16,2,0)</f>
        <v>#N/A</v>
      </c>
      <c r="AC1514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4" s="58" t="e">
        <f>IF(Table1[[#This Row],[Ask Price]]&gt;Table1[[#This Row],[Calculated Bond Price]],"Rich","Cheap")</f>
        <v>#N/A</v>
      </c>
      <c r="AE1514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4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4" s="78" t="e">
        <f>(Table1[[#This Row],[P (+ shock)]]+Table1[[#This Row],[P (-shock)]]-2*Table1[[#This Row],[Ask Price]])/(2*Table1[[#This Row],[Ask Price]]*($AF$2^2))</f>
        <v>#N/A</v>
      </c>
      <c r="AI1514" s="6" t="e">
        <f t="shared" si="93"/>
        <v>#DIV/0!</v>
      </c>
      <c r="AK1514" s="47" t="e">
        <f>RATE(Table1[[#This Row],[Total No. of Coupons]],Table1[[#This Row],[Coupon Amount]],-Table1[[#This Row],[Ask Price]],Table1[[#This Row],[Face value]])</f>
        <v>#N/A</v>
      </c>
      <c r="AL1514" s="27" t="e">
        <f>Table1[[#This Row],[IRR]]*Table1[[#This Row],[Coupon Frequency2]]</f>
        <v>#N/A</v>
      </c>
      <c r="AM1514" s="5" t="e">
        <f t="shared" si="94"/>
        <v>#N/A</v>
      </c>
      <c r="AN1514" t="s">
        <v>79</v>
      </c>
      <c r="AO1514" t="s">
        <v>62</v>
      </c>
      <c r="AP1514" t="str">
        <f t="shared" si="95"/>
        <v/>
      </c>
    </row>
    <row r="1515" spans="4:42" x14ac:dyDescent="0.35">
      <c r="D1515" s="21"/>
      <c r="E1515" s="21"/>
      <c r="L1515" s="22"/>
      <c r="S1515">
        <f t="shared" si="92"/>
        <v>0</v>
      </c>
      <c r="T1515" s="5" t="e" cm="1">
        <f t="array" ref="T1515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5" t="e">
        <f>Table1[[#This Row],[Term to Maturity (Years)]]*Table1[[#This Row],[Coupon Frequency2]]</f>
        <v>#N/A</v>
      </c>
      <c r="V1515">
        <f>Table1[[#This Row],[Face value]]*Table1[[#This Row],[Current coupon %]]</f>
        <v>0</v>
      </c>
      <c r="W1515" s="36" t="e">
        <f>RATE(Table1[[#This Row],[Total No. of Coupons]],Table1[[#This Row],[Coupon Amount]],-Table1[[#This Row],[Ask Price]],Table1[[#This Row],[Face value]])</f>
        <v>#N/A</v>
      </c>
      <c r="X1515" s="27" t="e">
        <f>Table1[[#This Row],[IRR]]*Table1[[#This Row],[Coupon Frequency2]]</f>
        <v>#N/A</v>
      </c>
      <c r="Y1515" s="19" t="e" cm="1">
        <f t="array" ref="Y1515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5" s="33" t="e">
        <f>DURATION(Table1[[#This Row],[Issue date]],Table1[[#This Row],[Maturity date]],Table1[[#This Row],[Current coupon %]],Table1[[#This Row],[Yield (Annualised)]],Table1[[#This Row],[Coupon Frequency2]])</f>
        <v>#N/A</v>
      </c>
      <c r="AA1515" s="33" t="e">
        <f>Table1[[#This Row],[Macaulay Duration in Years]]/(1+Table1[[#This Row],[IRR]])</f>
        <v>#N/A</v>
      </c>
      <c r="AB1515" s="58" t="e">
        <f>VLOOKUP(Table1[[#This Row],[Yield Cluster]],'Cluster Details'!$B$3:$C$16,2,0)</f>
        <v>#N/A</v>
      </c>
      <c r="AC1515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5" s="58" t="e">
        <f>IF(Table1[[#This Row],[Ask Price]]&gt;Table1[[#This Row],[Calculated Bond Price]],"Rich","Cheap")</f>
        <v>#N/A</v>
      </c>
      <c r="AE1515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5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5" s="78" t="e">
        <f>(Table1[[#This Row],[P (+ shock)]]+Table1[[#This Row],[P (-shock)]]-2*Table1[[#This Row],[Ask Price]])/(2*Table1[[#This Row],[Ask Price]]*($AF$2^2))</f>
        <v>#N/A</v>
      </c>
      <c r="AI1515" s="6" t="e">
        <f t="shared" si="93"/>
        <v>#DIV/0!</v>
      </c>
      <c r="AK1515" s="47" t="e">
        <f>RATE(Table1[[#This Row],[Total No. of Coupons]],Table1[[#This Row],[Coupon Amount]],-Table1[[#This Row],[Ask Price]],Table1[[#This Row],[Face value]])</f>
        <v>#N/A</v>
      </c>
      <c r="AL1515" s="27" t="e">
        <f>Table1[[#This Row],[IRR]]*Table1[[#This Row],[Coupon Frequency2]]</f>
        <v>#N/A</v>
      </c>
      <c r="AM1515" s="5" t="e">
        <f t="shared" si="94"/>
        <v>#N/A</v>
      </c>
      <c r="AN1515" t="s">
        <v>64</v>
      </c>
      <c r="AO1515" t="s">
        <v>62</v>
      </c>
      <c r="AP1515" t="str">
        <f t="shared" si="95"/>
        <v/>
      </c>
    </row>
    <row r="1516" spans="4:42" x14ac:dyDescent="0.35">
      <c r="D1516" s="21"/>
      <c r="E1516" s="21"/>
      <c r="L1516" s="22"/>
      <c r="S1516">
        <f t="shared" si="92"/>
        <v>0</v>
      </c>
      <c r="T1516" s="5" t="e" cm="1">
        <f t="array" ref="T1516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6" t="e">
        <f>Table1[[#This Row],[Term to Maturity (Years)]]*Table1[[#This Row],[Coupon Frequency2]]</f>
        <v>#N/A</v>
      </c>
      <c r="V1516">
        <f>Table1[[#This Row],[Face value]]*Table1[[#This Row],[Current coupon %]]</f>
        <v>0</v>
      </c>
      <c r="W1516" s="36" t="e">
        <f>RATE(Table1[[#This Row],[Total No. of Coupons]],Table1[[#This Row],[Coupon Amount]],-Table1[[#This Row],[Ask Price]],Table1[[#This Row],[Face value]])</f>
        <v>#N/A</v>
      </c>
      <c r="X1516" s="27" t="e">
        <f>Table1[[#This Row],[IRR]]*Table1[[#This Row],[Coupon Frequency2]]</f>
        <v>#N/A</v>
      </c>
      <c r="Y1516" s="19" t="e" cm="1">
        <f t="array" ref="Y1516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6" s="33" t="e">
        <f>DURATION(Table1[[#This Row],[Issue date]],Table1[[#This Row],[Maturity date]],Table1[[#This Row],[Current coupon %]],Table1[[#This Row],[Yield (Annualised)]],Table1[[#This Row],[Coupon Frequency2]])</f>
        <v>#N/A</v>
      </c>
      <c r="AA1516" s="33" t="e">
        <f>Table1[[#This Row],[Macaulay Duration in Years]]/(1+Table1[[#This Row],[IRR]])</f>
        <v>#N/A</v>
      </c>
      <c r="AB1516" s="58" t="e">
        <f>VLOOKUP(Table1[[#This Row],[Yield Cluster]],'Cluster Details'!$B$3:$C$16,2,0)</f>
        <v>#N/A</v>
      </c>
      <c r="AC1516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6" s="58" t="e">
        <f>IF(Table1[[#This Row],[Ask Price]]&gt;Table1[[#This Row],[Calculated Bond Price]],"Rich","Cheap")</f>
        <v>#N/A</v>
      </c>
      <c r="AE1516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6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6" s="78" t="e">
        <f>(Table1[[#This Row],[P (+ shock)]]+Table1[[#This Row],[P (-shock)]]-2*Table1[[#This Row],[Ask Price]])/(2*Table1[[#This Row],[Ask Price]]*($AF$2^2))</f>
        <v>#N/A</v>
      </c>
      <c r="AI1516" s="6" t="e">
        <f t="shared" si="93"/>
        <v>#DIV/0!</v>
      </c>
      <c r="AK1516" s="47" t="e">
        <f>RATE(Table1[[#This Row],[Total No. of Coupons]],Table1[[#This Row],[Coupon Amount]],-Table1[[#This Row],[Ask Price]],Table1[[#This Row],[Face value]])</f>
        <v>#N/A</v>
      </c>
      <c r="AL1516" s="27" t="e">
        <f>Table1[[#This Row],[IRR]]*Table1[[#This Row],[Coupon Frequency2]]</f>
        <v>#N/A</v>
      </c>
      <c r="AM1516" s="5" t="e">
        <f t="shared" si="94"/>
        <v>#N/A</v>
      </c>
      <c r="AN1516" t="s">
        <v>64</v>
      </c>
      <c r="AO1516" t="s">
        <v>62</v>
      </c>
      <c r="AP1516" t="str">
        <f t="shared" si="95"/>
        <v/>
      </c>
    </row>
    <row r="1517" spans="4:42" x14ac:dyDescent="0.35">
      <c r="D1517" s="21"/>
      <c r="E1517" s="21"/>
      <c r="L1517" s="22"/>
      <c r="S1517">
        <f t="shared" si="92"/>
        <v>0</v>
      </c>
      <c r="T1517" s="5" t="e" cm="1">
        <f t="array" ref="T1517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7" t="e">
        <f>Table1[[#This Row],[Term to Maturity (Years)]]*Table1[[#This Row],[Coupon Frequency2]]</f>
        <v>#N/A</v>
      </c>
      <c r="V1517">
        <f>Table1[[#This Row],[Face value]]*Table1[[#This Row],[Current coupon %]]</f>
        <v>0</v>
      </c>
      <c r="W1517" s="36" t="e">
        <f>RATE(Table1[[#This Row],[Total No. of Coupons]],Table1[[#This Row],[Coupon Amount]],-Table1[[#This Row],[Ask Price]],Table1[[#This Row],[Face value]])</f>
        <v>#N/A</v>
      </c>
      <c r="X1517" s="27" t="e">
        <f>Table1[[#This Row],[IRR]]*Table1[[#This Row],[Coupon Frequency2]]</f>
        <v>#N/A</v>
      </c>
      <c r="Y1517" s="19" t="e" cm="1">
        <f t="array" ref="Y1517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7" s="33" t="e">
        <f>DURATION(Table1[[#This Row],[Issue date]],Table1[[#This Row],[Maturity date]],Table1[[#This Row],[Current coupon %]],Table1[[#This Row],[Yield (Annualised)]],Table1[[#This Row],[Coupon Frequency2]])</f>
        <v>#N/A</v>
      </c>
      <c r="AA1517" s="33" t="e">
        <f>Table1[[#This Row],[Macaulay Duration in Years]]/(1+Table1[[#This Row],[IRR]])</f>
        <v>#N/A</v>
      </c>
      <c r="AB1517" s="58" t="e">
        <f>VLOOKUP(Table1[[#This Row],[Yield Cluster]],'Cluster Details'!$B$3:$C$16,2,0)</f>
        <v>#N/A</v>
      </c>
      <c r="AC1517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7" s="58" t="e">
        <f>IF(Table1[[#This Row],[Ask Price]]&gt;Table1[[#This Row],[Calculated Bond Price]],"Rich","Cheap")</f>
        <v>#N/A</v>
      </c>
      <c r="AE1517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7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7" s="78" t="e">
        <f>(Table1[[#This Row],[P (+ shock)]]+Table1[[#This Row],[P (-shock)]]-2*Table1[[#This Row],[Ask Price]])/(2*Table1[[#This Row],[Ask Price]]*($AF$2^2))</f>
        <v>#N/A</v>
      </c>
      <c r="AI1517" s="6" t="e">
        <f t="shared" si="93"/>
        <v>#DIV/0!</v>
      </c>
      <c r="AK1517" s="47" t="e">
        <f>RATE(Table1[[#This Row],[Total No. of Coupons]],Table1[[#This Row],[Coupon Amount]],-Table1[[#This Row],[Ask Price]],Table1[[#This Row],[Face value]])</f>
        <v>#N/A</v>
      </c>
      <c r="AL1517" s="27" t="e">
        <f>Table1[[#This Row],[IRR]]*Table1[[#This Row],[Coupon Frequency2]]</f>
        <v>#N/A</v>
      </c>
      <c r="AM1517" s="5" t="e">
        <f t="shared" si="94"/>
        <v>#N/A</v>
      </c>
      <c r="AN1517" t="s">
        <v>64</v>
      </c>
      <c r="AO1517" t="s">
        <v>62</v>
      </c>
      <c r="AP1517" t="str">
        <f t="shared" si="95"/>
        <v/>
      </c>
    </row>
    <row r="1518" spans="4:42" x14ac:dyDescent="0.35">
      <c r="D1518" s="21"/>
      <c r="E1518" s="21"/>
      <c r="L1518" s="22"/>
      <c r="S1518">
        <f t="shared" si="92"/>
        <v>0</v>
      </c>
      <c r="T1518" s="5" t="e" cm="1">
        <f t="array" ref="T1518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8" t="e">
        <f>Table1[[#This Row],[Term to Maturity (Years)]]*Table1[[#This Row],[Coupon Frequency2]]</f>
        <v>#N/A</v>
      </c>
      <c r="V1518">
        <f>Table1[[#This Row],[Face value]]*Table1[[#This Row],[Current coupon %]]</f>
        <v>0</v>
      </c>
      <c r="W1518" s="36" t="e">
        <f>RATE(Table1[[#This Row],[Total No. of Coupons]],Table1[[#This Row],[Coupon Amount]],-Table1[[#This Row],[Ask Price]],Table1[[#This Row],[Face value]])</f>
        <v>#N/A</v>
      </c>
      <c r="X1518" s="27" t="e">
        <f>Table1[[#This Row],[IRR]]*Table1[[#This Row],[Coupon Frequency2]]</f>
        <v>#N/A</v>
      </c>
      <c r="Y1518" s="19" t="e" cm="1">
        <f t="array" ref="Y1518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8" s="33" t="e">
        <f>DURATION(Table1[[#This Row],[Issue date]],Table1[[#This Row],[Maturity date]],Table1[[#This Row],[Current coupon %]],Table1[[#This Row],[Yield (Annualised)]],Table1[[#This Row],[Coupon Frequency2]])</f>
        <v>#N/A</v>
      </c>
      <c r="AA1518" s="33" t="e">
        <f>Table1[[#This Row],[Macaulay Duration in Years]]/(1+Table1[[#This Row],[IRR]])</f>
        <v>#N/A</v>
      </c>
      <c r="AB1518" s="58" t="e">
        <f>VLOOKUP(Table1[[#This Row],[Yield Cluster]],'Cluster Details'!$B$3:$C$16,2,0)</f>
        <v>#N/A</v>
      </c>
      <c r="AC1518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8" s="58" t="e">
        <f>IF(Table1[[#This Row],[Ask Price]]&gt;Table1[[#This Row],[Calculated Bond Price]],"Rich","Cheap")</f>
        <v>#N/A</v>
      </c>
      <c r="AE1518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8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8" s="78" t="e">
        <f>(Table1[[#This Row],[P (+ shock)]]+Table1[[#This Row],[P (-shock)]]-2*Table1[[#This Row],[Ask Price]])/(2*Table1[[#This Row],[Ask Price]]*($AF$2^2))</f>
        <v>#N/A</v>
      </c>
      <c r="AI1518" s="6" t="e">
        <f t="shared" si="93"/>
        <v>#DIV/0!</v>
      </c>
      <c r="AK1518" s="47" t="e">
        <f>RATE(Table1[[#This Row],[Total No. of Coupons]],Table1[[#This Row],[Coupon Amount]],-Table1[[#This Row],[Ask Price]],Table1[[#This Row],[Face value]])</f>
        <v>#N/A</v>
      </c>
      <c r="AL1518" s="27" t="e">
        <f>Table1[[#This Row],[IRR]]*Table1[[#This Row],[Coupon Frequency2]]</f>
        <v>#N/A</v>
      </c>
      <c r="AM1518" s="5" t="e">
        <f t="shared" si="94"/>
        <v>#N/A</v>
      </c>
      <c r="AN1518" t="s">
        <v>64</v>
      </c>
      <c r="AO1518" t="s">
        <v>62</v>
      </c>
      <c r="AP1518" t="str">
        <f t="shared" si="95"/>
        <v/>
      </c>
    </row>
    <row r="1519" spans="4:42" x14ac:dyDescent="0.35">
      <c r="D1519" s="21"/>
      <c r="E1519" s="21"/>
      <c r="L1519" s="22"/>
      <c r="S1519">
        <f t="shared" si="92"/>
        <v>0</v>
      </c>
      <c r="T1519" s="5" t="e" cm="1">
        <f t="array" ref="T1519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19" t="e">
        <f>Table1[[#This Row],[Term to Maturity (Years)]]*Table1[[#This Row],[Coupon Frequency2]]</f>
        <v>#N/A</v>
      </c>
      <c r="V1519">
        <f>Table1[[#This Row],[Face value]]*Table1[[#This Row],[Current coupon %]]</f>
        <v>0</v>
      </c>
      <c r="W1519" s="36" t="e">
        <f>RATE(Table1[[#This Row],[Total No. of Coupons]],Table1[[#This Row],[Coupon Amount]],-Table1[[#This Row],[Ask Price]],Table1[[#This Row],[Face value]])</f>
        <v>#N/A</v>
      </c>
      <c r="X1519" s="27" t="e">
        <f>Table1[[#This Row],[IRR]]*Table1[[#This Row],[Coupon Frequency2]]</f>
        <v>#N/A</v>
      </c>
      <c r="Y1519" s="19" t="e" cm="1">
        <f t="array" ref="Y1519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19" s="33" t="e">
        <f>DURATION(Table1[[#This Row],[Issue date]],Table1[[#This Row],[Maturity date]],Table1[[#This Row],[Current coupon %]],Table1[[#This Row],[Yield (Annualised)]],Table1[[#This Row],[Coupon Frequency2]])</f>
        <v>#N/A</v>
      </c>
      <c r="AA1519" s="33" t="e">
        <f>Table1[[#This Row],[Macaulay Duration in Years]]/(1+Table1[[#This Row],[IRR]])</f>
        <v>#N/A</v>
      </c>
      <c r="AB1519" s="58" t="e">
        <f>VLOOKUP(Table1[[#This Row],[Yield Cluster]],'Cluster Details'!$B$3:$C$16,2,0)</f>
        <v>#N/A</v>
      </c>
      <c r="AC1519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19" s="58" t="e">
        <f>IF(Table1[[#This Row],[Ask Price]]&gt;Table1[[#This Row],[Calculated Bond Price]],"Rich","Cheap")</f>
        <v>#N/A</v>
      </c>
      <c r="AE1519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19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19" s="78" t="e">
        <f>(Table1[[#This Row],[P (+ shock)]]+Table1[[#This Row],[P (-shock)]]-2*Table1[[#This Row],[Ask Price]])/(2*Table1[[#This Row],[Ask Price]]*($AF$2^2))</f>
        <v>#N/A</v>
      </c>
      <c r="AI1519" s="6" t="e">
        <f t="shared" si="93"/>
        <v>#DIV/0!</v>
      </c>
      <c r="AK1519" s="47" t="e">
        <f>RATE(Table1[[#This Row],[Total No. of Coupons]],Table1[[#This Row],[Coupon Amount]],-Table1[[#This Row],[Ask Price]],Table1[[#This Row],[Face value]])</f>
        <v>#N/A</v>
      </c>
      <c r="AL1519" s="27" t="e">
        <f>Table1[[#This Row],[IRR]]*Table1[[#This Row],[Coupon Frequency2]]</f>
        <v>#N/A</v>
      </c>
      <c r="AM1519" s="5" t="e">
        <f t="shared" si="94"/>
        <v>#N/A</v>
      </c>
      <c r="AN1519" t="s">
        <v>69</v>
      </c>
      <c r="AO1519" t="s">
        <v>62</v>
      </c>
      <c r="AP1519" t="str">
        <f t="shared" si="95"/>
        <v/>
      </c>
    </row>
    <row r="1520" spans="4:42" x14ac:dyDescent="0.35">
      <c r="D1520" s="21"/>
      <c r="E1520" s="21"/>
      <c r="L1520" s="22"/>
      <c r="S1520">
        <f t="shared" si="92"/>
        <v>0</v>
      </c>
      <c r="T1520" s="5" t="e" cm="1">
        <f t="array" ref="T1520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20" t="e">
        <f>Table1[[#This Row],[Term to Maturity (Years)]]*Table1[[#This Row],[Coupon Frequency2]]</f>
        <v>#N/A</v>
      </c>
      <c r="V1520">
        <f>Table1[[#This Row],[Face value]]*Table1[[#This Row],[Current coupon %]]</f>
        <v>0</v>
      </c>
      <c r="W1520" s="36" t="e">
        <f>RATE(Table1[[#This Row],[Total No. of Coupons]],Table1[[#This Row],[Coupon Amount]],-Table1[[#This Row],[Ask Price]],Table1[[#This Row],[Face value]])</f>
        <v>#N/A</v>
      </c>
      <c r="X1520" s="27" t="e">
        <f>Table1[[#This Row],[IRR]]*Table1[[#This Row],[Coupon Frequency2]]</f>
        <v>#N/A</v>
      </c>
      <c r="Y1520" s="19" t="e" cm="1">
        <f t="array" ref="Y1520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20" s="33" t="e">
        <f>DURATION(Table1[[#This Row],[Issue date]],Table1[[#This Row],[Maturity date]],Table1[[#This Row],[Current coupon %]],Table1[[#This Row],[Yield (Annualised)]],Table1[[#This Row],[Coupon Frequency2]])</f>
        <v>#N/A</v>
      </c>
      <c r="AA1520" s="33" t="e">
        <f>Table1[[#This Row],[Macaulay Duration in Years]]/(1+Table1[[#This Row],[IRR]])</f>
        <v>#N/A</v>
      </c>
      <c r="AB1520" s="58" t="e">
        <f>VLOOKUP(Table1[[#This Row],[Yield Cluster]],'Cluster Details'!$B$3:$C$16,2,0)</f>
        <v>#N/A</v>
      </c>
      <c r="AC1520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20" s="58" t="e">
        <f>IF(Table1[[#This Row],[Ask Price]]&gt;Table1[[#This Row],[Calculated Bond Price]],"Rich","Cheap")</f>
        <v>#N/A</v>
      </c>
      <c r="AE1520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20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20" s="78" t="e">
        <f>(Table1[[#This Row],[P (+ shock)]]+Table1[[#This Row],[P (-shock)]]-2*Table1[[#This Row],[Ask Price]])/(2*Table1[[#This Row],[Ask Price]]*($AF$2^2))</f>
        <v>#N/A</v>
      </c>
      <c r="AI1520" s="6" t="e">
        <f t="shared" si="93"/>
        <v>#DIV/0!</v>
      </c>
      <c r="AK1520" s="47" t="e">
        <f>RATE(Table1[[#This Row],[Total No. of Coupons]],Table1[[#This Row],[Coupon Amount]],-Table1[[#This Row],[Ask Price]],Table1[[#This Row],[Face value]])</f>
        <v>#N/A</v>
      </c>
      <c r="AL1520" s="27" t="e">
        <f>Table1[[#This Row],[IRR]]*Table1[[#This Row],[Coupon Frequency2]]</f>
        <v>#N/A</v>
      </c>
      <c r="AM1520" s="5" t="e">
        <f t="shared" si="94"/>
        <v>#N/A</v>
      </c>
      <c r="AN1520" t="s">
        <v>69</v>
      </c>
      <c r="AO1520" t="s">
        <v>62</v>
      </c>
      <c r="AP1520" t="str">
        <f t="shared" si="95"/>
        <v/>
      </c>
    </row>
    <row r="1521" spans="4:42" x14ac:dyDescent="0.35">
      <c r="D1521" s="21"/>
      <c r="E1521" s="21"/>
      <c r="L1521" s="22"/>
      <c r="S1521">
        <f t="shared" si="92"/>
        <v>0</v>
      </c>
      <c r="T1521" s="5" t="e" cm="1">
        <f t="array" ref="T1521">_xlfn.IFS(Table1[[#This Row],[Coupon frequency]]="Semi-annual",2,Table1[[#This Row],[Coupon frequency]]="Quarterly",4,Table1[[#This Row],[Coupon frequency]]="Annual",1,Table1[[#This Row],[Coupon frequency]]="Every 4 months",3,Table1[[#This Row],[Coupon frequency]]="Monthly",12)</f>
        <v>#N/A</v>
      </c>
      <c r="U1521" t="e">
        <f>Table1[[#This Row],[Term to Maturity (Years)]]*Table1[[#This Row],[Coupon Frequency2]]</f>
        <v>#N/A</v>
      </c>
      <c r="V1521">
        <f>Table1[[#This Row],[Face value]]*Table1[[#This Row],[Current coupon %]]</f>
        <v>0</v>
      </c>
      <c r="W1521" s="36" t="e">
        <f>RATE(Table1[[#This Row],[Total No. of Coupons]],Table1[[#This Row],[Coupon Amount]],-Table1[[#This Row],[Ask Price]],Table1[[#This Row],[Face value]])</f>
        <v>#N/A</v>
      </c>
      <c r="X1521" s="27" t="e">
        <f>Table1[[#This Row],[IRR]]*Table1[[#This Row],[Coupon Frequency2]]</f>
        <v>#N/A</v>
      </c>
      <c r="Y1521" s="19" t="e" cm="1">
        <f t="array" ref="Y1521">_xlfn.IFS(Table1[[#This Row],[Yield (Annualised)]]&lt;0.05,1,Table1[[#This Row],[Yield (Annualised)]]&lt;0.1,2,Table1[[#This Row],[Yield (Annualised)]]&lt;0.15,3,Table1[[#This Row],[Yield (Annualised)]]&lt;0.2,4,Table1[[#This Row],[Yield (Annualised)]]&lt;0.25,5,Table1[[#This Row],[Yield (Annualised)]]&lt;0.3,6,Table1[[#This Row],[Yield (Annualised)]]&lt;0.35,7,Table1[[#This Row],[Yield (Annualised)]]&lt;0.4,8,Table1[[#This Row],[Yield (Annualised)]]&lt;0.45,9,Table1[[#This Row],[Yield (Annualised)]]&lt;0.5,10,Table1[[#This Row],[Yield (Annualised)]]&lt;0.55,11,Table1[[#This Row],[Yield (Annualised)]]&lt;0.6,12,Table1[[#This Row],[Yield (Annualised)]]&lt;0.65,13,Table1[[#This Row],[Yield (Annualised)]]&lt;0.7,14,Table1[[#This Row],[Yield (Annualised)]]&gt;0.7,15)</f>
        <v>#N/A</v>
      </c>
      <c r="Z1521" s="33" t="e">
        <f>DURATION(Table1[[#This Row],[Issue date]],Table1[[#This Row],[Maturity date]],Table1[[#This Row],[Current coupon %]],Table1[[#This Row],[Yield (Annualised)]],Table1[[#This Row],[Coupon Frequency2]])</f>
        <v>#N/A</v>
      </c>
      <c r="AA1521" s="33" t="e">
        <f>Table1[[#This Row],[Macaulay Duration in Years]]/(1+Table1[[#This Row],[IRR]])</f>
        <v>#N/A</v>
      </c>
      <c r="AB1521" s="58" t="e">
        <f>VLOOKUP(Table1[[#This Row],[Yield Cluster]],'Cluster Details'!$B$3:$C$16,2,0)</f>
        <v>#N/A</v>
      </c>
      <c r="AC1521" s="78" t="e">
        <f>PRICE(Table1[[#This Row],[Issue date]],Table1[[#This Row],[Maturity date]],Table1[[#This Row],[Current coupon %]],Table1[[#This Row],[Average Cluster Yield]],100,Table1[[#This Row],[Coupon Frequency2]])*Table1[[#This Row],[Face value]]/100</f>
        <v>#N/A</v>
      </c>
      <c r="AD1521" s="58" t="e">
        <f>IF(Table1[[#This Row],[Ask Price]]&gt;Table1[[#This Row],[Calculated Bond Price]],"Rich","Cheap")</f>
        <v>#N/A</v>
      </c>
      <c r="AE1521" s="78" t="e">
        <f>PRICE(Table1[[#This Row],[Issue date]],Table1[[#This Row],[Maturity date]],Table1[[#This Row],[Current coupon %]],Table1[[#This Row],[Yield (Annualised)]]+$AF$2,100,Table1[[#This Row],[Coupon Frequency2]])*Table1[[#This Row],[Face value]]/100</f>
        <v>#N/A</v>
      </c>
      <c r="AF1521" s="78" t="e">
        <f>PRICE(Table1[[#This Row],[Issue date]],Table1[[#This Row],[Maturity date]],Table1[[#This Row],[Current coupon %]],Table1[[#This Row],[Yield (Annualised)]]-$AF$2,100,Table1[[#This Row],[Coupon Frequency2]])*Table1[[#This Row],[Face value]]/100</f>
        <v>#N/A</v>
      </c>
      <c r="AG1521" s="78" t="e">
        <f>(Table1[[#This Row],[P (+ shock)]]+Table1[[#This Row],[P (-shock)]]-2*Table1[[#This Row],[Ask Price]])/(2*Table1[[#This Row],[Ask Price]]*($AF$2^2))</f>
        <v>#N/A</v>
      </c>
      <c r="AI1521" s="6" t="e">
        <f t="shared" si="93"/>
        <v>#DIV/0!</v>
      </c>
      <c r="AK1521" s="47" t="e">
        <f>RATE(Table1[[#This Row],[Total No. of Coupons]],Table1[[#This Row],[Coupon Amount]],-Table1[[#This Row],[Ask Price]],Table1[[#This Row],[Face value]])</f>
        <v>#N/A</v>
      </c>
      <c r="AL1521" s="27" t="e">
        <f>Table1[[#This Row],[IRR]]*Table1[[#This Row],[Coupon Frequency2]]</f>
        <v>#N/A</v>
      </c>
      <c r="AM1521" s="5" t="e">
        <f t="shared" si="94"/>
        <v>#N/A</v>
      </c>
      <c r="AN1521" t="s">
        <v>64</v>
      </c>
      <c r="AO1521" t="s">
        <v>62</v>
      </c>
      <c r="AP1521" t="str">
        <f t="shared" si="95"/>
        <v/>
      </c>
    </row>
    <row r="1522" spans="4:42" x14ac:dyDescent="0.35">
      <c r="I1522" s="22"/>
      <c r="K1522" s="6"/>
      <c r="M1522" s="22"/>
      <c r="N1522" s="21"/>
      <c r="O1522" s="21"/>
      <c r="Q1522" s="5"/>
      <c r="R1522" s="6"/>
      <c r="S1522" s="5"/>
      <c r="Y1522" s="29"/>
      <c r="Z1522" s="14"/>
      <c r="AA1522" s="33">
        <f t="shared" ref="AA1522:AA1531" si="96">Z1522/(1+C1522)</f>
        <v>0</v>
      </c>
      <c r="AB1522" s="33">
        <f t="shared" ref="AB1522:AB1531" si="97">-AA1522*F1522</f>
        <v>0</v>
      </c>
    </row>
    <row r="1523" spans="4:42" x14ac:dyDescent="0.35">
      <c r="I1523" s="22"/>
      <c r="K1523" s="6"/>
      <c r="M1523" s="22"/>
      <c r="N1523" s="21"/>
      <c r="O1523" s="21"/>
      <c r="Q1523" s="5"/>
      <c r="R1523" s="6"/>
      <c r="S1523" s="5"/>
      <c r="Y1523" s="29"/>
      <c r="Z1523" s="14"/>
      <c r="AA1523" s="33">
        <f t="shared" si="96"/>
        <v>0</v>
      </c>
      <c r="AB1523" s="33">
        <f t="shared" si="97"/>
        <v>0</v>
      </c>
    </row>
    <row r="1524" spans="4:42" x14ac:dyDescent="0.35">
      <c r="I1524" s="22"/>
      <c r="K1524" s="6"/>
      <c r="M1524" s="22"/>
      <c r="N1524" s="21"/>
      <c r="O1524" s="21"/>
      <c r="Q1524" s="5"/>
      <c r="R1524" s="6"/>
      <c r="S1524" s="5"/>
      <c r="Y1524" s="29"/>
      <c r="Z1524" s="14"/>
      <c r="AA1524" s="33">
        <f t="shared" si="96"/>
        <v>0</v>
      </c>
      <c r="AB1524" s="33">
        <f t="shared" si="97"/>
        <v>0</v>
      </c>
    </row>
    <row r="1525" spans="4:42" x14ac:dyDescent="0.35">
      <c r="I1525" s="22"/>
      <c r="K1525" s="6"/>
      <c r="M1525" s="22"/>
      <c r="N1525" s="21"/>
      <c r="O1525" s="21"/>
      <c r="Q1525" s="5"/>
      <c r="R1525" s="6"/>
      <c r="S1525" s="5"/>
      <c r="Y1525" s="29"/>
      <c r="Z1525" s="14"/>
      <c r="AA1525" s="33">
        <f t="shared" si="96"/>
        <v>0</v>
      </c>
      <c r="AB1525" s="33">
        <f t="shared" si="97"/>
        <v>0</v>
      </c>
    </row>
    <row r="1526" spans="4:42" x14ac:dyDescent="0.35">
      <c r="I1526" s="22"/>
      <c r="K1526" s="6"/>
      <c r="M1526" s="22"/>
      <c r="N1526" s="21"/>
      <c r="O1526" s="21"/>
      <c r="Q1526" s="5"/>
      <c r="R1526" s="6"/>
      <c r="S1526" s="5"/>
      <c r="Y1526" s="29"/>
      <c r="Z1526" s="14"/>
      <c r="AA1526" s="33">
        <f t="shared" si="96"/>
        <v>0</v>
      </c>
      <c r="AB1526" s="33">
        <f t="shared" si="97"/>
        <v>0</v>
      </c>
    </row>
    <row r="1527" spans="4:42" x14ac:dyDescent="0.35">
      <c r="I1527" s="22"/>
      <c r="K1527" s="6"/>
      <c r="M1527" s="22"/>
      <c r="N1527" s="21"/>
      <c r="O1527" s="21"/>
      <c r="Q1527" s="5"/>
      <c r="R1527" s="6"/>
      <c r="S1527" s="5"/>
      <c r="Y1527" s="29"/>
      <c r="Z1527" s="14"/>
      <c r="AA1527" s="33">
        <f t="shared" si="96"/>
        <v>0</v>
      </c>
      <c r="AB1527" s="33">
        <f t="shared" si="97"/>
        <v>0</v>
      </c>
    </row>
    <row r="1528" spans="4:42" x14ac:dyDescent="0.35">
      <c r="I1528" s="22"/>
      <c r="K1528" s="6"/>
      <c r="M1528" s="22"/>
      <c r="N1528" s="21"/>
      <c r="O1528" s="21"/>
      <c r="Q1528" s="5"/>
      <c r="R1528" s="6"/>
      <c r="S1528" s="5"/>
      <c r="Y1528" s="29"/>
      <c r="Z1528" s="14"/>
      <c r="AA1528" s="33">
        <f t="shared" si="96"/>
        <v>0</v>
      </c>
      <c r="AB1528" s="33">
        <f t="shared" si="97"/>
        <v>0</v>
      </c>
    </row>
    <row r="1529" spans="4:42" x14ac:dyDescent="0.35">
      <c r="I1529" s="22"/>
      <c r="K1529" s="6"/>
      <c r="M1529" s="22"/>
      <c r="N1529" s="21"/>
      <c r="O1529" s="21"/>
      <c r="Q1529" s="5"/>
      <c r="R1529" s="6"/>
      <c r="S1529" s="5"/>
      <c r="Y1529" s="29"/>
      <c r="Z1529" s="14"/>
      <c r="AA1529" s="33">
        <f t="shared" si="96"/>
        <v>0</v>
      </c>
      <c r="AB1529" s="33">
        <f t="shared" si="97"/>
        <v>0</v>
      </c>
    </row>
    <row r="1530" spans="4:42" x14ac:dyDescent="0.35">
      <c r="I1530" s="22"/>
      <c r="K1530" s="6"/>
      <c r="M1530" s="22"/>
      <c r="N1530" s="21"/>
      <c r="O1530" s="21"/>
      <c r="Q1530" s="5"/>
      <c r="R1530" s="6"/>
      <c r="S1530" s="5"/>
      <c r="Y1530" s="29"/>
      <c r="Z1530" s="14"/>
      <c r="AA1530" s="33">
        <f t="shared" si="96"/>
        <v>0</v>
      </c>
      <c r="AB1530" s="33">
        <f t="shared" si="97"/>
        <v>0</v>
      </c>
    </row>
    <row r="1531" spans="4:42" x14ac:dyDescent="0.35">
      <c r="I1531" s="22"/>
      <c r="K1531" s="6"/>
      <c r="M1531" s="22"/>
      <c r="N1531" s="21"/>
      <c r="O1531" s="21"/>
      <c r="Q1531" s="5"/>
      <c r="R1531" s="6"/>
      <c r="S1531" s="5"/>
      <c r="Y1531" s="29"/>
      <c r="Z1531" s="14"/>
      <c r="AA1531" s="33">
        <f t="shared" si="96"/>
        <v>0</v>
      </c>
      <c r="AB1531" s="33">
        <f t="shared" si="97"/>
        <v>0</v>
      </c>
    </row>
    <row r="1532" spans="4:42" x14ac:dyDescent="0.35">
      <c r="I1532" s="22"/>
      <c r="K1532" s="6"/>
      <c r="M1532" s="22"/>
      <c r="N1532" s="21"/>
      <c r="O1532" s="21"/>
      <c r="Q1532" s="5"/>
      <c r="R1532" s="6"/>
      <c r="S1532" s="5"/>
      <c r="Y1532" s="29"/>
      <c r="Z1532" s="14"/>
      <c r="AA1532" s="33">
        <f t="shared" ref="AA1532:AA1558" si="98">Z1532/(1+C1532)</f>
        <v>0</v>
      </c>
      <c r="AB1532" s="33">
        <f t="shared" ref="AB1532:AB1558" si="99">-AA1532*F1532</f>
        <v>0</v>
      </c>
    </row>
    <row r="1533" spans="4:42" x14ac:dyDescent="0.35">
      <c r="I1533" s="22"/>
      <c r="K1533" s="6"/>
      <c r="M1533" s="22"/>
      <c r="N1533" s="21"/>
      <c r="O1533" s="21"/>
      <c r="Q1533" s="5"/>
      <c r="R1533" s="6"/>
      <c r="S1533" s="5"/>
      <c r="Y1533" s="29"/>
      <c r="Z1533" s="14"/>
      <c r="AA1533" s="33">
        <f t="shared" si="98"/>
        <v>0</v>
      </c>
      <c r="AB1533" s="33">
        <f t="shared" si="99"/>
        <v>0</v>
      </c>
    </row>
    <row r="1534" spans="4:42" x14ac:dyDescent="0.35">
      <c r="I1534" s="22"/>
      <c r="K1534" s="6"/>
      <c r="M1534" s="22"/>
      <c r="N1534" s="21"/>
      <c r="O1534" s="21"/>
      <c r="Q1534" s="5"/>
      <c r="R1534" s="6"/>
      <c r="S1534" s="5"/>
      <c r="Y1534" s="29"/>
      <c r="Z1534" s="14"/>
      <c r="AA1534" s="33">
        <f t="shared" si="98"/>
        <v>0</v>
      </c>
      <c r="AB1534" s="33">
        <f t="shared" si="99"/>
        <v>0</v>
      </c>
    </row>
    <row r="1535" spans="4:42" x14ac:dyDescent="0.35">
      <c r="I1535" s="22"/>
      <c r="K1535" s="6"/>
      <c r="M1535" s="22"/>
      <c r="N1535" s="21"/>
      <c r="O1535" s="21"/>
      <c r="Q1535" s="5"/>
      <c r="R1535" s="6"/>
      <c r="S1535" s="5"/>
      <c r="Y1535" s="29"/>
      <c r="Z1535" s="14"/>
      <c r="AA1535" s="33">
        <f t="shared" si="98"/>
        <v>0</v>
      </c>
      <c r="AB1535" s="33">
        <f t="shared" si="99"/>
        <v>0</v>
      </c>
    </row>
    <row r="1536" spans="4:42" x14ac:dyDescent="0.35">
      <c r="I1536" s="22"/>
      <c r="K1536" s="6"/>
      <c r="M1536" s="22"/>
      <c r="N1536" s="21"/>
      <c r="O1536" s="21"/>
      <c r="Q1536" s="5"/>
      <c r="R1536" s="6"/>
      <c r="S1536" s="5"/>
      <c r="Y1536" s="29"/>
      <c r="Z1536" s="14"/>
      <c r="AA1536" s="33">
        <f t="shared" si="98"/>
        <v>0</v>
      </c>
      <c r="AB1536" s="33">
        <f t="shared" si="99"/>
        <v>0</v>
      </c>
    </row>
    <row r="1537" spans="9:28" x14ac:dyDescent="0.35">
      <c r="I1537" s="22"/>
      <c r="K1537" s="6"/>
      <c r="M1537" s="22"/>
      <c r="N1537" s="21"/>
      <c r="O1537" s="21"/>
      <c r="Q1537" s="5"/>
      <c r="R1537" s="6"/>
      <c r="S1537" s="5"/>
      <c r="Y1537" s="29"/>
      <c r="Z1537" s="14"/>
      <c r="AA1537" s="33">
        <f t="shared" si="98"/>
        <v>0</v>
      </c>
      <c r="AB1537" s="33">
        <f t="shared" si="99"/>
        <v>0</v>
      </c>
    </row>
    <row r="1538" spans="9:28" x14ac:dyDescent="0.35">
      <c r="I1538" s="22"/>
      <c r="K1538" s="6"/>
      <c r="M1538" s="22"/>
      <c r="N1538" s="21"/>
      <c r="O1538" s="21"/>
      <c r="Q1538" s="5"/>
      <c r="R1538" s="6"/>
      <c r="S1538" s="5"/>
      <c r="Y1538" s="29"/>
      <c r="Z1538" s="14"/>
      <c r="AA1538" s="33">
        <f t="shared" si="98"/>
        <v>0</v>
      </c>
      <c r="AB1538" s="33">
        <f t="shared" si="99"/>
        <v>0</v>
      </c>
    </row>
    <row r="1539" spans="9:28" x14ac:dyDescent="0.35">
      <c r="I1539" s="22"/>
      <c r="K1539" s="6"/>
      <c r="M1539" s="22"/>
      <c r="N1539" s="21"/>
      <c r="O1539" s="21"/>
      <c r="Q1539" s="5"/>
      <c r="R1539" s="6"/>
      <c r="S1539" s="5"/>
      <c r="Y1539" s="29"/>
      <c r="Z1539" s="14"/>
      <c r="AA1539" s="33">
        <f t="shared" si="98"/>
        <v>0</v>
      </c>
      <c r="AB1539" s="33">
        <f t="shared" si="99"/>
        <v>0</v>
      </c>
    </row>
    <row r="1540" spans="9:28" x14ac:dyDescent="0.35">
      <c r="I1540" s="22"/>
      <c r="K1540" s="6"/>
      <c r="M1540" s="22"/>
      <c r="N1540" s="21"/>
      <c r="O1540" s="21"/>
      <c r="Q1540" s="5"/>
      <c r="R1540" s="6"/>
      <c r="S1540" s="5"/>
      <c r="Y1540" s="29"/>
      <c r="Z1540" s="14"/>
      <c r="AA1540" s="33">
        <f t="shared" si="98"/>
        <v>0</v>
      </c>
      <c r="AB1540" s="33">
        <f t="shared" si="99"/>
        <v>0</v>
      </c>
    </row>
    <row r="1541" spans="9:28" x14ac:dyDescent="0.35">
      <c r="I1541" s="22"/>
      <c r="K1541" s="6"/>
      <c r="M1541" s="22"/>
      <c r="N1541" s="21"/>
      <c r="O1541" s="21"/>
      <c r="Q1541" s="5"/>
      <c r="R1541" s="6"/>
      <c r="S1541" s="5"/>
      <c r="Y1541" s="29"/>
      <c r="Z1541" s="14"/>
      <c r="AA1541" s="33">
        <f t="shared" si="98"/>
        <v>0</v>
      </c>
      <c r="AB1541" s="33">
        <f t="shared" si="99"/>
        <v>0</v>
      </c>
    </row>
    <row r="1542" spans="9:28" x14ac:dyDescent="0.35">
      <c r="I1542" s="22"/>
      <c r="K1542" s="6"/>
      <c r="M1542" s="22"/>
      <c r="N1542" s="21"/>
      <c r="O1542" s="21"/>
      <c r="Q1542" s="5"/>
      <c r="R1542" s="6"/>
      <c r="S1542" s="5"/>
      <c r="Y1542" s="29"/>
      <c r="Z1542" s="14"/>
      <c r="AA1542" s="33">
        <f t="shared" si="98"/>
        <v>0</v>
      </c>
      <c r="AB1542" s="33">
        <f t="shared" si="99"/>
        <v>0</v>
      </c>
    </row>
    <row r="1543" spans="9:28" x14ac:dyDescent="0.35">
      <c r="I1543" s="22"/>
      <c r="K1543" s="6"/>
      <c r="M1543" s="22"/>
      <c r="N1543" s="21"/>
      <c r="O1543" s="21"/>
      <c r="Q1543" s="5"/>
      <c r="R1543" s="6"/>
      <c r="S1543" s="5"/>
      <c r="Y1543" s="29"/>
      <c r="Z1543" s="14"/>
      <c r="AA1543" s="33">
        <f t="shared" si="98"/>
        <v>0</v>
      </c>
      <c r="AB1543" s="33">
        <f t="shared" si="99"/>
        <v>0</v>
      </c>
    </row>
    <row r="1544" spans="9:28" x14ac:dyDescent="0.35">
      <c r="I1544" s="22"/>
      <c r="K1544" s="6"/>
      <c r="M1544" s="22"/>
      <c r="N1544" s="21"/>
      <c r="O1544" s="21"/>
      <c r="Q1544" s="5"/>
      <c r="R1544" s="6"/>
      <c r="S1544" s="5"/>
      <c r="Y1544" s="29"/>
      <c r="Z1544" s="14"/>
      <c r="AA1544" s="33">
        <f t="shared" si="98"/>
        <v>0</v>
      </c>
      <c r="AB1544" s="33">
        <f t="shared" si="99"/>
        <v>0</v>
      </c>
    </row>
    <row r="1545" spans="9:28" x14ac:dyDescent="0.35">
      <c r="I1545" s="22"/>
      <c r="K1545" s="6"/>
      <c r="M1545" s="22"/>
      <c r="N1545" s="21"/>
      <c r="O1545" s="21"/>
      <c r="Q1545" s="5"/>
      <c r="R1545" s="6"/>
      <c r="S1545" s="5"/>
      <c r="Y1545" s="29"/>
      <c r="Z1545" s="14"/>
      <c r="AA1545" s="33">
        <f t="shared" si="98"/>
        <v>0</v>
      </c>
      <c r="AB1545" s="33">
        <f t="shared" si="99"/>
        <v>0</v>
      </c>
    </row>
    <row r="1546" spans="9:28" x14ac:dyDescent="0.35">
      <c r="I1546" s="22"/>
      <c r="K1546" s="6"/>
      <c r="M1546" s="22"/>
      <c r="N1546" s="21"/>
      <c r="O1546" s="21"/>
      <c r="Q1546" s="5"/>
      <c r="R1546" s="6"/>
      <c r="S1546" s="5"/>
      <c r="Y1546" s="29"/>
      <c r="Z1546" s="14"/>
      <c r="AA1546" s="33">
        <f t="shared" si="98"/>
        <v>0</v>
      </c>
      <c r="AB1546" s="33">
        <f t="shared" si="99"/>
        <v>0</v>
      </c>
    </row>
    <row r="1547" spans="9:28" x14ac:dyDescent="0.35">
      <c r="I1547" s="22"/>
      <c r="K1547" s="6"/>
      <c r="M1547" s="22"/>
      <c r="N1547" s="21"/>
      <c r="O1547" s="21"/>
      <c r="Q1547" s="5"/>
      <c r="R1547" s="6"/>
      <c r="S1547" s="5"/>
      <c r="Y1547" s="29"/>
      <c r="Z1547" s="14"/>
      <c r="AA1547" s="33">
        <f t="shared" si="98"/>
        <v>0</v>
      </c>
      <c r="AB1547" s="33">
        <f t="shared" si="99"/>
        <v>0</v>
      </c>
    </row>
    <row r="1548" spans="9:28" x14ac:dyDescent="0.35">
      <c r="I1548" s="22"/>
      <c r="K1548" s="6"/>
      <c r="M1548" s="22"/>
      <c r="N1548" s="21"/>
      <c r="O1548" s="21"/>
      <c r="Q1548" s="5"/>
      <c r="R1548" s="6"/>
      <c r="S1548" s="5"/>
      <c r="Y1548" s="29"/>
      <c r="Z1548" s="14"/>
      <c r="AA1548" s="33">
        <f t="shared" si="98"/>
        <v>0</v>
      </c>
      <c r="AB1548" s="33">
        <f t="shared" si="99"/>
        <v>0</v>
      </c>
    </row>
    <row r="1549" spans="9:28" x14ac:dyDescent="0.35">
      <c r="I1549" s="22"/>
      <c r="K1549" s="6"/>
      <c r="M1549" s="22"/>
      <c r="N1549" s="21"/>
      <c r="O1549" s="21"/>
      <c r="Q1549" s="5"/>
      <c r="R1549" s="6"/>
      <c r="S1549" s="5"/>
      <c r="Y1549" s="29"/>
      <c r="Z1549" s="14"/>
      <c r="AA1549" s="33">
        <f t="shared" si="98"/>
        <v>0</v>
      </c>
      <c r="AB1549" s="33">
        <f t="shared" si="99"/>
        <v>0</v>
      </c>
    </row>
    <row r="1550" spans="9:28" x14ac:dyDescent="0.35">
      <c r="I1550" s="22"/>
      <c r="K1550" s="6"/>
      <c r="M1550" s="22"/>
      <c r="N1550" s="21"/>
      <c r="O1550" s="21"/>
      <c r="Q1550" s="5"/>
      <c r="R1550" s="6"/>
      <c r="S1550" s="5"/>
      <c r="Y1550" s="29"/>
      <c r="Z1550" s="14"/>
      <c r="AA1550" s="33">
        <f t="shared" si="98"/>
        <v>0</v>
      </c>
      <c r="AB1550" s="33">
        <f t="shared" si="99"/>
        <v>0</v>
      </c>
    </row>
    <row r="1551" spans="9:28" x14ac:dyDescent="0.35">
      <c r="I1551" s="22"/>
      <c r="K1551" s="6"/>
      <c r="M1551" s="22"/>
      <c r="N1551" s="21"/>
      <c r="O1551" s="21"/>
      <c r="Q1551" s="5"/>
      <c r="R1551" s="6"/>
      <c r="S1551" s="5"/>
      <c r="Y1551" s="29"/>
      <c r="Z1551" s="14"/>
      <c r="AA1551" s="33">
        <f t="shared" si="98"/>
        <v>0</v>
      </c>
      <c r="AB1551" s="33">
        <f t="shared" si="99"/>
        <v>0</v>
      </c>
    </row>
    <row r="1552" spans="9:28" x14ac:dyDescent="0.35">
      <c r="I1552" s="22"/>
      <c r="K1552" s="6"/>
      <c r="M1552" s="22"/>
      <c r="N1552" s="21"/>
      <c r="O1552" s="21"/>
      <c r="Q1552" s="5"/>
      <c r="R1552" s="6"/>
      <c r="S1552" s="5"/>
      <c r="Y1552" s="29"/>
      <c r="Z1552" s="14"/>
      <c r="AA1552" s="33">
        <f t="shared" si="98"/>
        <v>0</v>
      </c>
      <c r="AB1552" s="33">
        <f t="shared" si="99"/>
        <v>0</v>
      </c>
    </row>
    <row r="1553" spans="9:28" x14ac:dyDescent="0.35">
      <c r="I1553" s="22"/>
      <c r="K1553" s="6"/>
      <c r="M1553" s="22"/>
      <c r="N1553" s="21"/>
      <c r="O1553" s="21"/>
      <c r="Q1553" s="5"/>
      <c r="R1553" s="6"/>
      <c r="S1553" s="5"/>
      <c r="Y1553" s="29"/>
      <c r="Z1553" s="14"/>
      <c r="AA1553" s="33">
        <f t="shared" si="98"/>
        <v>0</v>
      </c>
      <c r="AB1553" s="33">
        <f t="shared" si="99"/>
        <v>0</v>
      </c>
    </row>
    <row r="1554" spans="9:28" x14ac:dyDescent="0.35">
      <c r="I1554" s="22"/>
      <c r="K1554" s="6"/>
      <c r="M1554" s="22"/>
      <c r="N1554" s="21"/>
      <c r="O1554" s="21"/>
      <c r="Q1554" s="5"/>
      <c r="R1554" s="6"/>
      <c r="S1554" s="5"/>
      <c r="Y1554" s="29"/>
      <c r="Z1554" s="14"/>
      <c r="AA1554" s="33">
        <f t="shared" si="98"/>
        <v>0</v>
      </c>
      <c r="AB1554" s="33">
        <f t="shared" si="99"/>
        <v>0</v>
      </c>
    </row>
    <row r="1555" spans="9:28" x14ac:dyDescent="0.35">
      <c r="I1555" s="22"/>
      <c r="K1555" s="6"/>
      <c r="M1555" s="22"/>
      <c r="N1555" s="21"/>
      <c r="O1555" s="21"/>
      <c r="Q1555" s="5"/>
      <c r="R1555" s="6"/>
      <c r="S1555" s="5"/>
      <c r="Y1555" s="29"/>
      <c r="Z1555" s="14"/>
      <c r="AA1555" s="33">
        <f t="shared" si="98"/>
        <v>0</v>
      </c>
      <c r="AB1555" s="33">
        <f t="shared" si="99"/>
        <v>0</v>
      </c>
    </row>
    <row r="1556" spans="9:28" x14ac:dyDescent="0.35">
      <c r="I1556" s="22"/>
      <c r="K1556" s="6"/>
      <c r="M1556" s="22"/>
      <c r="N1556" s="21"/>
      <c r="O1556" s="21"/>
      <c r="Q1556" s="5"/>
      <c r="R1556" s="6"/>
      <c r="S1556" s="5"/>
      <c r="Y1556" s="29"/>
      <c r="Z1556" s="14"/>
      <c r="AA1556" s="33">
        <f t="shared" si="98"/>
        <v>0</v>
      </c>
      <c r="AB1556" s="33">
        <f t="shared" si="99"/>
        <v>0</v>
      </c>
    </row>
    <row r="1557" spans="9:28" x14ac:dyDescent="0.35">
      <c r="I1557" s="22"/>
      <c r="K1557" s="6"/>
      <c r="M1557" s="22"/>
      <c r="N1557" s="21"/>
      <c r="O1557" s="21"/>
      <c r="Q1557" s="5"/>
      <c r="R1557" s="6"/>
      <c r="S1557" s="5"/>
      <c r="Y1557" s="29"/>
      <c r="Z1557" s="14"/>
      <c r="AA1557" s="33">
        <f t="shared" si="98"/>
        <v>0</v>
      </c>
      <c r="AB1557" s="33">
        <f t="shared" si="99"/>
        <v>0</v>
      </c>
    </row>
    <row r="1558" spans="9:28" x14ac:dyDescent="0.35">
      <c r="I1558" s="22"/>
      <c r="K1558" s="6"/>
      <c r="M1558" s="22"/>
      <c r="N1558" s="21"/>
      <c r="O1558" s="21"/>
      <c r="Q1558" s="5"/>
      <c r="R1558" s="6"/>
      <c r="S1558" s="5"/>
      <c r="Y1558" s="29"/>
      <c r="Z1558" s="14"/>
      <c r="AA1558" s="33">
        <f t="shared" si="98"/>
        <v>0</v>
      </c>
      <c r="AB1558" s="33">
        <f t="shared" si="99"/>
        <v>0</v>
      </c>
    </row>
  </sheetData>
  <mergeCells count="2">
    <mergeCell ref="A1:R1"/>
    <mergeCell ref="S1:A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54AC-7C25-4ACA-8BA5-271AEEEC5564}">
  <dimension ref="A1:AD363"/>
  <sheetViews>
    <sheetView topLeftCell="A351" workbookViewId="0">
      <selection activeCell="A364" sqref="A364:AD1390"/>
    </sheetView>
  </sheetViews>
  <sheetFormatPr defaultColWidth="8.81640625" defaultRowHeight="14.5" x14ac:dyDescent="0.35"/>
  <cols>
    <col min="14" max="15" width="10.1796875" bestFit="1" customWidth="1"/>
  </cols>
  <sheetData>
    <row r="1" spans="1:30" x14ac:dyDescent="0.35">
      <c r="A1" s="117" t="s">
        <v>2205</v>
      </c>
      <c r="B1" s="117" t="s">
        <v>2204</v>
      </c>
      <c r="C1" s="119" t="s">
        <v>2217</v>
      </c>
      <c r="D1" s="119" t="s">
        <v>2218</v>
      </c>
      <c r="E1" s="119"/>
      <c r="F1" s="117" t="s">
        <v>2215</v>
      </c>
      <c r="G1" s="117" t="s">
        <v>2203</v>
      </c>
      <c r="H1" s="117" t="s">
        <v>2216</v>
      </c>
      <c r="I1" s="117"/>
      <c r="J1" s="117" t="s">
        <v>2202</v>
      </c>
      <c r="K1" s="117"/>
      <c r="L1" s="117"/>
      <c r="M1" s="117" t="s">
        <v>45</v>
      </c>
      <c r="N1" s="117" t="s">
        <v>61</v>
      </c>
      <c r="O1" s="117" t="s">
        <v>60</v>
      </c>
      <c r="P1" s="117" t="s">
        <v>2201</v>
      </c>
      <c r="Q1" s="117" t="s">
        <v>2200</v>
      </c>
      <c r="R1" s="117" t="s">
        <v>2199</v>
      </c>
      <c r="S1" s="117" t="s">
        <v>2198</v>
      </c>
      <c r="T1" s="117"/>
      <c r="U1" s="117" t="s">
        <v>2209</v>
      </c>
      <c r="V1" s="117" t="s">
        <v>2219</v>
      </c>
      <c r="W1" s="122" t="s">
        <v>2210</v>
      </c>
      <c r="X1" s="124" t="s">
        <v>2211</v>
      </c>
      <c r="Y1" s="117" t="s">
        <v>2213</v>
      </c>
      <c r="Z1" s="117" t="s">
        <v>2214</v>
      </c>
      <c r="AA1" s="117" t="s">
        <v>36</v>
      </c>
      <c r="AB1" s="117" t="s">
        <v>2196</v>
      </c>
      <c r="AC1" s="117" t="s">
        <v>2197</v>
      </c>
      <c r="AD1" s="121" t="s">
        <v>2212</v>
      </c>
    </row>
    <row r="2" spans="1:30" ht="15" thickBot="1" x14ac:dyDescent="0.4">
      <c r="A2" s="118"/>
      <c r="B2" s="118"/>
      <c r="C2" s="120"/>
      <c r="D2" s="120"/>
      <c r="E2" s="12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23"/>
      <c r="X2" s="124"/>
      <c r="Y2" s="118"/>
      <c r="Z2" s="118"/>
      <c r="AA2" s="118"/>
      <c r="AB2" s="118"/>
      <c r="AC2" s="118"/>
      <c r="AD2" s="121"/>
    </row>
    <row r="3" spans="1:30" x14ac:dyDescent="0.35">
      <c r="A3" t="s">
        <v>2192</v>
      </c>
      <c r="B3" t="s">
        <v>316</v>
      </c>
      <c r="C3" t="e">
        <v>#VALUE!</v>
      </c>
      <c r="D3" t="e">
        <v>#VALUE!</v>
      </c>
      <c r="F3">
        <v>1273.3499999999999</v>
      </c>
      <c r="G3" t="s">
        <v>76</v>
      </c>
      <c r="H3">
        <v>1000</v>
      </c>
      <c r="J3">
        <v>25</v>
      </c>
      <c r="M3">
        <v>0</v>
      </c>
      <c r="N3" s="21">
        <v>44784</v>
      </c>
      <c r="O3" s="21">
        <v>45879</v>
      </c>
      <c r="P3">
        <v>3</v>
      </c>
      <c r="Q3">
        <v>0</v>
      </c>
      <c r="R3">
        <v>0</v>
      </c>
      <c r="S3" t="s">
        <v>63</v>
      </c>
      <c r="U3">
        <v>0</v>
      </c>
      <c r="V3" t="e">
        <v>#VALUE!</v>
      </c>
      <c r="W3" t="e">
        <v>#VALUE!</v>
      </c>
      <c r="X3" t="e">
        <v>#VALUE!</v>
      </c>
      <c r="Y3" t="e">
        <v>#VALUE!</v>
      </c>
      <c r="Z3" t="e">
        <v>#VALUE!</v>
      </c>
      <c r="AA3" t="e">
        <v>#VALUE!</v>
      </c>
      <c r="AB3" t="s">
        <v>64</v>
      </c>
      <c r="AC3" t="s">
        <v>62</v>
      </c>
      <c r="AD3" t="s">
        <v>2220</v>
      </c>
    </row>
    <row r="4" spans="1:30" x14ac:dyDescent="0.35">
      <c r="A4" t="s">
        <v>2190</v>
      </c>
      <c r="B4" t="s">
        <v>353</v>
      </c>
      <c r="C4" t="e">
        <v>#VALUE!</v>
      </c>
      <c r="D4" t="e">
        <v>#VALUE!</v>
      </c>
      <c r="F4">
        <v>980</v>
      </c>
      <c r="G4" t="s">
        <v>76</v>
      </c>
      <c r="H4">
        <v>1000</v>
      </c>
      <c r="J4">
        <v>2</v>
      </c>
      <c r="L4">
        <v>24.829931972789101</v>
      </c>
      <c r="M4">
        <v>0</v>
      </c>
      <c r="N4" s="21">
        <v>44785</v>
      </c>
      <c r="O4" s="21">
        <v>45880</v>
      </c>
      <c r="P4">
        <v>1</v>
      </c>
      <c r="Q4">
        <v>0</v>
      </c>
      <c r="R4">
        <v>0</v>
      </c>
      <c r="S4" t="s">
        <v>63</v>
      </c>
      <c r="U4">
        <v>0</v>
      </c>
      <c r="V4" t="e">
        <v>#VALUE!</v>
      </c>
      <c r="W4" t="e">
        <v>#VALUE!</v>
      </c>
      <c r="X4" t="e">
        <v>#VALUE!</v>
      </c>
      <c r="Y4" t="e">
        <v>#VALUE!</v>
      </c>
      <c r="Z4" t="e">
        <v>#VALUE!</v>
      </c>
      <c r="AA4" t="e">
        <v>#VALUE!</v>
      </c>
      <c r="AB4" t="s">
        <v>64</v>
      </c>
      <c r="AC4" t="s">
        <v>62</v>
      </c>
      <c r="AD4" t="s">
        <v>2220</v>
      </c>
    </row>
    <row r="5" spans="1:30" x14ac:dyDescent="0.35">
      <c r="A5" t="s">
        <v>2184</v>
      </c>
      <c r="B5" t="s">
        <v>316</v>
      </c>
      <c r="C5" t="e">
        <v>#VALUE!</v>
      </c>
      <c r="D5" t="e">
        <v>#VALUE!</v>
      </c>
      <c r="F5">
        <v>1979.8</v>
      </c>
      <c r="G5" t="s">
        <v>76</v>
      </c>
      <c r="H5">
        <v>1000</v>
      </c>
      <c r="J5">
        <v>37</v>
      </c>
      <c r="M5">
        <v>0</v>
      </c>
      <c r="N5" s="21">
        <v>44786</v>
      </c>
      <c r="O5" s="21">
        <v>45881</v>
      </c>
      <c r="P5">
        <v>7</v>
      </c>
      <c r="Q5">
        <v>0</v>
      </c>
      <c r="R5">
        <v>0</v>
      </c>
      <c r="S5" t="s">
        <v>63</v>
      </c>
      <c r="U5">
        <v>0</v>
      </c>
      <c r="V5" t="e">
        <v>#VALUE!</v>
      </c>
      <c r="W5" t="e">
        <v>#VALUE!</v>
      </c>
      <c r="X5" t="e">
        <v>#VALUE!</v>
      </c>
      <c r="Y5" t="e">
        <v>#VALUE!</v>
      </c>
      <c r="Z5" t="e">
        <v>#VALUE!</v>
      </c>
      <c r="AA5" t="e">
        <v>#VALUE!</v>
      </c>
      <c r="AB5" t="s">
        <v>64</v>
      </c>
      <c r="AC5" t="s">
        <v>62</v>
      </c>
      <c r="AD5" t="s">
        <v>2220</v>
      </c>
    </row>
    <row r="6" spans="1:30" x14ac:dyDescent="0.35">
      <c r="A6" t="s">
        <v>2175</v>
      </c>
      <c r="B6" t="s">
        <v>357</v>
      </c>
      <c r="C6" t="e">
        <v>#VALUE!</v>
      </c>
      <c r="D6" t="e">
        <v>#VALUE!</v>
      </c>
      <c r="F6">
        <v>1428.44</v>
      </c>
      <c r="G6" t="s">
        <v>76</v>
      </c>
      <c r="H6">
        <v>1000</v>
      </c>
      <c r="J6">
        <v>5</v>
      </c>
      <c r="M6">
        <v>0</v>
      </c>
      <c r="N6" s="21">
        <v>44787</v>
      </c>
      <c r="O6" s="21">
        <v>45882</v>
      </c>
      <c r="P6">
        <v>4</v>
      </c>
      <c r="Q6">
        <v>0</v>
      </c>
      <c r="R6">
        <v>0</v>
      </c>
      <c r="S6" t="s">
        <v>63</v>
      </c>
      <c r="U6">
        <v>0</v>
      </c>
      <c r="V6" t="e">
        <v>#VALUE!</v>
      </c>
      <c r="W6" t="e">
        <v>#VALUE!</v>
      </c>
      <c r="X6" t="e">
        <v>#VALUE!</v>
      </c>
      <c r="Y6" t="e">
        <v>#VALUE!</v>
      </c>
      <c r="Z6" t="e">
        <v>#VALUE!</v>
      </c>
      <c r="AA6" t="e">
        <v>#VALUE!</v>
      </c>
      <c r="AB6" t="s">
        <v>64</v>
      </c>
      <c r="AC6" t="s">
        <v>62</v>
      </c>
      <c r="AD6" t="s">
        <v>2220</v>
      </c>
    </row>
    <row r="7" spans="1:30" x14ac:dyDescent="0.35">
      <c r="A7" t="s">
        <v>2169</v>
      </c>
      <c r="B7" t="s">
        <v>875</v>
      </c>
      <c r="C7" t="e">
        <v>#VALUE!</v>
      </c>
      <c r="D7" t="e">
        <v>#VALUE!</v>
      </c>
      <c r="F7">
        <v>1172</v>
      </c>
      <c r="G7" t="s">
        <v>76</v>
      </c>
      <c r="H7">
        <v>1000</v>
      </c>
      <c r="J7">
        <v>10</v>
      </c>
      <c r="L7">
        <v>-82.410081386190598</v>
      </c>
      <c r="M7">
        <v>0</v>
      </c>
      <c r="N7" s="21">
        <v>44788</v>
      </c>
      <c r="O7" s="21">
        <v>45883</v>
      </c>
      <c r="P7">
        <v>2</v>
      </c>
      <c r="Q7">
        <v>0</v>
      </c>
      <c r="R7">
        <v>0</v>
      </c>
      <c r="S7" t="s">
        <v>63</v>
      </c>
      <c r="U7">
        <v>0</v>
      </c>
      <c r="V7" t="e">
        <v>#VALUE!</v>
      </c>
      <c r="W7" t="e">
        <v>#VALUE!</v>
      </c>
      <c r="X7" t="e">
        <v>#VALUE!</v>
      </c>
      <c r="Y7" t="e">
        <v>#VALUE!</v>
      </c>
      <c r="Z7" t="e">
        <v>#VALUE!</v>
      </c>
      <c r="AA7" t="e">
        <v>#VALUE!</v>
      </c>
      <c r="AB7" t="s">
        <v>64</v>
      </c>
      <c r="AC7" t="s">
        <v>62</v>
      </c>
      <c r="AD7" t="s">
        <v>2220</v>
      </c>
    </row>
    <row r="8" spans="1:30" x14ac:dyDescent="0.35">
      <c r="A8" t="s">
        <v>2162</v>
      </c>
      <c r="B8" t="s">
        <v>119</v>
      </c>
      <c r="C8" t="e">
        <v>#VALUE!</v>
      </c>
      <c r="D8" t="e">
        <v>#VALUE!</v>
      </c>
      <c r="F8">
        <v>1148.3499999999999</v>
      </c>
      <c r="G8" t="s">
        <v>76</v>
      </c>
      <c r="H8">
        <v>1000</v>
      </c>
      <c r="J8">
        <v>20</v>
      </c>
      <c r="L8">
        <v>-69.342137952407299</v>
      </c>
      <c r="M8">
        <v>0</v>
      </c>
      <c r="N8" s="21">
        <v>44789</v>
      </c>
      <c r="O8" s="21">
        <v>45884</v>
      </c>
      <c r="P8">
        <v>2</v>
      </c>
      <c r="Q8">
        <v>0</v>
      </c>
      <c r="R8">
        <v>0</v>
      </c>
      <c r="S8" t="s">
        <v>63</v>
      </c>
      <c r="U8">
        <v>0</v>
      </c>
      <c r="V8" t="e">
        <v>#VALUE!</v>
      </c>
      <c r="W8" t="e">
        <v>#VALUE!</v>
      </c>
      <c r="X8" t="e">
        <v>#VALUE!</v>
      </c>
      <c r="Y8" t="e">
        <v>#VALUE!</v>
      </c>
      <c r="Z8" t="e">
        <v>#VALUE!</v>
      </c>
      <c r="AA8" t="e">
        <v>#VALUE!</v>
      </c>
      <c r="AB8" t="s">
        <v>64</v>
      </c>
      <c r="AC8" t="s">
        <v>62</v>
      </c>
      <c r="AD8" t="s">
        <v>2220</v>
      </c>
    </row>
    <row r="9" spans="1:30" x14ac:dyDescent="0.35">
      <c r="A9" t="s">
        <v>2158</v>
      </c>
      <c r="B9" t="s">
        <v>241</v>
      </c>
      <c r="C9" t="e">
        <v>#VALUE!</v>
      </c>
      <c r="D9" t="e">
        <v>#VALUE!</v>
      </c>
      <c r="F9">
        <v>1154.8499999999999</v>
      </c>
      <c r="G9" t="s">
        <v>76</v>
      </c>
      <c r="H9">
        <v>1000</v>
      </c>
      <c r="J9">
        <v>100</v>
      </c>
      <c r="L9">
        <v>-71.972996238370598</v>
      </c>
      <c r="M9">
        <v>0</v>
      </c>
      <c r="N9" s="21">
        <v>44790</v>
      </c>
      <c r="O9" s="21">
        <v>45885</v>
      </c>
      <c r="P9">
        <v>2</v>
      </c>
      <c r="Q9">
        <v>0</v>
      </c>
      <c r="R9">
        <v>0</v>
      </c>
      <c r="S9" t="s">
        <v>63</v>
      </c>
      <c r="U9">
        <v>0</v>
      </c>
      <c r="V9" t="e">
        <v>#VALUE!</v>
      </c>
      <c r="W9" t="e">
        <v>#VALUE!</v>
      </c>
      <c r="X9" t="e">
        <v>#VALUE!</v>
      </c>
      <c r="Y9" t="e">
        <v>#VALUE!</v>
      </c>
      <c r="Z9" t="e">
        <v>#VALUE!</v>
      </c>
      <c r="AA9" t="e">
        <v>#VALUE!</v>
      </c>
      <c r="AB9" t="s">
        <v>64</v>
      </c>
      <c r="AC9" t="s">
        <v>62</v>
      </c>
      <c r="AD9" t="s">
        <v>2220</v>
      </c>
    </row>
    <row r="10" spans="1:30" x14ac:dyDescent="0.35">
      <c r="A10" t="s">
        <v>2157</v>
      </c>
      <c r="B10" t="s">
        <v>316</v>
      </c>
      <c r="C10" t="e">
        <v>#VALUE!</v>
      </c>
      <c r="D10" t="e">
        <v>#VALUE!</v>
      </c>
      <c r="F10">
        <v>1725.81</v>
      </c>
      <c r="G10" t="s">
        <v>76</v>
      </c>
      <c r="H10">
        <v>1000</v>
      </c>
      <c r="J10">
        <v>1</v>
      </c>
      <c r="L10">
        <v>-78.720568075131993</v>
      </c>
      <c r="M10">
        <v>0</v>
      </c>
      <c r="N10" s="21">
        <v>44791</v>
      </c>
      <c r="O10" s="21">
        <v>45886</v>
      </c>
      <c r="P10">
        <v>7</v>
      </c>
      <c r="Q10">
        <v>0</v>
      </c>
      <c r="R10">
        <v>0</v>
      </c>
      <c r="S10" t="s">
        <v>63</v>
      </c>
      <c r="U10">
        <v>0</v>
      </c>
      <c r="V10" t="e">
        <v>#VALUE!</v>
      </c>
      <c r="W10" t="e">
        <v>#VALUE!</v>
      </c>
      <c r="X10" t="e">
        <v>#VALUE!</v>
      </c>
      <c r="Y10" t="e">
        <v>#VALUE!</v>
      </c>
      <c r="Z10" t="e">
        <v>#VALUE!</v>
      </c>
      <c r="AA10" t="e">
        <v>#VALUE!</v>
      </c>
      <c r="AB10" t="s">
        <v>64</v>
      </c>
      <c r="AC10" t="s">
        <v>62</v>
      </c>
      <c r="AD10" t="s">
        <v>2220</v>
      </c>
    </row>
    <row r="11" spans="1:30" x14ac:dyDescent="0.35">
      <c r="A11" t="s">
        <v>2155</v>
      </c>
      <c r="B11" t="s">
        <v>1488</v>
      </c>
      <c r="C11" t="e">
        <v>#VALUE!</v>
      </c>
      <c r="D11" t="e">
        <v>#VALUE!</v>
      </c>
      <c r="F11">
        <v>120803</v>
      </c>
      <c r="G11" t="s">
        <v>76</v>
      </c>
      <c r="H11">
        <v>100000</v>
      </c>
      <c r="J11">
        <v>1</v>
      </c>
      <c r="L11">
        <v>-89.793122450837899</v>
      </c>
      <c r="M11">
        <v>0</v>
      </c>
      <c r="N11" s="21">
        <v>44792</v>
      </c>
      <c r="O11" s="21">
        <v>45887</v>
      </c>
      <c r="P11">
        <v>2</v>
      </c>
      <c r="Q11">
        <v>0</v>
      </c>
      <c r="R11">
        <v>0</v>
      </c>
      <c r="S11" t="s">
        <v>63</v>
      </c>
      <c r="U11">
        <v>0</v>
      </c>
      <c r="V11" t="e">
        <v>#VALUE!</v>
      </c>
      <c r="W11" t="e">
        <v>#VALUE!</v>
      </c>
      <c r="X11" t="e">
        <v>#VALUE!</v>
      </c>
      <c r="Y11" t="e">
        <v>#VALUE!</v>
      </c>
      <c r="Z11" t="e">
        <v>#VALUE!</v>
      </c>
      <c r="AA11" t="e">
        <v>#VALUE!</v>
      </c>
      <c r="AB11" t="s">
        <v>64</v>
      </c>
      <c r="AC11" t="s">
        <v>62</v>
      </c>
      <c r="AD11" t="s">
        <v>2220</v>
      </c>
    </row>
    <row r="12" spans="1:30" x14ac:dyDescent="0.35">
      <c r="A12" t="s">
        <v>2154</v>
      </c>
      <c r="B12" t="s">
        <v>128</v>
      </c>
      <c r="C12" t="e">
        <v>#VALUE!</v>
      </c>
      <c r="D12" t="e">
        <v>#VALUE!</v>
      </c>
      <c r="F12">
        <v>1174</v>
      </c>
      <c r="G12" t="s">
        <v>76</v>
      </c>
      <c r="H12">
        <v>1000</v>
      </c>
      <c r="J12">
        <v>14</v>
      </c>
      <c r="L12">
        <v>-83.2263137203512</v>
      </c>
      <c r="M12">
        <v>0</v>
      </c>
      <c r="N12" s="21">
        <v>44793</v>
      </c>
      <c r="O12" s="21">
        <v>45888</v>
      </c>
      <c r="P12">
        <v>2</v>
      </c>
      <c r="Q12">
        <v>0</v>
      </c>
      <c r="R12">
        <v>0</v>
      </c>
      <c r="S12" t="s">
        <v>63</v>
      </c>
      <c r="U12">
        <v>0</v>
      </c>
      <c r="V12" t="e">
        <v>#VALUE!</v>
      </c>
      <c r="W12" t="e">
        <v>#VALUE!</v>
      </c>
      <c r="X12" t="e">
        <v>#VALUE!</v>
      </c>
      <c r="Y12" t="e">
        <v>#VALUE!</v>
      </c>
      <c r="Z12" t="e">
        <v>#VALUE!</v>
      </c>
      <c r="AA12" t="e">
        <v>#VALUE!</v>
      </c>
      <c r="AB12" t="s">
        <v>64</v>
      </c>
      <c r="AC12" t="s">
        <v>62</v>
      </c>
      <c r="AD12" t="s">
        <v>2220</v>
      </c>
    </row>
    <row r="13" spans="1:30" x14ac:dyDescent="0.35">
      <c r="A13" t="s">
        <v>2146</v>
      </c>
      <c r="B13" t="s">
        <v>128</v>
      </c>
      <c r="C13" t="e">
        <v>#VALUE!</v>
      </c>
      <c r="D13" t="e">
        <v>#VALUE!</v>
      </c>
      <c r="F13">
        <v>1210</v>
      </c>
      <c r="G13" t="s">
        <v>76</v>
      </c>
      <c r="H13">
        <v>1000</v>
      </c>
      <c r="J13">
        <v>1000</v>
      </c>
      <c r="L13">
        <v>-31.832717305535901</v>
      </c>
      <c r="M13">
        <v>0</v>
      </c>
      <c r="N13" s="21">
        <v>44794</v>
      </c>
      <c r="O13" s="21">
        <v>45889</v>
      </c>
      <c r="P13">
        <v>3</v>
      </c>
      <c r="Q13">
        <v>0</v>
      </c>
      <c r="R13">
        <v>0</v>
      </c>
      <c r="S13" t="s">
        <v>63</v>
      </c>
      <c r="U13">
        <v>0</v>
      </c>
      <c r="V13" t="e">
        <v>#VALUE!</v>
      </c>
      <c r="W13" t="e">
        <v>#VALUE!</v>
      </c>
      <c r="X13" t="e">
        <v>#VALUE!</v>
      </c>
      <c r="Y13" t="e">
        <v>#VALUE!</v>
      </c>
      <c r="Z13" t="e">
        <v>#VALUE!</v>
      </c>
      <c r="AA13" t="e">
        <v>#VALUE!</v>
      </c>
      <c r="AB13" t="s">
        <v>64</v>
      </c>
      <c r="AC13" t="s">
        <v>62</v>
      </c>
      <c r="AD13" t="s">
        <v>2220</v>
      </c>
    </row>
    <row r="14" spans="1:30" x14ac:dyDescent="0.35">
      <c r="A14" t="s">
        <v>2142</v>
      </c>
      <c r="B14" t="s">
        <v>1488</v>
      </c>
      <c r="C14" t="e">
        <v>#VALUE!</v>
      </c>
      <c r="D14" t="e">
        <v>#VALUE!</v>
      </c>
      <c r="F14">
        <v>120665</v>
      </c>
      <c r="G14" t="s">
        <v>76</v>
      </c>
      <c r="H14">
        <v>100000</v>
      </c>
      <c r="J14">
        <v>42</v>
      </c>
      <c r="L14">
        <v>-84.4724785283356</v>
      </c>
      <c r="M14">
        <v>0</v>
      </c>
      <c r="N14" s="21">
        <v>44795</v>
      </c>
      <c r="O14" s="21">
        <v>45890</v>
      </c>
      <c r="P14">
        <v>2</v>
      </c>
      <c r="Q14">
        <v>0</v>
      </c>
      <c r="R14">
        <v>0</v>
      </c>
      <c r="S14" t="s">
        <v>63</v>
      </c>
      <c r="U14">
        <v>0</v>
      </c>
      <c r="V14" t="e">
        <v>#VALUE!</v>
      </c>
      <c r="W14" t="e">
        <v>#VALUE!</v>
      </c>
      <c r="X14" t="e">
        <v>#VALUE!</v>
      </c>
      <c r="Y14" t="e">
        <v>#VALUE!</v>
      </c>
      <c r="Z14" t="e">
        <v>#VALUE!</v>
      </c>
      <c r="AA14" t="e">
        <v>#VALUE!</v>
      </c>
      <c r="AB14" t="s">
        <v>64</v>
      </c>
      <c r="AC14" t="s">
        <v>62</v>
      </c>
      <c r="AD14" t="s">
        <v>2220</v>
      </c>
    </row>
    <row r="15" spans="1:30" x14ac:dyDescent="0.35">
      <c r="A15" t="s">
        <v>2132</v>
      </c>
      <c r="B15" t="s">
        <v>338</v>
      </c>
      <c r="C15" t="e">
        <v>#VALUE!</v>
      </c>
      <c r="D15" t="e">
        <v>#VALUE!</v>
      </c>
      <c r="F15">
        <v>1090</v>
      </c>
      <c r="G15" t="s">
        <v>76</v>
      </c>
      <c r="H15">
        <v>1000</v>
      </c>
      <c r="J15">
        <v>20</v>
      </c>
      <c r="L15">
        <v>-33.118257888900096</v>
      </c>
      <c r="M15">
        <v>0</v>
      </c>
      <c r="N15" s="21">
        <v>44796</v>
      </c>
      <c r="O15" s="21">
        <v>45891</v>
      </c>
      <c r="P15">
        <v>1</v>
      </c>
      <c r="Q15">
        <v>0</v>
      </c>
      <c r="R15">
        <v>0</v>
      </c>
      <c r="S15" t="s">
        <v>63</v>
      </c>
      <c r="U15">
        <v>0</v>
      </c>
      <c r="V15" t="e">
        <v>#VALUE!</v>
      </c>
      <c r="W15" t="e">
        <v>#VALUE!</v>
      </c>
      <c r="X15" t="e">
        <v>#VALUE!</v>
      </c>
      <c r="Y15" t="e">
        <v>#VALUE!</v>
      </c>
      <c r="Z15" t="e">
        <v>#VALUE!</v>
      </c>
      <c r="AA15" t="e">
        <v>#VALUE!</v>
      </c>
      <c r="AB15" t="s">
        <v>64</v>
      </c>
      <c r="AC15" t="s">
        <v>62</v>
      </c>
      <c r="AD15" t="s">
        <v>2220</v>
      </c>
    </row>
    <row r="16" spans="1:30" x14ac:dyDescent="0.35">
      <c r="A16" t="s">
        <v>2124</v>
      </c>
      <c r="B16" t="s">
        <v>122</v>
      </c>
      <c r="C16" t="e">
        <v>#VALUE!</v>
      </c>
      <c r="D16" t="e">
        <v>#VALUE!</v>
      </c>
      <c r="F16">
        <v>1268</v>
      </c>
      <c r="G16" t="s">
        <v>76</v>
      </c>
      <c r="H16">
        <v>1000</v>
      </c>
      <c r="J16">
        <v>150</v>
      </c>
      <c r="L16">
        <v>-82.069266393717697</v>
      </c>
      <c r="M16">
        <v>0</v>
      </c>
      <c r="N16" s="21">
        <v>44797</v>
      </c>
      <c r="O16" s="21">
        <v>45892</v>
      </c>
      <c r="P16">
        <v>3</v>
      </c>
      <c r="Q16">
        <v>0</v>
      </c>
      <c r="R16">
        <v>0</v>
      </c>
      <c r="S16" t="s">
        <v>63</v>
      </c>
      <c r="U16">
        <v>0</v>
      </c>
      <c r="V16" t="e">
        <v>#VALUE!</v>
      </c>
      <c r="W16" t="e">
        <v>#VALUE!</v>
      </c>
      <c r="X16" t="e">
        <v>#VALUE!</v>
      </c>
      <c r="Y16" t="e">
        <v>#VALUE!</v>
      </c>
      <c r="Z16" t="e">
        <v>#VALUE!</v>
      </c>
      <c r="AA16" t="e">
        <v>#VALUE!</v>
      </c>
      <c r="AB16" t="s">
        <v>64</v>
      </c>
      <c r="AC16" t="s">
        <v>62</v>
      </c>
      <c r="AD16" t="s">
        <v>2220</v>
      </c>
    </row>
    <row r="17" spans="1:30" x14ac:dyDescent="0.35">
      <c r="A17" t="s">
        <v>2119</v>
      </c>
      <c r="B17" t="s">
        <v>316</v>
      </c>
      <c r="C17" t="e">
        <v>#VALUE!</v>
      </c>
      <c r="D17" t="e">
        <v>#VALUE!</v>
      </c>
      <c r="F17">
        <v>1081</v>
      </c>
      <c r="G17" t="s">
        <v>76</v>
      </c>
      <c r="H17">
        <v>1000</v>
      </c>
      <c r="J17">
        <v>100</v>
      </c>
      <c r="L17">
        <v>-19.125647710291499</v>
      </c>
      <c r="M17">
        <v>0</v>
      </c>
      <c r="N17" s="21">
        <v>44798</v>
      </c>
      <c r="O17" s="21">
        <v>45893</v>
      </c>
      <c r="P17">
        <v>1</v>
      </c>
      <c r="Q17">
        <v>0</v>
      </c>
      <c r="R17">
        <v>0</v>
      </c>
      <c r="S17" t="s">
        <v>63</v>
      </c>
      <c r="U17">
        <v>0</v>
      </c>
      <c r="V17" t="e">
        <v>#VALUE!</v>
      </c>
      <c r="W17" t="e">
        <v>#VALUE!</v>
      </c>
      <c r="X17" t="e">
        <v>#VALUE!</v>
      </c>
      <c r="Y17" t="e">
        <v>#VALUE!</v>
      </c>
      <c r="Z17" t="e">
        <v>#VALUE!</v>
      </c>
      <c r="AA17" t="e">
        <v>#VALUE!</v>
      </c>
      <c r="AB17" t="s">
        <v>64</v>
      </c>
      <c r="AC17" t="s">
        <v>62</v>
      </c>
      <c r="AD17" t="s">
        <v>2220</v>
      </c>
    </row>
    <row r="18" spans="1:30" x14ac:dyDescent="0.35">
      <c r="A18" t="s">
        <v>2117</v>
      </c>
      <c r="B18" t="s">
        <v>122</v>
      </c>
      <c r="C18" t="e">
        <v>#VALUE!</v>
      </c>
      <c r="D18" t="e">
        <v>#VALUE!</v>
      </c>
      <c r="F18">
        <v>1130.2</v>
      </c>
      <c r="G18" t="s">
        <v>76</v>
      </c>
      <c r="H18">
        <v>1000</v>
      </c>
      <c r="J18">
        <v>105</v>
      </c>
      <c r="L18">
        <v>-33.909927446469602</v>
      </c>
      <c r="M18">
        <v>0</v>
      </c>
      <c r="N18" s="21">
        <v>44799</v>
      </c>
      <c r="O18" s="21">
        <v>45894</v>
      </c>
      <c r="P18">
        <v>2</v>
      </c>
      <c r="Q18">
        <v>0</v>
      </c>
      <c r="R18">
        <v>0</v>
      </c>
      <c r="S18" t="s">
        <v>63</v>
      </c>
      <c r="U18">
        <v>0</v>
      </c>
      <c r="V18" t="e">
        <v>#VALUE!</v>
      </c>
      <c r="W18" t="e">
        <v>#VALUE!</v>
      </c>
      <c r="X18" t="e">
        <v>#VALUE!</v>
      </c>
      <c r="Y18" t="e">
        <v>#VALUE!</v>
      </c>
      <c r="Z18" t="e">
        <v>#VALUE!</v>
      </c>
      <c r="AA18" t="e">
        <v>#VALUE!</v>
      </c>
      <c r="AB18" t="s">
        <v>64</v>
      </c>
      <c r="AC18" t="s">
        <v>62</v>
      </c>
      <c r="AD18" t="s">
        <v>2220</v>
      </c>
    </row>
    <row r="19" spans="1:30" x14ac:dyDescent="0.35">
      <c r="A19" t="s">
        <v>2116</v>
      </c>
      <c r="B19" t="s">
        <v>241</v>
      </c>
      <c r="C19" t="e">
        <v>#VALUE!</v>
      </c>
      <c r="D19" t="e">
        <v>#VALUE!</v>
      </c>
      <c r="F19">
        <v>1515.2</v>
      </c>
      <c r="G19" t="s">
        <v>76</v>
      </c>
      <c r="H19">
        <v>1000</v>
      </c>
      <c r="J19">
        <v>20</v>
      </c>
      <c r="M19">
        <v>0</v>
      </c>
      <c r="N19" s="21">
        <v>44800</v>
      </c>
      <c r="O19" s="21">
        <v>45895</v>
      </c>
      <c r="P19">
        <v>5</v>
      </c>
      <c r="Q19">
        <v>0</v>
      </c>
      <c r="R19">
        <v>0</v>
      </c>
      <c r="S19" t="s">
        <v>63</v>
      </c>
      <c r="U19">
        <v>0</v>
      </c>
      <c r="V19" t="e">
        <v>#VALUE!</v>
      </c>
      <c r="W19" t="e">
        <v>#VALUE!</v>
      </c>
      <c r="X19" t="e">
        <v>#VALUE!</v>
      </c>
      <c r="Y19" t="e">
        <v>#VALUE!</v>
      </c>
      <c r="Z19" t="e">
        <v>#VALUE!</v>
      </c>
      <c r="AA19" t="e">
        <v>#VALUE!</v>
      </c>
      <c r="AB19" t="s">
        <v>64</v>
      </c>
      <c r="AC19" t="s">
        <v>62</v>
      </c>
      <c r="AD19" t="s">
        <v>2220</v>
      </c>
    </row>
    <row r="20" spans="1:30" x14ac:dyDescent="0.35">
      <c r="A20" t="s">
        <v>2113</v>
      </c>
      <c r="B20" t="s">
        <v>316</v>
      </c>
      <c r="C20" t="e">
        <v>#VALUE!</v>
      </c>
      <c r="D20" t="e">
        <v>#VALUE!</v>
      </c>
      <c r="F20">
        <v>1146</v>
      </c>
      <c r="G20" t="s">
        <v>76</v>
      </c>
      <c r="H20">
        <v>1000</v>
      </c>
      <c r="J20">
        <v>100</v>
      </c>
      <c r="L20">
        <v>-18.902793739979199</v>
      </c>
      <c r="M20">
        <v>0</v>
      </c>
      <c r="N20" s="21">
        <v>44801</v>
      </c>
      <c r="O20" s="21">
        <v>45896</v>
      </c>
      <c r="P20">
        <v>2</v>
      </c>
      <c r="Q20">
        <v>0</v>
      </c>
      <c r="R20">
        <v>0</v>
      </c>
      <c r="S20" t="s">
        <v>63</v>
      </c>
      <c r="U20">
        <v>0</v>
      </c>
      <c r="V20" t="e">
        <v>#VALUE!</v>
      </c>
      <c r="W20" t="e">
        <v>#VALUE!</v>
      </c>
      <c r="X20" t="e">
        <v>#VALUE!</v>
      </c>
      <c r="Y20" t="e">
        <v>#VALUE!</v>
      </c>
      <c r="Z20" t="e">
        <v>#VALUE!</v>
      </c>
      <c r="AA20" t="e">
        <v>#VALUE!</v>
      </c>
      <c r="AB20" t="s">
        <v>64</v>
      </c>
      <c r="AC20" t="s">
        <v>62</v>
      </c>
      <c r="AD20" t="s">
        <v>2220</v>
      </c>
    </row>
    <row r="21" spans="1:30" x14ac:dyDescent="0.35">
      <c r="A21" t="s">
        <v>2111</v>
      </c>
      <c r="B21" t="s">
        <v>241</v>
      </c>
      <c r="C21" t="e">
        <v>#VALUE!</v>
      </c>
      <c r="D21" t="e">
        <v>#VALUE!</v>
      </c>
      <c r="F21">
        <v>1151.8</v>
      </c>
      <c r="G21" t="s">
        <v>76</v>
      </c>
      <c r="H21">
        <v>1000</v>
      </c>
      <c r="J21">
        <v>3</v>
      </c>
      <c r="L21">
        <v>-44.132757502815601</v>
      </c>
      <c r="M21">
        <v>0</v>
      </c>
      <c r="N21" s="21">
        <v>44802</v>
      </c>
      <c r="O21" s="21">
        <v>45897</v>
      </c>
      <c r="P21">
        <v>2</v>
      </c>
      <c r="Q21">
        <v>0</v>
      </c>
      <c r="R21">
        <v>0</v>
      </c>
      <c r="S21" t="s">
        <v>63</v>
      </c>
      <c r="U21">
        <v>0</v>
      </c>
      <c r="V21" t="e">
        <v>#VALUE!</v>
      </c>
      <c r="W21" t="e">
        <v>#VALUE!</v>
      </c>
      <c r="X21" t="e">
        <v>#VALUE!</v>
      </c>
      <c r="Y21" t="e">
        <v>#VALUE!</v>
      </c>
      <c r="Z21" t="e">
        <v>#VALUE!</v>
      </c>
      <c r="AA21" t="e">
        <v>#VALUE!</v>
      </c>
      <c r="AB21" t="s">
        <v>64</v>
      </c>
      <c r="AC21" t="s">
        <v>62</v>
      </c>
      <c r="AD21" t="s">
        <v>2220</v>
      </c>
    </row>
    <row r="22" spans="1:30" x14ac:dyDescent="0.35">
      <c r="A22" t="s">
        <v>2108</v>
      </c>
      <c r="B22" t="s">
        <v>353</v>
      </c>
      <c r="C22" t="e">
        <v>#VALUE!</v>
      </c>
      <c r="D22" t="e">
        <v>#VALUE!</v>
      </c>
      <c r="F22">
        <v>1189</v>
      </c>
      <c r="G22" t="s">
        <v>76</v>
      </c>
      <c r="H22">
        <v>1000</v>
      </c>
      <c r="J22">
        <v>553</v>
      </c>
      <c r="L22">
        <v>-57.444895036181499</v>
      </c>
      <c r="M22">
        <v>0</v>
      </c>
      <c r="N22" s="21">
        <v>44803</v>
      </c>
      <c r="O22" s="21">
        <v>45898</v>
      </c>
      <c r="P22">
        <v>2</v>
      </c>
      <c r="Q22">
        <v>0</v>
      </c>
      <c r="R22">
        <v>0</v>
      </c>
      <c r="S22" t="s">
        <v>63</v>
      </c>
      <c r="U22">
        <v>0</v>
      </c>
      <c r="V22" t="e">
        <v>#VALUE!</v>
      </c>
      <c r="W22" t="e">
        <v>#VALUE!</v>
      </c>
      <c r="X22" t="e">
        <v>#VALUE!</v>
      </c>
      <c r="Y22" t="e">
        <v>#VALUE!</v>
      </c>
      <c r="Z22" t="e">
        <v>#VALUE!</v>
      </c>
      <c r="AA22" t="e">
        <v>#VALUE!</v>
      </c>
      <c r="AB22" t="s">
        <v>64</v>
      </c>
      <c r="AC22" t="s">
        <v>62</v>
      </c>
      <c r="AD22" t="s">
        <v>2220</v>
      </c>
    </row>
    <row r="23" spans="1:30" x14ac:dyDescent="0.35">
      <c r="A23" t="s">
        <v>2106</v>
      </c>
      <c r="B23" t="s">
        <v>128</v>
      </c>
      <c r="C23" t="e">
        <v>#VALUE!</v>
      </c>
      <c r="D23" t="e">
        <v>#VALUE!</v>
      </c>
      <c r="F23">
        <v>1222</v>
      </c>
      <c r="G23" t="s">
        <v>76</v>
      </c>
      <c r="H23">
        <v>1000</v>
      </c>
      <c r="J23">
        <v>50</v>
      </c>
      <c r="L23">
        <v>-39.706185011319398</v>
      </c>
      <c r="M23">
        <v>0</v>
      </c>
      <c r="N23" s="21">
        <v>44804</v>
      </c>
      <c r="O23" s="21">
        <v>45899</v>
      </c>
      <c r="P23">
        <v>3</v>
      </c>
      <c r="Q23">
        <v>0</v>
      </c>
      <c r="R23">
        <v>0</v>
      </c>
      <c r="S23" t="s">
        <v>63</v>
      </c>
      <c r="U23">
        <v>0</v>
      </c>
      <c r="V23" t="e">
        <v>#VALUE!</v>
      </c>
      <c r="W23" t="e">
        <v>#VALUE!</v>
      </c>
      <c r="X23" t="e">
        <v>#VALUE!</v>
      </c>
      <c r="Y23" t="e">
        <v>#VALUE!</v>
      </c>
      <c r="Z23" t="e">
        <v>#VALUE!</v>
      </c>
      <c r="AA23" t="e">
        <v>#VALUE!</v>
      </c>
      <c r="AB23" t="s">
        <v>64</v>
      </c>
      <c r="AC23" t="s">
        <v>62</v>
      </c>
      <c r="AD23" t="s">
        <v>2220</v>
      </c>
    </row>
    <row r="24" spans="1:30" x14ac:dyDescent="0.35">
      <c r="A24" t="s">
        <v>2102</v>
      </c>
      <c r="B24" t="s">
        <v>272</v>
      </c>
      <c r="C24" t="e">
        <v>#VALUE!</v>
      </c>
      <c r="D24" t="e">
        <v>#VALUE!</v>
      </c>
      <c r="F24">
        <v>1216</v>
      </c>
      <c r="G24" t="s">
        <v>76</v>
      </c>
      <c r="H24">
        <v>1000</v>
      </c>
      <c r="J24">
        <v>95</v>
      </c>
      <c r="L24">
        <v>-56.378718535469098</v>
      </c>
      <c r="M24">
        <v>0</v>
      </c>
      <c r="N24" s="21">
        <v>44805</v>
      </c>
      <c r="O24" s="21">
        <v>45900</v>
      </c>
      <c r="P24">
        <v>3</v>
      </c>
      <c r="Q24">
        <v>0</v>
      </c>
      <c r="R24">
        <v>0</v>
      </c>
      <c r="S24" t="s">
        <v>63</v>
      </c>
      <c r="U24">
        <v>0</v>
      </c>
      <c r="V24" t="e">
        <v>#VALUE!</v>
      </c>
      <c r="W24" t="e">
        <v>#VALUE!</v>
      </c>
      <c r="X24" t="e">
        <v>#VALUE!</v>
      </c>
      <c r="Y24" t="e">
        <v>#VALUE!</v>
      </c>
      <c r="Z24" t="e">
        <v>#VALUE!</v>
      </c>
      <c r="AA24" t="e">
        <v>#VALUE!</v>
      </c>
      <c r="AB24" t="s">
        <v>64</v>
      </c>
      <c r="AC24" t="s">
        <v>62</v>
      </c>
      <c r="AD24" t="s">
        <v>2220</v>
      </c>
    </row>
    <row r="25" spans="1:30" x14ac:dyDescent="0.35">
      <c r="A25" t="s">
        <v>2095</v>
      </c>
      <c r="B25" t="s">
        <v>272</v>
      </c>
      <c r="C25" t="e">
        <v>#VALUE!</v>
      </c>
      <c r="D25" t="e">
        <v>#VALUE!</v>
      </c>
      <c r="F25">
        <v>1425</v>
      </c>
      <c r="G25" t="s">
        <v>76</v>
      </c>
      <c r="H25">
        <v>1000</v>
      </c>
      <c r="J25">
        <v>318</v>
      </c>
      <c r="L25">
        <v>-93.042435147698299</v>
      </c>
      <c r="M25">
        <v>0</v>
      </c>
      <c r="N25" s="21">
        <v>44806</v>
      </c>
      <c r="O25" s="21">
        <v>45901</v>
      </c>
      <c r="P25">
        <v>5</v>
      </c>
      <c r="Q25">
        <v>0</v>
      </c>
      <c r="R25">
        <v>0</v>
      </c>
      <c r="S25" t="s">
        <v>63</v>
      </c>
      <c r="U25">
        <v>0</v>
      </c>
      <c r="V25" t="e">
        <v>#VALUE!</v>
      </c>
      <c r="W25" t="e">
        <v>#VALUE!</v>
      </c>
      <c r="X25" t="e">
        <v>#VALUE!</v>
      </c>
      <c r="Y25" t="e">
        <v>#VALUE!</v>
      </c>
      <c r="Z25" t="e">
        <v>#VALUE!</v>
      </c>
      <c r="AA25" t="e">
        <v>#VALUE!</v>
      </c>
      <c r="AB25" t="s">
        <v>64</v>
      </c>
      <c r="AC25" t="s">
        <v>62</v>
      </c>
      <c r="AD25" t="s">
        <v>2220</v>
      </c>
    </row>
    <row r="26" spans="1:30" x14ac:dyDescent="0.35">
      <c r="A26" t="s">
        <v>2093</v>
      </c>
      <c r="B26" t="s">
        <v>241</v>
      </c>
      <c r="C26" t="e">
        <v>#VALUE!</v>
      </c>
      <c r="D26" t="e">
        <v>#VALUE!</v>
      </c>
      <c r="F26">
        <v>1158.8</v>
      </c>
      <c r="G26" t="s">
        <v>76</v>
      </c>
      <c r="H26">
        <v>1000</v>
      </c>
      <c r="J26">
        <v>180</v>
      </c>
      <c r="L26">
        <v>-46.746715100055098</v>
      </c>
      <c r="M26">
        <v>0</v>
      </c>
      <c r="N26" s="21">
        <v>44807</v>
      </c>
      <c r="O26" s="21">
        <v>45902</v>
      </c>
      <c r="P26">
        <v>3</v>
      </c>
      <c r="Q26">
        <v>0</v>
      </c>
      <c r="R26">
        <v>0</v>
      </c>
      <c r="S26" t="s">
        <v>63</v>
      </c>
      <c r="U26">
        <v>0</v>
      </c>
      <c r="V26" t="e">
        <v>#VALUE!</v>
      </c>
      <c r="W26" t="e">
        <v>#VALUE!</v>
      </c>
      <c r="X26" t="e">
        <v>#VALUE!</v>
      </c>
      <c r="Y26" t="e">
        <v>#VALUE!</v>
      </c>
      <c r="Z26" t="e">
        <v>#VALUE!</v>
      </c>
      <c r="AA26" t="e">
        <v>#VALUE!</v>
      </c>
      <c r="AB26" t="s">
        <v>64</v>
      </c>
      <c r="AC26" t="s">
        <v>62</v>
      </c>
      <c r="AD26" t="s">
        <v>2220</v>
      </c>
    </row>
    <row r="27" spans="1:30" x14ac:dyDescent="0.35">
      <c r="A27" t="s">
        <v>2088</v>
      </c>
      <c r="B27" t="s">
        <v>465</v>
      </c>
      <c r="C27" t="e">
        <v>#VALUE!</v>
      </c>
      <c r="D27" t="e">
        <v>#VALUE!</v>
      </c>
      <c r="F27">
        <v>1020.1</v>
      </c>
      <c r="G27" t="s">
        <v>76</v>
      </c>
      <c r="H27">
        <v>1000</v>
      </c>
      <c r="J27">
        <v>10</v>
      </c>
      <c r="L27">
        <v>-6.1469589457041698</v>
      </c>
      <c r="M27">
        <v>0</v>
      </c>
      <c r="N27" s="21">
        <v>44808</v>
      </c>
      <c r="O27" s="21">
        <v>45903</v>
      </c>
      <c r="P27">
        <v>1</v>
      </c>
      <c r="Q27">
        <v>0</v>
      </c>
      <c r="R27">
        <v>0</v>
      </c>
      <c r="S27" t="s">
        <v>63</v>
      </c>
      <c r="U27">
        <v>0</v>
      </c>
      <c r="V27" t="e">
        <v>#VALUE!</v>
      </c>
      <c r="W27" t="e">
        <v>#VALUE!</v>
      </c>
      <c r="X27" t="e">
        <v>#VALUE!</v>
      </c>
      <c r="Y27" t="e">
        <v>#VALUE!</v>
      </c>
      <c r="Z27" t="e">
        <v>#VALUE!</v>
      </c>
      <c r="AA27" t="e">
        <v>#VALUE!</v>
      </c>
      <c r="AB27" t="s">
        <v>64</v>
      </c>
      <c r="AC27" t="s">
        <v>62</v>
      </c>
      <c r="AD27" t="s">
        <v>2220</v>
      </c>
    </row>
    <row r="28" spans="1:30" x14ac:dyDescent="0.35">
      <c r="A28" t="s">
        <v>2085</v>
      </c>
      <c r="B28" t="s">
        <v>128</v>
      </c>
      <c r="C28" t="e">
        <v>#VALUE!</v>
      </c>
      <c r="D28" t="e">
        <v>#VALUE!</v>
      </c>
      <c r="F28">
        <v>1159.9000000000001</v>
      </c>
      <c r="G28" t="s">
        <v>76</v>
      </c>
      <c r="H28">
        <v>1000</v>
      </c>
      <c r="J28">
        <v>12</v>
      </c>
      <c r="L28">
        <v>-41.584875869179299</v>
      </c>
      <c r="M28">
        <v>0</v>
      </c>
      <c r="N28" s="21">
        <v>44809</v>
      </c>
      <c r="O28" s="21">
        <v>45904</v>
      </c>
      <c r="P28">
        <v>2</v>
      </c>
      <c r="Q28">
        <v>0</v>
      </c>
      <c r="R28">
        <v>0</v>
      </c>
      <c r="S28" t="s">
        <v>63</v>
      </c>
      <c r="U28">
        <v>0</v>
      </c>
      <c r="V28" t="e">
        <v>#VALUE!</v>
      </c>
      <c r="W28" t="e">
        <v>#VALUE!</v>
      </c>
      <c r="X28" t="e">
        <v>#VALUE!</v>
      </c>
      <c r="Y28" t="e">
        <v>#VALUE!</v>
      </c>
      <c r="Z28" t="e">
        <v>#VALUE!</v>
      </c>
      <c r="AA28" t="e">
        <v>#VALUE!</v>
      </c>
      <c r="AB28" t="s">
        <v>64</v>
      </c>
      <c r="AC28" t="s">
        <v>62</v>
      </c>
      <c r="AD28" t="s">
        <v>2220</v>
      </c>
    </row>
    <row r="29" spans="1:30" x14ac:dyDescent="0.35">
      <c r="A29" t="s">
        <v>2078</v>
      </c>
      <c r="B29" t="s">
        <v>460</v>
      </c>
      <c r="C29" t="e">
        <v>#VALUE!</v>
      </c>
      <c r="D29" t="e">
        <v>#VALUE!</v>
      </c>
      <c r="F29">
        <v>1445</v>
      </c>
      <c r="G29" t="s">
        <v>76</v>
      </c>
      <c r="H29">
        <v>1000</v>
      </c>
      <c r="J29">
        <v>100</v>
      </c>
      <c r="L29">
        <v>-92.135118271030606</v>
      </c>
      <c r="M29">
        <v>0</v>
      </c>
      <c r="N29" s="21">
        <v>44810</v>
      </c>
      <c r="O29" s="21">
        <v>45905</v>
      </c>
      <c r="P29">
        <v>4</v>
      </c>
      <c r="Q29">
        <v>0</v>
      </c>
      <c r="R29">
        <v>0</v>
      </c>
      <c r="S29" t="s">
        <v>63</v>
      </c>
      <c r="U29">
        <v>0</v>
      </c>
      <c r="V29" t="e">
        <v>#VALUE!</v>
      </c>
      <c r="W29" t="e">
        <v>#VALUE!</v>
      </c>
      <c r="X29" t="e">
        <v>#VALUE!</v>
      </c>
      <c r="Y29" t="e">
        <v>#VALUE!</v>
      </c>
      <c r="Z29" t="e">
        <v>#VALUE!</v>
      </c>
      <c r="AA29" t="e">
        <v>#VALUE!</v>
      </c>
      <c r="AB29" t="s">
        <v>64</v>
      </c>
      <c r="AC29" t="s">
        <v>62</v>
      </c>
      <c r="AD29" t="s">
        <v>2220</v>
      </c>
    </row>
    <row r="30" spans="1:30" x14ac:dyDescent="0.35">
      <c r="A30" t="s">
        <v>2074</v>
      </c>
      <c r="B30" t="s">
        <v>875</v>
      </c>
      <c r="C30" t="e">
        <v>#VALUE!</v>
      </c>
      <c r="D30" t="e">
        <v>#VALUE!</v>
      </c>
      <c r="F30">
        <v>1274</v>
      </c>
      <c r="G30" t="s">
        <v>76</v>
      </c>
      <c r="H30">
        <v>1000</v>
      </c>
      <c r="J30">
        <v>1</v>
      </c>
      <c r="L30">
        <v>-56.475384841263498</v>
      </c>
      <c r="M30">
        <v>0</v>
      </c>
      <c r="N30" s="21">
        <v>44811</v>
      </c>
      <c r="O30" s="21">
        <v>45906</v>
      </c>
      <c r="P30">
        <v>3</v>
      </c>
      <c r="Q30">
        <v>0</v>
      </c>
      <c r="R30">
        <v>0</v>
      </c>
      <c r="S30" t="s">
        <v>63</v>
      </c>
      <c r="U30">
        <v>0</v>
      </c>
      <c r="V30" t="e">
        <v>#VALUE!</v>
      </c>
      <c r="W30" t="e">
        <v>#VALUE!</v>
      </c>
      <c r="X30" t="e">
        <v>#VALUE!</v>
      </c>
      <c r="Y30" t="e">
        <v>#VALUE!</v>
      </c>
      <c r="Z30" t="e">
        <v>#VALUE!</v>
      </c>
      <c r="AA30" t="e">
        <v>#VALUE!</v>
      </c>
      <c r="AB30" t="s">
        <v>64</v>
      </c>
      <c r="AC30" t="s">
        <v>62</v>
      </c>
      <c r="AD30" t="s">
        <v>2220</v>
      </c>
    </row>
    <row r="31" spans="1:30" x14ac:dyDescent="0.35">
      <c r="A31" t="s">
        <v>2069</v>
      </c>
      <c r="B31" t="s">
        <v>316</v>
      </c>
      <c r="C31" t="e">
        <v>#VALUE!</v>
      </c>
      <c r="D31" t="e">
        <v>#VALUE!</v>
      </c>
      <c r="F31">
        <v>1655</v>
      </c>
      <c r="G31" t="s">
        <v>76</v>
      </c>
      <c r="H31">
        <v>1000</v>
      </c>
      <c r="J31">
        <v>2</v>
      </c>
      <c r="L31">
        <v>-74.847768576929596</v>
      </c>
      <c r="M31">
        <v>0</v>
      </c>
      <c r="N31" s="21">
        <v>44812</v>
      </c>
      <c r="O31" s="21">
        <v>45907</v>
      </c>
      <c r="P31">
        <v>5</v>
      </c>
      <c r="Q31">
        <v>0</v>
      </c>
      <c r="R31">
        <v>0</v>
      </c>
      <c r="S31" t="s">
        <v>63</v>
      </c>
      <c r="U31">
        <v>0</v>
      </c>
      <c r="V31" t="e">
        <v>#VALUE!</v>
      </c>
      <c r="W31" t="e">
        <v>#VALUE!</v>
      </c>
      <c r="X31" t="e">
        <v>#VALUE!</v>
      </c>
      <c r="Y31" t="e">
        <v>#VALUE!</v>
      </c>
      <c r="Z31" t="e">
        <v>#VALUE!</v>
      </c>
      <c r="AA31" t="e">
        <v>#VALUE!</v>
      </c>
      <c r="AB31" t="s">
        <v>64</v>
      </c>
      <c r="AC31" t="s">
        <v>62</v>
      </c>
      <c r="AD31" t="s">
        <v>2220</v>
      </c>
    </row>
    <row r="32" spans="1:30" x14ac:dyDescent="0.35">
      <c r="A32" t="s">
        <v>2067</v>
      </c>
      <c r="B32" t="s">
        <v>947</v>
      </c>
      <c r="C32" t="e">
        <v>#VALUE!</v>
      </c>
      <c r="D32" t="e">
        <v>#VALUE!</v>
      </c>
      <c r="F32">
        <v>1935</v>
      </c>
      <c r="G32" t="s">
        <v>76</v>
      </c>
      <c r="H32">
        <v>1000</v>
      </c>
      <c r="J32">
        <v>341</v>
      </c>
      <c r="M32">
        <v>0</v>
      </c>
      <c r="N32" s="21">
        <v>44813</v>
      </c>
      <c r="O32" s="21">
        <v>45908</v>
      </c>
      <c r="P32">
        <v>7</v>
      </c>
      <c r="Q32">
        <v>0</v>
      </c>
      <c r="R32">
        <v>0</v>
      </c>
      <c r="S32" t="s">
        <v>63</v>
      </c>
      <c r="U32">
        <v>0</v>
      </c>
      <c r="V32" t="e">
        <v>#VALUE!</v>
      </c>
      <c r="W32" t="e">
        <v>#VALUE!</v>
      </c>
      <c r="X32" t="e">
        <v>#VALUE!</v>
      </c>
      <c r="Y32" t="e">
        <v>#VALUE!</v>
      </c>
      <c r="Z32" t="e">
        <v>#VALUE!</v>
      </c>
      <c r="AA32" t="e">
        <v>#VALUE!</v>
      </c>
      <c r="AB32" t="s">
        <v>64</v>
      </c>
      <c r="AC32" t="s">
        <v>62</v>
      </c>
      <c r="AD32" t="s">
        <v>2220</v>
      </c>
    </row>
    <row r="33" spans="1:30" x14ac:dyDescent="0.35">
      <c r="A33" t="s">
        <v>2066</v>
      </c>
      <c r="B33" t="s">
        <v>316</v>
      </c>
      <c r="C33" t="e">
        <v>#VALUE!</v>
      </c>
      <c r="D33" t="e">
        <v>#VALUE!</v>
      </c>
      <c r="F33">
        <v>1351.35</v>
      </c>
      <c r="G33" t="s">
        <v>76</v>
      </c>
      <c r="H33">
        <v>1000</v>
      </c>
      <c r="J33">
        <v>2</v>
      </c>
      <c r="L33">
        <v>-38.266020120858798</v>
      </c>
      <c r="M33">
        <v>0</v>
      </c>
      <c r="N33" s="21">
        <v>44814</v>
      </c>
      <c r="O33" s="21">
        <v>45909</v>
      </c>
      <c r="P33">
        <v>4</v>
      </c>
      <c r="Q33">
        <v>0</v>
      </c>
      <c r="R33">
        <v>0</v>
      </c>
      <c r="S33" t="s">
        <v>63</v>
      </c>
      <c r="U33">
        <v>0</v>
      </c>
      <c r="V33" t="e">
        <v>#VALUE!</v>
      </c>
      <c r="W33" t="e">
        <v>#VALUE!</v>
      </c>
      <c r="X33" t="e">
        <v>#VALUE!</v>
      </c>
      <c r="Y33" t="e">
        <v>#VALUE!</v>
      </c>
      <c r="Z33" t="e">
        <v>#VALUE!</v>
      </c>
      <c r="AA33" t="e">
        <v>#VALUE!</v>
      </c>
      <c r="AB33" t="s">
        <v>64</v>
      </c>
      <c r="AC33" t="s">
        <v>62</v>
      </c>
      <c r="AD33" t="s">
        <v>2220</v>
      </c>
    </row>
    <row r="34" spans="1:30" x14ac:dyDescent="0.35">
      <c r="A34" t="s">
        <v>2065</v>
      </c>
      <c r="B34" t="s">
        <v>1598</v>
      </c>
      <c r="C34" t="e">
        <v>#VALUE!</v>
      </c>
      <c r="D34" t="e">
        <v>#VALUE!</v>
      </c>
      <c r="F34">
        <v>3333</v>
      </c>
      <c r="G34" t="s">
        <v>76</v>
      </c>
      <c r="H34">
        <v>10000</v>
      </c>
      <c r="J34">
        <v>21</v>
      </c>
      <c r="M34">
        <v>0.1137</v>
      </c>
      <c r="N34" s="21">
        <v>44815</v>
      </c>
      <c r="O34" s="21">
        <v>45910</v>
      </c>
      <c r="P34">
        <v>1</v>
      </c>
      <c r="Q34">
        <v>0.34113411341134114</v>
      </c>
      <c r="R34">
        <v>0</v>
      </c>
      <c r="S34" t="s">
        <v>63</v>
      </c>
      <c r="U34">
        <v>0</v>
      </c>
      <c r="V34" t="e">
        <v>#VALUE!</v>
      </c>
      <c r="W34" t="e">
        <v>#VALUE!</v>
      </c>
      <c r="X34" t="e">
        <v>#VALUE!</v>
      </c>
      <c r="Y34" t="e">
        <v>#VALUE!</v>
      </c>
      <c r="Z34" t="e">
        <v>#VALUE!</v>
      </c>
      <c r="AA34" t="e">
        <v>#VALUE!</v>
      </c>
      <c r="AB34" t="s">
        <v>64</v>
      </c>
      <c r="AC34" t="s">
        <v>62</v>
      </c>
      <c r="AD34" t="s">
        <v>2220</v>
      </c>
    </row>
    <row r="35" spans="1:30" x14ac:dyDescent="0.35">
      <c r="A35" t="s">
        <v>2061</v>
      </c>
      <c r="B35" t="s">
        <v>326</v>
      </c>
      <c r="C35" t="e">
        <v>#VALUE!</v>
      </c>
      <c r="D35" t="e">
        <v>#VALUE!</v>
      </c>
      <c r="F35">
        <v>1040.0999999999999</v>
      </c>
      <c r="G35" t="s">
        <v>76</v>
      </c>
      <c r="H35">
        <v>1000</v>
      </c>
      <c r="J35">
        <v>50</v>
      </c>
      <c r="L35">
        <v>-9.7723643025777207</v>
      </c>
      <c r="M35">
        <v>0</v>
      </c>
      <c r="N35" s="21">
        <v>44816</v>
      </c>
      <c r="O35" s="21">
        <v>45911</v>
      </c>
      <c r="P35">
        <v>1</v>
      </c>
      <c r="Q35">
        <v>0</v>
      </c>
      <c r="R35">
        <v>0</v>
      </c>
      <c r="S35" t="s">
        <v>63</v>
      </c>
      <c r="U35">
        <v>0</v>
      </c>
      <c r="V35" t="e">
        <v>#VALUE!</v>
      </c>
      <c r="W35" t="e">
        <v>#VALUE!</v>
      </c>
      <c r="X35" t="e">
        <v>#VALUE!</v>
      </c>
      <c r="Y35" t="e">
        <v>#VALUE!</v>
      </c>
      <c r="Z35" t="e">
        <v>#VALUE!</v>
      </c>
      <c r="AA35" t="e">
        <v>#VALUE!</v>
      </c>
      <c r="AB35" t="s">
        <v>64</v>
      </c>
      <c r="AC35" t="s">
        <v>62</v>
      </c>
      <c r="AD35" t="s">
        <v>2220</v>
      </c>
    </row>
    <row r="36" spans="1:30" x14ac:dyDescent="0.35">
      <c r="A36" t="s">
        <v>2060</v>
      </c>
      <c r="B36" t="s">
        <v>749</v>
      </c>
      <c r="C36" t="e">
        <v>#VALUE!</v>
      </c>
      <c r="D36" t="e">
        <v>#VALUE!</v>
      </c>
      <c r="F36">
        <v>1309</v>
      </c>
      <c r="G36" t="s">
        <v>76</v>
      </c>
      <c r="H36">
        <v>1000</v>
      </c>
      <c r="J36">
        <v>18</v>
      </c>
      <c r="L36">
        <v>-61.986468884479898</v>
      </c>
      <c r="M36">
        <v>0</v>
      </c>
      <c r="N36" s="21">
        <v>44817</v>
      </c>
      <c r="O36" s="21">
        <v>45912</v>
      </c>
      <c r="P36">
        <v>2</v>
      </c>
      <c r="Q36">
        <v>0</v>
      </c>
      <c r="R36">
        <v>0</v>
      </c>
      <c r="S36" t="s">
        <v>63</v>
      </c>
      <c r="U36">
        <v>0</v>
      </c>
      <c r="V36" t="e">
        <v>#VALUE!</v>
      </c>
      <c r="W36" t="e">
        <v>#VALUE!</v>
      </c>
      <c r="X36" t="e">
        <v>#VALUE!</v>
      </c>
      <c r="Y36" t="e">
        <v>#VALUE!</v>
      </c>
      <c r="Z36" t="e">
        <v>#VALUE!</v>
      </c>
      <c r="AA36" t="e">
        <v>#VALUE!</v>
      </c>
      <c r="AB36" t="s">
        <v>64</v>
      </c>
      <c r="AC36" t="s">
        <v>62</v>
      </c>
      <c r="AD36" t="s">
        <v>2220</v>
      </c>
    </row>
    <row r="37" spans="1:30" x14ac:dyDescent="0.35">
      <c r="A37" t="s">
        <v>2053</v>
      </c>
      <c r="B37" t="s">
        <v>390</v>
      </c>
      <c r="C37" t="e">
        <v>#VALUE!</v>
      </c>
      <c r="D37" t="e">
        <v>#VALUE!</v>
      </c>
      <c r="F37">
        <v>1200</v>
      </c>
      <c r="G37" t="s">
        <v>76</v>
      </c>
      <c r="H37">
        <v>1000</v>
      </c>
      <c r="J37">
        <v>35</v>
      </c>
      <c r="L37">
        <v>-42.8403755868544</v>
      </c>
      <c r="M37">
        <v>0</v>
      </c>
      <c r="N37" s="21">
        <v>44818</v>
      </c>
      <c r="O37" s="21">
        <v>45913</v>
      </c>
      <c r="P37">
        <v>2</v>
      </c>
      <c r="Q37">
        <v>0</v>
      </c>
      <c r="R37">
        <v>0</v>
      </c>
      <c r="S37" t="s">
        <v>63</v>
      </c>
      <c r="U37">
        <v>0</v>
      </c>
      <c r="V37" t="e">
        <v>#VALUE!</v>
      </c>
      <c r="W37" t="e">
        <v>#VALUE!</v>
      </c>
      <c r="X37" t="e">
        <v>#VALUE!</v>
      </c>
      <c r="Y37" t="e">
        <v>#VALUE!</v>
      </c>
      <c r="Z37" t="e">
        <v>#VALUE!</v>
      </c>
      <c r="AA37" t="e">
        <v>#VALUE!</v>
      </c>
      <c r="AB37" t="s">
        <v>64</v>
      </c>
      <c r="AC37" t="s">
        <v>62</v>
      </c>
      <c r="AD37" t="s">
        <v>2220</v>
      </c>
    </row>
    <row r="38" spans="1:30" x14ac:dyDescent="0.35">
      <c r="A38" t="s">
        <v>2044</v>
      </c>
      <c r="B38" t="s">
        <v>338</v>
      </c>
      <c r="C38" t="e">
        <v>#VALUE!</v>
      </c>
      <c r="D38" t="e">
        <v>#VALUE!</v>
      </c>
      <c r="F38">
        <v>1033</v>
      </c>
      <c r="G38" t="s">
        <v>76</v>
      </c>
      <c r="H38">
        <v>1000</v>
      </c>
      <c r="J38">
        <v>9</v>
      </c>
      <c r="L38">
        <v>-2.6500484027105502</v>
      </c>
      <c r="M38">
        <v>0</v>
      </c>
      <c r="N38" s="21">
        <v>44819</v>
      </c>
      <c r="O38" s="21">
        <v>45914</v>
      </c>
      <c r="P38">
        <v>2</v>
      </c>
      <c r="Q38">
        <v>0</v>
      </c>
      <c r="R38">
        <v>0</v>
      </c>
      <c r="S38" t="s">
        <v>63</v>
      </c>
      <c r="U38">
        <v>0</v>
      </c>
      <c r="V38" t="e">
        <v>#VALUE!</v>
      </c>
      <c r="W38" t="e">
        <v>#VALUE!</v>
      </c>
      <c r="X38" t="e">
        <v>#VALUE!</v>
      </c>
      <c r="Y38" t="e">
        <v>#VALUE!</v>
      </c>
      <c r="Z38" t="e">
        <v>#VALUE!</v>
      </c>
      <c r="AA38" t="e">
        <v>#VALUE!</v>
      </c>
      <c r="AB38" t="s">
        <v>64</v>
      </c>
      <c r="AC38" t="s">
        <v>62</v>
      </c>
      <c r="AD38" t="s">
        <v>2220</v>
      </c>
    </row>
    <row r="39" spans="1:30" x14ac:dyDescent="0.35">
      <c r="A39" t="s">
        <v>2036</v>
      </c>
      <c r="B39" t="s">
        <v>272</v>
      </c>
      <c r="C39" t="e">
        <v>#VALUE!</v>
      </c>
      <c r="D39" t="e">
        <v>#VALUE!</v>
      </c>
      <c r="F39">
        <v>1200.05</v>
      </c>
      <c r="G39" t="s">
        <v>76</v>
      </c>
      <c r="H39">
        <v>1000</v>
      </c>
      <c r="J39">
        <v>36</v>
      </c>
      <c r="L39">
        <v>-39.510393776882601</v>
      </c>
      <c r="M39">
        <v>0</v>
      </c>
      <c r="N39" s="21">
        <v>44820</v>
      </c>
      <c r="O39" s="21">
        <v>45915</v>
      </c>
      <c r="P39">
        <v>3</v>
      </c>
      <c r="Q39">
        <v>0</v>
      </c>
      <c r="R39">
        <v>0</v>
      </c>
      <c r="S39" t="s">
        <v>63</v>
      </c>
      <c r="U39">
        <v>0</v>
      </c>
      <c r="V39" t="e">
        <v>#VALUE!</v>
      </c>
      <c r="W39" t="e">
        <v>#VALUE!</v>
      </c>
      <c r="X39" t="e">
        <v>#VALUE!</v>
      </c>
      <c r="Y39" t="e">
        <v>#VALUE!</v>
      </c>
      <c r="Z39" t="e">
        <v>#VALUE!</v>
      </c>
      <c r="AA39" t="e">
        <v>#VALUE!</v>
      </c>
      <c r="AB39" t="s">
        <v>64</v>
      </c>
      <c r="AC39" t="s">
        <v>62</v>
      </c>
      <c r="AD39" t="s">
        <v>2220</v>
      </c>
    </row>
    <row r="40" spans="1:30" x14ac:dyDescent="0.35">
      <c r="A40" t="s">
        <v>2026</v>
      </c>
      <c r="B40" t="s">
        <v>128</v>
      </c>
      <c r="C40" t="e">
        <v>#VALUE!</v>
      </c>
      <c r="D40" t="e">
        <v>#VALUE!</v>
      </c>
      <c r="F40">
        <v>1139.95</v>
      </c>
      <c r="G40" t="s">
        <v>76</v>
      </c>
      <c r="H40">
        <v>1000</v>
      </c>
      <c r="J40">
        <v>21</v>
      </c>
      <c r="L40">
        <v>-27.660813583441701</v>
      </c>
      <c r="M40">
        <v>0</v>
      </c>
      <c r="N40" s="21">
        <v>44821</v>
      </c>
      <c r="O40" s="21">
        <v>45916</v>
      </c>
      <c r="P40">
        <v>2</v>
      </c>
      <c r="Q40">
        <v>0</v>
      </c>
      <c r="R40">
        <v>0</v>
      </c>
      <c r="S40" t="s">
        <v>63</v>
      </c>
      <c r="U40">
        <v>0</v>
      </c>
      <c r="V40" t="e">
        <v>#VALUE!</v>
      </c>
      <c r="W40" t="e">
        <v>#VALUE!</v>
      </c>
      <c r="X40" t="e">
        <v>#VALUE!</v>
      </c>
      <c r="Y40" t="e">
        <v>#VALUE!</v>
      </c>
      <c r="Z40" t="e">
        <v>#VALUE!</v>
      </c>
      <c r="AA40" t="e">
        <v>#VALUE!</v>
      </c>
      <c r="AB40" t="s">
        <v>64</v>
      </c>
      <c r="AC40" t="s">
        <v>62</v>
      </c>
      <c r="AD40" t="s">
        <v>2220</v>
      </c>
    </row>
    <row r="41" spans="1:30" x14ac:dyDescent="0.35">
      <c r="A41" t="s">
        <v>2023</v>
      </c>
      <c r="B41" t="s">
        <v>128</v>
      </c>
      <c r="C41" t="e">
        <v>#VALUE!</v>
      </c>
      <c r="D41" t="e">
        <v>#VALUE!</v>
      </c>
      <c r="F41">
        <v>1197</v>
      </c>
      <c r="G41" t="s">
        <v>76</v>
      </c>
      <c r="H41">
        <v>1000</v>
      </c>
      <c r="J41">
        <v>25</v>
      </c>
      <c r="L41">
        <v>-27.059013901119101</v>
      </c>
      <c r="M41">
        <v>0</v>
      </c>
      <c r="N41" s="21">
        <v>44822</v>
      </c>
      <c r="O41" s="21">
        <v>45917</v>
      </c>
      <c r="P41">
        <v>3</v>
      </c>
      <c r="Q41">
        <v>0</v>
      </c>
      <c r="R41">
        <v>0</v>
      </c>
      <c r="S41" t="s">
        <v>63</v>
      </c>
      <c r="U41">
        <v>0</v>
      </c>
      <c r="V41" t="e">
        <v>#VALUE!</v>
      </c>
      <c r="W41" t="e">
        <v>#VALUE!</v>
      </c>
      <c r="X41" t="e">
        <v>#VALUE!</v>
      </c>
      <c r="Y41" t="e">
        <v>#VALUE!</v>
      </c>
      <c r="Z41" t="e">
        <v>#VALUE!</v>
      </c>
      <c r="AA41" t="e">
        <v>#VALUE!</v>
      </c>
      <c r="AB41" t="s">
        <v>64</v>
      </c>
      <c r="AC41" t="s">
        <v>62</v>
      </c>
      <c r="AD41" t="s">
        <v>2220</v>
      </c>
    </row>
    <row r="42" spans="1:30" x14ac:dyDescent="0.35">
      <c r="A42" t="s">
        <v>2020</v>
      </c>
      <c r="B42" t="s">
        <v>326</v>
      </c>
      <c r="C42" t="e">
        <v>#VALUE!</v>
      </c>
      <c r="D42" t="e">
        <v>#VALUE!</v>
      </c>
      <c r="F42">
        <v>1777.78</v>
      </c>
      <c r="G42" t="s">
        <v>76</v>
      </c>
      <c r="H42">
        <v>1000</v>
      </c>
      <c r="J42">
        <v>1</v>
      </c>
      <c r="L42">
        <v>-55.447137722327803</v>
      </c>
      <c r="M42">
        <v>0</v>
      </c>
      <c r="N42" s="21">
        <v>44823</v>
      </c>
      <c r="O42" s="21">
        <v>45918</v>
      </c>
      <c r="P42">
        <v>6</v>
      </c>
      <c r="Q42">
        <v>0</v>
      </c>
      <c r="R42">
        <v>0</v>
      </c>
      <c r="S42" t="s">
        <v>63</v>
      </c>
      <c r="U42">
        <v>0</v>
      </c>
      <c r="V42" t="e">
        <v>#VALUE!</v>
      </c>
      <c r="W42" t="e">
        <v>#VALUE!</v>
      </c>
      <c r="X42" t="e">
        <v>#VALUE!</v>
      </c>
      <c r="Y42" t="e">
        <v>#VALUE!</v>
      </c>
      <c r="Z42" t="e">
        <v>#VALUE!</v>
      </c>
      <c r="AA42" t="e">
        <v>#VALUE!</v>
      </c>
      <c r="AB42" t="s">
        <v>64</v>
      </c>
      <c r="AC42" t="s">
        <v>62</v>
      </c>
      <c r="AD42" t="s">
        <v>2220</v>
      </c>
    </row>
    <row r="43" spans="1:30" x14ac:dyDescent="0.35">
      <c r="A43" t="s">
        <v>2017</v>
      </c>
      <c r="B43" t="s">
        <v>390</v>
      </c>
      <c r="C43" t="e">
        <v>#VALUE!</v>
      </c>
      <c r="D43" t="e">
        <v>#VALUE!</v>
      </c>
      <c r="F43">
        <v>1050</v>
      </c>
      <c r="G43" t="s">
        <v>76</v>
      </c>
      <c r="H43">
        <v>1000</v>
      </c>
      <c r="J43">
        <v>34</v>
      </c>
      <c r="L43">
        <v>-10.5981416957026</v>
      </c>
      <c r="M43">
        <v>0</v>
      </c>
      <c r="N43" s="21">
        <v>44824</v>
      </c>
      <c r="O43" s="21">
        <v>45919</v>
      </c>
      <c r="P43">
        <v>1</v>
      </c>
      <c r="Q43">
        <v>0</v>
      </c>
      <c r="R43">
        <v>0</v>
      </c>
      <c r="S43" t="s">
        <v>63</v>
      </c>
      <c r="U43">
        <v>0</v>
      </c>
      <c r="V43" t="e">
        <v>#VALUE!</v>
      </c>
      <c r="W43" t="e">
        <v>#VALUE!</v>
      </c>
      <c r="X43" t="e">
        <v>#VALUE!</v>
      </c>
      <c r="Y43" t="e">
        <v>#VALUE!</v>
      </c>
      <c r="Z43" t="e">
        <v>#VALUE!</v>
      </c>
      <c r="AA43" t="e">
        <v>#VALUE!</v>
      </c>
      <c r="AB43" t="s">
        <v>64</v>
      </c>
      <c r="AC43" t="s">
        <v>62</v>
      </c>
      <c r="AD43" t="s">
        <v>2220</v>
      </c>
    </row>
    <row r="44" spans="1:30" x14ac:dyDescent="0.35">
      <c r="A44" t="s">
        <v>2012</v>
      </c>
      <c r="B44" t="s">
        <v>122</v>
      </c>
      <c r="C44" t="e">
        <v>#VALUE!</v>
      </c>
      <c r="D44" t="e">
        <v>#VALUE!</v>
      </c>
      <c r="F44">
        <v>1512.95</v>
      </c>
      <c r="G44" t="s">
        <v>76</v>
      </c>
      <c r="H44">
        <v>1000</v>
      </c>
      <c r="J44">
        <v>3</v>
      </c>
      <c r="L44">
        <v>-68.369869044030295</v>
      </c>
      <c r="M44">
        <v>0</v>
      </c>
      <c r="N44" s="21">
        <v>44825</v>
      </c>
      <c r="O44" s="21">
        <v>45920</v>
      </c>
      <c r="P44">
        <v>5</v>
      </c>
      <c r="Q44">
        <v>0</v>
      </c>
      <c r="R44">
        <v>0</v>
      </c>
      <c r="S44" t="s">
        <v>63</v>
      </c>
      <c r="U44">
        <v>0</v>
      </c>
      <c r="V44" t="e">
        <v>#VALUE!</v>
      </c>
      <c r="W44" t="e">
        <v>#VALUE!</v>
      </c>
      <c r="X44" t="e">
        <v>#VALUE!</v>
      </c>
      <c r="Y44" t="e">
        <v>#VALUE!</v>
      </c>
      <c r="Z44" t="e">
        <v>#VALUE!</v>
      </c>
      <c r="AA44" t="e">
        <v>#VALUE!</v>
      </c>
      <c r="AB44" t="s">
        <v>64</v>
      </c>
      <c r="AC44" t="s">
        <v>62</v>
      </c>
      <c r="AD44" t="s">
        <v>2220</v>
      </c>
    </row>
    <row r="45" spans="1:30" x14ac:dyDescent="0.35">
      <c r="A45" t="s">
        <v>2011</v>
      </c>
      <c r="B45" t="s">
        <v>353</v>
      </c>
      <c r="C45" t="e">
        <v>#VALUE!</v>
      </c>
      <c r="D45" t="e">
        <v>#VALUE!</v>
      </c>
      <c r="F45">
        <v>1137.3199</v>
      </c>
      <c r="G45" t="s">
        <v>76</v>
      </c>
      <c r="H45">
        <v>1000</v>
      </c>
      <c r="J45">
        <v>3</v>
      </c>
      <c r="L45">
        <v>-8.7440607917245501</v>
      </c>
      <c r="M45">
        <v>0</v>
      </c>
      <c r="N45" s="21">
        <v>44826</v>
      </c>
      <c r="O45" s="21">
        <v>45921</v>
      </c>
      <c r="P45">
        <v>3</v>
      </c>
      <c r="Q45">
        <v>0</v>
      </c>
      <c r="R45">
        <v>0</v>
      </c>
      <c r="S45" t="s">
        <v>63</v>
      </c>
      <c r="U45">
        <v>0</v>
      </c>
      <c r="V45" t="e">
        <v>#VALUE!</v>
      </c>
      <c r="W45" t="e">
        <v>#VALUE!</v>
      </c>
      <c r="X45" t="e">
        <v>#VALUE!</v>
      </c>
      <c r="Y45" t="e">
        <v>#VALUE!</v>
      </c>
      <c r="Z45" t="e">
        <v>#VALUE!</v>
      </c>
      <c r="AA45" t="e">
        <v>#VALUE!</v>
      </c>
      <c r="AB45" t="s">
        <v>64</v>
      </c>
      <c r="AC45" t="s">
        <v>62</v>
      </c>
      <c r="AD45" t="s">
        <v>2220</v>
      </c>
    </row>
    <row r="46" spans="1:30" x14ac:dyDescent="0.35">
      <c r="A46" t="s">
        <v>2008</v>
      </c>
      <c r="B46" t="s">
        <v>272</v>
      </c>
      <c r="C46" t="e">
        <v>#VALUE!</v>
      </c>
      <c r="D46" t="e">
        <v>#VALUE!</v>
      </c>
      <c r="F46">
        <v>1371.2</v>
      </c>
      <c r="G46" t="s">
        <v>76</v>
      </c>
      <c r="H46">
        <v>1000</v>
      </c>
      <c r="J46">
        <v>20</v>
      </c>
      <c r="L46">
        <v>-56.787242318164097</v>
      </c>
      <c r="M46">
        <v>0</v>
      </c>
      <c r="N46" s="21">
        <v>44827</v>
      </c>
      <c r="O46" s="21">
        <v>45922</v>
      </c>
      <c r="P46">
        <v>5</v>
      </c>
      <c r="Q46">
        <v>0</v>
      </c>
      <c r="R46">
        <v>0</v>
      </c>
      <c r="S46" t="s">
        <v>63</v>
      </c>
      <c r="U46">
        <v>0</v>
      </c>
      <c r="V46" t="e">
        <v>#VALUE!</v>
      </c>
      <c r="W46" t="e">
        <v>#VALUE!</v>
      </c>
      <c r="X46" t="e">
        <v>#VALUE!</v>
      </c>
      <c r="Y46" t="e">
        <v>#VALUE!</v>
      </c>
      <c r="Z46" t="e">
        <v>#VALUE!</v>
      </c>
      <c r="AA46" t="e">
        <v>#VALUE!</v>
      </c>
      <c r="AB46" t="s">
        <v>64</v>
      </c>
      <c r="AC46" t="s">
        <v>62</v>
      </c>
      <c r="AD46" t="s">
        <v>2220</v>
      </c>
    </row>
    <row r="47" spans="1:30" x14ac:dyDescent="0.35">
      <c r="A47" t="s">
        <v>1994</v>
      </c>
      <c r="B47" t="s">
        <v>353</v>
      </c>
      <c r="C47" t="e">
        <v>#VALUE!</v>
      </c>
      <c r="D47" t="e">
        <v>#VALUE!</v>
      </c>
      <c r="F47">
        <v>1014</v>
      </c>
      <c r="G47" t="s">
        <v>76</v>
      </c>
      <c r="H47">
        <v>1000</v>
      </c>
      <c r="J47">
        <v>20</v>
      </c>
      <c r="L47">
        <v>-2.68055730412522</v>
      </c>
      <c r="M47">
        <v>0</v>
      </c>
      <c r="N47" s="21">
        <v>44828</v>
      </c>
      <c r="O47" s="21">
        <v>45923</v>
      </c>
      <c r="P47">
        <v>1</v>
      </c>
      <c r="Q47">
        <v>0</v>
      </c>
      <c r="R47">
        <v>0</v>
      </c>
      <c r="S47" t="s">
        <v>63</v>
      </c>
      <c r="U47">
        <v>0</v>
      </c>
      <c r="V47" t="e">
        <v>#VALUE!</v>
      </c>
      <c r="W47" t="e">
        <v>#VALUE!</v>
      </c>
      <c r="X47" t="e">
        <v>#VALUE!</v>
      </c>
      <c r="Y47" t="e">
        <v>#VALUE!</v>
      </c>
      <c r="Z47" t="e">
        <v>#VALUE!</v>
      </c>
      <c r="AA47" t="e">
        <v>#VALUE!</v>
      </c>
      <c r="AB47" t="s">
        <v>64</v>
      </c>
      <c r="AC47" t="s">
        <v>62</v>
      </c>
      <c r="AD47" t="s">
        <v>2220</v>
      </c>
    </row>
    <row r="48" spans="1:30" x14ac:dyDescent="0.35">
      <c r="A48" t="s">
        <v>1993</v>
      </c>
      <c r="B48" t="s">
        <v>122</v>
      </c>
      <c r="C48" t="e">
        <v>#VALUE!</v>
      </c>
      <c r="D48" t="e">
        <v>#VALUE!</v>
      </c>
      <c r="F48">
        <v>1238.5</v>
      </c>
      <c r="G48" t="s">
        <v>76</v>
      </c>
      <c r="H48">
        <v>1000</v>
      </c>
      <c r="J48">
        <v>330</v>
      </c>
      <c r="L48">
        <v>-37.7895998020498</v>
      </c>
      <c r="M48">
        <v>0</v>
      </c>
      <c r="N48" s="21">
        <v>44829</v>
      </c>
      <c r="O48" s="21">
        <v>45924</v>
      </c>
      <c r="P48">
        <v>3</v>
      </c>
      <c r="Q48">
        <v>0</v>
      </c>
      <c r="R48">
        <v>0</v>
      </c>
      <c r="S48" t="s">
        <v>63</v>
      </c>
      <c r="U48">
        <v>0</v>
      </c>
      <c r="V48" t="e">
        <v>#VALUE!</v>
      </c>
      <c r="W48" t="e">
        <v>#VALUE!</v>
      </c>
      <c r="X48" t="e">
        <v>#VALUE!</v>
      </c>
      <c r="Y48" t="e">
        <v>#VALUE!</v>
      </c>
      <c r="Z48" t="e">
        <v>#VALUE!</v>
      </c>
      <c r="AA48" t="e">
        <v>#VALUE!</v>
      </c>
      <c r="AB48" t="s">
        <v>64</v>
      </c>
      <c r="AC48" t="s">
        <v>62</v>
      </c>
      <c r="AD48" t="s">
        <v>2220</v>
      </c>
    </row>
    <row r="49" spans="1:30" x14ac:dyDescent="0.35">
      <c r="A49" t="s">
        <v>1986</v>
      </c>
      <c r="B49" t="s">
        <v>483</v>
      </c>
      <c r="C49" t="e">
        <v>#VALUE!</v>
      </c>
      <c r="D49" t="e">
        <v>#VALUE!</v>
      </c>
      <c r="F49">
        <v>1214.8</v>
      </c>
      <c r="G49" t="s">
        <v>76</v>
      </c>
      <c r="H49">
        <v>1000</v>
      </c>
      <c r="J49">
        <v>10</v>
      </c>
      <c r="L49">
        <v>-33.2675354476915</v>
      </c>
      <c r="M49">
        <v>0</v>
      </c>
      <c r="N49" s="21">
        <v>44830</v>
      </c>
      <c r="O49" s="21">
        <v>45925</v>
      </c>
      <c r="P49">
        <v>3</v>
      </c>
      <c r="Q49">
        <v>0</v>
      </c>
      <c r="R49">
        <v>0</v>
      </c>
      <c r="S49" t="s">
        <v>63</v>
      </c>
      <c r="U49">
        <v>0</v>
      </c>
      <c r="V49" t="e">
        <v>#VALUE!</v>
      </c>
      <c r="W49" t="e">
        <v>#VALUE!</v>
      </c>
      <c r="X49" t="e">
        <v>#VALUE!</v>
      </c>
      <c r="Y49" t="e">
        <v>#VALUE!</v>
      </c>
      <c r="Z49" t="e">
        <v>#VALUE!</v>
      </c>
      <c r="AA49" t="e">
        <v>#VALUE!</v>
      </c>
      <c r="AB49" t="s">
        <v>64</v>
      </c>
      <c r="AC49" t="s">
        <v>62</v>
      </c>
      <c r="AD49" t="s">
        <v>2220</v>
      </c>
    </row>
    <row r="50" spans="1:30" x14ac:dyDescent="0.35">
      <c r="A50" t="s">
        <v>1978</v>
      </c>
      <c r="B50" t="s">
        <v>1674</v>
      </c>
      <c r="C50" t="e">
        <v>#VALUE!</v>
      </c>
      <c r="D50" t="e">
        <v>#VALUE!</v>
      </c>
      <c r="F50">
        <v>919860</v>
      </c>
      <c r="G50" t="s">
        <v>76</v>
      </c>
      <c r="H50">
        <v>1000000</v>
      </c>
      <c r="J50">
        <v>11</v>
      </c>
      <c r="L50">
        <v>7.9300531095673001</v>
      </c>
      <c r="M50">
        <v>0</v>
      </c>
      <c r="N50" s="21">
        <v>44831</v>
      </c>
      <c r="O50" s="21">
        <v>45926</v>
      </c>
      <c r="P50">
        <v>3</v>
      </c>
      <c r="Q50">
        <v>0</v>
      </c>
      <c r="R50">
        <v>0</v>
      </c>
      <c r="S50" t="s">
        <v>63</v>
      </c>
      <c r="U50">
        <v>0</v>
      </c>
      <c r="V50" t="e">
        <v>#VALUE!</v>
      </c>
      <c r="W50" t="e">
        <v>#VALUE!</v>
      </c>
      <c r="X50" t="e">
        <v>#VALUE!</v>
      </c>
      <c r="Y50" t="e">
        <v>#VALUE!</v>
      </c>
      <c r="Z50" t="e">
        <v>#VALUE!</v>
      </c>
      <c r="AA50" t="e">
        <v>#VALUE!</v>
      </c>
      <c r="AB50" t="s">
        <v>64</v>
      </c>
      <c r="AC50" t="s">
        <v>62</v>
      </c>
      <c r="AD50" t="s">
        <v>2220</v>
      </c>
    </row>
    <row r="51" spans="1:30" x14ac:dyDescent="0.35">
      <c r="A51" t="s">
        <v>1976</v>
      </c>
      <c r="B51" t="s">
        <v>241</v>
      </c>
      <c r="C51" t="e">
        <v>#VALUE!</v>
      </c>
      <c r="D51" t="e">
        <v>#VALUE!</v>
      </c>
      <c r="F51">
        <v>1443.8</v>
      </c>
      <c r="G51" t="s">
        <v>76</v>
      </c>
      <c r="H51">
        <v>1000</v>
      </c>
      <c r="J51">
        <v>50</v>
      </c>
      <c r="L51">
        <v>-51.230549014175502</v>
      </c>
      <c r="M51">
        <v>0</v>
      </c>
      <c r="N51" s="21">
        <v>44832</v>
      </c>
      <c r="O51" s="21">
        <v>45927</v>
      </c>
      <c r="P51">
        <v>5</v>
      </c>
      <c r="Q51">
        <v>0</v>
      </c>
      <c r="R51">
        <v>0</v>
      </c>
      <c r="S51" t="s">
        <v>63</v>
      </c>
      <c r="U51">
        <v>0</v>
      </c>
      <c r="V51" t="e">
        <v>#VALUE!</v>
      </c>
      <c r="W51" t="e">
        <v>#VALUE!</v>
      </c>
      <c r="X51" t="e">
        <v>#VALUE!</v>
      </c>
      <c r="Y51" t="e">
        <v>#VALUE!</v>
      </c>
      <c r="Z51" t="e">
        <v>#VALUE!</v>
      </c>
      <c r="AA51" t="e">
        <v>#VALUE!</v>
      </c>
      <c r="AB51" t="s">
        <v>64</v>
      </c>
      <c r="AC51" t="s">
        <v>62</v>
      </c>
      <c r="AD51" t="s">
        <v>2220</v>
      </c>
    </row>
    <row r="52" spans="1:30" x14ac:dyDescent="0.35">
      <c r="A52" t="s">
        <v>1975</v>
      </c>
      <c r="B52" t="s">
        <v>122</v>
      </c>
      <c r="C52" t="e">
        <v>#VALUE!</v>
      </c>
      <c r="D52" t="e">
        <v>#VALUE!</v>
      </c>
      <c r="F52">
        <v>1110</v>
      </c>
      <c r="G52" t="s">
        <v>76</v>
      </c>
      <c r="H52">
        <v>1000</v>
      </c>
      <c r="J52">
        <v>20</v>
      </c>
      <c r="L52">
        <v>-18.839151651651601</v>
      </c>
      <c r="M52">
        <v>0</v>
      </c>
      <c r="N52" s="21">
        <v>44833</v>
      </c>
      <c r="O52" s="21">
        <v>45928</v>
      </c>
      <c r="P52">
        <v>2</v>
      </c>
      <c r="Q52">
        <v>0</v>
      </c>
      <c r="R52">
        <v>0</v>
      </c>
      <c r="S52" t="s">
        <v>63</v>
      </c>
      <c r="U52">
        <v>0</v>
      </c>
      <c r="V52" t="e">
        <v>#VALUE!</v>
      </c>
      <c r="W52" t="e">
        <v>#VALUE!</v>
      </c>
      <c r="X52" t="e">
        <v>#VALUE!</v>
      </c>
      <c r="Y52" t="e">
        <v>#VALUE!</v>
      </c>
      <c r="Z52" t="e">
        <v>#VALUE!</v>
      </c>
      <c r="AA52" t="e">
        <v>#VALUE!</v>
      </c>
      <c r="AB52" t="s">
        <v>64</v>
      </c>
      <c r="AC52" t="s">
        <v>62</v>
      </c>
      <c r="AD52" t="s">
        <v>2220</v>
      </c>
    </row>
    <row r="53" spans="1:30" x14ac:dyDescent="0.35">
      <c r="A53" t="s">
        <v>1973</v>
      </c>
      <c r="B53" t="s">
        <v>316</v>
      </c>
      <c r="C53" t="e">
        <v>#VALUE!</v>
      </c>
      <c r="D53" t="e">
        <v>#VALUE!</v>
      </c>
      <c r="F53">
        <v>1820</v>
      </c>
      <c r="G53" t="s">
        <v>76</v>
      </c>
      <c r="H53">
        <v>1000</v>
      </c>
      <c r="J53">
        <v>2</v>
      </c>
      <c r="L53">
        <v>-75.091575091575095</v>
      </c>
      <c r="M53">
        <v>0</v>
      </c>
      <c r="N53" s="21">
        <v>44834</v>
      </c>
      <c r="O53" s="21">
        <v>45929</v>
      </c>
      <c r="P53">
        <v>7</v>
      </c>
      <c r="Q53">
        <v>0</v>
      </c>
      <c r="R53">
        <v>0</v>
      </c>
      <c r="S53" t="s">
        <v>63</v>
      </c>
      <c r="U53">
        <v>0</v>
      </c>
      <c r="V53" t="e">
        <v>#VALUE!</v>
      </c>
      <c r="W53" t="e">
        <v>#VALUE!</v>
      </c>
      <c r="X53" t="e">
        <v>#VALUE!</v>
      </c>
      <c r="Y53" t="e">
        <v>#VALUE!</v>
      </c>
      <c r="Z53" t="e">
        <v>#VALUE!</v>
      </c>
      <c r="AA53" t="e">
        <v>#VALUE!</v>
      </c>
      <c r="AB53" t="s">
        <v>64</v>
      </c>
      <c r="AC53" t="s">
        <v>62</v>
      </c>
      <c r="AD53" t="s">
        <v>2220</v>
      </c>
    </row>
    <row r="54" spans="1:30" x14ac:dyDescent="0.35">
      <c r="A54" t="s">
        <v>1970</v>
      </c>
      <c r="B54" t="s">
        <v>749</v>
      </c>
      <c r="C54" t="e">
        <v>#VALUE!</v>
      </c>
      <c r="D54" t="e">
        <v>#VALUE!</v>
      </c>
      <c r="F54">
        <v>1030.07</v>
      </c>
      <c r="G54" t="s">
        <v>76</v>
      </c>
      <c r="H54">
        <v>1000</v>
      </c>
      <c r="J54">
        <v>45</v>
      </c>
      <c r="L54">
        <v>-2.69750624051234</v>
      </c>
      <c r="M54">
        <v>0</v>
      </c>
      <c r="N54" s="21">
        <v>44835</v>
      </c>
      <c r="O54" s="21">
        <v>45930</v>
      </c>
      <c r="P54">
        <v>2</v>
      </c>
      <c r="Q54">
        <v>0</v>
      </c>
      <c r="R54">
        <v>0</v>
      </c>
      <c r="S54" t="s">
        <v>63</v>
      </c>
      <c r="U54">
        <v>0</v>
      </c>
      <c r="V54" t="e">
        <v>#VALUE!</v>
      </c>
      <c r="W54" t="e">
        <v>#VALUE!</v>
      </c>
      <c r="X54" t="e">
        <v>#VALUE!</v>
      </c>
      <c r="Y54" t="e">
        <v>#VALUE!</v>
      </c>
      <c r="Z54" t="e">
        <v>#VALUE!</v>
      </c>
      <c r="AA54" t="e">
        <v>#VALUE!</v>
      </c>
      <c r="AB54" t="s">
        <v>64</v>
      </c>
      <c r="AC54" t="s">
        <v>62</v>
      </c>
      <c r="AD54" t="s">
        <v>2220</v>
      </c>
    </row>
    <row r="55" spans="1:30" x14ac:dyDescent="0.35">
      <c r="A55" t="s">
        <v>1969</v>
      </c>
      <c r="B55" t="s">
        <v>241</v>
      </c>
      <c r="C55" t="e">
        <v>#VALUE!</v>
      </c>
      <c r="D55" t="e">
        <v>#VALUE!</v>
      </c>
      <c r="F55">
        <v>1125</v>
      </c>
      <c r="G55" t="s">
        <v>76</v>
      </c>
      <c r="H55">
        <v>1000</v>
      </c>
      <c r="J55">
        <v>1</v>
      </c>
      <c r="L55">
        <v>-20.3796761585706</v>
      </c>
      <c r="M55">
        <v>0</v>
      </c>
      <c r="N55" s="21">
        <v>44836</v>
      </c>
      <c r="O55" s="21">
        <v>45931</v>
      </c>
      <c r="P55">
        <v>2</v>
      </c>
      <c r="Q55">
        <v>0</v>
      </c>
      <c r="R55">
        <v>0</v>
      </c>
      <c r="S55" t="s">
        <v>63</v>
      </c>
      <c r="U55">
        <v>0</v>
      </c>
      <c r="V55" t="e">
        <v>#VALUE!</v>
      </c>
      <c r="W55" t="e">
        <v>#VALUE!</v>
      </c>
      <c r="X55" t="e">
        <v>#VALUE!</v>
      </c>
      <c r="Y55" t="e">
        <v>#VALUE!</v>
      </c>
      <c r="Z55" t="e">
        <v>#VALUE!</v>
      </c>
      <c r="AA55" t="e">
        <v>#VALUE!</v>
      </c>
      <c r="AB55" t="s">
        <v>64</v>
      </c>
      <c r="AC55" t="s">
        <v>62</v>
      </c>
      <c r="AD55" t="s">
        <v>2220</v>
      </c>
    </row>
    <row r="56" spans="1:30" x14ac:dyDescent="0.35">
      <c r="A56" t="s">
        <v>1963</v>
      </c>
      <c r="B56" t="s">
        <v>860</v>
      </c>
      <c r="C56" t="e">
        <v>#VALUE!</v>
      </c>
      <c r="D56" t="e">
        <v>#VALUE!</v>
      </c>
      <c r="F56">
        <v>1245</v>
      </c>
      <c r="G56" t="s">
        <v>76</v>
      </c>
      <c r="H56">
        <v>1000</v>
      </c>
      <c r="J56">
        <v>285</v>
      </c>
      <c r="L56">
        <v>-35.913654618473899</v>
      </c>
      <c r="M56">
        <v>0</v>
      </c>
      <c r="N56" s="21">
        <v>44837</v>
      </c>
      <c r="O56" s="21">
        <v>45932</v>
      </c>
      <c r="P56">
        <v>3</v>
      </c>
      <c r="Q56">
        <v>0</v>
      </c>
      <c r="R56">
        <v>0</v>
      </c>
      <c r="S56" t="s">
        <v>63</v>
      </c>
      <c r="U56">
        <v>0</v>
      </c>
      <c r="V56" t="e">
        <v>#VALUE!</v>
      </c>
      <c r="W56" t="e">
        <v>#VALUE!</v>
      </c>
      <c r="X56" t="e">
        <v>#VALUE!</v>
      </c>
      <c r="Y56" t="e">
        <v>#VALUE!</v>
      </c>
      <c r="Z56" t="e">
        <v>#VALUE!</v>
      </c>
      <c r="AA56" t="e">
        <v>#VALUE!</v>
      </c>
      <c r="AB56" t="s">
        <v>64</v>
      </c>
      <c r="AC56" t="s">
        <v>62</v>
      </c>
      <c r="AD56" t="s">
        <v>2220</v>
      </c>
    </row>
    <row r="57" spans="1:30" x14ac:dyDescent="0.35">
      <c r="A57" t="s">
        <v>1960</v>
      </c>
      <c r="B57" t="s">
        <v>316</v>
      </c>
      <c r="C57" t="e">
        <v>#VALUE!</v>
      </c>
      <c r="D57" t="e">
        <v>#VALUE!</v>
      </c>
      <c r="F57">
        <v>1065.8</v>
      </c>
      <c r="G57" t="s">
        <v>76</v>
      </c>
      <c r="H57">
        <v>1000</v>
      </c>
      <c r="J57">
        <v>50</v>
      </c>
      <c r="L57">
        <v>-10.8861094566871</v>
      </c>
      <c r="M57">
        <v>0</v>
      </c>
      <c r="N57" s="21">
        <v>44838</v>
      </c>
      <c r="O57" s="21">
        <v>45933</v>
      </c>
      <c r="P57">
        <v>1</v>
      </c>
      <c r="Q57">
        <v>0</v>
      </c>
      <c r="R57">
        <v>0</v>
      </c>
      <c r="S57" t="s">
        <v>63</v>
      </c>
      <c r="U57">
        <v>0</v>
      </c>
      <c r="V57" t="e">
        <v>#VALUE!</v>
      </c>
      <c r="W57" t="e">
        <v>#VALUE!</v>
      </c>
      <c r="X57" t="e">
        <v>#VALUE!</v>
      </c>
      <c r="Y57" t="e">
        <v>#VALUE!</v>
      </c>
      <c r="Z57" t="e">
        <v>#VALUE!</v>
      </c>
      <c r="AA57" t="e">
        <v>#VALUE!</v>
      </c>
      <c r="AB57" t="s">
        <v>64</v>
      </c>
      <c r="AC57" t="s">
        <v>62</v>
      </c>
      <c r="AD57" t="s">
        <v>2220</v>
      </c>
    </row>
    <row r="58" spans="1:30" x14ac:dyDescent="0.35">
      <c r="A58" t="s">
        <v>1954</v>
      </c>
      <c r="B58" t="s">
        <v>465</v>
      </c>
      <c r="C58" t="e">
        <v>#VALUE!</v>
      </c>
      <c r="D58" t="e">
        <v>#VALUE!</v>
      </c>
      <c r="F58">
        <v>1068.78</v>
      </c>
      <c r="G58" t="s">
        <v>76</v>
      </c>
      <c r="H58">
        <v>1000</v>
      </c>
      <c r="J58">
        <v>2</v>
      </c>
      <c r="L58">
        <v>-7.1395496760189703</v>
      </c>
      <c r="M58">
        <v>0</v>
      </c>
      <c r="N58" s="21">
        <v>44839</v>
      </c>
      <c r="O58" s="21">
        <v>45934</v>
      </c>
      <c r="P58">
        <v>2</v>
      </c>
      <c r="Q58">
        <v>0</v>
      </c>
      <c r="R58">
        <v>0</v>
      </c>
      <c r="S58" t="s">
        <v>63</v>
      </c>
      <c r="U58">
        <v>0</v>
      </c>
      <c r="V58" t="e">
        <v>#VALUE!</v>
      </c>
      <c r="W58" t="e">
        <v>#VALUE!</v>
      </c>
      <c r="X58" t="e">
        <v>#VALUE!</v>
      </c>
      <c r="Y58" t="e">
        <v>#VALUE!</v>
      </c>
      <c r="Z58" t="e">
        <v>#VALUE!</v>
      </c>
      <c r="AA58" t="e">
        <v>#VALUE!</v>
      </c>
      <c r="AB58" t="s">
        <v>64</v>
      </c>
      <c r="AC58" t="s">
        <v>62</v>
      </c>
      <c r="AD58" t="s">
        <v>2220</v>
      </c>
    </row>
    <row r="59" spans="1:30" x14ac:dyDescent="0.35">
      <c r="A59" t="s">
        <v>1947</v>
      </c>
      <c r="B59" t="s">
        <v>230</v>
      </c>
      <c r="C59" t="e">
        <v>#VALUE!</v>
      </c>
      <c r="D59" t="e">
        <v>#VALUE!</v>
      </c>
      <c r="F59">
        <v>1175243</v>
      </c>
      <c r="G59" t="s">
        <v>76</v>
      </c>
      <c r="H59">
        <v>1000000</v>
      </c>
      <c r="J59">
        <v>10</v>
      </c>
      <c r="L59">
        <v>-12.897140163083201</v>
      </c>
      <c r="M59">
        <v>0</v>
      </c>
      <c r="N59" s="21">
        <v>44840</v>
      </c>
      <c r="O59" s="21">
        <v>45935</v>
      </c>
      <c r="P59">
        <v>4</v>
      </c>
      <c r="Q59">
        <v>0</v>
      </c>
      <c r="R59">
        <v>0</v>
      </c>
      <c r="S59" t="s">
        <v>63</v>
      </c>
      <c r="U59">
        <v>0</v>
      </c>
      <c r="V59" t="e">
        <v>#VALUE!</v>
      </c>
      <c r="W59" t="e">
        <v>#VALUE!</v>
      </c>
      <c r="X59" t="e">
        <v>#VALUE!</v>
      </c>
      <c r="Y59" t="e">
        <v>#VALUE!</v>
      </c>
      <c r="Z59" t="e">
        <v>#VALUE!</v>
      </c>
      <c r="AA59" t="e">
        <v>#VALUE!</v>
      </c>
      <c r="AB59" t="s">
        <v>64</v>
      </c>
      <c r="AC59" t="s">
        <v>62</v>
      </c>
      <c r="AD59" t="s">
        <v>2220</v>
      </c>
    </row>
    <row r="60" spans="1:30" x14ac:dyDescent="0.35">
      <c r="A60" t="s">
        <v>1938</v>
      </c>
      <c r="B60" t="s">
        <v>357</v>
      </c>
      <c r="C60" t="e">
        <v>#VALUE!</v>
      </c>
      <c r="D60" t="e">
        <v>#VALUE!</v>
      </c>
      <c r="F60">
        <v>1096</v>
      </c>
      <c r="G60" t="s">
        <v>76</v>
      </c>
      <c r="H60">
        <v>1000</v>
      </c>
      <c r="J60">
        <v>4</v>
      </c>
      <c r="L60">
        <v>-13.4331104704655</v>
      </c>
      <c r="M60">
        <v>0</v>
      </c>
      <c r="N60" s="21">
        <v>44841</v>
      </c>
      <c r="O60" s="21">
        <v>45936</v>
      </c>
      <c r="P60">
        <v>2</v>
      </c>
      <c r="Q60">
        <v>0</v>
      </c>
      <c r="R60">
        <v>0</v>
      </c>
      <c r="S60" t="s">
        <v>63</v>
      </c>
      <c r="U60">
        <v>0</v>
      </c>
      <c r="V60" t="e">
        <v>#VALUE!</v>
      </c>
      <c r="W60" t="e">
        <v>#VALUE!</v>
      </c>
      <c r="X60" t="e">
        <v>#VALUE!</v>
      </c>
      <c r="Y60" t="e">
        <v>#VALUE!</v>
      </c>
      <c r="Z60" t="e">
        <v>#VALUE!</v>
      </c>
      <c r="AA60" t="e">
        <v>#VALUE!</v>
      </c>
      <c r="AB60" t="s">
        <v>64</v>
      </c>
      <c r="AC60" t="s">
        <v>62</v>
      </c>
      <c r="AD60" t="s">
        <v>2220</v>
      </c>
    </row>
    <row r="61" spans="1:30" x14ac:dyDescent="0.35">
      <c r="A61" t="s">
        <v>1937</v>
      </c>
      <c r="B61" t="s">
        <v>390</v>
      </c>
      <c r="C61" t="e">
        <v>#VALUE!</v>
      </c>
      <c r="D61" t="e">
        <v>#VALUE!</v>
      </c>
      <c r="F61">
        <v>1040</v>
      </c>
      <c r="G61" t="s">
        <v>76</v>
      </c>
      <c r="H61">
        <v>1000</v>
      </c>
      <c r="J61">
        <v>5</v>
      </c>
      <c r="L61">
        <v>-6.3811188811188799</v>
      </c>
      <c r="M61">
        <v>0</v>
      </c>
      <c r="N61" s="21">
        <v>44842</v>
      </c>
      <c r="O61" s="21">
        <v>45937</v>
      </c>
      <c r="P61">
        <v>1</v>
      </c>
      <c r="Q61">
        <v>0</v>
      </c>
      <c r="R61">
        <v>0</v>
      </c>
      <c r="S61" t="s">
        <v>63</v>
      </c>
      <c r="U61">
        <v>0</v>
      </c>
      <c r="V61" t="e">
        <v>#VALUE!</v>
      </c>
      <c r="W61" t="e">
        <v>#VALUE!</v>
      </c>
      <c r="X61" t="e">
        <v>#VALUE!</v>
      </c>
      <c r="Y61" t="e">
        <v>#VALUE!</v>
      </c>
      <c r="Z61" t="e">
        <v>#VALUE!</v>
      </c>
      <c r="AA61" t="e">
        <v>#VALUE!</v>
      </c>
      <c r="AB61" t="s">
        <v>64</v>
      </c>
      <c r="AC61" t="s">
        <v>62</v>
      </c>
      <c r="AD61" t="s">
        <v>2220</v>
      </c>
    </row>
    <row r="62" spans="1:30" x14ac:dyDescent="0.35">
      <c r="A62" t="s">
        <v>1930</v>
      </c>
      <c r="B62" t="s">
        <v>119</v>
      </c>
      <c r="C62" t="e">
        <v>#VALUE!</v>
      </c>
      <c r="D62" t="e">
        <v>#VALUE!</v>
      </c>
      <c r="F62">
        <v>1123.8</v>
      </c>
      <c r="G62" t="s">
        <v>76</v>
      </c>
      <c r="H62">
        <v>1000</v>
      </c>
      <c r="J62">
        <v>10</v>
      </c>
      <c r="L62">
        <v>-18.1941682993785</v>
      </c>
      <c r="M62">
        <v>0</v>
      </c>
      <c r="N62" s="21">
        <v>44843</v>
      </c>
      <c r="O62" s="21">
        <v>45938</v>
      </c>
      <c r="P62">
        <v>2</v>
      </c>
      <c r="Q62">
        <v>0</v>
      </c>
      <c r="R62">
        <v>0</v>
      </c>
      <c r="S62" t="s">
        <v>63</v>
      </c>
      <c r="U62">
        <v>0</v>
      </c>
      <c r="V62" t="e">
        <v>#VALUE!</v>
      </c>
      <c r="W62" t="e">
        <v>#VALUE!</v>
      </c>
      <c r="X62" t="e">
        <v>#VALUE!</v>
      </c>
      <c r="Y62" t="e">
        <v>#VALUE!</v>
      </c>
      <c r="Z62" t="e">
        <v>#VALUE!</v>
      </c>
      <c r="AA62" t="e">
        <v>#VALUE!</v>
      </c>
      <c r="AB62" t="s">
        <v>64</v>
      </c>
      <c r="AC62" t="s">
        <v>62</v>
      </c>
      <c r="AD62" t="s">
        <v>2220</v>
      </c>
    </row>
    <row r="63" spans="1:30" x14ac:dyDescent="0.35">
      <c r="A63" t="s">
        <v>1928</v>
      </c>
      <c r="B63" t="s">
        <v>1488</v>
      </c>
      <c r="C63" t="e">
        <v>#VALUE!</v>
      </c>
      <c r="D63" t="e">
        <v>#VALUE!</v>
      </c>
      <c r="F63">
        <v>115499</v>
      </c>
      <c r="G63" t="s">
        <v>76</v>
      </c>
      <c r="H63">
        <v>100000</v>
      </c>
      <c r="J63">
        <v>5</v>
      </c>
      <c r="L63">
        <v>-22.0630395848363</v>
      </c>
      <c r="M63">
        <v>0</v>
      </c>
      <c r="N63" s="21">
        <v>44844</v>
      </c>
      <c r="O63" s="21">
        <v>45939</v>
      </c>
      <c r="P63">
        <v>2</v>
      </c>
      <c r="Q63">
        <v>0</v>
      </c>
      <c r="R63">
        <v>0</v>
      </c>
      <c r="S63" t="s">
        <v>63</v>
      </c>
      <c r="U63">
        <v>0</v>
      </c>
      <c r="V63" t="e">
        <v>#VALUE!</v>
      </c>
      <c r="W63" t="e">
        <v>#VALUE!</v>
      </c>
      <c r="X63" t="e">
        <v>#VALUE!</v>
      </c>
      <c r="Y63" t="e">
        <v>#VALUE!</v>
      </c>
      <c r="Z63" t="e">
        <v>#VALUE!</v>
      </c>
      <c r="AA63" t="e">
        <v>#VALUE!</v>
      </c>
      <c r="AB63" t="s">
        <v>64</v>
      </c>
      <c r="AC63" t="s">
        <v>62</v>
      </c>
      <c r="AD63" t="s">
        <v>2220</v>
      </c>
    </row>
    <row r="64" spans="1:30" x14ac:dyDescent="0.35">
      <c r="A64" t="s">
        <v>1922</v>
      </c>
      <c r="B64" t="s">
        <v>338</v>
      </c>
      <c r="C64" t="e">
        <v>#VALUE!</v>
      </c>
      <c r="D64" t="e">
        <v>#VALUE!</v>
      </c>
      <c r="F64">
        <v>1005</v>
      </c>
      <c r="G64" t="s">
        <v>76</v>
      </c>
      <c r="H64">
        <v>1000</v>
      </c>
      <c r="J64">
        <v>50</v>
      </c>
      <c r="L64">
        <v>-0.68525298038111304</v>
      </c>
      <c r="M64">
        <v>0</v>
      </c>
      <c r="N64" s="21">
        <v>44845</v>
      </c>
      <c r="O64" s="21">
        <v>45940</v>
      </c>
      <c r="P64">
        <v>1</v>
      </c>
      <c r="Q64">
        <v>0</v>
      </c>
      <c r="R64">
        <v>0</v>
      </c>
      <c r="S64" t="s">
        <v>63</v>
      </c>
      <c r="U64">
        <v>0</v>
      </c>
      <c r="V64" t="e">
        <v>#VALUE!</v>
      </c>
      <c r="W64" t="e">
        <v>#VALUE!</v>
      </c>
      <c r="X64" t="e">
        <v>#VALUE!</v>
      </c>
      <c r="Y64" t="e">
        <v>#VALUE!</v>
      </c>
      <c r="Z64" t="e">
        <v>#VALUE!</v>
      </c>
      <c r="AA64" t="e">
        <v>#VALUE!</v>
      </c>
      <c r="AB64" t="s">
        <v>64</v>
      </c>
      <c r="AC64" t="s">
        <v>62</v>
      </c>
      <c r="AD64" t="s">
        <v>2220</v>
      </c>
    </row>
    <row r="65" spans="1:30" x14ac:dyDescent="0.35">
      <c r="A65" t="s">
        <v>1915</v>
      </c>
      <c r="B65" t="s">
        <v>353</v>
      </c>
      <c r="C65" t="e">
        <v>#VALUE!</v>
      </c>
      <c r="D65" t="e">
        <v>#VALUE!</v>
      </c>
      <c r="F65">
        <v>1065</v>
      </c>
      <c r="G65" t="s">
        <v>76</v>
      </c>
      <c r="H65">
        <v>1000</v>
      </c>
      <c r="J65">
        <v>20</v>
      </c>
      <c r="L65">
        <v>-6.1200536552649201</v>
      </c>
      <c r="M65">
        <v>0</v>
      </c>
      <c r="N65" s="21">
        <v>44846</v>
      </c>
      <c r="O65" s="21">
        <v>45941</v>
      </c>
      <c r="P65">
        <v>2</v>
      </c>
      <c r="Q65">
        <v>0</v>
      </c>
      <c r="R65">
        <v>0</v>
      </c>
      <c r="S65" t="s">
        <v>63</v>
      </c>
      <c r="U65">
        <v>0</v>
      </c>
      <c r="V65" t="e">
        <v>#VALUE!</v>
      </c>
      <c r="W65" t="e">
        <v>#VALUE!</v>
      </c>
      <c r="X65" t="e">
        <v>#VALUE!</v>
      </c>
      <c r="Y65" t="e">
        <v>#VALUE!</v>
      </c>
      <c r="Z65" t="e">
        <v>#VALUE!</v>
      </c>
      <c r="AA65" t="e">
        <v>#VALUE!</v>
      </c>
      <c r="AB65" t="s">
        <v>64</v>
      </c>
      <c r="AC65" t="s">
        <v>62</v>
      </c>
      <c r="AD65" t="s">
        <v>2220</v>
      </c>
    </row>
    <row r="66" spans="1:30" x14ac:dyDescent="0.35">
      <c r="A66" t="s">
        <v>1911</v>
      </c>
      <c r="B66" t="s">
        <v>241</v>
      </c>
      <c r="C66" t="e">
        <v>#VALUE!</v>
      </c>
      <c r="D66" t="e">
        <v>#VALUE!</v>
      </c>
      <c r="F66">
        <v>1435.8</v>
      </c>
      <c r="G66" t="s">
        <v>76</v>
      </c>
      <c r="H66">
        <v>1000</v>
      </c>
      <c r="J66">
        <v>532</v>
      </c>
      <c r="L66">
        <v>-44.8527616253659</v>
      </c>
      <c r="M66">
        <v>0</v>
      </c>
      <c r="N66" s="21">
        <v>44847</v>
      </c>
      <c r="O66" s="21">
        <v>45942</v>
      </c>
      <c r="P66">
        <v>5</v>
      </c>
      <c r="Q66">
        <v>0</v>
      </c>
      <c r="R66">
        <v>0</v>
      </c>
      <c r="S66" t="s">
        <v>63</v>
      </c>
      <c r="U66">
        <v>0</v>
      </c>
      <c r="V66" t="e">
        <v>#VALUE!</v>
      </c>
      <c r="W66" t="e">
        <v>#VALUE!</v>
      </c>
      <c r="X66" t="e">
        <v>#VALUE!</v>
      </c>
      <c r="Y66" t="e">
        <v>#VALUE!</v>
      </c>
      <c r="Z66" t="e">
        <v>#VALUE!</v>
      </c>
      <c r="AA66" t="e">
        <v>#VALUE!</v>
      </c>
      <c r="AB66" t="s">
        <v>64</v>
      </c>
      <c r="AC66" t="s">
        <v>62</v>
      </c>
      <c r="AD66" t="s">
        <v>2220</v>
      </c>
    </row>
    <row r="67" spans="1:30" x14ac:dyDescent="0.35">
      <c r="A67" t="s">
        <v>1902</v>
      </c>
      <c r="B67" t="s">
        <v>128</v>
      </c>
      <c r="C67" t="e">
        <v>#VALUE!</v>
      </c>
      <c r="D67" t="e">
        <v>#VALUE!</v>
      </c>
      <c r="F67">
        <v>1225</v>
      </c>
      <c r="G67" t="s">
        <v>76</v>
      </c>
      <c r="H67">
        <v>1000</v>
      </c>
      <c r="J67">
        <v>10</v>
      </c>
      <c r="L67">
        <v>-27.475744396119101</v>
      </c>
      <c r="M67">
        <v>0</v>
      </c>
      <c r="N67" s="21">
        <v>44848</v>
      </c>
      <c r="O67" s="21">
        <v>45943</v>
      </c>
      <c r="P67">
        <v>3</v>
      </c>
      <c r="Q67">
        <v>0</v>
      </c>
      <c r="R67">
        <v>0</v>
      </c>
      <c r="S67" t="s">
        <v>63</v>
      </c>
      <c r="U67">
        <v>0</v>
      </c>
      <c r="V67" t="e">
        <v>#VALUE!</v>
      </c>
      <c r="W67" t="e">
        <v>#VALUE!</v>
      </c>
      <c r="X67" t="e">
        <v>#VALUE!</v>
      </c>
      <c r="Y67" t="e">
        <v>#VALUE!</v>
      </c>
      <c r="Z67" t="e">
        <v>#VALUE!</v>
      </c>
      <c r="AA67" t="e">
        <v>#VALUE!</v>
      </c>
      <c r="AB67" t="s">
        <v>64</v>
      </c>
      <c r="AC67" t="s">
        <v>62</v>
      </c>
      <c r="AD67" t="s">
        <v>2220</v>
      </c>
    </row>
    <row r="68" spans="1:30" x14ac:dyDescent="0.35">
      <c r="A68" t="s">
        <v>1896</v>
      </c>
      <c r="B68" t="s">
        <v>128</v>
      </c>
      <c r="C68" t="e">
        <v>#VALUE!</v>
      </c>
      <c r="D68" t="e">
        <v>#VALUE!</v>
      </c>
      <c r="F68">
        <v>1020.2</v>
      </c>
      <c r="G68" t="s">
        <v>76</v>
      </c>
      <c r="H68">
        <v>1000</v>
      </c>
      <c r="J68">
        <v>10</v>
      </c>
      <c r="L68">
        <v>-2.4581681329657901</v>
      </c>
      <c r="M68">
        <v>0</v>
      </c>
      <c r="N68" s="21">
        <v>44849</v>
      </c>
      <c r="O68" s="21">
        <v>45944</v>
      </c>
      <c r="P68">
        <v>2</v>
      </c>
      <c r="Q68">
        <v>0</v>
      </c>
      <c r="R68">
        <v>0</v>
      </c>
      <c r="S68" t="s">
        <v>63</v>
      </c>
      <c r="U68">
        <v>0</v>
      </c>
      <c r="V68" t="e">
        <v>#VALUE!</v>
      </c>
      <c r="W68" t="e">
        <v>#VALUE!</v>
      </c>
      <c r="X68" t="e">
        <v>#VALUE!</v>
      </c>
      <c r="Y68" t="e">
        <v>#VALUE!</v>
      </c>
      <c r="Z68" t="e">
        <v>#VALUE!</v>
      </c>
      <c r="AA68" t="e">
        <v>#VALUE!</v>
      </c>
      <c r="AB68" t="s">
        <v>64</v>
      </c>
      <c r="AC68" t="s">
        <v>62</v>
      </c>
      <c r="AD68" t="s">
        <v>2220</v>
      </c>
    </row>
    <row r="69" spans="1:30" x14ac:dyDescent="0.35">
      <c r="A69" t="s">
        <v>1893</v>
      </c>
      <c r="B69" t="s">
        <v>316</v>
      </c>
      <c r="C69" t="e">
        <v>#VALUE!</v>
      </c>
      <c r="D69" t="e">
        <v>#VALUE!</v>
      </c>
      <c r="F69">
        <v>1050</v>
      </c>
      <c r="G69" t="s">
        <v>76</v>
      </c>
      <c r="H69">
        <v>1000</v>
      </c>
      <c r="J69">
        <v>100</v>
      </c>
      <c r="L69">
        <v>-3.85386970752824</v>
      </c>
      <c r="M69">
        <v>0</v>
      </c>
      <c r="N69" s="21">
        <v>44850</v>
      </c>
      <c r="O69" s="21">
        <v>45945</v>
      </c>
      <c r="P69">
        <v>2</v>
      </c>
      <c r="Q69">
        <v>0</v>
      </c>
      <c r="R69">
        <v>0</v>
      </c>
      <c r="S69" t="s">
        <v>63</v>
      </c>
      <c r="U69">
        <v>0</v>
      </c>
      <c r="V69" t="e">
        <v>#VALUE!</v>
      </c>
      <c r="W69" t="e">
        <v>#VALUE!</v>
      </c>
      <c r="X69" t="e">
        <v>#VALUE!</v>
      </c>
      <c r="Y69" t="e">
        <v>#VALUE!</v>
      </c>
      <c r="Z69" t="e">
        <v>#VALUE!</v>
      </c>
      <c r="AA69" t="e">
        <v>#VALUE!</v>
      </c>
      <c r="AB69" t="s">
        <v>64</v>
      </c>
      <c r="AC69" t="s">
        <v>62</v>
      </c>
      <c r="AD69" t="s">
        <v>2220</v>
      </c>
    </row>
    <row r="70" spans="1:30" x14ac:dyDescent="0.35">
      <c r="A70" t="s">
        <v>1891</v>
      </c>
      <c r="B70" t="s">
        <v>171</v>
      </c>
      <c r="C70" t="e">
        <v>#VALUE!</v>
      </c>
      <c r="D70" t="e">
        <v>#VALUE!</v>
      </c>
      <c r="F70">
        <v>2920</v>
      </c>
      <c r="G70" t="s">
        <v>76</v>
      </c>
      <c r="H70">
        <v>1000</v>
      </c>
      <c r="J70">
        <v>4</v>
      </c>
      <c r="L70">
        <v>-96.385542168674704</v>
      </c>
      <c r="M70">
        <v>0</v>
      </c>
      <c r="N70" s="21">
        <v>44851</v>
      </c>
      <c r="O70" s="21">
        <v>45946</v>
      </c>
      <c r="P70">
        <v>15</v>
      </c>
      <c r="Q70">
        <v>0</v>
      </c>
      <c r="R70">
        <v>0</v>
      </c>
      <c r="S70" t="s">
        <v>63</v>
      </c>
      <c r="U70">
        <v>0</v>
      </c>
      <c r="V70" t="e">
        <v>#VALUE!</v>
      </c>
      <c r="W70" t="e">
        <v>#VALUE!</v>
      </c>
      <c r="X70" t="e">
        <v>#VALUE!</v>
      </c>
      <c r="Y70" t="e">
        <v>#VALUE!</v>
      </c>
      <c r="Z70" t="e">
        <v>#VALUE!</v>
      </c>
      <c r="AA70" t="e">
        <v>#VALUE!</v>
      </c>
      <c r="AB70" t="s">
        <v>79</v>
      </c>
      <c r="AC70" t="s">
        <v>62</v>
      </c>
      <c r="AD70" t="s">
        <v>2220</v>
      </c>
    </row>
    <row r="71" spans="1:30" x14ac:dyDescent="0.35">
      <c r="A71" t="s">
        <v>1888</v>
      </c>
      <c r="B71" t="s">
        <v>94</v>
      </c>
      <c r="C71" t="e">
        <v>#VALUE!</v>
      </c>
      <c r="D71" t="e">
        <v>#VALUE!</v>
      </c>
      <c r="F71">
        <v>15599.99</v>
      </c>
      <c r="G71" t="s">
        <v>76</v>
      </c>
      <c r="H71">
        <v>5000</v>
      </c>
      <c r="J71">
        <v>1</v>
      </c>
      <c r="L71">
        <v>-96.879978719137</v>
      </c>
      <c r="M71">
        <v>0</v>
      </c>
      <c r="N71" s="21">
        <v>44852</v>
      </c>
      <c r="O71" s="21">
        <v>45947</v>
      </c>
      <c r="P71">
        <v>15</v>
      </c>
      <c r="Q71">
        <v>0</v>
      </c>
      <c r="R71">
        <v>0</v>
      </c>
      <c r="S71" t="s">
        <v>63</v>
      </c>
      <c r="U71">
        <v>0</v>
      </c>
      <c r="V71" t="e">
        <v>#VALUE!</v>
      </c>
      <c r="W71" t="e">
        <v>#VALUE!</v>
      </c>
      <c r="X71" t="e">
        <v>#VALUE!</v>
      </c>
      <c r="Y71" t="e">
        <v>#VALUE!</v>
      </c>
      <c r="Z71" t="e">
        <v>#VALUE!</v>
      </c>
      <c r="AA71" t="e">
        <v>#VALUE!</v>
      </c>
      <c r="AB71" t="s">
        <v>79</v>
      </c>
      <c r="AC71" t="s">
        <v>62</v>
      </c>
      <c r="AD71" t="s">
        <v>2220</v>
      </c>
    </row>
    <row r="72" spans="1:30" x14ac:dyDescent="0.35">
      <c r="A72" t="s">
        <v>1883</v>
      </c>
      <c r="B72" t="s">
        <v>241</v>
      </c>
      <c r="C72" t="e">
        <v>#VALUE!</v>
      </c>
      <c r="D72" t="e">
        <v>#VALUE!</v>
      </c>
      <c r="F72">
        <v>1190.0999999999999</v>
      </c>
      <c r="G72" t="s">
        <v>76</v>
      </c>
      <c r="H72">
        <v>1000</v>
      </c>
      <c r="J72">
        <v>200</v>
      </c>
      <c r="L72">
        <v>-20.457222377007898</v>
      </c>
      <c r="M72">
        <v>0</v>
      </c>
      <c r="N72" s="21">
        <v>44853</v>
      </c>
      <c r="O72" s="21">
        <v>45948</v>
      </c>
      <c r="P72">
        <v>3</v>
      </c>
      <c r="Q72">
        <v>0</v>
      </c>
      <c r="R72">
        <v>0</v>
      </c>
      <c r="S72" t="s">
        <v>63</v>
      </c>
      <c r="U72">
        <v>0</v>
      </c>
      <c r="V72" t="e">
        <v>#VALUE!</v>
      </c>
      <c r="W72" t="e">
        <v>#VALUE!</v>
      </c>
      <c r="X72" t="e">
        <v>#VALUE!</v>
      </c>
      <c r="Y72" t="e">
        <v>#VALUE!</v>
      </c>
      <c r="Z72" t="e">
        <v>#VALUE!</v>
      </c>
      <c r="AA72" t="e">
        <v>#VALUE!</v>
      </c>
      <c r="AB72" t="s">
        <v>64</v>
      </c>
      <c r="AC72" t="s">
        <v>62</v>
      </c>
      <c r="AD72" t="s">
        <v>2220</v>
      </c>
    </row>
    <row r="73" spans="1:30" x14ac:dyDescent="0.35">
      <c r="A73" t="s">
        <v>1880</v>
      </c>
      <c r="B73" t="s">
        <v>1103</v>
      </c>
      <c r="C73" t="e">
        <v>#VALUE!</v>
      </c>
      <c r="D73" t="e">
        <v>#VALUE!</v>
      </c>
      <c r="F73">
        <v>124000</v>
      </c>
      <c r="G73" t="s">
        <v>76</v>
      </c>
      <c r="H73">
        <v>100000</v>
      </c>
      <c r="J73">
        <v>7</v>
      </c>
      <c r="L73">
        <v>-27.595766129032199</v>
      </c>
      <c r="M73">
        <v>0</v>
      </c>
      <c r="N73" s="21">
        <v>44854</v>
      </c>
      <c r="O73" s="21">
        <v>45949</v>
      </c>
      <c r="P73">
        <v>3</v>
      </c>
      <c r="Q73">
        <v>0</v>
      </c>
      <c r="R73">
        <v>0</v>
      </c>
      <c r="S73" t="s">
        <v>63</v>
      </c>
      <c r="U73">
        <v>0</v>
      </c>
      <c r="V73" t="e">
        <v>#VALUE!</v>
      </c>
      <c r="W73" t="e">
        <v>#VALUE!</v>
      </c>
      <c r="X73" t="e">
        <v>#VALUE!</v>
      </c>
      <c r="Y73" t="e">
        <v>#VALUE!</v>
      </c>
      <c r="Z73" t="e">
        <v>#VALUE!</v>
      </c>
      <c r="AA73" t="e">
        <v>#VALUE!</v>
      </c>
      <c r="AB73" t="s">
        <v>64</v>
      </c>
      <c r="AC73" t="s">
        <v>62</v>
      </c>
      <c r="AD73" t="s">
        <v>2220</v>
      </c>
    </row>
    <row r="74" spans="1:30" x14ac:dyDescent="0.35">
      <c r="A74" t="s">
        <v>1879</v>
      </c>
      <c r="B74" t="s">
        <v>326</v>
      </c>
      <c r="C74" t="e">
        <v>#VALUE!</v>
      </c>
      <c r="D74" t="e">
        <v>#VALUE!</v>
      </c>
      <c r="F74">
        <v>1025</v>
      </c>
      <c r="G74" t="s">
        <v>76</v>
      </c>
      <c r="H74">
        <v>1000</v>
      </c>
      <c r="J74">
        <v>48</v>
      </c>
      <c r="L74">
        <v>-3.3218056061157601</v>
      </c>
      <c r="M74">
        <v>0</v>
      </c>
      <c r="N74" s="21">
        <v>44855</v>
      </c>
      <c r="O74" s="21">
        <v>45950</v>
      </c>
      <c r="P74">
        <v>1</v>
      </c>
      <c r="Q74">
        <v>0</v>
      </c>
      <c r="R74">
        <v>0</v>
      </c>
      <c r="S74" t="s">
        <v>63</v>
      </c>
      <c r="U74">
        <v>0</v>
      </c>
      <c r="V74" t="e">
        <v>#VALUE!</v>
      </c>
      <c r="W74" t="e">
        <v>#VALUE!</v>
      </c>
      <c r="X74" t="e">
        <v>#VALUE!</v>
      </c>
      <c r="Y74" t="e">
        <v>#VALUE!</v>
      </c>
      <c r="Z74" t="e">
        <v>#VALUE!</v>
      </c>
      <c r="AA74" t="e">
        <v>#VALUE!</v>
      </c>
      <c r="AB74" t="s">
        <v>64</v>
      </c>
      <c r="AC74" t="s">
        <v>62</v>
      </c>
      <c r="AD74" t="s">
        <v>2220</v>
      </c>
    </row>
    <row r="75" spans="1:30" x14ac:dyDescent="0.35">
      <c r="A75" t="s">
        <v>1875</v>
      </c>
      <c r="B75" t="s">
        <v>272</v>
      </c>
      <c r="C75" t="e">
        <v>#VALUE!</v>
      </c>
      <c r="D75" t="e">
        <v>#VALUE!</v>
      </c>
      <c r="F75">
        <v>1200</v>
      </c>
      <c r="G75" t="s">
        <v>76</v>
      </c>
      <c r="H75">
        <v>1000</v>
      </c>
      <c r="J75">
        <v>500</v>
      </c>
      <c r="L75">
        <v>-22.6990049751243</v>
      </c>
      <c r="M75">
        <v>0</v>
      </c>
      <c r="N75" s="21">
        <v>44856</v>
      </c>
      <c r="O75" s="21">
        <v>45951</v>
      </c>
      <c r="P75">
        <v>3</v>
      </c>
      <c r="Q75">
        <v>0</v>
      </c>
      <c r="R75">
        <v>0</v>
      </c>
      <c r="S75" t="s">
        <v>63</v>
      </c>
      <c r="U75">
        <v>0</v>
      </c>
      <c r="V75" t="e">
        <v>#VALUE!</v>
      </c>
      <c r="W75" t="e">
        <v>#VALUE!</v>
      </c>
      <c r="X75" t="e">
        <v>#VALUE!</v>
      </c>
      <c r="Y75" t="e">
        <v>#VALUE!</v>
      </c>
      <c r="Z75" t="e">
        <v>#VALUE!</v>
      </c>
      <c r="AA75" t="e">
        <v>#VALUE!</v>
      </c>
      <c r="AB75" t="s">
        <v>64</v>
      </c>
      <c r="AC75" t="s">
        <v>62</v>
      </c>
      <c r="AD75" t="s">
        <v>2220</v>
      </c>
    </row>
    <row r="76" spans="1:30" x14ac:dyDescent="0.35">
      <c r="A76" t="s">
        <v>1866</v>
      </c>
      <c r="B76" t="s">
        <v>272</v>
      </c>
      <c r="C76" t="e">
        <v>#VALUE!</v>
      </c>
      <c r="D76" t="e">
        <v>#VALUE!</v>
      </c>
      <c r="F76">
        <v>1350</v>
      </c>
      <c r="G76" t="s">
        <v>76</v>
      </c>
      <c r="H76">
        <v>1000</v>
      </c>
      <c r="J76">
        <v>70</v>
      </c>
      <c r="L76">
        <v>-30.823983592713201</v>
      </c>
      <c r="M76">
        <v>0</v>
      </c>
      <c r="N76" s="21">
        <v>44857</v>
      </c>
      <c r="O76" s="21">
        <v>45952</v>
      </c>
      <c r="P76">
        <v>5</v>
      </c>
      <c r="Q76">
        <v>0</v>
      </c>
      <c r="R76">
        <v>0</v>
      </c>
      <c r="S76" t="s">
        <v>63</v>
      </c>
      <c r="U76">
        <v>0</v>
      </c>
      <c r="V76" t="e">
        <v>#VALUE!</v>
      </c>
      <c r="W76" t="e">
        <v>#VALUE!</v>
      </c>
      <c r="X76" t="e">
        <v>#VALUE!</v>
      </c>
      <c r="Y76" t="e">
        <v>#VALUE!</v>
      </c>
      <c r="Z76" t="e">
        <v>#VALUE!</v>
      </c>
      <c r="AA76" t="e">
        <v>#VALUE!</v>
      </c>
      <c r="AB76" t="s">
        <v>64</v>
      </c>
      <c r="AC76" t="s">
        <v>62</v>
      </c>
      <c r="AD76" t="s">
        <v>2220</v>
      </c>
    </row>
    <row r="77" spans="1:30" x14ac:dyDescent="0.35">
      <c r="A77" t="s">
        <v>1856</v>
      </c>
      <c r="B77" t="s">
        <v>860</v>
      </c>
      <c r="C77" t="e">
        <v>#VALUE!</v>
      </c>
      <c r="D77" t="e">
        <v>#VALUE!</v>
      </c>
      <c r="F77">
        <v>1238.0999999999999</v>
      </c>
      <c r="G77" t="s">
        <v>76</v>
      </c>
      <c r="H77">
        <v>1000</v>
      </c>
      <c r="J77">
        <v>80</v>
      </c>
      <c r="L77">
        <v>-24.8033362415852</v>
      </c>
      <c r="M77">
        <v>0</v>
      </c>
      <c r="N77" s="21">
        <v>44858</v>
      </c>
      <c r="O77" s="21">
        <v>45953</v>
      </c>
      <c r="P77">
        <v>3</v>
      </c>
      <c r="Q77">
        <v>0</v>
      </c>
      <c r="R77">
        <v>0</v>
      </c>
      <c r="S77" t="s">
        <v>63</v>
      </c>
      <c r="U77">
        <v>0</v>
      </c>
      <c r="V77" t="e">
        <v>#VALUE!</v>
      </c>
      <c r="W77" t="e">
        <v>#VALUE!</v>
      </c>
      <c r="X77" t="e">
        <v>#VALUE!</v>
      </c>
      <c r="Y77" t="e">
        <v>#VALUE!</v>
      </c>
      <c r="Z77" t="e">
        <v>#VALUE!</v>
      </c>
      <c r="AA77" t="e">
        <v>#VALUE!</v>
      </c>
      <c r="AB77" t="s">
        <v>64</v>
      </c>
      <c r="AC77" t="s">
        <v>62</v>
      </c>
      <c r="AD77" t="s">
        <v>2220</v>
      </c>
    </row>
    <row r="78" spans="1:30" x14ac:dyDescent="0.35">
      <c r="A78" t="s">
        <v>1854</v>
      </c>
      <c r="B78" t="s">
        <v>122</v>
      </c>
      <c r="C78" t="e">
        <v>#VALUE!</v>
      </c>
      <c r="D78" t="e">
        <v>#VALUE!</v>
      </c>
      <c r="F78">
        <v>1208.5</v>
      </c>
      <c r="G78" t="s">
        <v>76</v>
      </c>
      <c r="H78">
        <v>1000</v>
      </c>
      <c r="J78">
        <v>20</v>
      </c>
      <c r="L78">
        <v>-22.570857857203201</v>
      </c>
      <c r="M78">
        <v>0</v>
      </c>
      <c r="N78" s="21">
        <v>44859</v>
      </c>
      <c r="O78" s="21">
        <v>45954</v>
      </c>
      <c r="P78">
        <v>3</v>
      </c>
      <c r="Q78">
        <v>0</v>
      </c>
      <c r="R78">
        <v>0</v>
      </c>
      <c r="S78" t="s">
        <v>63</v>
      </c>
      <c r="U78">
        <v>0</v>
      </c>
      <c r="V78" t="e">
        <v>#VALUE!</v>
      </c>
      <c r="W78" t="e">
        <v>#VALUE!</v>
      </c>
      <c r="X78" t="e">
        <v>#VALUE!</v>
      </c>
      <c r="Y78" t="e">
        <v>#VALUE!</v>
      </c>
      <c r="Z78" t="e">
        <v>#VALUE!</v>
      </c>
      <c r="AA78" t="e">
        <v>#VALUE!</v>
      </c>
      <c r="AB78" t="s">
        <v>64</v>
      </c>
      <c r="AC78" t="s">
        <v>62</v>
      </c>
      <c r="AD78" t="s">
        <v>2220</v>
      </c>
    </row>
    <row r="79" spans="1:30" x14ac:dyDescent="0.35">
      <c r="A79" t="s">
        <v>1851</v>
      </c>
      <c r="B79" t="s">
        <v>122</v>
      </c>
      <c r="C79" t="e">
        <v>#VALUE!</v>
      </c>
      <c r="D79" t="e">
        <v>#VALUE!</v>
      </c>
      <c r="F79">
        <v>1075.3699999999999</v>
      </c>
      <c r="G79" t="s">
        <v>76</v>
      </c>
      <c r="H79">
        <v>1000</v>
      </c>
      <c r="J79">
        <v>20</v>
      </c>
      <c r="L79">
        <v>-8.3058244284147804</v>
      </c>
      <c r="M79">
        <v>0</v>
      </c>
      <c r="N79" s="21">
        <v>44860</v>
      </c>
      <c r="O79" s="21">
        <v>45955</v>
      </c>
      <c r="P79">
        <v>2</v>
      </c>
      <c r="Q79">
        <v>0</v>
      </c>
      <c r="R79">
        <v>0</v>
      </c>
      <c r="S79" t="s">
        <v>63</v>
      </c>
      <c r="U79">
        <v>0</v>
      </c>
      <c r="V79" t="e">
        <v>#VALUE!</v>
      </c>
      <c r="W79" t="e">
        <v>#VALUE!</v>
      </c>
      <c r="X79" t="e">
        <v>#VALUE!</v>
      </c>
      <c r="Y79" t="e">
        <v>#VALUE!</v>
      </c>
      <c r="Z79" t="e">
        <v>#VALUE!</v>
      </c>
      <c r="AA79" t="e">
        <v>#VALUE!</v>
      </c>
      <c r="AB79" t="s">
        <v>64</v>
      </c>
      <c r="AC79" t="s">
        <v>62</v>
      </c>
      <c r="AD79" t="s">
        <v>2220</v>
      </c>
    </row>
    <row r="80" spans="1:30" x14ac:dyDescent="0.35">
      <c r="A80" t="s">
        <v>1847</v>
      </c>
      <c r="B80" t="s">
        <v>122</v>
      </c>
      <c r="C80" t="e">
        <v>#VALUE!</v>
      </c>
      <c r="D80" t="e">
        <v>#VALUE!</v>
      </c>
      <c r="F80">
        <v>1431.2</v>
      </c>
      <c r="G80" t="s">
        <v>76</v>
      </c>
      <c r="H80">
        <v>1000</v>
      </c>
      <c r="J80">
        <v>3</v>
      </c>
      <c r="L80">
        <v>-38.996190272310201</v>
      </c>
      <c r="M80">
        <v>0</v>
      </c>
      <c r="N80" s="21">
        <v>44861</v>
      </c>
      <c r="O80" s="21">
        <v>45956</v>
      </c>
      <c r="P80">
        <v>5</v>
      </c>
      <c r="Q80">
        <v>0</v>
      </c>
      <c r="R80">
        <v>0</v>
      </c>
      <c r="S80" t="s">
        <v>63</v>
      </c>
      <c r="U80">
        <v>0</v>
      </c>
      <c r="V80" t="e">
        <v>#VALUE!</v>
      </c>
      <c r="W80" t="e">
        <v>#VALUE!</v>
      </c>
      <c r="X80" t="e">
        <v>#VALUE!</v>
      </c>
      <c r="Y80" t="e">
        <v>#VALUE!</v>
      </c>
      <c r="Z80" t="e">
        <v>#VALUE!</v>
      </c>
      <c r="AA80" t="e">
        <v>#VALUE!</v>
      </c>
      <c r="AB80" t="s">
        <v>64</v>
      </c>
      <c r="AC80" t="s">
        <v>62</v>
      </c>
      <c r="AD80" t="s">
        <v>2220</v>
      </c>
    </row>
    <row r="81" spans="1:30" x14ac:dyDescent="0.35">
      <c r="A81" t="s">
        <v>1844</v>
      </c>
      <c r="B81" t="s">
        <v>1843</v>
      </c>
      <c r="C81" t="e">
        <v>#VALUE!</v>
      </c>
      <c r="D81" t="e">
        <v>#VALUE!</v>
      </c>
      <c r="F81">
        <v>91820</v>
      </c>
      <c r="G81" t="s">
        <v>76</v>
      </c>
      <c r="H81">
        <v>100000</v>
      </c>
      <c r="J81">
        <v>11</v>
      </c>
      <c r="L81">
        <v>11.5718437202293</v>
      </c>
      <c r="M81">
        <v>0</v>
      </c>
      <c r="N81" s="21">
        <v>44862</v>
      </c>
      <c r="O81" s="21">
        <v>45957</v>
      </c>
      <c r="P81">
        <v>3</v>
      </c>
      <c r="Q81">
        <v>0</v>
      </c>
      <c r="R81">
        <v>0</v>
      </c>
      <c r="S81" t="s">
        <v>63</v>
      </c>
      <c r="U81">
        <v>0</v>
      </c>
      <c r="V81" t="e">
        <v>#VALUE!</v>
      </c>
      <c r="W81" t="e">
        <v>#VALUE!</v>
      </c>
      <c r="X81" t="e">
        <v>#VALUE!</v>
      </c>
      <c r="Y81" t="e">
        <v>#VALUE!</v>
      </c>
      <c r="Z81" t="e">
        <v>#VALUE!</v>
      </c>
      <c r="AA81" t="e">
        <v>#VALUE!</v>
      </c>
      <c r="AB81" t="s">
        <v>79</v>
      </c>
      <c r="AC81" t="s">
        <v>62</v>
      </c>
      <c r="AD81" t="s">
        <v>2220</v>
      </c>
    </row>
    <row r="82" spans="1:30" x14ac:dyDescent="0.35">
      <c r="A82" t="s">
        <v>1836</v>
      </c>
      <c r="B82" t="s">
        <v>316</v>
      </c>
      <c r="C82" t="e">
        <v>#VALUE!</v>
      </c>
      <c r="D82" t="e">
        <v>#VALUE!</v>
      </c>
      <c r="F82">
        <v>1625.21</v>
      </c>
      <c r="G82" t="s">
        <v>76</v>
      </c>
      <c r="H82">
        <v>1000</v>
      </c>
      <c r="J82">
        <v>2</v>
      </c>
      <c r="L82">
        <v>-40.936920948345502</v>
      </c>
      <c r="M82">
        <v>0</v>
      </c>
      <c r="N82" s="21">
        <v>44863</v>
      </c>
      <c r="O82" s="21">
        <v>45958</v>
      </c>
      <c r="P82">
        <v>7</v>
      </c>
      <c r="Q82">
        <v>0</v>
      </c>
      <c r="R82">
        <v>0</v>
      </c>
      <c r="S82" t="s">
        <v>63</v>
      </c>
      <c r="U82">
        <v>0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s">
        <v>64</v>
      </c>
      <c r="AC82" t="s">
        <v>62</v>
      </c>
      <c r="AD82" t="s">
        <v>2220</v>
      </c>
    </row>
    <row r="83" spans="1:30" x14ac:dyDescent="0.35">
      <c r="A83" t="s">
        <v>1835</v>
      </c>
      <c r="B83" t="s">
        <v>947</v>
      </c>
      <c r="C83" t="e">
        <v>#VALUE!</v>
      </c>
      <c r="D83" t="e">
        <v>#VALUE!</v>
      </c>
      <c r="F83">
        <v>1859.89</v>
      </c>
      <c r="G83" t="s">
        <v>76</v>
      </c>
      <c r="H83">
        <v>1000</v>
      </c>
      <c r="J83">
        <v>48</v>
      </c>
      <c r="L83">
        <v>-58.594387078447298</v>
      </c>
      <c r="M83">
        <v>0</v>
      </c>
      <c r="N83" s="21">
        <v>44864</v>
      </c>
      <c r="O83" s="21">
        <v>45959</v>
      </c>
      <c r="P83">
        <v>7</v>
      </c>
      <c r="Q83">
        <v>0</v>
      </c>
      <c r="R83">
        <v>0</v>
      </c>
      <c r="S83" t="s">
        <v>63</v>
      </c>
      <c r="U83">
        <v>0</v>
      </c>
      <c r="V83" t="e">
        <v>#VALUE!</v>
      </c>
      <c r="W83" t="e">
        <v>#VALUE!</v>
      </c>
      <c r="X83" t="e">
        <v>#VALUE!</v>
      </c>
      <c r="Y83" t="e">
        <v>#VALUE!</v>
      </c>
      <c r="Z83" t="e">
        <v>#VALUE!</v>
      </c>
      <c r="AA83" t="e">
        <v>#VALUE!</v>
      </c>
      <c r="AB83" t="s">
        <v>64</v>
      </c>
      <c r="AC83" t="s">
        <v>62</v>
      </c>
      <c r="AD83" t="s">
        <v>2220</v>
      </c>
    </row>
    <row r="84" spans="1:30" x14ac:dyDescent="0.35">
      <c r="A84" t="s">
        <v>1832</v>
      </c>
      <c r="B84" t="s">
        <v>241</v>
      </c>
      <c r="C84" t="e">
        <v>#VALUE!</v>
      </c>
      <c r="D84" t="e">
        <v>#VALUE!</v>
      </c>
      <c r="F84">
        <v>1400</v>
      </c>
      <c r="G84" t="s">
        <v>76</v>
      </c>
      <c r="H84">
        <v>1000</v>
      </c>
      <c r="J84">
        <v>30</v>
      </c>
      <c r="L84">
        <v>-35.113035113035103</v>
      </c>
      <c r="M84">
        <v>0</v>
      </c>
      <c r="N84" s="21">
        <v>44865</v>
      </c>
      <c r="O84" s="21">
        <v>45960</v>
      </c>
      <c r="P84">
        <v>5</v>
      </c>
      <c r="Q84">
        <v>0</v>
      </c>
      <c r="R84">
        <v>0</v>
      </c>
      <c r="S84" t="s">
        <v>63</v>
      </c>
      <c r="U84">
        <v>0</v>
      </c>
      <c r="V84" t="e">
        <v>#VALUE!</v>
      </c>
      <c r="W84" t="e">
        <v>#VALUE!</v>
      </c>
      <c r="X84" t="e">
        <v>#VALUE!</v>
      </c>
      <c r="Y84" t="e">
        <v>#VALUE!</v>
      </c>
      <c r="Z84" t="e">
        <v>#VALUE!</v>
      </c>
      <c r="AA84" t="e">
        <v>#VALUE!</v>
      </c>
      <c r="AB84" t="s">
        <v>64</v>
      </c>
      <c r="AC84" t="s">
        <v>62</v>
      </c>
      <c r="AD84" t="s">
        <v>2220</v>
      </c>
    </row>
    <row r="85" spans="1:30" x14ac:dyDescent="0.35">
      <c r="A85" t="s">
        <v>1827</v>
      </c>
      <c r="B85" t="s">
        <v>162</v>
      </c>
      <c r="C85" t="e">
        <v>#VALUE!</v>
      </c>
      <c r="D85" t="e">
        <v>#VALUE!</v>
      </c>
      <c r="F85">
        <v>1094.31</v>
      </c>
      <c r="G85" t="s">
        <v>76</v>
      </c>
      <c r="H85">
        <v>1000</v>
      </c>
      <c r="J85">
        <v>40</v>
      </c>
      <c r="L85">
        <v>-10.381679393917301</v>
      </c>
      <c r="M85">
        <v>0</v>
      </c>
      <c r="N85" s="21">
        <v>44866</v>
      </c>
      <c r="O85" s="21">
        <v>45961</v>
      </c>
      <c r="P85">
        <v>2</v>
      </c>
      <c r="Q85">
        <v>0</v>
      </c>
      <c r="R85">
        <v>0</v>
      </c>
      <c r="S85" t="s">
        <v>63</v>
      </c>
      <c r="U85">
        <v>0</v>
      </c>
      <c r="V85" t="e">
        <v>#VALUE!</v>
      </c>
      <c r="W85" t="e">
        <v>#VALUE!</v>
      </c>
      <c r="X85" t="e">
        <v>#VALUE!</v>
      </c>
      <c r="Y85" t="e">
        <v>#VALUE!</v>
      </c>
      <c r="Z85" t="e">
        <v>#VALUE!</v>
      </c>
      <c r="AA85" t="e">
        <v>#VALUE!</v>
      </c>
      <c r="AB85" t="s">
        <v>64</v>
      </c>
      <c r="AC85" t="s">
        <v>62</v>
      </c>
      <c r="AD85" t="s">
        <v>2220</v>
      </c>
    </row>
    <row r="86" spans="1:30" x14ac:dyDescent="0.35">
      <c r="A86" t="s">
        <v>1823</v>
      </c>
      <c r="B86" t="s">
        <v>338</v>
      </c>
      <c r="C86" t="e">
        <v>#VALUE!</v>
      </c>
      <c r="D86" t="e">
        <v>#VALUE!</v>
      </c>
      <c r="F86">
        <v>1075.3</v>
      </c>
      <c r="G86" t="s">
        <v>76</v>
      </c>
      <c r="H86">
        <v>1000</v>
      </c>
      <c r="J86">
        <v>102</v>
      </c>
      <c r="L86">
        <v>-8.4916424466879707</v>
      </c>
      <c r="M86">
        <v>0</v>
      </c>
      <c r="N86" s="21">
        <v>44867</v>
      </c>
      <c r="O86" s="21">
        <v>45962</v>
      </c>
      <c r="P86">
        <v>2</v>
      </c>
      <c r="Q86">
        <v>0</v>
      </c>
      <c r="R86">
        <v>0</v>
      </c>
      <c r="S86" t="s">
        <v>63</v>
      </c>
      <c r="U86">
        <v>0</v>
      </c>
      <c r="V86" t="e">
        <v>#VALUE!</v>
      </c>
      <c r="W86" t="e">
        <v>#VALUE!</v>
      </c>
      <c r="X86" t="e">
        <v>#VALUE!</v>
      </c>
      <c r="Y86" t="e">
        <v>#VALUE!</v>
      </c>
      <c r="Z86" t="e">
        <v>#VALUE!</v>
      </c>
      <c r="AA86" t="e">
        <v>#VALUE!</v>
      </c>
      <c r="AB86" t="s">
        <v>64</v>
      </c>
      <c r="AC86" t="s">
        <v>62</v>
      </c>
      <c r="AD86" t="s">
        <v>2220</v>
      </c>
    </row>
    <row r="87" spans="1:30" x14ac:dyDescent="0.35">
      <c r="A87" t="s">
        <v>1816</v>
      </c>
      <c r="B87" t="s">
        <v>338</v>
      </c>
      <c r="C87" t="e">
        <v>#VALUE!</v>
      </c>
      <c r="D87" t="e">
        <v>#VALUE!</v>
      </c>
      <c r="F87">
        <v>901</v>
      </c>
      <c r="G87" t="s">
        <v>76</v>
      </c>
      <c r="H87">
        <v>1000</v>
      </c>
      <c r="J87">
        <v>10</v>
      </c>
      <c r="L87">
        <v>10.5819098685424</v>
      </c>
      <c r="M87">
        <v>0</v>
      </c>
      <c r="N87" s="21">
        <v>44868</v>
      </c>
      <c r="O87" s="21">
        <v>45963</v>
      </c>
      <c r="P87">
        <v>1</v>
      </c>
      <c r="Q87">
        <v>0</v>
      </c>
      <c r="R87">
        <v>0</v>
      </c>
      <c r="S87" t="s">
        <v>63</v>
      </c>
      <c r="U87">
        <v>0</v>
      </c>
      <c r="V87" t="e">
        <v>#VALUE!</v>
      </c>
      <c r="W87" t="e">
        <v>#VALUE!</v>
      </c>
      <c r="X87" t="e">
        <v>#VALUE!</v>
      </c>
      <c r="Y87" t="e">
        <v>#VALUE!</v>
      </c>
      <c r="Z87" t="e">
        <v>#VALUE!</v>
      </c>
      <c r="AA87" t="e">
        <v>#VALUE!</v>
      </c>
      <c r="AB87" t="s">
        <v>64</v>
      </c>
      <c r="AC87" t="s">
        <v>62</v>
      </c>
      <c r="AD87" t="s">
        <v>2220</v>
      </c>
    </row>
    <row r="88" spans="1:30" x14ac:dyDescent="0.35">
      <c r="A88" t="s">
        <v>1808</v>
      </c>
      <c r="B88" t="s">
        <v>128</v>
      </c>
      <c r="C88" t="e">
        <v>#VALUE!</v>
      </c>
      <c r="D88" t="e">
        <v>#VALUE!</v>
      </c>
      <c r="F88">
        <v>1058.2</v>
      </c>
      <c r="G88" t="s">
        <v>76</v>
      </c>
      <c r="H88">
        <v>1000</v>
      </c>
      <c r="J88">
        <v>30</v>
      </c>
      <c r="L88">
        <v>-6.3326987617208399</v>
      </c>
      <c r="M88">
        <v>0</v>
      </c>
      <c r="N88" s="21">
        <v>44869</v>
      </c>
      <c r="O88" s="21">
        <v>45964</v>
      </c>
      <c r="P88">
        <v>2</v>
      </c>
      <c r="Q88">
        <v>0</v>
      </c>
      <c r="R88">
        <v>0</v>
      </c>
      <c r="S88" t="s">
        <v>63</v>
      </c>
      <c r="U88">
        <v>0</v>
      </c>
      <c r="V88" t="e">
        <v>#VALUE!</v>
      </c>
      <c r="W88" t="e">
        <v>#VALUE!</v>
      </c>
      <c r="X88" t="e">
        <v>#VALUE!</v>
      </c>
      <c r="Y88" t="e">
        <v>#VALUE!</v>
      </c>
      <c r="Z88" t="e">
        <v>#VALUE!</v>
      </c>
      <c r="AA88" t="e">
        <v>#VALUE!</v>
      </c>
      <c r="AB88" t="s">
        <v>64</v>
      </c>
      <c r="AC88" t="s">
        <v>62</v>
      </c>
      <c r="AD88" t="s">
        <v>2220</v>
      </c>
    </row>
    <row r="89" spans="1:30" x14ac:dyDescent="0.35">
      <c r="A89" t="s">
        <v>1803</v>
      </c>
      <c r="B89" t="s">
        <v>272</v>
      </c>
      <c r="C89" t="e">
        <v>#VALUE!</v>
      </c>
      <c r="D89" t="e">
        <v>#VALUE!</v>
      </c>
      <c r="F89">
        <v>1185</v>
      </c>
      <c r="G89" t="s">
        <v>76</v>
      </c>
      <c r="H89">
        <v>1000</v>
      </c>
      <c r="J89">
        <v>30</v>
      </c>
      <c r="L89">
        <v>-17.975748379454</v>
      </c>
      <c r="M89">
        <v>0</v>
      </c>
      <c r="N89" s="21">
        <v>44870</v>
      </c>
      <c r="O89" s="21">
        <v>45965</v>
      </c>
      <c r="P89">
        <v>3</v>
      </c>
      <c r="Q89">
        <v>0</v>
      </c>
      <c r="R89">
        <v>0</v>
      </c>
      <c r="S89" t="s">
        <v>63</v>
      </c>
      <c r="U89">
        <v>0</v>
      </c>
      <c r="V89" t="e">
        <v>#VALUE!</v>
      </c>
      <c r="W89" t="e">
        <v>#VALUE!</v>
      </c>
      <c r="X89" t="e">
        <v>#VALUE!</v>
      </c>
      <c r="Y89" t="e">
        <v>#VALUE!</v>
      </c>
      <c r="Z89" t="e">
        <v>#VALUE!</v>
      </c>
      <c r="AA89" t="e">
        <v>#VALUE!</v>
      </c>
      <c r="AB89" t="s">
        <v>64</v>
      </c>
      <c r="AC89" t="s">
        <v>62</v>
      </c>
      <c r="AD89" t="s">
        <v>2220</v>
      </c>
    </row>
    <row r="90" spans="1:30" x14ac:dyDescent="0.35">
      <c r="A90" t="s">
        <v>1798</v>
      </c>
      <c r="B90" t="s">
        <v>749</v>
      </c>
      <c r="C90" t="e">
        <v>#VALUE!</v>
      </c>
      <c r="D90" t="e">
        <v>#VALUE!</v>
      </c>
      <c r="F90">
        <v>1091</v>
      </c>
      <c r="G90" t="s">
        <v>76</v>
      </c>
      <c r="H90">
        <v>1000</v>
      </c>
      <c r="J90">
        <v>10</v>
      </c>
      <c r="L90">
        <v>-6.6618263211836597</v>
      </c>
      <c r="M90">
        <v>0</v>
      </c>
      <c r="N90" s="21">
        <v>44871</v>
      </c>
      <c r="O90" s="21">
        <v>45966</v>
      </c>
      <c r="P90">
        <v>3</v>
      </c>
      <c r="Q90">
        <v>0</v>
      </c>
      <c r="R90">
        <v>0</v>
      </c>
      <c r="S90" t="s">
        <v>63</v>
      </c>
      <c r="U90">
        <v>0</v>
      </c>
      <c r="V90" t="e">
        <v>#VALUE!</v>
      </c>
      <c r="W90" t="e">
        <v>#VALUE!</v>
      </c>
      <c r="X90" t="e">
        <v>#VALUE!</v>
      </c>
      <c r="Y90" t="e">
        <v>#VALUE!</v>
      </c>
      <c r="Z90" t="e">
        <v>#VALUE!</v>
      </c>
      <c r="AA90" t="e">
        <v>#VALUE!</v>
      </c>
      <c r="AB90" t="s">
        <v>64</v>
      </c>
      <c r="AC90" t="s">
        <v>62</v>
      </c>
      <c r="AD90" t="s">
        <v>2220</v>
      </c>
    </row>
    <row r="91" spans="1:30" x14ac:dyDescent="0.35">
      <c r="A91" t="s">
        <v>1796</v>
      </c>
      <c r="B91" t="s">
        <v>145</v>
      </c>
      <c r="C91" t="e">
        <v>#VALUE!</v>
      </c>
      <c r="D91" t="e">
        <v>#VALUE!</v>
      </c>
      <c r="F91">
        <v>2190</v>
      </c>
      <c r="G91" t="s">
        <v>76</v>
      </c>
      <c r="H91">
        <v>1000</v>
      </c>
      <c r="J91">
        <v>195</v>
      </c>
      <c r="L91">
        <v>-61.9791666666666</v>
      </c>
      <c r="M91">
        <v>0</v>
      </c>
      <c r="N91" s="21">
        <v>44872</v>
      </c>
      <c r="O91" s="21">
        <v>45967</v>
      </c>
      <c r="P91">
        <v>10</v>
      </c>
      <c r="Q91">
        <v>0</v>
      </c>
      <c r="R91">
        <v>0</v>
      </c>
      <c r="S91" t="s">
        <v>63</v>
      </c>
      <c r="U91">
        <v>0</v>
      </c>
      <c r="V91" t="e">
        <v>#VALUE!</v>
      </c>
      <c r="W91" t="e">
        <v>#VALUE!</v>
      </c>
      <c r="X91" t="e">
        <v>#VALUE!</v>
      </c>
      <c r="Y91" t="e">
        <v>#VALUE!</v>
      </c>
      <c r="Z91" t="e">
        <v>#VALUE!</v>
      </c>
      <c r="AA91" t="e">
        <v>#VALUE!</v>
      </c>
      <c r="AB91" t="s">
        <v>64</v>
      </c>
      <c r="AC91" t="s">
        <v>62</v>
      </c>
      <c r="AD91" t="s">
        <v>2220</v>
      </c>
    </row>
    <row r="92" spans="1:30" x14ac:dyDescent="0.35">
      <c r="A92" t="s">
        <v>1791</v>
      </c>
      <c r="B92" t="s">
        <v>145</v>
      </c>
      <c r="C92" t="e">
        <v>#VALUE!</v>
      </c>
      <c r="D92" t="e">
        <v>#VALUE!</v>
      </c>
      <c r="F92">
        <v>1497.6</v>
      </c>
      <c r="G92" t="s">
        <v>76</v>
      </c>
      <c r="H92">
        <v>1000</v>
      </c>
      <c r="J92">
        <v>2660</v>
      </c>
      <c r="L92">
        <v>-23.873367992462398</v>
      </c>
      <c r="M92">
        <v>0</v>
      </c>
      <c r="N92" s="21">
        <v>44873</v>
      </c>
      <c r="O92" s="21">
        <v>45968</v>
      </c>
      <c r="P92">
        <v>10</v>
      </c>
      <c r="Q92">
        <v>0</v>
      </c>
      <c r="R92">
        <v>0</v>
      </c>
      <c r="S92" t="s">
        <v>63</v>
      </c>
      <c r="U92">
        <v>0</v>
      </c>
      <c r="V92" t="e">
        <v>#VALUE!</v>
      </c>
      <c r="W92" t="e">
        <v>#VALUE!</v>
      </c>
      <c r="X92" t="e">
        <v>#VALUE!</v>
      </c>
      <c r="Y92" t="e">
        <v>#VALUE!</v>
      </c>
      <c r="Z92" t="e">
        <v>#VALUE!</v>
      </c>
      <c r="AA92" t="e">
        <v>#VALUE!</v>
      </c>
      <c r="AB92" t="s">
        <v>64</v>
      </c>
      <c r="AC92" t="s">
        <v>62</v>
      </c>
      <c r="AD92" t="s">
        <v>2220</v>
      </c>
    </row>
    <row r="93" spans="1:30" x14ac:dyDescent="0.35">
      <c r="A93" t="s">
        <v>1790</v>
      </c>
      <c r="B93" t="s">
        <v>875</v>
      </c>
      <c r="C93" t="e">
        <v>#VALUE!</v>
      </c>
      <c r="D93" t="e">
        <v>#VALUE!</v>
      </c>
      <c r="F93">
        <v>1166.8</v>
      </c>
      <c r="G93" t="s">
        <v>76</v>
      </c>
      <c r="H93">
        <v>1000</v>
      </c>
      <c r="J93">
        <v>100</v>
      </c>
      <c r="L93">
        <v>-15.391919810934301</v>
      </c>
      <c r="M93">
        <v>0</v>
      </c>
      <c r="N93" s="21">
        <v>44874</v>
      </c>
      <c r="O93" s="21">
        <v>45969</v>
      </c>
      <c r="P93">
        <v>3</v>
      </c>
      <c r="Q93">
        <v>0</v>
      </c>
      <c r="R93">
        <v>0</v>
      </c>
      <c r="S93" t="s">
        <v>63</v>
      </c>
      <c r="U93">
        <v>0</v>
      </c>
      <c r="V93" t="e">
        <v>#VALUE!</v>
      </c>
      <c r="W93" t="e">
        <v>#VALUE!</v>
      </c>
      <c r="X93" t="e">
        <v>#VALUE!</v>
      </c>
      <c r="Y93" t="e">
        <v>#VALUE!</v>
      </c>
      <c r="Z93" t="e">
        <v>#VALUE!</v>
      </c>
      <c r="AA93" t="e">
        <v>#VALUE!</v>
      </c>
      <c r="AB93" t="s">
        <v>64</v>
      </c>
      <c r="AC93" t="s">
        <v>62</v>
      </c>
      <c r="AD93" t="s">
        <v>2220</v>
      </c>
    </row>
    <row r="94" spans="1:30" x14ac:dyDescent="0.35">
      <c r="A94" t="s">
        <v>1785</v>
      </c>
      <c r="B94" t="s">
        <v>316</v>
      </c>
      <c r="C94" t="e">
        <v>#VALUE!</v>
      </c>
      <c r="D94" t="e">
        <v>#VALUE!</v>
      </c>
      <c r="F94">
        <v>1028.8</v>
      </c>
      <c r="G94" t="s">
        <v>76</v>
      </c>
      <c r="H94">
        <v>1000</v>
      </c>
      <c r="J94">
        <v>98</v>
      </c>
      <c r="L94">
        <v>-3.14391673645172</v>
      </c>
      <c r="M94">
        <v>0</v>
      </c>
      <c r="N94" s="21">
        <v>44875</v>
      </c>
      <c r="O94" s="21">
        <v>45970</v>
      </c>
      <c r="P94">
        <v>1</v>
      </c>
      <c r="Q94">
        <v>0</v>
      </c>
      <c r="R94">
        <v>0</v>
      </c>
      <c r="S94" t="s">
        <v>63</v>
      </c>
      <c r="U94">
        <v>0</v>
      </c>
      <c r="V94" t="e">
        <v>#VALUE!</v>
      </c>
      <c r="W94" t="e">
        <v>#VALUE!</v>
      </c>
      <c r="X94" t="e">
        <v>#VALUE!</v>
      </c>
      <c r="Y94" t="e">
        <v>#VALUE!</v>
      </c>
      <c r="Z94" t="e">
        <v>#VALUE!</v>
      </c>
      <c r="AA94" t="e">
        <v>#VALUE!</v>
      </c>
      <c r="AB94" t="s">
        <v>64</v>
      </c>
      <c r="AC94" t="s">
        <v>62</v>
      </c>
      <c r="AD94" t="s">
        <v>2220</v>
      </c>
    </row>
    <row r="95" spans="1:30" x14ac:dyDescent="0.35">
      <c r="A95" t="s">
        <v>1778</v>
      </c>
      <c r="B95" t="s">
        <v>1777</v>
      </c>
      <c r="C95" t="e">
        <v>#VALUE!</v>
      </c>
      <c r="D95" t="e">
        <v>#VALUE!</v>
      </c>
      <c r="F95">
        <v>108875</v>
      </c>
      <c r="G95" t="s">
        <v>76</v>
      </c>
      <c r="H95">
        <v>100000</v>
      </c>
      <c r="J95">
        <v>50</v>
      </c>
      <c r="L95">
        <v>-8.8288300565195001</v>
      </c>
      <c r="M95">
        <v>0</v>
      </c>
      <c r="N95" s="21">
        <v>44876</v>
      </c>
      <c r="O95" s="21">
        <v>45971</v>
      </c>
      <c r="P95">
        <v>2</v>
      </c>
      <c r="Q95">
        <v>0</v>
      </c>
      <c r="R95">
        <v>0</v>
      </c>
      <c r="S95" t="s">
        <v>63</v>
      </c>
      <c r="U95">
        <v>0</v>
      </c>
      <c r="V95" t="e">
        <v>#VALUE!</v>
      </c>
      <c r="W95" t="e">
        <v>#VALUE!</v>
      </c>
      <c r="X95" t="e">
        <v>#VALUE!</v>
      </c>
      <c r="Y95" t="e">
        <v>#VALUE!</v>
      </c>
      <c r="Z95" t="e">
        <v>#VALUE!</v>
      </c>
      <c r="AA95" t="e">
        <v>#VALUE!</v>
      </c>
      <c r="AB95" t="s">
        <v>64</v>
      </c>
      <c r="AC95" t="s">
        <v>62</v>
      </c>
      <c r="AD95" t="s">
        <v>2220</v>
      </c>
    </row>
    <row r="96" spans="1:30" x14ac:dyDescent="0.35">
      <c r="A96" t="s">
        <v>1774</v>
      </c>
      <c r="B96" t="s">
        <v>390</v>
      </c>
      <c r="C96" t="e">
        <v>#VALUE!</v>
      </c>
      <c r="D96" t="e">
        <v>#VALUE!</v>
      </c>
      <c r="F96">
        <v>991</v>
      </c>
      <c r="G96" t="s">
        <v>76</v>
      </c>
      <c r="H96">
        <v>1000</v>
      </c>
      <c r="J96">
        <v>30</v>
      </c>
      <c r="L96">
        <v>1.01061996997366</v>
      </c>
      <c r="M96">
        <v>0</v>
      </c>
      <c r="N96" s="21">
        <v>44877</v>
      </c>
      <c r="O96" s="21">
        <v>45972</v>
      </c>
      <c r="P96">
        <v>1</v>
      </c>
      <c r="Q96">
        <v>0</v>
      </c>
      <c r="R96">
        <v>0</v>
      </c>
      <c r="S96" t="s">
        <v>63</v>
      </c>
      <c r="U96">
        <v>0</v>
      </c>
      <c r="V96" t="e">
        <v>#VALUE!</v>
      </c>
      <c r="W96" t="e">
        <v>#VALUE!</v>
      </c>
      <c r="X96" t="e">
        <v>#VALUE!</v>
      </c>
      <c r="Y96" t="e">
        <v>#VALUE!</v>
      </c>
      <c r="Z96" t="e">
        <v>#VALUE!</v>
      </c>
      <c r="AA96" t="e">
        <v>#VALUE!</v>
      </c>
      <c r="AB96" t="s">
        <v>64</v>
      </c>
      <c r="AC96" t="s">
        <v>62</v>
      </c>
      <c r="AD96" t="s">
        <v>2220</v>
      </c>
    </row>
    <row r="97" spans="1:30" x14ac:dyDescent="0.35">
      <c r="A97" t="s">
        <v>1772</v>
      </c>
      <c r="B97" t="s">
        <v>353</v>
      </c>
      <c r="C97" t="e">
        <v>#VALUE!</v>
      </c>
      <c r="D97" t="e">
        <v>#VALUE!</v>
      </c>
      <c r="F97">
        <v>970</v>
      </c>
      <c r="G97" t="s">
        <v>76</v>
      </c>
      <c r="H97">
        <v>1000</v>
      </c>
      <c r="J97">
        <v>72</v>
      </c>
      <c r="L97">
        <v>3.3899879260704</v>
      </c>
      <c r="M97">
        <v>0</v>
      </c>
      <c r="N97" s="21">
        <v>44878</v>
      </c>
      <c r="O97" s="21">
        <v>45973</v>
      </c>
      <c r="P97">
        <v>1</v>
      </c>
      <c r="Q97">
        <v>0</v>
      </c>
      <c r="R97">
        <v>0</v>
      </c>
      <c r="S97" t="s">
        <v>63</v>
      </c>
      <c r="U97">
        <v>0</v>
      </c>
      <c r="V97" t="e">
        <v>#VALUE!</v>
      </c>
      <c r="W97" t="e">
        <v>#VALUE!</v>
      </c>
      <c r="X97" t="e">
        <v>#VALUE!</v>
      </c>
      <c r="Y97" t="e">
        <v>#VALUE!</v>
      </c>
      <c r="Z97" t="e">
        <v>#VALUE!</v>
      </c>
      <c r="AA97" t="e">
        <v>#VALUE!</v>
      </c>
      <c r="AB97" t="s">
        <v>64</v>
      </c>
      <c r="AC97" t="s">
        <v>62</v>
      </c>
      <c r="AD97" t="s">
        <v>2220</v>
      </c>
    </row>
    <row r="98" spans="1:30" x14ac:dyDescent="0.35">
      <c r="A98" t="s">
        <v>1759</v>
      </c>
      <c r="B98" t="s">
        <v>483</v>
      </c>
      <c r="C98" t="e">
        <v>#VALUE!</v>
      </c>
      <c r="D98" t="e">
        <v>#VALUE!</v>
      </c>
      <c r="F98">
        <v>1177</v>
      </c>
      <c r="G98" t="s">
        <v>76</v>
      </c>
      <c r="H98">
        <v>1000</v>
      </c>
      <c r="J98">
        <v>157</v>
      </c>
      <c r="L98">
        <v>-15.1628590338767</v>
      </c>
      <c r="M98">
        <v>0</v>
      </c>
      <c r="N98" s="21">
        <v>44879</v>
      </c>
      <c r="O98" s="21">
        <v>45974</v>
      </c>
      <c r="P98">
        <v>3</v>
      </c>
      <c r="Q98">
        <v>0</v>
      </c>
      <c r="R98">
        <v>0</v>
      </c>
      <c r="S98" t="s">
        <v>63</v>
      </c>
      <c r="U98">
        <v>0</v>
      </c>
      <c r="V98" t="e">
        <v>#VALUE!</v>
      </c>
      <c r="W98" t="e">
        <v>#VALUE!</v>
      </c>
      <c r="X98" t="e">
        <v>#VALUE!</v>
      </c>
      <c r="Y98" t="e">
        <v>#VALUE!</v>
      </c>
      <c r="Z98" t="e">
        <v>#VALUE!</v>
      </c>
      <c r="AA98" t="e">
        <v>#VALUE!</v>
      </c>
      <c r="AB98" t="s">
        <v>64</v>
      </c>
      <c r="AC98" t="s">
        <v>62</v>
      </c>
      <c r="AD98" t="s">
        <v>2220</v>
      </c>
    </row>
    <row r="99" spans="1:30" x14ac:dyDescent="0.35">
      <c r="A99" t="s">
        <v>1753</v>
      </c>
      <c r="B99" t="s">
        <v>241</v>
      </c>
      <c r="C99" t="e">
        <v>#VALUE!</v>
      </c>
      <c r="D99" t="e">
        <v>#VALUE!</v>
      </c>
      <c r="F99">
        <v>1101.17</v>
      </c>
      <c r="G99" t="s">
        <v>76</v>
      </c>
      <c r="H99">
        <v>1000</v>
      </c>
      <c r="J99">
        <v>22</v>
      </c>
      <c r="L99">
        <v>-9.39338293323814</v>
      </c>
      <c r="M99">
        <v>0</v>
      </c>
      <c r="N99" s="21">
        <v>44880</v>
      </c>
      <c r="O99" s="21">
        <v>45975</v>
      </c>
      <c r="P99">
        <v>2</v>
      </c>
      <c r="Q99">
        <v>0</v>
      </c>
      <c r="R99">
        <v>0</v>
      </c>
      <c r="S99" t="s">
        <v>63</v>
      </c>
      <c r="U99">
        <v>0</v>
      </c>
      <c r="V99" t="e">
        <v>#VALUE!</v>
      </c>
      <c r="W99" t="e">
        <v>#VALUE!</v>
      </c>
      <c r="X99" t="e">
        <v>#VALUE!</v>
      </c>
      <c r="Y99" t="e">
        <v>#VALUE!</v>
      </c>
      <c r="Z99" t="e">
        <v>#VALUE!</v>
      </c>
      <c r="AA99" t="e">
        <v>#VALUE!</v>
      </c>
      <c r="AB99" t="s">
        <v>64</v>
      </c>
      <c r="AC99" t="s">
        <v>62</v>
      </c>
      <c r="AD99" t="s">
        <v>2220</v>
      </c>
    </row>
    <row r="100" spans="1:30" x14ac:dyDescent="0.35">
      <c r="A100" t="s">
        <v>1748</v>
      </c>
      <c r="B100" t="s">
        <v>119</v>
      </c>
      <c r="C100" t="e">
        <v>#VALUE!</v>
      </c>
      <c r="D100" t="e">
        <v>#VALUE!</v>
      </c>
      <c r="F100">
        <v>1097</v>
      </c>
      <c r="G100" t="s">
        <v>76</v>
      </c>
      <c r="H100">
        <v>1000</v>
      </c>
      <c r="J100">
        <v>112</v>
      </c>
      <c r="L100">
        <v>-9.3278568455219393</v>
      </c>
      <c r="M100">
        <v>0</v>
      </c>
      <c r="N100" s="21">
        <v>44881</v>
      </c>
      <c r="O100" s="21">
        <v>45976</v>
      </c>
      <c r="P100">
        <v>2</v>
      </c>
      <c r="Q100">
        <v>0</v>
      </c>
      <c r="R100">
        <v>0</v>
      </c>
      <c r="S100" t="s">
        <v>63</v>
      </c>
      <c r="U100">
        <v>0</v>
      </c>
      <c r="V100" t="e">
        <v>#VALUE!</v>
      </c>
      <c r="W100" t="e">
        <v>#VALUE!</v>
      </c>
      <c r="X100" t="e">
        <v>#VALUE!</v>
      </c>
      <c r="Y100" t="e">
        <v>#VALUE!</v>
      </c>
      <c r="Z100" t="e">
        <v>#VALUE!</v>
      </c>
      <c r="AA100" t="e">
        <v>#VALUE!</v>
      </c>
      <c r="AB100" t="s">
        <v>64</v>
      </c>
      <c r="AC100" t="s">
        <v>62</v>
      </c>
      <c r="AD100" t="s">
        <v>2220</v>
      </c>
    </row>
    <row r="101" spans="1:30" x14ac:dyDescent="0.35">
      <c r="A101" t="s">
        <v>1744</v>
      </c>
      <c r="B101" t="s">
        <v>357</v>
      </c>
      <c r="C101" t="e">
        <v>#VALUE!</v>
      </c>
      <c r="D101" t="e">
        <v>#VALUE!</v>
      </c>
      <c r="F101">
        <v>996</v>
      </c>
      <c r="G101" t="s">
        <v>76</v>
      </c>
      <c r="H101">
        <v>1000</v>
      </c>
      <c r="J101">
        <v>10</v>
      </c>
      <c r="L101">
        <v>0.27553824319835701</v>
      </c>
      <c r="M101">
        <v>0</v>
      </c>
      <c r="N101" s="21">
        <v>44882</v>
      </c>
      <c r="O101" s="21">
        <v>45977</v>
      </c>
      <c r="P101">
        <v>2</v>
      </c>
      <c r="Q101">
        <v>0</v>
      </c>
      <c r="R101">
        <v>0</v>
      </c>
      <c r="S101" t="s">
        <v>63</v>
      </c>
      <c r="U101">
        <v>0</v>
      </c>
      <c r="V101" t="e">
        <v>#VALUE!</v>
      </c>
      <c r="W101" t="e">
        <v>#VALUE!</v>
      </c>
      <c r="X101" t="e">
        <v>#VALUE!</v>
      </c>
      <c r="Y101" t="e">
        <v>#VALUE!</v>
      </c>
      <c r="Z101" t="e">
        <v>#VALUE!</v>
      </c>
      <c r="AA101" t="e">
        <v>#VALUE!</v>
      </c>
      <c r="AB101" t="s">
        <v>64</v>
      </c>
      <c r="AC101" t="s">
        <v>62</v>
      </c>
      <c r="AD101" t="s">
        <v>2220</v>
      </c>
    </row>
    <row r="102" spans="1:30" x14ac:dyDescent="0.35">
      <c r="A102" t="s">
        <v>1739</v>
      </c>
      <c r="B102" t="s">
        <v>316</v>
      </c>
      <c r="C102" t="e">
        <v>#VALUE!</v>
      </c>
      <c r="D102" t="e">
        <v>#VALUE!</v>
      </c>
      <c r="F102">
        <v>1094.8</v>
      </c>
      <c r="G102" t="s">
        <v>76</v>
      </c>
      <c r="H102">
        <v>1000</v>
      </c>
      <c r="J102">
        <v>28</v>
      </c>
      <c r="L102">
        <v>-7.7655461287174798</v>
      </c>
      <c r="M102">
        <v>0</v>
      </c>
      <c r="N102" s="21">
        <v>44883</v>
      </c>
      <c r="O102" s="21">
        <v>45978</v>
      </c>
      <c r="P102">
        <v>2</v>
      </c>
      <c r="Q102">
        <v>0</v>
      </c>
      <c r="R102">
        <v>0</v>
      </c>
      <c r="S102" t="s">
        <v>63</v>
      </c>
      <c r="U102">
        <v>0</v>
      </c>
      <c r="V102" t="e">
        <v>#VALUE!</v>
      </c>
      <c r="W102" t="e">
        <v>#VALUE!</v>
      </c>
      <c r="X102" t="e">
        <v>#VALUE!</v>
      </c>
      <c r="Y102" t="e">
        <v>#VALUE!</v>
      </c>
      <c r="Z102" t="e">
        <v>#VALUE!</v>
      </c>
      <c r="AA102" t="e">
        <v>#VALUE!</v>
      </c>
      <c r="AB102" t="s">
        <v>64</v>
      </c>
      <c r="AC102" t="s">
        <v>62</v>
      </c>
      <c r="AD102" t="s">
        <v>2220</v>
      </c>
    </row>
    <row r="103" spans="1:30" x14ac:dyDescent="0.35">
      <c r="A103" t="s">
        <v>1735</v>
      </c>
      <c r="B103" t="s">
        <v>119</v>
      </c>
      <c r="C103" t="e">
        <v>#VALUE!</v>
      </c>
      <c r="D103" t="e">
        <v>#VALUE!</v>
      </c>
      <c r="F103">
        <v>2310.81</v>
      </c>
      <c r="G103" t="s">
        <v>76</v>
      </c>
      <c r="H103">
        <v>1000</v>
      </c>
      <c r="J103">
        <v>47</v>
      </c>
      <c r="L103">
        <v>-55.508506220785598</v>
      </c>
      <c r="M103">
        <v>0</v>
      </c>
      <c r="N103" s="21">
        <v>44884</v>
      </c>
      <c r="O103" s="21">
        <v>45979</v>
      </c>
      <c r="P103">
        <v>10</v>
      </c>
      <c r="Q103">
        <v>0</v>
      </c>
      <c r="R103">
        <v>0</v>
      </c>
      <c r="S103" t="s">
        <v>63</v>
      </c>
      <c r="U103">
        <v>0</v>
      </c>
      <c r="V103" t="e">
        <v>#VALUE!</v>
      </c>
      <c r="W103" t="e">
        <v>#VALUE!</v>
      </c>
      <c r="X103" t="e">
        <v>#VALUE!</v>
      </c>
      <c r="Y103" t="e">
        <v>#VALUE!</v>
      </c>
      <c r="Z103" t="e">
        <v>#VALUE!</v>
      </c>
      <c r="AA103" t="e">
        <v>#VALUE!</v>
      </c>
      <c r="AB103" t="s">
        <v>64</v>
      </c>
      <c r="AC103" t="s">
        <v>62</v>
      </c>
      <c r="AD103" t="s">
        <v>2220</v>
      </c>
    </row>
    <row r="104" spans="1:30" x14ac:dyDescent="0.35">
      <c r="A104" t="s">
        <v>1732</v>
      </c>
      <c r="B104" t="s">
        <v>520</v>
      </c>
      <c r="C104" t="e">
        <v>#VALUE!</v>
      </c>
      <c r="D104" t="e">
        <v>#VALUE!</v>
      </c>
      <c r="F104">
        <v>128000</v>
      </c>
      <c r="G104" t="s">
        <v>76</v>
      </c>
      <c r="H104">
        <v>100000</v>
      </c>
      <c r="J104">
        <v>1</v>
      </c>
      <c r="L104">
        <v>-16.940682114882499</v>
      </c>
      <c r="M104">
        <v>0.05</v>
      </c>
      <c r="N104" s="21">
        <v>44885</v>
      </c>
      <c r="O104" s="21">
        <v>45980</v>
      </c>
      <c r="P104">
        <v>4</v>
      </c>
      <c r="Q104">
        <v>3.90625E-2</v>
      </c>
      <c r="R104">
        <v>0</v>
      </c>
      <c r="S104" t="s">
        <v>63</v>
      </c>
      <c r="U104">
        <v>0</v>
      </c>
      <c r="V104" t="e">
        <v>#VALUE!</v>
      </c>
      <c r="W104" t="e">
        <v>#VALUE!</v>
      </c>
      <c r="X104" t="e">
        <v>#VALUE!</v>
      </c>
      <c r="Y104" t="e">
        <v>#VALUE!</v>
      </c>
      <c r="Z104" t="e">
        <v>#VALUE!</v>
      </c>
      <c r="AA104" t="e">
        <v>#VALUE!</v>
      </c>
      <c r="AB104" t="s">
        <v>64</v>
      </c>
      <c r="AC104" t="s">
        <v>62</v>
      </c>
      <c r="AD104" t="s">
        <v>2220</v>
      </c>
    </row>
    <row r="105" spans="1:30" x14ac:dyDescent="0.35">
      <c r="A105" t="s">
        <v>1731</v>
      </c>
      <c r="B105" t="s">
        <v>483</v>
      </c>
      <c r="C105" t="e">
        <v>#VALUE!</v>
      </c>
      <c r="D105" t="e">
        <v>#VALUE!</v>
      </c>
      <c r="F105">
        <v>1027</v>
      </c>
      <c r="G105" t="s">
        <v>76</v>
      </c>
      <c r="H105">
        <v>1000</v>
      </c>
      <c r="J105">
        <v>97</v>
      </c>
      <c r="L105">
        <v>-2.6290165530671801</v>
      </c>
      <c r="M105">
        <v>0</v>
      </c>
      <c r="N105" s="21">
        <v>44886</v>
      </c>
      <c r="O105" s="21">
        <v>45981</v>
      </c>
      <c r="P105">
        <v>1</v>
      </c>
      <c r="Q105">
        <v>0</v>
      </c>
      <c r="R105">
        <v>0</v>
      </c>
      <c r="S105" t="s">
        <v>63</v>
      </c>
      <c r="U105">
        <v>0</v>
      </c>
      <c r="V105" t="e">
        <v>#VALUE!</v>
      </c>
      <c r="W105" t="e">
        <v>#VALUE!</v>
      </c>
      <c r="X105" t="e">
        <v>#VALUE!</v>
      </c>
      <c r="Y105" t="e">
        <v>#VALUE!</v>
      </c>
      <c r="Z105" t="e">
        <v>#VALUE!</v>
      </c>
      <c r="AA105" t="e">
        <v>#VALUE!</v>
      </c>
      <c r="AB105" t="s">
        <v>64</v>
      </c>
      <c r="AC105" t="s">
        <v>62</v>
      </c>
      <c r="AD105" t="s">
        <v>2220</v>
      </c>
    </row>
    <row r="106" spans="1:30" x14ac:dyDescent="0.35">
      <c r="A106" t="s">
        <v>1730</v>
      </c>
      <c r="B106" t="s">
        <v>122</v>
      </c>
      <c r="C106" t="e">
        <v>#VALUE!</v>
      </c>
      <c r="D106" t="e">
        <v>#VALUE!</v>
      </c>
      <c r="F106">
        <v>1161.2</v>
      </c>
      <c r="G106" t="s">
        <v>76</v>
      </c>
      <c r="H106">
        <v>1000</v>
      </c>
      <c r="J106">
        <v>120</v>
      </c>
      <c r="L106">
        <v>-13.882190837065099</v>
      </c>
      <c r="M106">
        <v>0</v>
      </c>
      <c r="N106" s="21">
        <v>44887</v>
      </c>
      <c r="O106" s="21">
        <v>45982</v>
      </c>
      <c r="P106">
        <v>3</v>
      </c>
      <c r="Q106">
        <v>0</v>
      </c>
      <c r="R106">
        <v>0</v>
      </c>
      <c r="S106" t="s">
        <v>63</v>
      </c>
      <c r="U106">
        <v>0</v>
      </c>
      <c r="V106" t="e">
        <v>#VALUE!</v>
      </c>
      <c r="W106" t="e">
        <v>#VALUE!</v>
      </c>
      <c r="X106" t="e">
        <v>#VALUE!</v>
      </c>
      <c r="Y106" t="e">
        <v>#VALUE!</v>
      </c>
      <c r="Z106" t="e">
        <v>#VALUE!</v>
      </c>
      <c r="AA106" t="e">
        <v>#VALUE!</v>
      </c>
      <c r="AB106" t="s">
        <v>64</v>
      </c>
      <c r="AC106" t="s">
        <v>62</v>
      </c>
      <c r="AD106" t="s">
        <v>2220</v>
      </c>
    </row>
    <row r="107" spans="1:30" x14ac:dyDescent="0.35">
      <c r="A107" t="s">
        <v>1726</v>
      </c>
      <c r="B107" t="s">
        <v>316</v>
      </c>
      <c r="C107" t="e">
        <v>#VALUE!</v>
      </c>
      <c r="D107" t="e">
        <v>#VALUE!</v>
      </c>
      <c r="F107">
        <v>1557</v>
      </c>
      <c r="G107" t="s">
        <v>76</v>
      </c>
      <c r="H107">
        <v>1000</v>
      </c>
      <c r="J107">
        <v>6</v>
      </c>
      <c r="L107">
        <v>-35.195370182827901</v>
      </c>
      <c r="M107">
        <v>0</v>
      </c>
      <c r="N107" s="21">
        <v>44888</v>
      </c>
      <c r="O107" s="21">
        <v>45983</v>
      </c>
      <c r="P107">
        <v>5</v>
      </c>
      <c r="Q107">
        <v>0</v>
      </c>
      <c r="R107">
        <v>0</v>
      </c>
      <c r="S107" t="s">
        <v>63</v>
      </c>
      <c r="U107">
        <v>0</v>
      </c>
      <c r="V107" t="e">
        <v>#VALUE!</v>
      </c>
      <c r="W107" t="e">
        <v>#VALUE!</v>
      </c>
      <c r="X107" t="e">
        <v>#VALUE!</v>
      </c>
      <c r="Y107" t="e">
        <v>#VALUE!</v>
      </c>
      <c r="Z107" t="e">
        <v>#VALUE!</v>
      </c>
      <c r="AA107" t="e">
        <v>#VALUE!</v>
      </c>
      <c r="AB107" t="s">
        <v>64</v>
      </c>
      <c r="AC107" t="s">
        <v>62</v>
      </c>
      <c r="AD107" t="s">
        <v>2220</v>
      </c>
    </row>
    <row r="108" spans="1:30" x14ac:dyDescent="0.35">
      <c r="A108" t="s">
        <v>1721</v>
      </c>
      <c r="B108" t="s">
        <v>122</v>
      </c>
      <c r="C108" t="e">
        <v>#VALUE!</v>
      </c>
      <c r="D108" t="e">
        <v>#VALUE!</v>
      </c>
      <c r="F108">
        <v>1089.75</v>
      </c>
      <c r="G108" t="s">
        <v>76</v>
      </c>
      <c r="H108">
        <v>1000</v>
      </c>
      <c r="J108">
        <v>43</v>
      </c>
      <c r="L108">
        <v>-8.1465565745356905</v>
      </c>
      <c r="M108">
        <v>0</v>
      </c>
      <c r="N108" s="21">
        <v>44889</v>
      </c>
      <c r="O108" s="21">
        <v>45984</v>
      </c>
      <c r="P108">
        <v>2</v>
      </c>
      <c r="Q108">
        <v>0</v>
      </c>
      <c r="R108">
        <v>0</v>
      </c>
      <c r="S108" t="s">
        <v>63</v>
      </c>
      <c r="U108">
        <v>0</v>
      </c>
      <c r="V108" t="e">
        <v>#VALUE!</v>
      </c>
      <c r="W108" t="e">
        <v>#VALUE!</v>
      </c>
      <c r="X108" t="e">
        <v>#VALUE!</v>
      </c>
      <c r="Y108" t="e">
        <v>#VALUE!</v>
      </c>
      <c r="Z108" t="e">
        <v>#VALUE!</v>
      </c>
      <c r="AA108" t="e">
        <v>#VALUE!</v>
      </c>
      <c r="AB108" t="s">
        <v>64</v>
      </c>
      <c r="AC108" t="s">
        <v>62</v>
      </c>
      <c r="AD108" t="s">
        <v>2220</v>
      </c>
    </row>
    <row r="109" spans="1:30" x14ac:dyDescent="0.35">
      <c r="A109" t="s">
        <v>1719</v>
      </c>
      <c r="B109" t="s">
        <v>1019</v>
      </c>
      <c r="C109" t="e">
        <v>#VALUE!</v>
      </c>
      <c r="D109" t="e">
        <v>#VALUE!</v>
      </c>
      <c r="F109">
        <v>118525</v>
      </c>
      <c r="G109" t="s">
        <v>76</v>
      </c>
      <c r="H109">
        <v>100000</v>
      </c>
      <c r="J109">
        <v>7</v>
      </c>
      <c r="L109">
        <v>-15.3768439676595</v>
      </c>
      <c r="M109">
        <v>0</v>
      </c>
      <c r="N109" s="21">
        <v>44890</v>
      </c>
      <c r="O109" s="21">
        <v>45985</v>
      </c>
      <c r="P109">
        <v>3</v>
      </c>
      <c r="Q109">
        <v>0</v>
      </c>
      <c r="R109">
        <v>0</v>
      </c>
      <c r="S109" t="s">
        <v>63</v>
      </c>
      <c r="U109">
        <v>0</v>
      </c>
      <c r="V109" t="e">
        <v>#VALUE!</v>
      </c>
      <c r="W109" t="e">
        <v>#VALUE!</v>
      </c>
      <c r="X109" t="e">
        <v>#VALUE!</v>
      </c>
      <c r="Y109" t="e">
        <v>#VALUE!</v>
      </c>
      <c r="Z109" t="e">
        <v>#VALUE!</v>
      </c>
      <c r="AA109" t="e">
        <v>#VALUE!</v>
      </c>
      <c r="AB109" t="s">
        <v>64</v>
      </c>
      <c r="AC109" t="s">
        <v>62</v>
      </c>
      <c r="AD109" t="s">
        <v>2220</v>
      </c>
    </row>
    <row r="110" spans="1:30" x14ac:dyDescent="0.35">
      <c r="A110" t="s">
        <v>1713</v>
      </c>
      <c r="B110" t="s">
        <v>128</v>
      </c>
      <c r="C110" t="e">
        <v>#VALUE!</v>
      </c>
      <c r="D110" t="e">
        <v>#VALUE!</v>
      </c>
      <c r="F110">
        <v>1005</v>
      </c>
      <c r="G110" t="s">
        <v>76</v>
      </c>
      <c r="H110">
        <v>1000</v>
      </c>
      <c r="J110">
        <v>20</v>
      </c>
      <c r="L110">
        <v>-0.34262649019055602</v>
      </c>
      <c r="M110">
        <v>0</v>
      </c>
      <c r="N110" s="21">
        <v>44891</v>
      </c>
      <c r="O110" s="21">
        <v>45986</v>
      </c>
      <c r="P110">
        <v>3</v>
      </c>
      <c r="Q110">
        <v>0</v>
      </c>
      <c r="R110">
        <v>0</v>
      </c>
      <c r="S110" t="s">
        <v>63</v>
      </c>
      <c r="U110">
        <v>0</v>
      </c>
      <c r="V110" t="e">
        <v>#VALUE!</v>
      </c>
      <c r="W110" t="e">
        <v>#VALUE!</v>
      </c>
      <c r="X110" t="e">
        <v>#VALUE!</v>
      </c>
      <c r="Y110" t="e">
        <v>#VALUE!</v>
      </c>
      <c r="Z110" t="e">
        <v>#VALUE!</v>
      </c>
      <c r="AA110" t="e">
        <v>#VALUE!</v>
      </c>
      <c r="AB110" t="s">
        <v>64</v>
      </c>
      <c r="AC110" t="s">
        <v>62</v>
      </c>
      <c r="AD110" t="s">
        <v>2220</v>
      </c>
    </row>
    <row r="111" spans="1:30" x14ac:dyDescent="0.35">
      <c r="A111" t="s">
        <v>1709</v>
      </c>
      <c r="B111" t="s">
        <v>316</v>
      </c>
      <c r="C111" t="e">
        <v>#VALUE!</v>
      </c>
      <c r="D111" t="e">
        <v>#VALUE!</v>
      </c>
      <c r="F111">
        <v>1164</v>
      </c>
      <c r="G111" t="s">
        <v>76</v>
      </c>
      <c r="H111">
        <v>1000</v>
      </c>
      <c r="J111">
        <v>10</v>
      </c>
      <c r="L111">
        <v>-12.015447859459799</v>
      </c>
      <c r="M111">
        <v>0</v>
      </c>
      <c r="N111" s="21">
        <v>44892</v>
      </c>
      <c r="O111" s="21">
        <v>45987</v>
      </c>
      <c r="P111">
        <v>3</v>
      </c>
      <c r="Q111">
        <v>0</v>
      </c>
      <c r="R111">
        <v>0</v>
      </c>
      <c r="S111" t="s">
        <v>63</v>
      </c>
      <c r="U111">
        <v>0</v>
      </c>
      <c r="V111" t="e">
        <v>#VALUE!</v>
      </c>
      <c r="W111" t="e">
        <v>#VALUE!</v>
      </c>
      <c r="X111" t="e">
        <v>#VALUE!</v>
      </c>
      <c r="Y111" t="e">
        <v>#VALUE!</v>
      </c>
      <c r="Z111" t="e">
        <v>#VALUE!</v>
      </c>
      <c r="AA111" t="e">
        <v>#VALUE!</v>
      </c>
      <c r="AB111" t="s">
        <v>64</v>
      </c>
      <c r="AC111" t="s">
        <v>62</v>
      </c>
      <c r="AD111" t="s">
        <v>2220</v>
      </c>
    </row>
    <row r="112" spans="1:30" x14ac:dyDescent="0.35">
      <c r="A112" t="s">
        <v>1702</v>
      </c>
      <c r="B112" t="s">
        <v>417</v>
      </c>
      <c r="C112" t="e">
        <v>#VALUE!</v>
      </c>
      <c r="D112" t="e">
        <v>#VALUE!</v>
      </c>
      <c r="F112">
        <v>41200</v>
      </c>
      <c r="G112" t="s">
        <v>76</v>
      </c>
      <c r="H112">
        <v>10000</v>
      </c>
      <c r="J112">
        <v>20</v>
      </c>
      <c r="L112">
        <v>-72.738886050076601</v>
      </c>
      <c r="M112">
        <v>0</v>
      </c>
      <c r="N112" s="21">
        <v>44893</v>
      </c>
      <c r="O112" s="21">
        <v>45988</v>
      </c>
      <c r="P112">
        <v>15</v>
      </c>
      <c r="Q112">
        <v>0</v>
      </c>
      <c r="R112">
        <v>0</v>
      </c>
      <c r="S112" t="s">
        <v>63</v>
      </c>
      <c r="U112">
        <v>0</v>
      </c>
      <c r="V112" t="e">
        <v>#VALUE!</v>
      </c>
      <c r="W112" t="e">
        <v>#VALUE!</v>
      </c>
      <c r="X112" t="e">
        <v>#VALUE!</v>
      </c>
      <c r="Y112" t="e">
        <v>#VALUE!</v>
      </c>
      <c r="Z112" t="e">
        <v>#VALUE!</v>
      </c>
      <c r="AA112" t="e">
        <v>#VALUE!</v>
      </c>
      <c r="AB112" t="s">
        <v>69</v>
      </c>
      <c r="AC112" t="s">
        <v>62</v>
      </c>
      <c r="AD112" t="s">
        <v>2220</v>
      </c>
    </row>
    <row r="113" spans="1:30" x14ac:dyDescent="0.35">
      <c r="A113" t="s">
        <v>1694</v>
      </c>
      <c r="B113" t="s">
        <v>478</v>
      </c>
      <c r="C113" t="e">
        <v>#VALUE!</v>
      </c>
      <c r="D113" t="e">
        <v>#VALUE!</v>
      </c>
      <c r="F113">
        <v>1065</v>
      </c>
      <c r="G113" t="s">
        <v>76</v>
      </c>
      <c r="H113">
        <v>1000</v>
      </c>
      <c r="J113">
        <v>5</v>
      </c>
      <c r="L113">
        <v>-5.7414936353516204</v>
      </c>
      <c r="M113">
        <v>0</v>
      </c>
      <c r="N113" s="21">
        <v>44894</v>
      </c>
      <c r="O113" s="21">
        <v>45989</v>
      </c>
      <c r="P113">
        <v>2</v>
      </c>
      <c r="Q113">
        <v>0</v>
      </c>
      <c r="R113">
        <v>0</v>
      </c>
      <c r="S113" t="s">
        <v>63</v>
      </c>
      <c r="U113">
        <v>0</v>
      </c>
      <c r="V113" t="e">
        <v>#VALUE!</v>
      </c>
      <c r="W113" t="e">
        <v>#VALUE!</v>
      </c>
      <c r="X113" t="e">
        <v>#VALUE!</v>
      </c>
      <c r="Y113" t="e">
        <v>#VALUE!</v>
      </c>
      <c r="Z113" t="e">
        <v>#VALUE!</v>
      </c>
      <c r="AA113" t="e">
        <v>#VALUE!</v>
      </c>
      <c r="AB113" t="s">
        <v>64</v>
      </c>
      <c r="AC113" t="s">
        <v>62</v>
      </c>
      <c r="AD113" t="s">
        <v>2220</v>
      </c>
    </row>
    <row r="114" spans="1:30" x14ac:dyDescent="0.35">
      <c r="A114" t="s">
        <v>1687</v>
      </c>
      <c r="B114" t="s">
        <v>1103</v>
      </c>
      <c r="C114" t="e">
        <v>#VALUE!</v>
      </c>
      <c r="D114" t="e">
        <v>#VALUE!</v>
      </c>
      <c r="F114">
        <v>106900</v>
      </c>
      <c r="G114" t="s">
        <v>76</v>
      </c>
      <c r="H114">
        <v>100000</v>
      </c>
      <c r="J114">
        <v>1</v>
      </c>
      <c r="L114">
        <v>-6.0100513544987599</v>
      </c>
      <c r="M114">
        <v>0</v>
      </c>
      <c r="N114" s="21">
        <v>44895</v>
      </c>
      <c r="O114" s="21">
        <v>45990</v>
      </c>
      <c r="P114">
        <v>2</v>
      </c>
      <c r="Q114">
        <v>0</v>
      </c>
      <c r="R114">
        <v>0</v>
      </c>
      <c r="S114" t="s">
        <v>63</v>
      </c>
      <c r="U114">
        <v>0</v>
      </c>
      <c r="V114" t="e">
        <v>#VALUE!</v>
      </c>
      <c r="W114" t="e">
        <v>#VALUE!</v>
      </c>
      <c r="X114" t="e">
        <v>#VALUE!</v>
      </c>
      <c r="Y114" t="e">
        <v>#VALUE!</v>
      </c>
      <c r="Z114" t="e">
        <v>#VALUE!</v>
      </c>
      <c r="AA114" t="e">
        <v>#VALUE!</v>
      </c>
      <c r="AB114" t="s">
        <v>69</v>
      </c>
      <c r="AC114" t="s">
        <v>62</v>
      </c>
      <c r="AD114" t="s">
        <v>2220</v>
      </c>
    </row>
    <row r="115" spans="1:30" x14ac:dyDescent="0.35">
      <c r="A115" t="s">
        <v>1684</v>
      </c>
      <c r="B115" t="s">
        <v>353</v>
      </c>
      <c r="C115" t="e">
        <v>#VALUE!</v>
      </c>
      <c r="D115" t="e">
        <v>#VALUE!</v>
      </c>
      <c r="F115">
        <v>1000</v>
      </c>
      <c r="G115" t="s">
        <v>76</v>
      </c>
      <c r="H115">
        <v>1000</v>
      </c>
      <c r="J115">
        <v>187</v>
      </c>
      <c r="L115">
        <v>0</v>
      </c>
      <c r="M115">
        <v>0</v>
      </c>
      <c r="N115" s="21">
        <v>44896</v>
      </c>
      <c r="O115" s="21">
        <v>45991</v>
      </c>
      <c r="P115">
        <v>2</v>
      </c>
      <c r="Q115">
        <v>0</v>
      </c>
      <c r="R115">
        <v>0</v>
      </c>
      <c r="S115" t="s">
        <v>63</v>
      </c>
      <c r="U115">
        <v>0</v>
      </c>
      <c r="V115" t="e">
        <v>#VALUE!</v>
      </c>
      <c r="W115" t="e">
        <v>#VALUE!</v>
      </c>
      <c r="X115" t="e">
        <v>#VALUE!</v>
      </c>
      <c r="Y115" t="e">
        <v>#VALUE!</v>
      </c>
      <c r="Z115" t="e">
        <v>#VALUE!</v>
      </c>
      <c r="AA115" t="e">
        <v>#VALUE!</v>
      </c>
      <c r="AB115" t="s">
        <v>64</v>
      </c>
      <c r="AC115" t="s">
        <v>62</v>
      </c>
      <c r="AD115" t="s">
        <v>2220</v>
      </c>
    </row>
    <row r="116" spans="1:30" x14ac:dyDescent="0.35">
      <c r="A116" t="s">
        <v>1683</v>
      </c>
      <c r="B116" t="s">
        <v>460</v>
      </c>
      <c r="C116" t="e">
        <v>#VALUE!</v>
      </c>
      <c r="D116" t="e">
        <v>#VALUE!</v>
      </c>
      <c r="F116">
        <v>1512.16</v>
      </c>
      <c r="G116" t="s">
        <v>76</v>
      </c>
      <c r="H116">
        <v>1000</v>
      </c>
      <c r="J116">
        <v>5</v>
      </c>
      <c r="L116">
        <v>-28.951622035708901</v>
      </c>
      <c r="M116">
        <v>0</v>
      </c>
      <c r="N116" s="21">
        <v>44897</v>
      </c>
      <c r="O116" s="21">
        <v>45992</v>
      </c>
      <c r="P116">
        <v>5</v>
      </c>
      <c r="Q116">
        <v>0</v>
      </c>
      <c r="R116">
        <v>0</v>
      </c>
      <c r="S116" t="s">
        <v>63</v>
      </c>
      <c r="U116">
        <v>0</v>
      </c>
      <c r="V116" t="e">
        <v>#VALUE!</v>
      </c>
      <c r="W116" t="e">
        <v>#VALUE!</v>
      </c>
      <c r="X116" t="e">
        <v>#VALUE!</v>
      </c>
      <c r="Y116" t="e">
        <v>#VALUE!</v>
      </c>
      <c r="Z116" t="e">
        <v>#VALUE!</v>
      </c>
      <c r="AA116" t="e">
        <v>#VALUE!</v>
      </c>
      <c r="AB116" t="s">
        <v>64</v>
      </c>
      <c r="AC116" t="s">
        <v>62</v>
      </c>
      <c r="AD116" t="s">
        <v>2220</v>
      </c>
    </row>
    <row r="117" spans="1:30" x14ac:dyDescent="0.35">
      <c r="A117" t="s">
        <v>1670</v>
      </c>
      <c r="B117" t="s">
        <v>316</v>
      </c>
      <c r="C117" t="e">
        <v>#VALUE!</v>
      </c>
      <c r="D117" t="e">
        <v>#VALUE!</v>
      </c>
      <c r="F117">
        <v>1537.81</v>
      </c>
      <c r="G117" t="s">
        <v>76</v>
      </c>
      <c r="H117">
        <v>1000</v>
      </c>
      <c r="J117">
        <v>41</v>
      </c>
      <c r="L117">
        <v>-29.277404141204201</v>
      </c>
      <c r="M117">
        <v>0</v>
      </c>
      <c r="N117" s="21">
        <v>44898</v>
      </c>
      <c r="O117" s="21">
        <v>45993</v>
      </c>
      <c r="P117">
        <v>7</v>
      </c>
      <c r="Q117">
        <v>0</v>
      </c>
      <c r="R117">
        <v>0</v>
      </c>
      <c r="S117" t="s">
        <v>63</v>
      </c>
      <c r="U117">
        <v>0</v>
      </c>
      <c r="V117" t="e">
        <v>#VALUE!</v>
      </c>
      <c r="W117" t="e">
        <v>#VALUE!</v>
      </c>
      <c r="X117" t="e">
        <v>#VALUE!</v>
      </c>
      <c r="Y117" t="e">
        <v>#VALUE!</v>
      </c>
      <c r="Z117" t="e">
        <v>#VALUE!</v>
      </c>
      <c r="AA117" t="e">
        <v>#VALUE!</v>
      </c>
      <c r="AB117" t="s">
        <v>64</v>
      </c>
      <c r="AC117" t="s">
        <v>62</v>
      </c>
      <c r="AD117" t="s">
        <v>2220</v>
      </c>
    </row>
    <row r="118" spans="1:30" x14ac:dyDescent="0.35">
      <c r="A118" t="s">
        <v>1666</v>
      </c>
      <c r="B118" t="s">
        <v>261</v>
      </c>
      <c r="C118" t="e">
        <v>#VALUE!</v>
      </c>
      <c r="D118" t="e">
        <v>#VALUE!</v>
      </c>
      <c r="F118">
        <v>1728</v>
      </c>
      <c r="G118" t="s">
        <v>76</v>
      </c>
      <c r="H118">
        <v>1000</v>
      </c>
      <c r="J118">
        <v>10</v>
      </c>
      <c r="L118">
        <v>-35.188363420628797</v>
      </c>
      <c r="M118">
        <v>0</v>
      </c>
      <c r="N118" s="21">
        <v>44899</v>
      </c>
      <c r="O118" s="21">
        <v>45994</v>
      </c>
      <c r="P118">
        <v>7</v>
      </c>
      <c r="Q118">
        <v>0</v>
      </c>
      <c r="R118">
        <v>0</v>
      </c>
      <c r="S118" t="s">
        <v>63</v>
      </c>
      <c r="U118">
        <v>0</v>
      </c>
      <c r="V118" t="e">
        <v>#VALUE!</v>
      </c>
      <c r="W118" t="e">
        <v>#VALUE!</v>
      </c>
      <c r="X118" t="e">
        <v>#VALUE!</v>
      </c>
      <c r="Y118" t="e">
        <v>#VALUE!</v>
      </c>
      <c r="Z118" t="e">
        <v>#VALUE!</v>
      </c>
      <c r="AA118" t="e">
        <v>#VALUE!</v>
      </c>
      <c r="AB118" t="s">
        <v>64</v>
      </c>
      <c r="AC118" t="s">
        <v>62</v>
      </c>
      <c r="AD118" t="s">
        <v>2220</v>
      </c>
    </row>
    <row r="119" spans="1:30" x14ac:dyDescent="0.35">
      <c r="A119" t="s">
        <v>1663</v>
      </c>
      <c r="B119" t="s">
        <v>241</v>
      </c>
      <c r="C119" t="e">
        <v>#VALUE!</v>
      </c>
      <c r="D119" t="e">
        <v>#VALUE!</v>
      </c>
      <c r="F119">
        <v>1018.8</v>
      </c>
      <c r="G119" t="s">
        <v>76</v>
      </c>
      <c r="H119">
        <v>1000</v>
      </c>
      <c r="J119">
        <v>10</v>
      </c>
      <c r="L119">
        <v>-1.69656799771351</v>
      </c>
      <c r="M119">
        <v>0</v>
      </c>
      <c r="N119" s="21">
        <v>44900</v>
      </c>
      <c r="O119" s="21">
        <v>45995</v>
      </c>
      <c r="P119">
        <v>2</v>
      </c>
      <c r="Q119">
        <v>0</v>
      </c>
      <c r="R119">
        <v>0</v>
      </c>
      <c r="S119" t="s">
        <v>63</v>
      </c>
      <c r="U119">
        <v>0</v>
      </c>
      <c r="V119" t="e">
        <v>#VALUE!</v>
      </c>
      <c r="W119" t="e">
        <v>#VALUE!</v>
      </c>
      <c r="X119" t="e">
        <v>#VALUE!</v>
      </c>
      <c r="Y119" t="e">
        <v>#VALUE!</v>
      </c>
      <c r="Z119" t="e">
        <v>#VALUE!</v>
      </c>
      <c r="AA119" t="e">
        <v>#VALUE!</v>
      </c>
      <c r="AB119" t="s">
        <v>64</v>
      </c>
      <c r="AC119" t="s">
        <v>62</v>
      </c>
      <c r="AD119" t="s">
        <v>2220</v>
      </c>
    </row>
    <row r="120" spans="1:30" x14ac:dyDescent="0.35">
      <c r="A120" t="s">
        <v>1658</v>
      </c>
      <c r="B120" t="s">
        <v>1488</v>
      </c>
      <c r="C120" t="e">
        <v>#VALUE!</v>
      </c>
      <c r="D120" t="e">
        <v>#VALUE!</v>
      </c>
      <c r="F120">
        <v>111500.99</v>
      </c>
      <c r="G120" t="s">
        <v>76</v>
      </c>
      <c r="H120">
        <v>100000</v>
      </c>
      <c r="J120">
        <v>13</v>
      </c>
      <c r="L120">
        <v>-9.3420958903293094</v>
      </c>
      <c r="M120">
        <v>0</v>
      </c>
      <c r="N120" s="21">
        <v>44901</v>
      </c>
      <c r="O120" s="21">
        <v>45996</v>
      </c>
      <c r="P120">
        <v>2</v>
      </c>
      <c r="Q120">
        <v>0</v>
      </c>
      <c r="R120">
        <v>0</v>
      </c>
      <c r="S120" t="s">
        <v>63</v>
      </c>
      <c r="U120">
        <v>0</v>
      </c>
      <c r="V120" t="e">
        <v>#VALUE!</v>
      </c>
      <c r="W120" t="e">
        <v>#VALUE!</v>
      </c>
      <c r="X120" t="e">
        <v>#VALUE!</v>
      </c>
      <c r="Y120" t="e">
        <v>#VALUE!</v>
      </c>
      <c r="Z120" t="e">
        <v>#VALUE!</v>
      </c>
      <c r="AA120" t="e">
        <v>#VALUE!</v>
      </c>
      <c r="AB120" t="s">
        <v>64</v>
      </c>
      <c r="AC120" t="s">
        <v>62</v>
      </c>
      <c r="AD120" t="s">
        <v>2220</v>
      </c>
    </row>
    <row r="121" spans="1:30" x14ac:dyDescent="0.35">
      <c r="A121" t="s">
        <v>1648</v>
      </c>
      <c r="B121" t="s">
        <v>241</v>
      </c>
      <c r="C121" t="e">
        <v>#VALUE!</v>
      </c>
      <c r="D121" t="e">
        <v>#VALUE!</v>
      </c>
      <c r="F121">
        <v>1209</v>
      </c>
      <c r="G121" t="s">
        <v>76</v>
      </c>
      <c r="H121">
        <v>1000</v>
      </c>
      <c r="J121">
        <v>7</v>
      </c>
      <c r="L121">
        <v>-12.8247157161397</v>
      </c>
      <c r="M121">
        <v>0</v>
      </c>
      <c r="N121" s="21">
        <v>44902</v>
      </c>
      <c r="O121" s="21">
        <v>45997</v>
      </c>
      <c r="P121">
        <v>4</v>
      </c>
      <c r="Q121">
        <v>0</v>
      </c>
      <c r="R121">
        <v>0</v>
      </c>
      <c r="S121" t="s">
        <v>63</v>
      </c>
      <c r="U121">
        <v>0</v>
      </c>
      <c r="V121" t="e">
        <v>#VALUE!</v>
      </c>
      <c r="W121" t="e">
        <v>#VALUE!</v>
      </c>
      <c r="X121" t="e">
        <v>#VALUE!</v>
      </c>
      <c r="Y121" t="e">
        <v>#VALUE!</v>
      </c>
      <c r="Z121" t="e">
        <v>#VALUE!</v>
      </c>
      <c r="AA121" t="e">
        <v>#VALUE!</v>
      </c>
      <c r="AB121" t="s">
        <v>64</v>
      </c>
      <c r="AC121" t="s">
        <v>62</v>
      </c>
      <c r="AD121" t="s">
        <v>2220</v>
      </c>
    </row>
    <row r="122" spans="1:30" x14ac:dyDescent="0.35">
      <c r="A122" t="s">
        <v>1647</v>
      </c>
      <c r="B122" t="s">
        <v>1646</v>
      </c>
      <c r="C122" t="e">
        <v>#VALUE!</v>
      </c>
      <c r="D122" t="e">
        <v>#VALUE!</v>
      </c>
      <c r="F122">
        <v>1792</v>
      </c>
      <c r="G122" t="s">
        <v>76</v>
      </c>
      <c r="H122">
        <v>1000</v>
      </c>
      <c r="J122">
        <v>49</v>
      </c>
      <c r="L122">
        <v>-38.408801020408099</v>
      </c>
      <c r="M122">
        <v>0</v>
      </c>
      <c r="N122" s="21">
        <v>44903</v>
      </c>
      <c r="O122" s="21">
        <v>45998</v>
      </c>
      <c r="P122">
        <v>7</v>
      </c>
      <c r="Q122">
        <v>0</v>
      </c>
      <c r="R122">
        <v>0</v>
      </c>
      <c r="S122" t="s">
        <v>63</v>
      </c>
      <c r="U122">
        <v>0</v>
      </c>
      <c r="V122" t="e">
        <v>#VALUE!</v>
      </c>
      <c r="W122" t="e">
        <v>#VALUE!</v>
      </c>
      <c r="X122" t="e">
        <v>#VALUE!</v>
      </c>
      <c r="Y122" t="e">
        <v>#VALUE!</v>
      </c>
      <c r="Z122" t="e">
        <v>#VALUE!</v>
      </c>
      <c r="AA122" t="e">
        <v>#VALUE!</v>
      </c>
      <c r="AB122" t="s">
        <v>64</v>
      </c>
      <c r="AC122" t="s">
        <v>62</v>
      </c>
      <c r="AD122" t="s">
        <v>2220</v>
      </c>
    </row>
    <row r="123" spans="1:30" x14ac:dyDescent="0.35">
      <c r="A123" t="s">
        <v>1645</v>
      </c>
      <c r="B123" t="s">
        <v>749</v>
      </c>
      <c r="C123" t="e">
        <v>#VALUE!</v>
      </c>
      <c r="D123" t="e">
        <v>#VALUE!</v>
      </c>
      <c r="F123">
        <v>1099.95</v>
      </c>
      <c r="G123" t="s">
        <v>76</v>
      </c>
      <c r="H123">
        <v>1000</v>
      </c>
      <c r="J123">
        <v>50</v>
      </c>
      <c r="L123">
        <v>-7.73117362507789</v>
      </c>
      <c r="M123">
        <v>0</v>
      </c>
      <c r="N123" s="21">
        <v>44904</v>
      </c>
      <c r="O123" s="21">
        <v>45999</v>
      </c>
      <c r="P123">
        <v>3</v>
      </c>
      <c r="Q123">
        <v>0</v>
      </c>
      <c r="R123">
        <v>0</v>
      </c>
      <c r="S123" t="s">
        <v>63</v>
      </c>
      <c r="U123">
        <v>0</v>
      </c>
      <c r="V123" t="e">
        <v>#VALUE!</v>
      </c>
      <c r="W123" t="e">
        <v>#VALUE!</v>
      </c>
      <c r="X123" t="e">
        <v>#VALUE!</v>
      </c>
      <c r="Y123" t="e">
        <v>#VALUE!</v>
      </c>
      <c r="Z123" t="e">
        <v>#VALUE!</v>
      </c>
      <c r="AA123" t="e">
        <v>#VALUE!</v>
      </c>
      <c r="AB123" t="s">
        <v>64</v>
      </c>
      <c r="AC123" t="s">
        <v>62</v>
      </c>
      <c r="AD123" t="s">
        <v>2220</v>
      </c>
    </row>
    <row r="124" spans="1:30" x14ac:dyDescent="0.35">
      <c r="A124" t="s">
        <v>1642</v>
      </c>
      <c r="B124" t="s">
        <v>122</v>
      </c>
      <c r="C124" t="e">
        <v>#VALUE!</v>
      </c>
      <c r="D124" t="e">
        <v>#VALUE!</v>
      </c>
      <c r="F124">
        <v>1395</v>
      </c>
      <c r="G124" t="s">
        <v>76</v>
      </c>
      <c r="H124">
        <v>1000</v>
      </c>
      <c r="J124">
        <v>675</v>
      </c>
      <c r="L124">
        <v>-24.964071130503999</v>
      </c>
      <c r="M124">
        <v>0</v>
      </c>
      <c r="N124" s="21">
        <v>44905</v>
      </c>
      <c r="O124" s="21">
        <v>46000</v>
      </c>
      <c r="P124">
        <v>5</v>
      </c>
      <c r="Q124">
        <v>0</v>
      </c>
      <c r="R124">
        <v>0</v>
      </c>
      <c r="S124" t="s">
        <v>63</v>
      </c>
      <c r="U124">
        <v>0</v>
      </c>
      <c r="V124" t="e">
        <v>#VALUE!</v>
      </c>
      <c r="W124" t="e">
        <v>#VALUE!</v>
      </c>
      <c r="X124" t="e">
        <v>#VALUE!</v>
      </c>
      <c r="Y124" t="e">
        <v>#VALUE!</v>
      </c>
      <c r="Z124" t="e">
        <v>#VALUE!</v>
      </c>
      <c r="AA124" t="e">
        <v>#VALUE!</v>
      </c>
      <c r="AB124" t="s">
        <v>64</v>
      </c>
      <c r="AC124" t="s">
        <v>62</v>
      </c>
      <c r="AD124" t="s">
        <v>2220</v>
      </c>
    </row>
    <row r="125" spans="1:30" x14ac:dyDescent="0.35">
      <c r="A125" t="s">
        <v>1638</v>
      </c>
      <c r="B125" t="s">
        <v>499</v>
      </c>
      <c r="C125" t="e">
        <v>#VALUE!</v>
      </c>
      <c r="D125" t="e">
        <v>#VALUE!</v>
      </c>
      <c r="F125">
        <v>1755</v>
      </c>
      <c r="G125" t="s">
        <v>76</v>
      </c>
      <c r="H125">
        <v>1000</v>
      </c>
      <c r="J125">
        <v>28</v>
      </c>
      <c r="L125">
        <v>-37.2091924224625</v>
      </c>
      <c r="M125">
        <v>0</v>
      </c>
      <c r="N125" s="21">
        <v>44906</v>
      </c>
      <c r="O125" s="21">
        <v>46001</v>
      </c>
      <c r="P125">
        <v>7</v>
      </c>
      <c r="Q125">
        <v>0</v>
      </c>
      <c r="R125">
        <v>0</v>
      </c>
      <c r="S125" t="s">
        <v>63</v>
      </c>
      <c r="U125">
        <v>0</v>
      </c>
      <c r="V125" t="e">
        <v>#VALUE!</v>
      </c>
      <c r="W125" t="e">
        <v>#VALUE!</v>
      </c>
      <c r="X125" t="e">
        <v>#VALUE!</v>
      </c>
      <c r="Y125" t="e">
        <v>#VALUE!</v>
      </c>
      <c r="Z125" t="e">
        <v>#VALUE!</v>
      </c>
      <c r="AA125" t="e">
        <v>#VALUE!</v>
      </c>
      <c r="AB125" t="s">
        <v>64</v>
      </c>
      <c r="AC125" t="s">
        <v>62</v>
      </c>
      <c r="AD125" t="s">
        <v>2220</v>
      </c>
    </row>
    <row r="126" spans="1:30" x14ac:dyDescent="0.35">
      <c r="A126" t="s">
        <v>1635</v>
      </c>
      <c r="B126" t="s">
        <v>600</v>
      </c>
      <c r="C126" t="e">
        <v>#VALUE!</v>
      </c>
      <c r="D126" t="e">
        <v>#VALUE!</v>
      </c>
      <c r="F126">
        <v>1054.33</v>
      </c>
      <c r="G126" t="s">
        <v>76</v>
      </c>
      <c r="H126">
        <v>1000</v>
      </c>
      <c r="J126">
        <v>299</v>
      </c>
      <c r="L126">
        <v>-4.4464727792911702</v>
      </c>
      <c r="M126">
        <v>0</v>
      </c>
      <c r="N126" s="21">
        <v>44907</v>
      </c>
      <c r="O126" s="21">
        <v>46002</v>
      </c>
      <c r="P126">
        <v>2</v>
      </c>
      <c r="Q126">
        <v>0</v>
      </c>
      <c r="R126">
        <v>0</v>
      </c>
      <c r="S126" t="s">
        <v>63</v>
      </c>
      <c r="U126">
        <v>0</v>
      </c>
      <c r="V126" t="e">
        <v>#VALUE!</v>
      </c>
      <c r="W126" t="e">
        <v>#VALUE!</v>
      </c>
      <c r="X126" t="e">
        <v>#VALUE!</v>
      </c>
      <c r="Y126" t="e">
        <v>#VALUE!</v>
      </c>
      <c r="Z126" t="e">
        <v>#VALUE!</v>
      </c>
      <c r="AA126" t="e">
        <v>#VALUE!</v>
      </c>
      <c r="AB126" t="s">
        <v>64</v>
      </c>
      <c r="AC126" t="s">
        <v>62</v>
      </c>
      <c r="AD126" t="s">
        <v>2220</v>
      </c>
    </row>
    <row r="127" spans="1:30" x14ac:dyDescent="0.35">
      <c r="A127" t="s">
        <v>1632</v>
      </c>
      <c r="B127" t="s">
        <v>119</v>
      </c>
      <c r="C127" t="e">
        <v>#VALUE!</v>
      </c>
      <c r="D127" t="e">
        <v>#VALUE!</v>
      </c>
      <c r="F127">
        <v>1134.54</v>
      </c>
      <c r="G127" t="s">
        <v>76</v>
      </c>
      <c r="H127">
        <v>1000</v>
      </c>
      <c r="J127">
        <v>3</v>
      </c>
      <c r="L127">
        <v>-10.160495234113201</v>
      </c>
      <c r="M127">
        <v>0</v>
      </c>
      <c r="N127" s="21">
        <v>44908</v>
      </c>
      <c r="O127" s="21">
        <v>46003</v>
      </c>
      <c r="P127">
        <v>3</v>
      </c>
      <c r="Q127">
        <v>0</v>
      </c>
      <c r="R127">
        <v>0</v>
      </c>
      <c r="S127" t="s">
        <v>63</v>
      </c>
      <c r="U127">
        <v>0</v>
      </c>
      <c r="V127" t="e">
        <v>#VALUE!</v>
      </c>
      <c r="W127" t="e">
        <v>#VALUE!</v>
      </c>
      <c r="X127" t="e">
        <v>#VALUE!</v>
      </c>
      <c r="Y127" t="e">
        <v>#VALUE!</v>
      </c>
      <c r="Z127" t="e">
        <v>#VALUE!</v>
      </c>
      <c r="AA127" t="e">
        <v>#VALUE!</v>
      </c>
      <c r="AB127" t="s">
        <v>64</v>
      </c>
      <c r="AC127" t="s">
        <v>62</v>
      </c>
      <c r="AD127" t="s">
        <v>2220</v>
      </c>
    </row>
    <row r="128" spans="1:30" x14ac:dyDescent="0.35">
      <c r="A128" t="s">
        <v>1628</v>
      </c>
      <c r="B128" t="s">
        <v>241</v>
      </c>
      <c r="C128" t="e">
        <v>#VALUE!</v>
      </c>
      <c r="D128" t="e">
        <v>#VALUE!</v>
      </c>
      <c r="F128">
        <v>1059.8</v>
      </c>
      <c r="G128" t="s">
        <v>76</v>
      </c>
      <c r="H128">
        <v>1000</v>
      </c>
      <c r="J128">
        <v>479</v>
      </c>
      <c r="L128">
        <v>-4.88042544019304</v>
      </c>
      <c r="M128">
        <v>0</v>
      </c>
      <c r="N128" s="21">
        <v>44909</v>
      </c>
      <c r="O128" s="21">
        <v>46004</v>
      </c>
      <c r="P128">
        <v>2</v>
      </c>
      <c r="Q128">
        <v>0</v>
      </c>
      <c r="R128">
        <v>0</v>
      </c>
      <c r="S128" t="s">
        <v>63</v>
      </c>
      <c r="U128">
        <v>0</v>
      </c>
      <c r="V128" t="e">
        <v>#VALUE!</v>
      </c>
      <c r="W128" t="e">
        <v>#VALUE!</v>
      </c>
      <c r="X128" t="e">
        <v>#VALUE!</v>
      </c>
      <c r="Y128" t="e">
        <v>#VALUE!</v>
      </c>
      <c r="Z128" t="e">
        <v>#VALUE!</v>
      </c>
      <c r="AA128" t="e">
        <v>#VALUE!</v>
      </c>
      <c r="AB128" t="s">
        <v>64</v>
      </c>
      <c r="AC128" t="s">
        <v>62</v>
      </c>
      <c r="AD128" t="s">
        <v>2220</v>
      </c>
    </row>
    <row r="129" spans="1:30" x14ac:dyDescent="0.35">
      <c r="A129" t="s">
        <v>1623</v>
      </c>
      <c r="B129" t="s">
        <v>241</v>
      </c>
      <c r="C129" t="e">
        <v>#VALUE!</v>
      </c>
      <c r="D129" t="e">
        <v>#VALUE!</v>
      </c>
      <c r="F129">
        <v>1125.9000000000001</v>
      </c>
      <c r="G129" t="s">
        <v>76</v>
      </c>
      <c r="H129">
        <v>1000</v>
      </c>
      <c r="J129">
        <v>30</v>
      </c>
      <c r="L129">
        <v>-8.1142949567891502</v>
      </c>
      <c r="M129">
        <v>0</v>
      </c>
      <c r="N129" s="21">
        <v>44910</v>
      </c>
      <c r="O129" s="21">
        <v>46005</v>
      </c>
      <c r="P129">
        <v>3</v>
      </c>
      <c r="Q129">
        <v>0</v>
      </c>
      <c r="R129">
        <v>0</v>
      </c>
      <c r="S129" t="s">
        <v>63</v>
      </c>
      <c r="U129">
        <v>0</v>
      </c>
      <c r="V129" t="e">
        <v>#VALUE!</v>
      </c>
      <c r="W129" t="e">
        <v>#VALUE!</v>
      </c>
      <c r="X129" t="e">
        <v>#VALUE!</v>
      </c>
      <c r="Y129" t="e">
        <v>#VALUE!</v>
      </c>
      <c r="Z129" t="e">
        <v>#VALUE!</v>
      </c>
      <c r="AA129" t="e">
        <v>#VALUE!</v>
      </c>
      <c r="AB129" t="s">
        <v>64</v>
      </c>
      <c r="AC129" t="s">
        <v>62</v>
      </c>
      <c r="AD129" t="s">
        <v>2220</v>
      </c>
    </row>
    <row r="130" spans="1:30" x14ac:dyDescent="0.35">
      <c r="A130" t="s">
        <v>1618</v>
      </c>
      <c r="B130" t="s">
        <v>591</v>
      </c>
      <c r="C130" t="e">
        <v>#VALUE!</v>
      </c>
      <c r="D130" t="e">
        <v>#VALUE!</v>
      </c>
      <c r="F130">
        <v>1080</v>
      </c>
      <c r="G130" t="s">
        <v>76</v>
      </c>
      <c r="H130">
        <v>1000</v>
      </c>
      <c r="J130">
        <v>15</v>
      </c>
      <c r="L130">
        <v>-6.1169767052119903</v>
      </c>
      <c r="M130">
        <v>0</v>
      </c>
      <c r="N130" s="21">
        <v>44911</v>
      </c>
      <c r="O130" s="21">
        <v>46006</v>
      </c>
      <c r="P130">
        <v>2</v>
      </c>
      <c r="Q130">
        <v>0</v>
      </c>
      <c r="R130">
        <v>0</v>
      </c>
      <c r="S130" t="s">
        <v>63</v>
      </c>
      <c r="U130">
        <v>0</v>
      </c>
      <c r="V130" t="e">
        <v>#VALUE!</v>
      </c>
      <c r="W130" t="e">
        <v>#VALUE!</v>
      </c>
      <c r="X130" t="e">
        <v>#VALUE!</v>
      </c>
      <c r="Y130" t="e">
        <v>#VALUE!</v>
      </c>
      <c r="Z130" t="e">
        <v>#VALUE!</v>
      </c>
      <c r="AA130" t="e">
        <v>#VALUE!</v>
      </c>
      <c r="AB130" t="s">
        <v>64</v>
      </c>
      <c r="AC130" t="s">
        <v>62</v>
      </c>
      <c r="AD130" t="s">
        <v>2220</v>
      </c>
    </row>
    <row r="131" spans="1:30" x14ac:dyDescent="0.35">
      <c r="A131" t="s">
        <v>1613</v>
      </c>
      <c r="B131" t="s">
        <v>128</v>
      </c>
      <c r="C131" t="e">
        <v>#VALUE!</v>
      </c>
      <c r="D131" t="e">
        <v>#VALUE!</v>
      </c>
      <c r="F131">
        <v>1040</v>
      </c>
      <c r="G131" t="s">
        <v>76</v>
      </c>
      <c r="H131">
        <v>1000</v>
      </c>
      <c r="J131">
        <v>10</v>
      </c>
      <c r="L131">
        <v>-3.2647584973166301</v>
      </c>
      <c r="M131">
        <v>0</v>
      </c>
      <c r="N131" s="21">
        <v>44912</v>
      </c>
      <c r="O131" s="21">
        <v>46007</v>
      </c>
      <c r="P131">
        <v>2</v>
      </c>
      <c r="Q131">
        <v>0</v>
      </c>
      <c r="R131">
        <v>0</v>
      </c>
      <c r="S131" t="s">
        <v>63</v>
      </c>
      <c r="U131">
        <v>0</v>
      </c>
      <c r="V131" t="e">
        <v>#VALUE!</v>
      </c>
      <c r="W131" t="e">
        <v>#VALUE!</v>
      </c>
      <c r="X131" t="e">
        <v>#VALUE!</v>
      </c>
      <c r="Y131" t="e">
        <v>#VALUE!</v>
      </c>
      <c r="Z131" t="e">
        <v>#VALUE!</v>
      </c>
      <c r="AA131" t="e">
        <v>#VALUE!</v>
      </c>
      <c r="AB131" t="s">
        <v>64</v>
      </c>
      <c r="AC131" t="s">
        <v>62</v>
      </c>
      <c r="AD131" t="s">
        <v>2220</v>
      </c>
    </row>
    <row r="132" spans="1:30" x14ac:dyDescent="0.35">
      <c r="A132" t="s">
        <v>1612</v>
      </c>
      <c r="B132" t="s">
        <v>128</v>
      </c>
      <c r="C132" t="e">
        <v>#VALUE!</v>
      </c>
      <c r="D132" t="e">
        <v>#VALUE!</v>
      </c>
      <c r="F132">
        <v>2060</v>
      </c>
      <c r="G132" t="s">
        <v>76</v>
      </c>
      <c r="H132">
        <v>1000</v>
      </c>
      <c r="J132">
        <v>19</v>
      </c>
      <c r="L132">
        <v>-40.217459096484397</v>
      </c>
      <c r="M132">
        <v>0</v>
      </c>
      <c r="N132" s="21">
        <v>44913</v>
      </c>
      <c r="O132" s="21">
        <v>46008</v>
      </c>
      <c r="P132">
        <v>10</v>
      </c>
      <c r="Q132">
        <v>0</v>
      </c>
      <c r="R132">
        <v>0</v>
      </c>
      <c r="S132" t="s">
        <v>63</v>
      </c>
      <c r="U132">
        <v>0</v>
      </c>
      <c r="V132" t="e">
        <v>#VALUE!</v>
      </c>
      <c r="W132" t="e">
        <v>#VALUE!</v>
      </c>
      <c r="X132" t="e">
        <v>#VALUE!</v>
      </c>
      <c r="Y132" t="e">
        <v>#VALUE!</v>
      </c>
      <c r="Z132" t="e">
        <v>#VALUE!</v>
      </c>
      <c r="AA132" t="e">
        <v>#VALUE!</v>
      </c>
      <c r="AB132" t="s">
        <v>64</v>
      </c>
      <c r="AC132" t="s">
        <v>62</v>
      </c>
      <c r="AD132" t="s">
        <v>2220</v>
      </c>
    </row>
    <row r="133" spans="1:30" x14ac:dyDescent="0.35">
      <c r="A133" t="s">
        <v>1611</v>
      </c>
      <c r="B133" t="s">
        <v>128</v>
      </c>
      <c r="C133" t="e">
        <v>#VALUE!</v>
      </c>
      <c r="D133" t="e">
        <v>#VALUE!</v>
      </c>
      <c r="F133">
        <v>1151.81</v>
      </c>
      <c r="G133" t="s">
        <v>76</v>
      </c>
      <c r="H133">
        <v>1000</v>
      </c>
      <c r="J133">
        <v>16</v>
      </c>
      <c r="L133">
        <v>-10.690545990899301</v>
      </c>
      <c r="M133">
        <v>0</v>
      </c>
      <c r="N133" s="21">
        <v>44914</v>
      </c>
      <c r="O133" s="21">
        <v>46009</v>
      </c>
      <c r="P133">
        <v>3</v>
      </c>
      <c r="Q133">
        <v>0</v>
      </c>
      <c r="R133">
        <v>0</v>
      </c>
      <c r="S133" t="s">
        <v>63</v>
      </c>
      <c r="U133">
        <v>0</v>
      </c>
      <c r="V133" t="e">
        <v>#VALUE!</v>
      </c>
      <c r="W133" t="e">
        <v>#VALUE!</v>
      </c>
      <c r="X133" t="e">
        <v>#VALUE!</v>
      </c>
      <c r="Y133" t="e">
        <v>#VALUE!</v>
      </c>
      <c r="Z133" t="e">
        <v>#VALUE!</v>
      </c>
      <c r="AA133" t="e">
        <v>#VALUE!</v>
      </c>
      <c r="AB133" t="s">
        <v>64</v>
      </c>
      <c r="AC133" t="s">
        <v>62</v>
      </c>
      <c r="AD133" t="s">
        <v>2220</v>
      </c>
    </row>
    <row r="134" spans="1:30" x14ac:dyDescent="0.35">
      <c r="A134" t="s">
        <v>1602</v>
      </c>
      <c r="B134" t="s">
        <v>128</v>
      </c>
      <c r="C134" t="e">
        <v>#VALUE!</v>
      </c>
      <c r="D134" t="e">
        <v>#VALUE!</v>
      </c>
      <c r="F134">
        <v>1920</v>
      </c>
      <c r="G134" t="s">
        <v>76</v>
      </c>
      <c r="H134">
        <v>1000</v>
      </c>
      <c r="J134">
        <v>100</v>
      </c>
      <c r="L134">
        <v>-34.9791666666666</v>
      </c>
      <c r="M134">
        <v>0</v>
      </c>
      <c r="N134" s="21">
        <v>44915</v>
      </c>
      <c r="O134" s="21">
        <v>46010</v>
      </c>
      <c r="P134">
        <v>10</v>
      </c>
      <c r="Q134">
        <v>0</v>
      </c>
      <c r="R134">
        <v>0</v>
      </c>
      <c r="S134" t="s">
        <v>63</v>
      </c>
      <c r="U134">
        <v>0</v>
      </c>
      <c r="V134" t="e">
        <v>#VALUE!</v>
      </c>
      <c r="W134" t="e">
        <v>#VALUE!</v>
      </c>
      <c r="X134" t="e">
        <v>#VALUE!</v>
      </c>
      <c r="Y134" t="e">
        <v>#VALUE!</v>
      </c>
      <c r="Z134" t="e">
        <v>#VALUE!</v>
      </c>
      <c r="AA134" t="e">
        <v>#VALUE!</v>
      </c>
      <c r="AB134" t="s">
        <v>64</v>
      </c>
      <c r="AC134" t="s">
        <v>62</v>
      </c>
      <c r="AD134" t="s">
        <v>2220</v>
      </c>
    </row>
    <row r="135" spans="1:30" x14ac:dyDescent="0.35">
      <c r="A135" t="s">
        <v>1595</v>
      </c>
      <c r="B135" t="s">
        <v>338</v>
      </c>
      <c r="C135" t="e">
        <v>#VALUE!</v>
      </c>
      <c r="D135" t="e">
        <v>#VALUE!</v>
      </c>
      <c r="F135">
        <v>980</v>
      </c>
      <c r="G135" t="s">
        <v>76</v>
      </c>
      <c r="H135">
        <v>1000</v>
      </c>
      <c r="J135">
        <v>30</v>
      </c>
      <c r="L135">
        <v>1.4001841338038901</v>
      </c>
      <c r="M135">
        <v>0</v>
      </c>
      <c r="N135" s="21">
        <v>44916</v>
      </c>
      <c r="O135" s="21">
        <v>46011</v>
      </c>
      <c r="P135">
        <v>2</v>
      </c>
      <c r="Q135">
        <v>0</v>
      </c>
      <c r="R135">
        <v>0</v>
      </c>
      <c r="S135" t="s">
        <v>63</v>
      </c>
      <c r="U135">
        <v>0</v>
      </c>
      <c r="V135" t="e">
        <v>#VALUE!</v>
      </c>
      <c r="W135" t="e">
        <v>#VALUE!</v>
      </c>
      <c r="X135" t="e">
        <v>#VALUE!</v>
      </c>
      <c r="Y135" t="e">
        <v>#VALUE!</v>
      </c>
      <c r="Z135" t="e">
        <v>#VALUE!</v>
      </c>
      <c r="AA135" t="e">
        <v>#VALUE!</v>
      </c>
      <c r="AB135" t="s">
        <v>64</v>
      </c>
      <c r="AC135" t="s">
        <v>62</v>
      </c>
      <c r="AD135" t="s">
        <v>2220</v>
      </c>
    </row>
    <row r="136" spans="1:30" x14ac:dyDescent="0.35">
      <c r="A136" t="s">
        <v>1584</v>
      </c>
      <c r="B136" t="s">
        <v>326</v>
      </c>
      <c r="C136" t="e">
        <v>#VALUE!</v>
      </c>
      <c r="D136" t="e">
        <v>#VALUE!</v>
      </c>
      <c r="F136">
        <v>1712</v>
      </c>
      <c r="G136" t="s">
        <v>76</v>
      </c>
      <c r="H136">
        <v>1000</v>
      </c>
      <c r="J136">
        <v>5</v>
      </c>
      <c r="L136">
        <v>-30.359813084112101</v>
      </c>
      <c r="M136">
        <v>0</v>
      </c>
      <c r="N136" s="21">
        <v>44917</v>
      </c>
      <c r="O136" s="21">
        <v>46012</v>
      </c>
      <c r="P136">
        <v>6</v>
      </c>
      <c r="Q136">
        <v>0</v>
      </c>
      <c r="R136">
        <v>0</v>
      </c>
      <c r="S136" t="s">
        <v>63</v>
      </c>
      <c r="U136">
        <v>0</v>
      </c>
      <c r="V136" t="e">
        <v>#VALUE!</v>
      </c>
      <c r="W136" t="e">
        <v>#VALUE!</v>
      </c>
      <c r="X136" t="e">
        <v>#VALUE!</v>
      </c>
      <c r="Y136" t="e">
        <v>#VALUE!</v>
      </c>
      <c r="Z136" t="e">
        <v>#VALUE!</v>
      </c>
      <c r="AA136" t="e">
        <v>#VALUE!</v>
      </c>
      <c r="AB136" t="s">
        <v>64</v>
      </c>
      <c r="AC136" t="s">
        <v>62</v>
      </c>
      <c r="AD136" t="s">
        <v>2220</v>
      </c>
    </row>
    <row r="137" spans="1:30" x14ac:dyDescent="0.35">
      <c r="A137" t="s">
        <v>1583</v>
      </c>
      <c r="B137" t="s">
        <v>272</v>
      </c>
      <c r="C137" t="e">
        <v>#VALUE!</v>
      </c>
      <c r="D137" t="e">
        <v>#VALUE!</v>
      </c>
      <c r="F137">
        <v>1150</v>
      </c>
      <c r="G137" t="s">
        <v>76</v>
      </c>
      <c r="H137">
        <v>1000</v>
      </c>
      <c r="J137">
        <v>524</v>
      </c>
      <c r="L137">
        <v>-10.372264847968101</v>
      </c>
      <c r="M137">
        <v>0</v>
      </c>
      <c r="N137" s="21">
        <v>44918</v>
      </c>
      <c r="O137" s="21">
        <v>46013</v>
      </c>
      <c r="P137">
        <v>3</v>
      </c>
      <c r="Q137">
        <v>0</v>
      </c>
      <c r="R137">
        <v>0</v>
      </c>
      <c r="S137" t="s">
        <v>63</v>
      </c>
      <c r="U137">
        <v>0</v>
      </c>
      <c r="V137" t="e">
        <v>#VALUE!</v>
      </c>
      <c r="W137" t="e">
        <v>#VALUE!</v>
      </c>
      <c r="X137" t="e">
        <v>#VALUE!</v>
      </c>
      <c r="Y137" t="e">
        <v>#VALUE!</v>
      </c>
      <c r="Z137" t="e">
        <v>#VALUE!</v>
      </c>
      <c r="AA137" t="e">
        <v>#VALUE!</v>
      </c>
      <c r="AB137" t="s">
        <v>64</v>
      </c>
      <c r="AC137" t="s">
        <v>62</v>
      </c>
      <c r="AD137" t="s">
        <v>2220</v>
      </c>
    </row>
    <row r="138" spans="1:30" x14ac:dyDescent="0.35">
      <c r="A138" t="s">
        <v>1578</v>
      </c>
      <c r="B138" t="s">
        <v>119</v>
      </c>
      <c r="C138" t="e">
        <v>#VALUE!</v>
      </c>
      <c r="D138" t="e">
        <v>#VALUE!</v>
      </c>
      <c r="F138">
        <v>827</v>
      </c>
      <c r="G138" t="s">
        <v>76</v>
      </c>
      <c r="H138">
        <v>1000</v>
      </c>
      <c r="J138">
        <v>10</v>
      </c>
      <c r="L138">
        <v>11.5863873480943</v>
      </c>
      <c r="M138">
        <v>0</v>
      </c>
      <c r="N138" s="21">
        <v>44919</v>
      </c>
      <c r="O138" s="21">
        <v>46014</v>
      </c>
      <c r="P138">
        <v>2</v>
      </c>
      <c r="Q138">
        <v>0</v>
      </c>
      <c r="R138">
        <v>0</v>
      </c>
      <c r="S138" t="s">
        <v>63</v>
      </c>
      <c r="U138">
        <v>0</v>
      </c>
      <c r="V138" t="e">
        <v>#VALUE!</v>
      </c>
      <c r="W138" t="e">
        <v>#VALUE!</v>
      </c>
      <c r="X138" t="e">
        <v>#VALUE!</v>
      </c>
      <c r="Y138" t="e">
        <v>#VALUE!</v>
      </c>
      <c r="Z138" t="e">
        <v>#VALUE!</v>
      </c>
      <c r="AA138" t="e">
        <v>#VALUE!</v>
      </c>
      <c r="AB138" t="s">
        <v>64</v>
      </c>
      <c r="AC138" t="s">
        <v>62</v>
      </c>
      <c r="AD138" t="s">
        <v>2220</v>
      </c>
    </row>
    <row r="139" spans="1:30" x14ac:dyDescent="0.35">
      <c r="A139" t="s">
        <v>1575</v>
      </c>
      <c r="B139" t="s">
        <v>216</v>
      </c>
      <c r="C139" t="e">
        <v>#VALUE!</v>
      </c>
      <c r="D139" t="e">
        <v>#VALUE!</v>
      </c>
      <c r="F139">
        <v>1125</v>
      </c>
      <c r="G139" t="s">
        <v>76</v>
      </c>
      <c r="H139">
        <v>1000</v>
      </c>
      <c r="J139">
        <v>11</v>
      </c>
      <c r="L139">
        <v>-8.8549247937894204</v>
      </c>
      <c r="M139">
        <v>0</v>
      </c>
      <c r="N139" s="21">
        <v>44920</v>
      </c>
      <c r="O139" s="21">
        <v>46015</v>
      </c>
      <c r="P139">
        <v>3</v>
      </c>
      <c r="Q139">
        <v>0</v>
      </c>
      <c r="R139">
        <v>0</v>
      </c>
      <c r="S139" t="s">
        <v>63</v>
      </c>
      <c r="U139">
        <v>0</v>
      </c>
      <c r="V139" t="e">
        <v>#VALUE!</v>
      </c>
      <c r="W139" t="e">
        <v>#VALUE!</v>
      </c>
      <c r="X139" t="e">
        <v>#VALUE!</v>
      </c>
      <c r="Y139" t="e">
        <v>#VALUE!</v>
      </c>
      <c r="Z139" t="e">
        <v>#VALUE!</v>
      </c>
      <c r="AA139" t="e">
        <v>#VALUE!</v>
      </c>
      <c r="AB139" t="s">
        <v>64</v>
      </c>
      <c r="AC139" t="s">
        <v>62</v>
      </c>
      <c r="AD139" t="s">
        <v>2220</v>
      </c>
    </row>
    <row r="140" spans="1:30" x14ac:dyDescent="0.35">
      <c r="A140" t="s">
        <v>1571</v>
      </c>
      <c r="B140" t="s">
        <v>316</v>
      </c>
      <c r="C140" t="e">
        <v>#VALUE!</v>
      </c>
      <c r="D140" t="e">
        <v>#VALUE!</v>
      </c>
      <c r="F140">
        <v>980.2</v>
      </c>
      <c r="G140" t="s">
        <v>76</v>
      </c>
      <c r="H140">
        <v>1000</v>
      </c>
      <c r="J140">
        <v>25</v>
      </c>
      <c r="L140">
        <v>1.64575560381262</v>
      </c>
      <c r="M140">
        <v>0</v>
      </c>
      <c r="N140" s="21">
        <v>44921</v>
      </c>
      <c r="O140" s="21">
        <v>46016</v>
      </c>
      <c r="P140">
        <v>1</v>
      </c>
      <c r="Q140">
        <v>0</v>
      </c>
      <c r="R140">
        <v>0</v>
      </c>
      <c r="S140" t="s">
        <v>63</v>
      </c>
      <c r="U140">
        <v>0</v>
      </c>
      <c r="V140" t="e">
        <v>#VALUE!</v>
      </c>
      <c r="W140" t="e">
        <v>#VALUE!</v>
      </c>
      <c r="X140" t="e">
        <v>#VALUE!</v>
      </c>
      <c r="Y140" t="e">
        <v>#VALUE!</v>
      </c>
      <c r="Z140" t="e">
        <v>#VALUE!</v>
      </c>
      <c r="AA140" t="e">
        <v>#VALUE!</v>
      </c>
      <c r="AB140" t="s">
        <v>64</v>
      </c>
      <c r="AC140" t="s">
        <v>62</v>
      </c>
      <c r="AD140" t="s">
        <v>2220</v>
      </c>
    </row>
    <row r="141" spans="1:30" x14ac:dyDescent="0.35">
      <c r="A141" t="s">
        <v>1570</v>
      </c>
      <c r="B141" t="s">
        <v>483</v>
      </c>
      <c r="C141" t="e">
        <v>#VALUE!</v>
      </c>
      <c r="D141" t="e">
        <v>#VALUE!</v>
      </c>
      <c r="F141">
        <v>1321.05</v>
      </c>
      <c r="G141" t="s">
        <v>76</v>
      </c>
      <c r="H141">
        <v>1000</v>
      </c>
      <c r="J141">
        <v>38</v>
      </c>
      <c r="L141">
        <v>-19.495522833776398</v>
      </c>
      <c r="M141">
        <v>0</v>
      </c>
      <c r="N141" s="21">
        <v>44922</v>
      </c>
      <c r="O141" s="21">
        <v>46017</v>
      </c>
      <c r="P141">
        <v>5</v>
      </c>
      <c r="Q141">
        <v>0</v>
      </c>
      <c r="R141">
        <v>0</v>
      </c>
      <c r="S141" t="s">
        <v>63</v>
      </c>
      <c r="U141">
        <v>0</v>
      </c>
      <c r="V141" t="e">
        <v>#VALUE!</v>
      </c>
      <c r="W141" t="e">
        <v>#VALUE!</v>
      </c>
      <c r="X141" t="e">
        <v>#VALUE!</v>
      </c>
      <c r="Y141" t="e">
        <v>#VALUE!</v>
      </c>
      <c r="Z141" t="e">
        <v>#VALUE!</v>
      </c>
      <c r="AA141" t="e">
        <v>#VALUE!</v>
      </c>
      <c r="AB141" t="s">
        <v>64</v>
      </c>
      <c r="AC141" t="s">
        <v>62</v>
      </c>
      <c r="AD141" t="s">
        <v>2220</v>
      </c>
    </row>
    <row r="142" spans="1:30" x14ac:dyDescent="0.35">
      <c r="A142" t="s">
        <v>1568</v>
      </c>
      <c r="B142" t="s">
        <v>316</v>
      </c>
      <c r="C142" t="e">
        <v>#VALUE!</v>
      </c>
      <c r="D142" t="e">
        <v>#VALUE!</v>
      </c>
      <c r="F142">
        <v>1054</v>
      </c>
      <c r="G142" t="s">
        <v>76</v>
      </c>
      <c r="H142">
        <v>1000</v>
      </c>
      <c r="J142">
        <v>1000</v>
      </c>
      <c r="L142">
        <v>-3.3156364810852201</v>
      </c>
      <c r="M142">
        <v>0</v>
      </c>
      <c r="N142" s="21">
        <v>44923</v>
      </c>
      <c r="O142" s="21">
        <v>46018</v>
      </c>
      <c r="P142">
        <v>4</v>
      </c>
      <c r="Q142">
        <v>0</v>
      </c>
      <c r="R142">
        <v>0</v>
      </c>
      <c r="S142" t="s">
        <v>63</v>
      </c>
      <c r="U142">
        <v>0</v>
      </c>
      <c r="V142" t="e">
        <v>#VALUE!</v>
      </c>
      <c r="W142" t="e">
        <v>#VALUE!</v>
      </c>
      <c r="X142" t="e">
        <v>#VALUE!</v>
      </c>
      <c r="Y142" t="e">
        <v>#VALUE!</v>
      </c>
      <c r="Z142" t="e">
        <v>#VALUE!</v>
      </c>
      <c r="AA142" t="e">
        <v>#VALUE!</v>
      </c>
      <c r="AB142" t="s">
        <v>64</v>
      </c>
      <c r="AC142" t="s">
        <v>62</v>
      </c>
      <c r="AD142" t="s">
        <v>2220</v>
      </c>
    </row>
    <row r="143" spans="1:30" x14ac:dyDescent="0.35">
      <c r="A143" t="s">
        <v>1561</v>
      </c>
      <c r="B143" t="s">
        <v>122</v>
      </c>
      <c r="C143" t="e">
        <v>#VALUE!</v>
      </c>
      <c r="D143" t="e">
        <v>#VALUE!</v>
      </c>
      <c r="F143">
        <v>1037.8499999999999</v>
      </c>
      <c r="G143" t="s">
        <v>76</v>
      </c>
      <c r="H143">
        <v>1000</v>
      </c>
      <c r="J143">
        <v>20</v>
      </c>
      <c r="L143">
        <v>-2.9064220561780201</v>
      </c>
      <c r="M143">
        <v>0</v>
      </c>
      <c r="N143" s="21">
        <v>44924</v>
      </c>
      <c r="O143" s="21">
        <v>46019</v>
      </c>
      <c r="P143">
        <v>2</v>
      </c>
      <c r="Q143">
        <v>0</v>
      </c>
      <c r="R143">
        <v>0</v>
      </c>
      <c r="S143" t="s">
        <v>63</v>
      </c>
      <c r="U143">
        <v>0</v>
      </c>
      <c r="V143" t="e">
        <v>#VALUE!</v>
      </c>
      <c r="W143" t="e">
        <v>#VALUE!</v>
      </c>
      <c r="X143" t="e">
        <v>#VALUE!</v>
      </c>
      <c r="Y143" t="e">
        <v>#VALUE!</v>
      </c>
      <c r="Z143" t="e">
        <v>#VALUE!</v>
      </c>
      <c r="AA143" t="e">
        <v>#VALUE!</v>
      </c>
      <c r="AB143" t="s">
        <v>64</v>
      </c>
      <c r="AC143" t="s">
        <v>62</v>
      </c>
      <c r="AD143" t="s">
        <v>2220</v>
      </c>
    </row>
    <row r="144" spans="1:30" x14ac:dyDescent="0.35">
      <c r="A144" t="s">
        <v>1560</v>
      </c>
      <c r="B144" t="s">
        <v>316</v>
      </c>
      <c r="C144" t="e">
        <v>#VALUE!</v>
      </c>
      <c r="D144" t="e">
        <v>#VALUE!</v>
      </c>
      <c r="F144">
        <v>1035</v>
      </c>
      <c r="G144" t="s">
        <v>76</v>
      </c>
      <c r="H144">
        <v>1000</v>
      </c>
      <c r="J144">
        <v>275</v>
      </c>
      <c r="L144">
        <v>-2.68325981936567</v>
      </c>
      <c r="M144">
        <v>0</v>
      </c>
      <c r="N144" s="21">
        <v>44925</v>
      </c>
      <c r="O144" s="21">
        <v>46020</v>
      </c>
      <c r="P144">
        <v>2</v>
      </c>
      <c r="Q144">
        <v>0</v>
      </c>
      <c r="R144">
        <v>0</v>
      </c>
      <c r="S144" t="s">
        <v>63</v>
      </c>
      <c r="U144">
        <v>0</v>
      </c>
      <c r="V144" t="e">
        <v>#VALUE!</v>
      </c>
      <c r="W144" t="e">
        <v>#VALUE!</v>
      </c>
      <c r="X144" t="e">
        <v>#VALUE!</v>
      </c>
      <c r="Y144" t="e">
        <v>#VALUE!</v>
      </c>
      <c r="Z144" t="e">
        <v>#VALUE!</v>
      </c>
      <c r="AA144" t="e">
        <v>#VALUE!</v>
      </c>
      <c r="AB144" t="s">
        <v>64</v>
      </c>
      <c r="AC144" t="s">
        <v>62</v>
      </c>
      <c r="AD144" t="s">
        <v>2220</v>
      </c>
    </row>
    <row r="145" spans="1:30" x14ac:dyDescent="0.35">
      <c r="A145" t="s">
        <v>1559</v>
      </c>
      <c r="B145" t="s">
        <v>122</v>
      </c>
      <c r="C145" t="e">
        <v>#VALUE!</v>
      </c>
      <c r="D145" t="e">
        <v>#VALUE!</v>
      </c>
      <c r="F145">
        <v>1129</v>
      </c>
      <c r="G145" t="s">
        <v>76</v>
      </c>
      <c r="H145">
        <v>1000</v>
      </c>
      <c r="J145">
        <v>17</v>
      </c>
      <c r="L145">
        <v>-9.0466483114268001</v>
      </c>
      <c r="M145">
        <v>0</v>
      </c>
      <c r="N145" s="21">
        <v>44926</v>
      </c>
      <c r="O145" s="21">
        <v>46021</v>
      </c>
      <c r="P145">
        <v>3</v>
      </c>
      <c r="Q145">
        <v>0</v>
      </c>
      <c r="R145">
        <v>0</v>
      </c>
      <c r="S145" t="s">
        <v>63</v>
      </c>
      <c r="U145">
        <v>0</v>
      </c>
      <c r="V145" t="e">
        <v>#VALUE!</v>
      </c>
      <c r="W145" t="e">
        <v>#VALUE!</v>
      </c>
      <c r="X145" t="e">
        <v>#VALUE!</v>
      </c>
      <c r="Y145" t="e">
        <v>#VALUE!</v>
      </c>
      <c r="Z145" t="e">
        <v>#VALUE!</v>
      </c>
      <c r="AA145" t="e">
        <v>#VALUE!</v>
      </c>
      <c r="AB145" t="s">
        <v>64</v>
      </c>
      <c r="AC145" t="s">
        <v>62</v>
      </c>
      <c r="AD145" t="s">
        <v>2220</v>
      </c>
    </row>
    <row r="146" spans="1:30" x14ac:dyDescent="0.35">
      <c r="A146" t="s">
        <v>1553</v>
      </c>
      <c r="B146" t="s">
        <v>241</v>
      </c>
      <c r="C146" t="e">
        <v>#VALUE!</v>
      </c>
      <c r="D146" t="e">
        <v>#VALUE!</v>
      </c>
      <c r="F146">
        <v>1379.8</v>
      </c>
      <c r="G146" t="s">
        <v>76</v>
      </c>
      <c r="H146">
        <v>1000</v>
      </c>
      <c r="J146">
        <v>153</v>
      </c>
      <c r="L146">
        <v>-21.6527820123856</v>
      </c>
      <c r="M146">
        <v>0</v>
      </c>
      <c r="N146" s="21">
        <v>44927</v>
      </c>
      <c r="O146" s="21">
        <v>46022</v>
      </c>
      <c r="P146">
        <v>5</v>
      </c>
      <c r="Q146">
        <v>0</v>
      </c>
      <c r="R146">
        <v>0</v>
      </c>
      <c r="S146" t="s">
        <v>63</v>
      </c>
      <c r="U146">
        <v>0</v>
      </c>
      <c r="V146" t="e">
        <v>#VALUE!</v>
      </c>
      <c r="W146" t="e">
        <v>#VALUE!</v>
      </c>
      <c r="X146" t="e">
        <v>#VALUE!</v>
      </c>
      <c r="Y146" t="e">
        <v>#VALUE!</v>
      </c>
      <c r="Z146" t="e">
        <v>#VALUE!</v>
      </c>
      <c r="AA146" t="e">
        <v>#VALUE!</v>
      </c>
      <c r="AB146" t="s">
        <v>64</v>
      </c>
      <c r="AC146" t="s">
        <v>62</v>
      </c>
      <c r="AD146" t="s">
        <v>2220</v>
      </c>
    </row>
    <row r="147" spans="1:30" x14ac:dyDescent="0.35">
      <c r="A147" t="s">
        <v>1548</v>
      </c>
      <c r="B147" t="s">
        <v>241</v>
      </c>
      <c r="C147" t="e">
        <v>#VALUE!</v>
      </c>
      <c r="D147" t="e">
        <v>#VALUE!</v>
      </c>
      <c r="F147">
        <v>1027</v>
      </c>
      <c r="G147" t="s">
        <v>76</v>
      </c>
      <c r="H147">
        <v>1000</v>
      </c>
      <c r="J147">
        <v>2</v>
      </c>
      <c r="L147">
        <v>-2.0416830678074902</v>
      </c>
      <c r="M147">
        <v>0</v>
      </c>
      <c r="N147" s="21">
        <v>44928</v>
      </c>
      <c r="O147" s="21">
        <v>46023</v>
      </c>
      <c r="P147">
        <v>2</v>
      </c>
      <c r="Q147">
        <v>0</v>
      </c>
      <c r="R147">
        <v>0</v>
      </c>
      <c r="S147" t="s">
        <v>63</v>
      </c>
      <c r="U147">
        <v>0</v>
      </c>
      <c r="V147" t="e">
        <v>#VALUE!</v>
      </c>
      <c r="W147" t="e">
        <v>#VALUE!</v>
      </c>
      <c r="X147" t="e">
        <v>#VALUE!</v>
      </c>
      <c r="Y147" t="e">
        <v>#VALUE!</v>
      </c>
      <c r="Z147" t="e">
        <v>#VALUE!</v>
      </c>
      <c r="AA147" t="e">
        <v>#VALUE!</v>
      </c>
      <c r="AB147" t="s">
        <v>64</v>
      </c>
      <c r="AC147" t="s">
        <v>62</v>
      </c>
      <c r="AD147" t="s">
        <v>2220</v>
      </c>
    </row>
    <row r="148" spans="1:30" x14ac:dyDescent="0.35">
      <c r="A148" t="s">
        <v>1540</v>
      </c>
      <c r="B148" t="s">
        <v>241</v>
      </c>
      <c r="C148" t="e">
        <v>#VALUE!</v>
      </c>
      <c r="D148" t="e">
        <v>#VALUE!</v>
      </c>
      <c r="F148">
        <v>1121.53</v>
      </c>
      <c r="G148" t="s">
        <v>76</v>
      </c>
      <c r="H148">
        <v>1000</v>
      </c>
      <c r="J148">
        <v>100</v>
      </c>
      <c r="L148">
        <v>-7.99024817018093</v>
      </c>
      <c r="M148">
        <v>0</v>
      </c>
      <c r="N148" s="21">
        <v>44929</v>
      </c>
      <c r="O148" s="21">
        <v>46024</v>
      </c>
      <c r="P148">
        <v>3</v>
      </c>
      <c r="Q148">
        <v>0</v>
      </c>
      <c r="R148">
        <v>0</v>
      </c>
      <c r="S148" t="s">
        <v>63</v>
      </c>
      <c r="U148">
        <v>0</v>
      </c>
      <c r="V148" t="e">
        <v>#VALUE!</v>
      </c>
      <c r="W148" t="e">
        <v>#VALUE!</v>
      </c>
      <c r="X148" t="e">
        <v>#VALUE!</v>
      </c>
      <c r="Y148" t="e">
        <v>#VALUE!</v>
      </c>
      <c r="Z148" t="e">
        <v>#VALUE!</v>
      </c>
      <c r="AA148" t="e">
        <v>#VALUE!</v>
      </c>
      <c r="AB148" t="s">
        <v>64</v>
      </c>
      <c r="AC148" t="s">
        <v>62</v>
      </c>
      <c r="AD148" t="s">
        <v>2220</v>
      </c>
    </row>
    <row r="149" spans="1:30" x14ac:dyDescent="0.35">
      <c r="A149" t="s">
        <v>1538</v>
      </c>
      <c r="B149" t="s">
        <v>241</v>
      </c>
      <c r="C149" t="e">
        <v>#VALUE!</v>
      </c>
      <c r="D149" t="e">
        <v>#VALUE!</v>
      </c>
      <c r="F149">
        <v>1171.21</v>
      </c>
      <c r="G149" t="s">
        <v>76</v>
      </c>
      <c r="H149">
        <v>1000</v>
      </c>
      <c r="J149">
        <v>25</v>
      </c>
      <c r="L149">
        <v>-11.069810379101799</v>
      </c>
      <c r="M149">
        <v>0</v>
      </c>
      <c r="N149" s="21">
        <v>44930</v>
      </c>
      <c r="O149" s="21">
        <v>46025</v>
      </c>
      <c r="P149">
        <v>4</v>
      </c>
      <c r="Q149">
        <v>0</v>
      </c>
      <c r="R149">
        <v>0</v>
      </c>
      <c r="S149" t="s">
        <v>63</v>
      </c>
      <c r="U149">
        <v>0</v>
      </c>
      <c r="V149" t="e">
        <v>#VALUE!</v>
      </c>
      <c r="W149" t="e">
        <v>#VALUE!</v>
      </c>
      <c r="X149" t="e">
        <v>#VALUE!</v>
      </c>
      <c r="Y149" t="e">
        <v>#VALUE!</v>
      </c>
      <c r="Z149" t="e">
        <v>#VALUE!</v>
      </c>
      <c r="AA149" t="e">
        <v>#VALUE!</v>
      </c>
      <c r="AB149" t="s">
        <v>64</v>
      </c>
      <c r="AC149" t="s">
        <v>62</v>
      </c>
      <c r="AD149" t="s">
        <v>2220</v>
      </c>
    </row>
    <row r="150" spans="1:30" x14ac:dyDescent="0.35">
      <c r="A150" t="s">
        <v>1525</v>
      </c>
      <c r="B150" t="s">
        <v>1524</v>
      </c>
      <c r="C150" t="e">
        <v>#VALUE!</v>
      </c>
      <c r="D150" t="e">
        <v>#VALUE!</v>
      </c>
      <c r="F150">
        <v>1701.2</v>
      </c>
      <c r="G150" t="s">
        <v>76</v>
      </c>
      <c r="H150">
        <v>1000</v>
      </c>
      <c r="J150">
        <v>1</v>
      </c>
      <c r="L150">
        <v>-27.757484840307999</v>
      </c>
      <c r="M150">
        <v>0</v>
      </c>
      <c r="N150" s="21">
        <v>44931</v>
      </c>
      <c r="O150" s="21">
        <v>46026</v>
      </c>
      <c r="P150">
        <v>8</v>
      </c>
      <c r="Q150">
        <v>0</v>
      </c>
      <c r="R150">
        <v>0</v>
      </c>
      <c r="S150" t="s">
        <v>63</v>
      </c>
      <c r="U150">
        <v>0</v>
      </c>
      <c r="V150" t="e">
        <v>#VALUE!</v>
      </c>
      <c r="W150" t="e">
        <v>#VALUE!</v>
      </c>
      <c r="X150" t="e">
        <v>#VALUE!</v>
      </c>
      <c r="Y150" t="e">
        <v>#VALUE!</v>
      </c>
      <c r="Z150" t="e">
        <v>#VALUE!</v>
      </c>
      <c r="AA150" t="e">
        <v>#VALUE!</v>
      </c>
      <c r="AB150" t="s">
        <v>64</v>
      </c>
      <c r="AC150" t="s">
        <v>62</v>
      </c>
      <c r="AD150" t="s">
        <v>2220</v>
      </c>
    </row>
    <row r="151" spans="1:30" x14ac:dyDescent="0.35">
      <c r="A151" t="s">
        <v>1519</v>
      </c>
      <c r="B151" t="s">
        <v>94</v>
      </c>
      <c r="C151" t="e">
        <v>#VALUE!</v>
      </c>
      <c r="D151" t="e">
        <v>#VALUE!</v>
      </c>
      <c r="F151">
        <v>15730</v>
      </c>
      <c r="G151" t="s">
        <v>76</v>
      </c>
      <c r="H151">
        <v>5000</v>
      </c>
      <c r="J151">
        <v>11</v>
      </c>
      <c r="L151">
        <v>-51.125186182120999</v>
      </c>
      <c r="M151">
        <v>0</v>
      </c>
      <c r="N151" s="21">
        <v>44932</v>
      </c>
      <c r="O151" s="21">
        <v>46027</v>
      </c>
      <c r="P151">
        <v>15</v>
      </c>
      <c r="Q151">
        <v>0</v>
      </c>
      <c r="R151">
        <v>0</v>
      </c>
      <c r="S151" t="s">
        <v>63</v>
      </c>
      <c r="U151">
        <v>0</v>
      </c>
      <c r="V151" t="e">
        <v>#VALUE!</v>
      </c>
      <c r="W151" t="e">
        <v>#VALUE!</v>
      </c>
      <c r="X151" t="e">
        <v>#VALUE!</v>
      </c>
      <c r="Y151" t="e">
        <v>#VALUE!</v>
      </c>
      <c r="Z151" t="e">
        <v>#VALUE!</v>
      </c>
      <c r="AA151" t="e">
        <v>#VALUE!</v>
      </c>
      <c r="AB151" t="s">
        <v>79</v>
      </c>
      <c r="AC151" t="s">
        <v>62</v>
      </c>
      <c r="AD151" t="s">
        <v>2220</v>
      </c>
    </row>
    <row r="152" spans="1:30" x14ac:dyDescent="0.35">
      <c r="A152" t="s">
        <v>1505</v>
      </c>
      <c r="B152" t="s">
        <v>749</v>
      </c>
      <c r="C152" t="e">
        <v>#VALUE!</v>
      </c>
      <c r="D152" t="e">
        <v>#VALUE!</v>
      </c>
      <c r="F152">
        <v>876</v>
      </c>
      <c r="G152" t="s">
        <v>76</v>
      </c>
      <c r="H152">
        <v>1000</v>
      </c>
      <c r="J152">
        <v>984</v>
      </c>
      <c r="L152">
        <v>7.60922925871379</v>
      </c>
      <c r="M152">
        <v>0</v>
      </c>
      <c r="N152" s="21">
        <v>44933</v>
      </c>
      <c r="O152" s="21">
        <v>46028</v>
      </c>
      <c r="P152">
        <v>3</v>
      </c>
      <c r="Q152">
        <v>0</v>
      </c>
      <c r="R152">
        <v>0</v>
      </c>
      <c r="S152" t="s">
        <v>63</v>
      </c>
      <c r="U152">
        <v>0</v>
      </c>
      <c r="V152" t="e">
        <v>#VALUE!</v>
      </c>
      <c r="W152" t="e">
        <v>#VALUE!</v>
      </c>
      <c r="X152" t="e">
        <v>#VALUE!</v>
      </c>
      <c r="Y152" t="e">
        <v>#VALUE!</v>
      </c>
      <c r="Z152" t="e">
        <v>#VALUE!</v>
      </c>
      <c r="AA152" t="e">
        <v>#VALUE!</v>
      </c>
      <c r="AB152" t="s">
        <v>64</v>
      </c>
      <c r="AC152" t="s">
        <v>62</v>
      </c>
      <c r="AD152" t="s">
        <v>2220</v>
      </c>
    </row>
    <row r="153" spans="1:30" x14ac:dyDescent="0.35">
      <c r="A153" t="s">
        <v>1503</v>
      </c>
      <c r="B153" t="s">
        <v>316</v>
      </c>
      <c r="C153" t="e">
        <v>#VALUE!</v>
      </c>
      <c r="D153" t="e">
        <v>#VALUE!</v>
      </c>
      <c r="F153">
        <v>1590</v>
      </c>
      <c r="G153" t="s">
        <v>76</v>
      </c>
      <c r="H153">
        <v>1000</v>
      </c>
      <c r="J153">
        <v>200</v>
      </c>
      <c r="L153">
        <v>-18.477524088994102</v>
      </c>
      <c r="M153">
        <v>0</v>
      </c>
      <c r="N153" s="21">
        <v>44934</v>
      </c>
      <c r="O153" s="21">
        <v>46029</v>
      </c>
      <c r="P153">
        <v>7</v>
      </c>
      <c r="Q153">
        <v>0</v>
      </c>
      <c r="R153">
        <v>0</v>
      </c>
      <c r="S153" t="s">
        <v>63</v>
      </c>
      <c r="U153">
        <v>0</v>
      </c>
      <c r="V153" t="e">
        <v>#VALUE!</v>
      </c>
      <c r="W153" t="e">
        <v>#VALUE!</v>
      </c>
      <c r="X153" t="e">
        <v>#VALUE!</v>
      </c>
      <c r="Y153" t="e">
        <v>#VALUE!</v>
      </c>
      <c r="Z153" t="e">
        <v>#VALUE!</v>
      </c>
      <c r="AA153" t="e">
        <v>#VALUE!</v>
      </c>
      <c r="AB153" t="s">
        <v>64</v>
      </c>
      <c r="AC153" t="s">
        <v>62</v>
      </c>
      <c r="AD153" t="s">
        <v>2220</v>
      </c>
    </row>
    <row r="154" spans="1:30" x14ac:dyDescent="0.35">
      <c r="A154" t="s">
        <v>1498</v>
      </c>
      <c r="B154" t="s">
        <v>417</v>
      </c>
      <c r="C154" t="e">
        <v>#VALUE!</v>
      </c>
      <c r="D154" t="e">
        <v>#VALUE!</v>
      </c>
      <c r="F154">
        <v>15400</v>
      </c>
      <c r="G154" t="s">
        <v>76</v>
      </c>
      <c r="H154">
        <v>5000</v>
      </c>
      <c r="J154">
        <v>10</v>
      </c>
      <c r="L154">
        <v>-48.618048618048597</v>
      </c>
      <c r="M154">
        <v>0</v>
      </c>
      <c r="N154" s="21">
        <v>44935</v>
      </c>
      <c r="O154" s="21">
        <v>46030</v>
      </c>
      <c r="P154">
        <v>15</v>
      </c>
      <c r="Q154">
        <v>0</v>
      </c>
      <c r="R154">
        <v>0</v>
      </c>
      <c r="S154" t="s">
        <v>63</v>
      </c>
      <c r="U154">
        <v>0</v>
      </c>
      <c r="V154" t="e">
        <v>#VALUE!</v>
      </c>
      <c r="W154" t="e">
        <v>#VALUE!</v>
      </c>
      <c r="X154" t="e">
        <v>#VALUE!</v>
      </c>
      <c r="Y154" t="e">
        <v>#VALUE!</v>
      </c>
      <c r="Z154" t="e">
        <v>#VALUE!</v>
      </c>
      <c r="AA154" t="e">
        <v>#VALUE!</v>
      </c>
      <c r="AB154" t="s">
        <v>79</v>
      </c>
      <c r="AC154" t="s">
        <v>62</v>
      </c>
      <c r="AD154" t="s">
        <v>2220</v>
      </c>
    </row>
    <row r="155" spans="1:30" x14ac:dyDescent="0.35">
      <c r="A155" t="s">
        <v>1493</v>
      </c>
      <c r="B155" t="s">
        <v>390</v>
      </c>
      <c r="C155" t="e">
        <v>#VALUE!</v>
      </c>
      <c r="D155" t="e">
        <v>#VALUE!</v>
      </c>
      <c r="F155">
        <v>1195</v>
      </c>
      <c r="G155" t="s">
        <v>76</v>
      </c>
      <c r="H155">
        <v>1000</v>
      </c>
      <c r="J155">
        <v>2</v>
      </c>
      <c r="L155">
        <v>-10.9688157377655</v>
      </c>
      <c r="M155">
        <v>0</v>
      </c>
      <c r="N155" s="21">
        <v>44936</v>
      </c>
      <c r="O155" s="21">
        <v>46031</v>
      </c>
      <c r="P155">
        <v>3</v>
      </c>
      <c r="Q155">
        <v>0</v>
      </c>
      <c r="R155">
        <v>0</v>
      </c>
      <c r="S155" t="s">
        <v>63</v>
      </c>
      <c r="U155">
        <v>0</v>
      </c>
      <c r="V155" t="e">
        <v>#VALUE!</v>
      </c>
      <c r="W155" t="e">
        <v>#VALUE!</v>
      </c>
      <c r="X155" t="e">
        <v>#VALUE!</v>
      </c>
      <c r="Y155" t="e">
        <v>#VALUE!</v>
      </c>
      <c r="Z155" t="e">
        <v>#VALUE!</v>
      </c>
      <c r="AA155" t="e">
        <v>#VALUE!</v>
      </c>
      <c r="AB155" t="s">
        <v>64</v>
      </c>
      <c r="AC155" t="s">
        <v>62</v>
      </c>
      <c r="AD155" t="s">
        <v>2220</v>
      </c>
    </row>
    <row r="156" spans="1:30" x14ac:dyDescent="0.35">
      <c r="A156" t="s">
        <v>1492</v>
      </c>
      <c r="B156" t="s">
        <v>272</v>
      </c>
      <c r="C156" t="e">
        <v>#VALUE!</v>
      </c>
      <c r="D156" t="e">
        <v>#VALUE!</v>
      </c>
      <c r="F156">
        <v>1780</v>
      </c>
      <c r="G156" t="s">
        <v>76</v>
      </c>
      <c r="H156">
        <v>1000</v>
      </c>
      <c r="J156">
        <v>579</v>
      </c>
      <c r="L156">
        <v>-29.401437541308599</v>
      </c>
      <c r="M156">
        <v>0</v>
      </c>
      <c r="N156" s="21">
        <v>44937</v>
      </c>
      <c r="O156" s="21">
        <v>46032</v>
      </c>
      <c r="P156">
        <v>8</v>
      </c>
      <c r="Q156">
        <v>0</v>
      </c>
      <c r="R156">
        <v>0</v>
      </c>
      <c r="S156" t="s">
        <v>63</v>
      </c>
      <c r="U156">
        <v>0</v>
      </c>
      <c r="V156" t="e">
        <v>#VALUE!</v>
      </c>
      <c r="W156" t="e">
        <v>#VALUE!</v>
      </c>
      <c r="X156" t="e">
        <v>#VALUE!</v>
      </c>
      <c r="Y156" t="e">
        <v>#VALUE!</v>
      </c>
      <c r="Z156" t="e">
        <v>#VALUE!</v>
      </c>
      <c r="AA156" t="e">
        <v>#VALUE!</v>
      </c>
      <c r="AB156" t="s">
        <v>64</v>
      </c>
      <c r="AC156" t="s">
        <v>62</v>
      </c>
      <c r="AD156" t="s">
        <v>2220</v>
      </c>
    </row>
    <row r="157" spans="1:30" x14ac:dyDescent="0.35">
      <c r="A157" t="s">
        <v>1489</v>
      </c>
      <c r="B157" t="s">
        <v>1488</v>
      </c>
      <c r="C157" t="e">
        <v>#VALUE!</v>
      </c>
      <c r="D157" t="e">
        <v>#VALUE!</v>
      </c>
      <c r="F157">
        <v>106600</v>
      </c>
      <c r="G157" t="s">
        <v>76</v>
      </c>
      <c r="H157">
        <v>100000</v>
      </c>
      <c r="J157">
        <v>50</v>
      </c>
      <c r="L157">
        <v>-4.3965951482322296</v>
      </c>
      <c r="M157">
        <v>0</v>
      </c>
      <c r="N157" s="21">
        <v>44938</v>
      </c>
      <c r="O157" s="21">
        <v>46033</v>
      </c>
      <c r="P157">
        <v>2</v>
      </c>
      <c r="Q157">
        <v>0</v>
      </c>
      <c r="R157">
        <v>0</v>
      </c>
      <c r="S157" t="s">
        <v>63</v>
      </c>
      <c r="U157">
        <v>0</v>
      </c>
      <c r="V157" t="e">
        <v>#VALUE!</v>
      </c>
      <c r="W157" t="e">
        <v>#VALUE!</v>
      </c>
      <c r="X157" t="e">
        <v>#VALUE!</v>
      </c>
      <c r="Y157" t="e">
        <v>#VALUE!</v>
      </c>
      <c r="Z157" t="e">
        <v>#VALUE!</v>
      </c>
      <c r="AA157" t="e">
        <v>#VALUE!</v>
      </c>
      <c r="AB157" t="s">
        <v>64</v>
      </c>
      <c r="AC157" t="s">
        <v>62</v>
      </c>
      <c r="AD157" t="s">
        <v>2220</v>
      </c>
    </row>
    <row r="158" spans="1:30" x14ac:dyDescent="0.35">
      <c r="A158" t="s">
        <v>1486</v>
      </c>
      <c r="B158" t="s">
        <v>338</v>
      </c>
      <c r="C158" t="e">
        <v>#VALUE!</v>
      </c>
      <c r="D158" t="e">
        <v>#VALUE!</v>
      </c>
      <c r="F158">
        <v>1139</v>
      </c>
      <c r="G158" t="s">
        <v>76</v>
      </c>
      <c r="H158">
        <v>1000</v>
      </c>
      <c r="J158">
        <v>1</v>
      </c>
      <c r="L158">
        <v>-8.0114135206321304</v>
      </c>
      <c r="M158">
        <v>0</v>
      </c>
      <c r="N158" s="21">
        <v>44939</v>
      </c>
      <c r="O158" s="21">
        <v>46034</v>
      </c>
      <c r="P158">
        <v>3</v>
      </c>
      <c r="Q158">
        <v>0</v>
      </c>
      <c r="R158">
        <v>0</v>
      </c>
      <c r="S158" t="s">
        <v>63</v>
      </c>
      <c r="U158">
        <v>0</v>
      </c>
      <c r="V158" t="e">
        <v>#VALUE!</v>
      </c>
      <c r="W158" t="e">
        <v>#VALUE!</v>
      </c>
      <c r="X158" t="e">
        <v>#VALUE!</v>
      </c>
      <c r="Y158" t="e">
        <v>#VALUE!</v>
      </c>
      <c r="Z158" t="e">
        <v>#VALUE!</v>
      </c>
      <c r="AA158" t="e">
        <v>#VALUE!</v>
      </c>
      <c r="AB158" t="s">
        <v>64</v>
      </c>
      <c r="AC158" t="s">
        <v>62</v>
      </c>
      <c r="AD158" t="s">
        <v>2220</v>
      </c>
    </row>
    <row r="159" spans="1:30" x14ac:dyDescent="0.35">
      <c r="A159" t="s">
        <v>1484</v>
      </c>
      <c r="B159" t="s">
        <v>338</v>
      </c>
      <c r="C159" t="e">
        <v>#VALUE!</v>
      </c>
      <c r="D159" t="e">
        <v>#VALUE!</v>
      </c>
      <c r="F159">
        <v>1029</v>
      </c>
      <c r="G159" t="s">
        <v>76</v>
      </c>
      <c r="H159">
        <v>1000</v>
      </c>
      <c r="J159">
        <v>26</v>
      </c>
      <c r="L159">
        <v>-1.3807632353037</v>
      </c>
      <c r="M159">
        <v>0</v>
      </c>
      <c r="N159" s="21">
        <v>44940</v>
      </c>
      <c r="O159" s="21">
        <v>46035</v>
      </c>
      <c r="P159">
        <v>3</v>
      </c>
      <c r="Q159">
        <v>0</v>
      </c>
      <c r="R159">
        <v>0</v>
      </c>
      <c r="S159" t="s">
        <v>63</v>
      </c>
      <c r="U159">
        <v>0</v>
      </c>
      <c r="V159" t="e">
        <v>#VALUE!</v>
      </c>
      <c r="W159" t="e">
        <v>#VALUE!</v>
      </c>
      <c r="X159" t="e">
        <v>#VALUE!</v>
      </c>
      <c r="Y159" t="e">
        <v>#VALUE!</v>
      </c>
      <c r="Z159" t="e">
        <v>#VALUE!</v>
      </c>
      <c r="AA159" t="e">
        <v>#VALUE!</v>
      </c>
      <c r="AB159" t="s">
        <v>64</v>
      </c>
      <c r="AC159" t="s">
        <v>62</v>
      </c>
      <c r="AD159" t="s">
        <v>2220</v>
      </c>
    </row>
    <row r="160" spans="1:30" x14ac:dyDescent="0.35">
      <c r="A160" t="s">
        <v>1477</v>
      </c>
      <c r="B160" t="s">
        <v>553</v>
      </c>
      <c r="C160" t="e">
        <v>#VALUE!</v>
      </c>
      <c r="D160" t="e">
        <v>#VALUE!</v>
      </c>
      <c r="F160">
        <v>1011</v>
      </c>
      <c r="G160" t="s">
        <v>76</v>
      </c>
      <c r="H160">
        <v>1000</v>
      </c>
      <c r="J160">
        <v>10</v>
      </c>
      <c r="L160">
        <v>-0.74508734130938603</v>
      </c>
      <c r="M160">
        <v>0</v>
      </c>
      <c r="N160" s="21">
        <v>44941</v>
      </c>
      <c r="O160" s="21">
        <v>46036</v>
      </c>
      <c r="P160">
        <v>2</v>
      </c>
      <c r="Q160">
        <v>0</v>
      </c>
      <c r="R160">
        <v>0</v>
      </c>
      <c r="S160" t="s">
        <v>63</v>
      </c>
      <c r="U160">
        <v>0</v>
      </c>
      <c r="V160" t="e">
        <v>#VALUE!</v>
      </c>
      <c r="W160" t="e">
        <v>#VALUE!</v>
      </c>
      <c r="X160" t="e">
        <v>#VALUE!</v>
      </c>
      <c r="Y160" t="e">
        <v>#VALUE!</v>
      </c>
      <c r="Z160" t="e">
        <v>#VALUE!</v>
      </c>
      <c r="AA160" t="e">
        <v>#VALUE!</v>
      </c>
      <c r="AB160" t="s">
        <v>64</v>
      </c>
      <c r="AC160" t="s">
        <v>62</v>
      </c>
      <c r="AD160" t="s">
        <v>2220</v>
      </c>
    </row>
    <row r="161" spans="1:30" x14ac:dyDescent="0.35">
      <c r="A161" t="s">
        <v>1473</v>
      </c>
      <c r="B161" t="s">
        <v>128</v>
      </c>
      <c r="C161" t="e">
        <v>#VALUE!</v>
      </c>
      <c r="D161" t="e">
        <v>#VALUE!</v>
      </c>
      <c r="F161">
        <v>1000</v>
      </c>
      <c r="G161" t="s">
        <v>76</v>
      </c>
      <c r="H161">
        <v>1000</v>
      </c>
      <c r="J161">
        <v>10</v>
      </c>
      <c r="L161">
        <v>0</v>
      </c>
      <c r="M161">
        <v>0</v>
      </c>
      <c r="N161" s="21">
        <v>44942</v>
      </c>
      <c r="O161" s="21">
        <v>46037</v>
      </c>
      <c r="P161">
        <v>2</v>
      </c>
      <c r="Q161">
        <v>0</v>
      </c>
      <c r="R161">
        <v>0</v>
      </c>
      <c r="S161" t="s">
        <v>63</v>
      </c>
      <c r="U161">
        <v>0</v>
      </c>
      <c r="V161" t="e">
        <v>#VALUE!</v>
      </c>
      <c r="W161" t="e">
        <v>#VALUE!</v>
      </c>
      <c r="X161" t="e">
        <v>#VALUE!</v>
      </c>
      <c r="Y161" t="e">
        <v>#VALUE!</v>
      </c>
      <c r="Z161" t="e">
        <v>#VALUE!</v>
      </c>
      <c r="AA161" t="e">
        <v>#VALUE!</v>
      </c>
      <c r="AB161" t="s">
        <v>64</v>
      </c>
      <c r="AC161" t="s">
        <v>62</v>
      </c>
      <c r="AD161" t="s">
        <v>2220</v>
      </c>
    </row>
    <row r="162" spans="1:30" x14ac:dyDescent="0.35">
      <c r="A162" t="s">
        <v>1470</v>
      </c>
      <c r="B162" t="s">
        <v>316</v>
      </c>
      <c r="C162" t="e">
        <v>#VALUE!</v>
      </c>
      <c r="D162" t="e">
        <v>#VALUE!</v>
      </c>
      <c r="F162">
        <v>1102</v>
      </c>
      <c r="G162" t="s">
        <v>76</v>
      </c>
      <c r="H162">
        <v>1000</v>
      </c>
      <c r="J162">
        <v>47</v>
      </c>
      <c r="L162">
        <v>-6.2332156896886497</v>
      </c>
      <c r="M162">
        <v>0</v>
      </c>
      <c r="N162" s="21">
        <v>44943</v>
      </c>
      <c r="O162" s="21">
        <v>46038</v>
      </c>
      <c r="P162">
        <v>3</v>
      </c>
      <c r="Q162">
        <v>0</v>
      </c>
      <c r="R162">
        <v>0</v>
      </c>
      <c r="S162" t="s">
        <v>63</v>
      </c>
      <c r="U162">
        <v>0</v>
      </c>
      <c r="V162" t="e">
        <v>#VALUE!</v>
      </c>
      <c r="W162" t="e">
        <v>#VALUE!</v>
      </c>
      <c r="X162" t="e">
        <v>#VALUE!</v>
      </c>
      <c r="Y162" t="e">
        <v>#VALUE!</v>
      </c>
      <c r="Z162" t="e">
        <v>#VALUE!</v>
      </c>
      <c r="AA162" t="e">
        <v>#VALUE!</v>
      </c>
      <c r="AB162" t="s">
        <v>64</v>
      </c>
      <c r="AC162" t="s">
        <v>62</v>
      </c>
      <c r="AD162" t="s">
        <v>2220</v>
      </c>
    </row>
    <row r="163" spans="1:30" x14ac:dyDescent="0.35">
      <c r="A163" t="s">
        <v>1467</v>
      </c>
      <c r="B163" t="s">
        <v>128</v>
      </c>
      <c r="C163" t="e">
        <v>#VALUE!</v>
      </c>
      <c r="D163" t="e">
        <v>#VALUE!</v>
      </c>
      <c r="F163">
        <v>1011</v>
      </c>
      <c r="G163" t="s">
        <v>76</v>
      </c>
      <c r="H163">
        <v>1000</v>
      </c>
      <c r="J163">
        <v>30</v>
      </c>
      <c r="L163">
        <v>-0.50461442556277303</v>
      </c>
      <c r="M163">
        <v>0</v>
      </c>
      <c r="N163" s="21">
        <v>44944</v>
      </c>
      <c r="O163" s="21">
        <v>46039</v>
      </c>
      <c r="P163">
        <v>3</v>
      </c>
      <c r="Q163">
        <v>0</v>
      </c>
      <c r="R163">
        <v>0</v>
      </c>
      <c r="S163" t="s">
        <v>63</v>
      </c>
      <c r="U163">
        <v>0</v>
      </c>
      <c r="V163" t="e">
        <v>#VALUE!</v>
      </c>
      <c r="W163" t="e">
        <v>#VALUE!</v>
      </c>
      <c r="X163" t="e">
        <v>#VALUE!</v>
      </c>
      <c r="Y163" t="e">
        <v>#VALUE!</v>
      </c>
      <c r="Z163" t="e">
        <v>#VALUE!</v>
      </c>
      <c r="AA163" t="e">
        <v>#VALUE!</v>
      </c>
      <c r="AB163" t="s">
        <v>64</v>
      </c>
      <c r="AC163" t="s">
        <v>62</v>
      </c>
      <c r="AD163" t="s">
        <v>2220</v>
      </c>
    </row>
    <row r="164" spans="1:30" x14ac:dyDescent="0.35">
      <c r="A164" t="s">
        <v>1463</v>
      </c>
      <c r="B164" t="s">
        <v>122</v>
      </c>
      <c r="C164" t="e">
        <v>#VALUE!</v>
      </c>
      <c r="D164" t="e">
        <v>#VALUE!</v>
      </c>
      <c r="F164">
        <v>1320.2</v>
      </c>
      <c r="G164" t="s">
        <v>76</v>
      </c>
      <c r="H164">
        <v>1000</v>
      </c>
      <c r="J164">
        <v>4</v>
      </c>
      <c r="L164">
        <v>-16.6717021418029</v>
      </c>
      <c r="M164">
        <v>0</v>
      </c>
      <c r="N164" s="21">
        <v>44945</v>
      </c>
      <c r="O164" s="21">
        <v>46040</v>
      </c>
      <c r="P164">
        <v>5</v>
      </c>
      <c r="Q164">
        <v>0</v>
      </c>
      <c r="R164">
        <v>0</v>
      </c>
      <c r="S164" t="s">
        <v>63</v>
      </c>
      <c r="U164">
        <v>0</v>
      </c>
      <c r="V164" t="e">
        <v>#VALUE!</v>
      </c>
      <c r="W164" t="e">
        <v>#VALUE!</v>
      </c>
      <c r="X164" t="e">
        <v>#VALUE!</v>
      </c>
      <c r="Y164" t="e">
        <v>#VALUE!</v>
      </c>
      <c r="Z164" t="e">
        <v>#VALUE!</v>
      </c>
      <c r="AA164" t="e">
        <v>#VALUE!</v>
      </c>
      <c r="AB164" t="s">
        <v>64</v>
      </c>
      <c r="AC164" t="s">
        <v>62</v>
      </c>
      <c r="AD164" t="s">
        <v>2220</v>
      </c>
    </row>
    <row r="165" spans="1:30" x14ac:dyDescent="0.35">
      <c r="A165" t="s">
        <v>1456</v>
      </c>
      <c r="B165" t="s">
        <v>553</v>
      </c>
      <c r="C165" t="e">
        <v>#VALUE!</v>
      </c>
      <c r="D165" t="e">
        <v>#VALUE!</v>
      </c>
      <c r="F165">
        <v>1310</v>
      </c>
      <c r="G165" t="s">
        <v>76</v>
      </c>
      <c r="H165">
        <v>1000</v>
      </c>
      <c r="J165">
        <v>46</v>
      </c>
      <c r="L165">
        <v>-14.9436065400565</v>
      </c>
      <c r="M165">
        <v>0</v>
      </c>
      <c r="N165" s="21">
        <v>44946</v>
      </c>
      <c r="O165" s="21">
        <v>46041</v>
      </c>
      <c r="P165">
        <v>5</v>
      </c>
      <c r="Q165">
        <v>0</v>
      </c>
      <c r="R165">
        <v>0</v>
      </c>
      <c r="S165" t="s">
        <v>63</v>
      </c>
      <c r="U165">
        <v>0</v>
      </c>
      <c r="V165" t="e">
        <v>#VALUE!</v>
      </c>
      <c r="W165" t="e">
        <v>#VALUE!</v>
      </c>
      <c r="X165" t="e">
        <v>#VALUE!</v>
      </c>
      <c r="Y165" t="e">
        <v>#VALUE!</v>
      </c>
      <c r="Z165" t="e">
        <v>#VALUE!</v>
      </c>
      <c r="AA165" t="e">
        <v>#VALUE!</v>
      </c>
      <c r="AB165" t="s">
        <v>64</v>
      </c>
      <c r="AC165" t="s">
        <v>62</v>
      </c>
      <c r="AD165" t="s">
        <v>2220</v>
      </c>
    </row>
    <row r="166" spans="1:30" x14ac:dyDescent="0.35">
      <c r="A166" t="s">
        <v>1449</v>
      </c>
      <c r="B166" t="s">
        <v>119</v>
      </c>
      <c r="C166" t="e">
        <v>#VALUE!</v>
      </c>
      <c r="D166" t="e">
        <v>#VALUE!</v>
      </c>
      <c r="F166">
        <v>1000</v>
      </c>
      <c r="G166" t="s">
        <v>76</v>
      </c>
      <c r="H166">
        <v>1000</v>
      </c>
      <c r="J166">
        <v>10</v>
      </c>
      <c r="L166">
        <v>0</v>
      </c>
      <c r="M166">
        <v>0</v>
      </c>
      <c r="N166" s="21">
        <v>44947</v>
      </c>
      <c r="O166" s="21">
        <v>46042</v>
      </c>
      <c r="P166">
        <v>2</v>
      </c>
      <c r="Q166">
        <v>0</v>
      </c>
      <c r="R166">
        <v>0</v>
      </c>
      <c r="S166" t="s">
        <v>63</v>
      </c>
      <c r="U166">
        <v>0</v>
      </c>
      <c r="V166" t="e">
        <v>#VALUE!</v>
      </c>
      <c r="W166" t="e">
        <v>#VALUE!</v>
      </c>
      <c r="X166" t="e">
        <v>#VALUE!</v>
      </c>
      <c r="Y166" t="e">
        <v>#VALUE!</v>
      </c>
      <c r="Z166" t="e">
        <v>#VALUE!</v>
      </c>
      <c r="AA166" t="e">
        <v>#VALUE!</v>
      </c>
      <c r="AB166" t="s">
        <v>64</v>
      </c>
      <c r="AC166" t="s">
        <v>62</v>
      </c>
      <c r="AD166" t="s">
        <v>2220</v>
      </c>
    </row>
    <row r="167" spans="1:30" x14ac:dyDescent="0.35">
      <c r="A167" t="s">
        <v>1443</v>
      </c>
      <c r="B167" t="s">
        <v>241</v>
      </c>
      <c r="C167" t="e">
        <v>#VALUE!</v>
      </c>
      <c r="D167" t="e">
        <v>#VALUE!</v>
      </c>
      <c r="F167">
        <v>1008.2</v>
      </c>
      <c r="G167" t="s">
        <v>76</v>
      </c>
      <c r="H167">
        <v>1000</v>
      </c>
      <c r="J167">
        <v>10</v>
      </c>
      <c r="L167">
        <v>-0.55282253491574196</v>
      </c>
      <c r="M167">
        <v>0</v>
      </c>
      <c r="N167" s="21">
        <v>44948</v>
      </c>
      <c r="O167" s="21">
        <v>46043</v>
      </c>
      <c r="P167">
        <v>2</v>
      </c>
      <c r="Q167">
        <v>0</v>
      </c>
      <c r="R167">
        <v>0</v>
      </c>
      <c r="S167" t="s">
        <v>63</v>
      </c>
      <c r="U167">
        <v>0</v>
      </c>
      <c r="V167" t="e">
        <v>#VALUE!</v>
      </c>
      <c r="W167" t="e">
        <v>#VALUE!</v>
      </c>
      <c r="X167" t="e">
        <v>#VALUE!</v>
      </c>
      <c r="Y167" t="e">
        <v>#VALUE!</v>
      </c>
      <c r="Z167" t="e">
        <v>#VALUE!</v>
      </c>
      <c r="AA167" t="e">
        <v>#VALUE!</v>
      </c>
      <c r="AB167" t="s">
        <v>64</v>
      </c>
      <c r="AC167" t="s">
        <v>62</v>
      </c>
      <c r="AD167" t="s">
        <v>2220</v>
      </c>
    </row>
    <row r="168" spans="1:30" x14ac:dyDescent="0.35">
      <c r="A168" t="s">
        <v>1434</v>
      </c>
      <c r="B168" t="s">
        <v>460</v>
      </c>
      <c r="C168" t="e">
        <v>#VALUE!</v>
      </c>
      <c r="D168" t="e">
        <v>#VALUE!</v>
      </c>
      <c r="F168">
        <v>1008.33</v>
      </c>
      <c r="G168" t="s">
        <v>76</v>
      </c>
      <c r="H168">
        <v>1000</v>
      </c>
      <c r="J168">
        <v>10</v>
      </c>
      <c r="L168">
        <v>-0.52807920877236403</v>
      </c>
      <c r="M168">
        <v>0</v>
      </c>
      <c r="N168" s="21">
        <v>44949</v>
      </c>
      <c r="O168" s="21">
        <v>46044</v>
      </c>
      <c r="P168">
        <v>2</v>
      </c>
      <c r="Q168">
        <v>0</v>
      </c>
      <c r="R168">
        <v>0</v>
      </c>
      <c r="S168" t="s">
        <v>63</v>
      </c>
      <c r="U168">
        <v>0</v>
      </c>
      <c r="V168" t="e">
        <v>#VALUE!</v>
      </c>
      <c r="W168" t="e">
        <v>#VALUE!</v>
      </c>
      <c r="X168" t="e">
        <v>#VALUE!</v>
      </c>
      <c r="Y168" t="e">
        <v>#VALUE!</v>
      </c>
      <c r="Z168" t="e">
        <v>#VALUE!</v>
      </c>
      <c r="AA168" t="e">
        <v>#VALUE!</v>
      </c>
      <c r="AB168" t="s">
        <v>64</v>
      </c>
      <c r="AC168" t="s">
        <v>62</v>
      </c>
      <c r="AD168" t="s">
        <v>2220</v>
      </c>
    </row>
    <row r="169" spans="1:30" x14ac:dyDescent="0.35">
      <c r="A169" t="s">
        <v>1423</v>
      </c>
      <c r="B169" t="s">
        <v>122</v>
      </c>
      <c r="C169" t="e">
        <v>#VALUE!</v>
      </c>
      <c r="D169" t="e">
        <v>#VALUE!</v>
      </c>
      <c r="F169">
        <v>1150</v>
      </c>
      <c r="G169" t="s">
        <v>76</v>
      </c>
      <c r="H169">
        <v>1000</v>
      </c>
      <c r="J169">
        <v>1</v>
      </c>
      <c r="L169">
        <v>-7.9480293242360398</v>
      </c>
      <c r="M169">
        <v>0</v>
      </c>
      <c r="N169" s="21">
        <v>44950</v>
      </c>
      <c r="O169" s="21">
        <v>46045</v>
      </c>
      <c r="P169">
        <v>2</v>
      </c>
      <c r="Q169">
        <v>0</v>
      </c>
      <c r="R169">
        <v>0</v>
      </c>
      <c r="S169" t="s">
        <v>63</v>
      </c>
      <c r="U169">
        <v>0</v>
      </c>
      <c r="V169" t="e">
        <v>#VALUE!</v>
      </c>
      <c r="W169" t="e">
        <v>#VALUE!</v>
      </c>
      <c r="X169" t="e">
        <v>#VALUE!</v>
      </c>
      <c r="Y169" t="e">
        <v>#VALUE!</v>
      </c>
      <c r="Z169" t="e">
        <v>#VALUE!</v>
      </c>
      <c r="AA169" t="e">
        <v>#VALUE!</v>
      </c>
      <c r="AB169" t="s">
        <v>64</v>
      </c>
      <c r="AC169" t="s">
        <v>62</v>
      </c>
      <c r="AD169" t="s">
        <v>2220</v>
      </c>
    </row>
    <row r="170" spans="1:30" x14ac:dyDescent="0.35">
      <c r="A170" t="s">
        <v>1421</v>
      </c>
      <c r="B170" t="s">
        <v>272</v>
      </c>
      <c r="C170" t="e">
        <v>#VALUE!</v>
      </c>
      <c r="D170" t="e">
        <v>#VALUE!</v>
      </c>
      <c r="F170">
        <v>1125</v>
      </c>
      <c r="G170" t="s">
        <v>76</v>
      </c>
      <c r="H170">
        <v>1000</v>
      </c>
      <c r="J170">
        <v>40</v>
      </c>
      <c r="L170">
        <v>-7.2680207088809201</v>
      </c>
      <c r="M170">
        <v>0</v>
      </c>
      <c r="N170" s="21">
        <v>44951</v>
      </c>
      <c r="O170" s="21">
        <v>46046</v>
      </c>
      <c r="P170">
        <v>3</v>
      </c>
      <c r="Q170">
        <v>0</v>
      </c>
      <c r="R170">
        <v>0</v>
      </c>
      <c r="S170" t="s">
        <v>63</v>
      </c>
      <c r="U170">
        <v>0</v>
      </c>
      <c r="V170" t="e">
        <v>#VALUE!</v>
      </c>
      <c r="W170" t="e">
        <v>#VALUE!</v>
      </c>
      <c r="X170" t="e">
        <v>#VALUE!</v>
      </c>
      <c r="Y170" t="e">
        <v>#VALUE!</v>
      </c>
      <c r="Z170" t="e">
        <v>#VALUE!</v>
      </c>
      <c r="AA170" t="e">
        <v>#VALUE!</v>
      </c>
      <c r="AB170" t="s">
        <v>64</v>
      </c>
      <c r="AC170" t="s">
        <v>62</v>
      </c>
      <c r="AD170" t="s">
        <v>2220</v>
      </c>
    </row>
    <row r="171" spans="1:30" x14ac:dyDescent="0.35">
      <c r="A171" t="s">
        <v>1417</v>
      </c>
      <c r="B171" t="s">
        <v>1103</v>
      </c>
      <c r="C171" t="e">
        <v>#VALUE!</v>
      </c>
      <c r="D171" t="e">
        <v>#VALUE!</v>
      </c>
      <c r="F171">
        <v>109999</v>
      </c>
      <c r="G171" t="s">
        <v>76</v>
      </c>
      <c r="H171">
        <v>100000</v>
      </c>
      <c r="J171">
        <v>300</v>
      </c>
      <c r="L171">
        <v>-4.95205994409989</v>
      </c>
      <c r="M171">
        <v>0</v>
      </c>
      <c r="N171" s="21">
        <v>44952</v>
      </c>
      <c r="O171" s="21">
        <v>46047</v>
      </c>
      <c r="P171">
        <v>3</v>
      </c>
      <c r="Q171">
        <v>0</v>
      </c>
      <c r="R171">
        <v>0</v>
      </c>
      <c r="S171" t="s">
        <v>63</v>
      </c>
      <c r="U171">
        <v>0</v>
      </c>
      <c r="V171" t="e">
        <v>#VALUE!</v>
      </c>
      <c r="W171" t="e">
        <v>#VALUE!</v>
      </c>
      <c r="X171" t="e">
        <v>#VALUE!</v>
      </c>
      <c r="Y171" t="e">
        <v>#VALUE!</v>
      </c>
      <c r="Z171" t="e">
        <v>#VALUE!</v>
      </c>
      <c r="AA171" t="e">
        <v>#VALUE!</v>
      </c>
      <c r="AB171" t="s">
        <v>69</v>
      </c>
      <c r="AC171" t="s">
        <v>62</v>
      </c>
      <c r="AD171" t="s">
        <v>2220</v>
      </c>
    </row>
    <row r="172" spans="1:30" x14ac:dyDescent="0.35">
      <c r="A172" t="s">
        <v>1412</v>
      </c>
      <c r="B172" t="s">
        <v>122</v>
      </c>
      <c r="C172" t="e">
        <v>#VALUE!</v>
      </c>
      <c r="D172" t="e">
        <v>#VALUE!</v>
      </c>
      <c r="F172">
        <v>1103</v>
      </c>
      <c r="G172" t="s">
        <v>76</v>
      </c>
      <c r="H172">
        <v>1000</v>
      </c>
      <c r="J172">
        <v>10</v>
      </c>
      <c r="L172">
        <v>-6.0648248226286698</v>
      </c>
      <c r="M172">
        <v>0</v>
      </c>
      <c r="N172" s="21">
        <v>44953</v>
      </c>
      <c r="O172" s="21">
        <v>46048</v>
      </c>
      <c r="P172">
        <v>3</v>
      </c>
      <c r="Q172">
        <v>0</v>
      </c>
      <c r="R172">
        <v>0</v>
      </c>
      <c r="S172" t="s">
        <v>63</v>
      </c>
      <c r="U172">
        <v>0</v>
      </c>
      <c r="V172" t="e">
        <v>#VALUE!</v>
      </c>
      <c r="W172" t="e">
        <v>#VALUE!</v>
      </c>
      <c r="X172" t="e">
        <v>#VALUE!</v>
      </c>
      <c r="Y172" t="e">
        <v>#VALUE!</v>
      </c>
      <c r="Z172" t="e">
        <v>#VALUE!</v>
      </c>
      <c r="AA172" t="e">
        <v>#VALUE!</v>
      </c>
      <c r="AB172" t="s">
        <v>64</v>
      </c>
      <c r="AC172" t="s">
        <v>62</v>
      </c>
      <c r="AD172" t="s">
        <v>2220</v>
      </c>
    </row>
    <row r="173" spans="1:30" x14ac:dyDescent="0.35">
      <c r="A173" t="s">
        <v>1411</v>
      </c>
      <c r="B173" t="s">
        <v>241</v>
      </c>
      <c r="C173" t="e">
        <v>#VALUE!</v>
      </c>
      <c r="D173" t="e">
        <v>#VALUE!</v>
      </c>
      <c r="F173">
        <v>1473</v>
      </c>
      <c r="G173" t="s">
        <v>76</v>
      </c>
      <c r="H173">
        <v>1000</v>
      </c>
      <c r="J173">
        <v>21</v>
      </c>
      <c r="L173">
        <v>-20.5625230761901</v>
      </c>
      <c r="M173">
        <v>0</v>
      </c>
      <c r="N173" s="21">
        <v>44954</v>
      </c>
      <c r="O173" s="21">
        <v>46049</v>
      </c>
      <c r="P173">
        <v>6</v>
      </c>
      <c r="Q173">
        <v>0</v>
      </c>
      <c r="R173">
        <v>0</v>
      </c>
      <c r="S173" t="s">
        <v>63</v>
      </c>
      <c r="U173">
        <v>0</v>
      </c>
      <c r="V173" t="e">
        <v>#VALUE!</v>
      </c>
      <c r="W173" t="e">
        <v>#VALUE!</v>
      </c>
      <c r="X173" t="e">
        <v>#VALUE!</v>
      </c>
      <c r="Y173" t="e">
        <v>#VALUE!</v>
      </c>
      <c r="Z173" t="e">
        <v>#VALUE!</v>
      </c>
      <c r="AA173" t="e">
        <v>#VALUE!</v>
      </c>
      <c r="AB173" t="s">
        <v>64</v>
      </c>
      <c r="AC173" t="s">
        <v>62</v>
      </c>
      <c r="AD173" t="s">
        <v>2220</v>
      </c>
    </row>
    <row r="174" spans="1:30" x14ac:dyDescent="0.35">
      <c r="A174" t="s">
        <v>1403</v>
      </c>
      <c r="B174" t="s">
        <v>241</v>
      </c>
      <c r="C174" t="e">
        <v>#VALUE!</v>
      </c>
      <c r="D174" t="e">
        <v>#VALUE!</v>
      </c>
      <c r="F174">
        <v>1067.2</v>
      </c>
      <c r="G174" t="s">
        <v>76</v>
      </c>
      <c r="H174">
        <v>1000</v>
      </c>
      <c r="J174">
        <v>2</v>
      </c>
      <c r="L174">
        <v>-3.7554752035746799</v>
      </c>
      <c r="M174">
        <v>0</v>
      </c>
      <c r="N174" s="21">
        <v>44955</v>
      </c>
      <c r="O174" s="21">
        <v>46050</v>
      </c>
      <c r="P174">
        <v>3</v>
      </c>
      <c r="Q174">
        <v>0</v>
      </c>
      <c r="R174">
        <v>0</v>
      </c>
      <c r="S174" t="s">
        <v>63</v>
      </c>
      <c r="U174">
        <v>0</v>
      </c>
      <c r="V174" t="e">
        <v>#VALUE!</v>
      </c>
      <c r="W174" t="e">
        <v>#VALUE!</v>
      </c>
      <c r="X174" t="e">
        <v>#VALUE!</v>
      </c>
      <c r="Y174" t="e">
        <v>#VALUE!</v>
      </c>
      <c r="Z174" t="e">
        <v>#VALUE!</v>
      </c>
      <c r="AA174" t="e">
        <v>#VALUE!</v>
      </c>
      <c r="AB174" t="s">
        <v>64</v>
      </c>
      <c r="AC174" t="s">
        <v>62</v>
      </c>
      <c r="AD174" t="s">
        <v>2220</v>
      </c>
    </row>
    <row r="175" spans="1:30" x14ac:dyDescent="0.35">
      <c r="A175" t="s">
        <v>1395</v>
      </c>
      <c r="B175" t="s">
        <v>241</v>
      </c>
      <c r="C175" t="e">
        <v>#VALUE!</v>
      </c>
      <c r="D175" t="e">
        <v>#VALUE!</v>
      </c>
      <c r="F175">
        <v>1255.4000000000001</v>
      </c>
      <c r="G175" t="s">
        <v>76</v>
      </c>
      <c r="H175">
        <v>1000</v>
      </c>
      <c r="J175">
        <v>50</v>
      </c>
      <c r="L175">
        <v>-12.5432456113912</v>
      </c>
      <c r="M175">
        <v>0</v>
      </c>
      <c r="N175" s="21">
        <v>44956</v>
      </c>
      <c r="O175" s="21">
        <v>46051</v>
      </c>
      <c r="P175">
        <v>5</v>
      </c>
      <c r="Q175">
        <v>0</v>
      </c>
      <c r="R175">
        <v>0</v>
      </c>
      <c r="S175" t="s">
        <v>63</v>
      </c>
      <c r="U175">
        <v>0</v>
      </c>
      <c r="V175" t="e">
        <v>#VALUE!</v>
      </c>
      <c r="W175" t="e">
        <v>#VALUE!</v>
      </c>
      <c r="X175" t="e">
        <v>#VALUE!</v>
      </c>
      <c r="Y175" t="e">
        <v>#VALUE!</v>
      </c>
      <c r="Z175" t="e">
        <v>#VALUE!</v>
      </c>
      <c r="AA175" t="e">
        <v>#VALUE!</v>
      </c>
      <c r="AB175" t="s">
        <v>64</v>
      </c>
      <c r="AC175" t="s">
        <v>62</v>
      </c>
      <c r="AD175" t="s">
        <v>2220</v>
      </c>
    </row>
    <row r="176" spans="1:30" x14ac:dyDescent="0.35">
      <c r="A176" t="s">
        <v>1393</v>
      </c>
      <c r="B176" t="s">
        <v>316</v>
      </c>
      <c r="C176" t="e">
        <v>#VALUE!</v>
      </c>
      <c r="D176" t="e">
        <v>#VALUE!</v>
      </c>
      <c r="F176">
        <v>1016</v>
      </c>
      <c r="G176" t="s">
        <v>76</v>
      </c>
      <c r="H176">
        <v>1000</v>
      </c>
      <c r="J176">
        <v>7</v>
      </c>
      <c r="L176">
        <v>-0.93768866167422305</v>
      </c>
      <c r="M176">
        <v>0</v>
      </c>
      <c r="N176" s="21">
        <v>44957</v>
      </c>
      <c r="O176" s="21">
        <v>46052</v>
      </c>
      <c r="P176">
        <v>2</v>
      </c>
      <c r="Q176">
        <v>0</v>
      </c>
      <c r="R176">
        <v>0</v>
      </c>
      <c r="S176" t="s">
        <v>63</v>
      </c>
      <c r="U176">
        <v>0</v>
      </c>
      <c r="V176" t="e">
        <v>#VALUE!</v>
      </c>
      <c r="W176" t="e">
        <v>#VALUE!</v>
      </c>
      <c r="X176" t="e">
        <v>#VALUE!</v>
      </c>
      <c r="Y176" t="e">
        <v>#VALUE!</v>
      </c>
      <c r="Z176" t="e">
        <v>#VALUE!</v>
      </c>
      <c r="AA176" t="e">
        <v>#VALUE!</v>
      </c>
      <c r="AB176" t="s">
        <v>64</v>
      </c>
      <c r="AC176" t="s">
        <v>62</v>
      </c>
      <c r="AD176" t="s">
        <v>2220</v>
      </c>
    </row>
    <row r="177" spans="1:30" x14ac:dyDescent="0.35">
      <c r="A177" t="s">
        <v>1392</v>
      </c>
      <c r="B177" t="s">
        <v>316</v>
      </c>
      <c r="C177" t="e">
        <v>#VALUE!</v>
      </c>
      <c r="D177" t="e">
        <v>#VALUE!</v>
      </c>
      <c r="F177">
        <v>1158.69</v>
      </c>
      <c r="G177" t="s">
        <v>76</v>
      </c>
      <c r="H177">
        <v>1000</v>
      </c>
      <c r="J177">
        <v>100</v>
      </c>
      <c r="L177">
        <v>-6.7644225302217302</v>
      </c>
      <c r="M177">
        <v>0</v>
      </c>
      <c r="N177" s="21">
        <v>44958</v>
      </c>
      <c r="O177" s="21">
        <v>46053</v>
      </c>
      <c r="P177">
        <v>4</v>
      </c>
      <c r="Q177">
        <v>0</v>
      </c>
      <c r="R177">
        <v>0</v>
      </c>
      <c r="S177" t="s">
        <v>63</v>
      </c>
      <c r="U177">
        <v>0</v>
      </c>
      <c r="V177" t="e">
        <v>#VALUE!</v>
      </c>
      <c r="W177" t="e">
        <v>#VALUE!</v>
      </c>
      <c r="X177" t="e">
        <v>#VALUE!</v>
      </c>
      <c r="Y177" t="e">
        <v>#VALUE!</v>
      </c>
      <c r="Z177" t="e">
        <v>#VALUE!</v>
      </c>
      <c r="AA177" t="e">
        <v>#VALUE!</v>
      </c>
      <c r="AB177" t="s">
        <v>64</v>
      </c>
      <c r="AC177" t="s">
        <v>62</v>
      </c>
      <c r="AD177" t="s">
        <v>2220</v>
      </c>
    </row>
    <row r="178" spans="1:30" x14ac:dyDescent="0.35">
      <c r="A178" t="s">
        <v>1390</v>
      </c>
      <c r="B178" t="s">
        <v>465</v>
      </c>
      <c r="C178" t="e">
        <v>#VALUE!</v>
      </c>
      <c r="D178" t="e">
        <v>#VALUE!</v>
      </c>
      <c r="F178">
        <v>958.39000999999996</v>
      </c>
      <c r="G178" t="s">
        <v>76</v>
      </c>
      <c r="H178">
        <v>1000</v>
      </c>
      <c r="J178">
        <v>2</v>
      </c>
      <c r="L178">
        <v>1.65764033391006</v>
      </c>
      <c r="M178">
        <v>0</v>
      </c>
      <c r="N178" s="21">
        <v>44959</v>
      </c>
      <c r="O178" s="21">
        <v>46054</v>
      </c>
      <c r="P178">
        <v>3</v>
      </c>
      <c r="Q178">
        <v>0</v>
      </c>
      <c r="R178">
        <v>0</v>
      </c>
      <c r="S178" t="s">
        <v>63</v>
      </c>
      <c r="U178">
        <v>0</v>
      </c>
      <c r="V178" t="e">
        <v>#VALUE!</v>
      </c>
      <c r="W178" t="e">
        <v>#VALUE!</v>
      </c>
      <c r="X178" t="e">
        <v>#VALUE!</v>
      </c>
      <c r="Y178" t="e">
        <v>#VALUE!</v>
      </c>
      <c r="Z178" t="e">
        <v>#VALUE!</v>
      </c>
      <c r="AA178" t="e">
        <v>#VALUE!</v>
      </c>
      <c r="AB178" t="s">
        <v>64</v>
      </c>
      <c r="AC178" t="s">
        <v>62</v>
      </c>
      <c r="AD178" t="s">
        <v>2220</v>
      </c>
    </row>
    <row r="179" spans="1:30" x14ac:dyDescent="0.35">
      <c r="A179" t="s">
        <v>1387</v>
      </c>
      <c r="B179" t="s">
        <v>417</v>
      </c>
      <c r="C179" t="e">
        <v>#VALUE!</v>
      </c>
      <c r="D179" t="e">
        <v>#VALUE!</v>
      </c>
      <c r="F179">
        <v>16160</v>
      </c>
      <c r="G179" t="s">
        <v>76</v>
      </c>
      <c r="H179">
        <v>5000</v>
      </c>
      <c r="J179">
        <v>18</v>
      </c>
      <c r="L179">
        <v>-44.067627916637797</v>
      </c>
      <c r="M179">
        <v>0</v>
      </c>
      <c r="N179" s="21">
        <v>44960</v>
      </c>
      <c r="O179" s="21">
        <v>46055</v>
      </c>
      <c r="P179">
        <v>15</v>
      </c>
      <c r="Q179">
        <v>0</v>
      </c>
      <c r="R179">
        <v>0</v>
      </c>
      <c r="S179" t="s">
        <v>63</v>
      </c>
      <c r="U179">
        <v>0</v>
      </c>
      <c r="V179" t="e">
        <v>#VALUE!</v>
      </c>
      <c r="W179" t="e">
        <v>#VALUE!</v>
      </c>
      <c r="X179" t="e">
        <v>#VALUE!</v>
      </c>
      <c r="Y179" t="e">
        <v>#VALUE!</v>
      </c>
      <c r="Z179" t="e">
        <v>#VALUE!</v>
      </c>
      <c r="AA179" t="e">
        <v>#VALUE!</v>
      </c>
      <c r="AB179" t="s">
        <v>79</v>
      </c>
      <c r="AC179" t="s">
        <v>62</v>
      </c>
      <c r="AD179" t="s">
        <v>2220</v>
      </c>
    </row>
    <row r="180" spans="1:30" x14ac:dyDescent="0.35">
      <c r="A180" t="s">
        <v>1379</v>
      </c>
      <c r="B180" t="s">
        <v>241</v>
      </c>
      <c r="C180" t="e">
        <v>#VALUE!</v>
      </c>
      <c r="D180" t="e">
        <v>#VALUE!</v>
      </c>
      <c r="F180">
        <v>985.2</v>
      </c>
      <c r="G180" t="s">
        <v>76</v>
      </c>
      <c r="H180">
        <v>1000</v>
      </c>
      <c r="J180">
        <v>1</v>
      </c>
      <c r="L180">
        <v>0.93250861042752098</v>
      </c>
      <c r="M180">
        <v>0</v>
      </c>
      <c r="N180" s="21">
        <v>44961</v>
      </c>
      <c r="O180" s="21">
        <v>46056</v>
      </c>
      <c r="P180">
        <v>2</v>
      </c>
      <c r="Q180">
        <v>0</v>
      </c>
      <c r="R180">
        <v>0</v>
      </c>
      <c r="S180" t="s">
        <v>63</v>
      </c>
      <c r="U180">
        <v>0</v>
      </c>
      <c r="V180" t="e">
        <v>#VALUE!</v>
      </c>
      <c r="W180" t="e">
        <v>#VALUE!</v>
      </c>
      <c r="X180" t="e">
        <v>#VALUE!</v>
      </c>
      <c r="Y180" t="e">
        <v>#VALUE!</v>
      </c>
      <c r="Z180" t="e">
        <v>#VALUE!</v>
      </c>
      <c r="AA180" t="e">
        <v>#VALUE!</v>
      </c>
      <c r="AB180" t="s">
        <v>64</v>
      </c>
      <c r="AC180" t="s">
        <v>62</v>
      </c>
      <c r="AD180" t="s">
        <v>2220</v>
      </c>
    </row>
    <row r="181" spans="1:30" x14ac:dyDescent="0.35">
      <c r="A181" t="s">
        <v>1377</v>
      </c>
      <c r="B181" t="s">
        <v>1103</v>
      </c>
      <c r="C181" t="e">
        <v>#VALUE!</v>
      </c>
      <c r="D181" t="e">
        <v>#VALUE!</v>
      </c>
      <c r="F181">
        <v>124409.60000000001</v>
      </c>
      <c r="G181" t="s">
        <v>76</v>
      </c>
      <c r="H181">
        <v>100000</v>
      </c>
      <c r="J181">
        <v>1</v>
      </c>
      <c r="L181">
        <v>-12.283753099483301</v>
      </c>
      <c r="M181">
        <v>0</v>
      </c>
      <c r="N181" s="21">
        <v>44962</v>
      </c>
      <c r="O181" s="21">
        <v>46057</v>
      </c>
      <c r="P181">
        <v>4</v>
      </c>
      <c r="Q181">
        <v>0</v>
      </c>
      <c r="R181">
        <v>0</v>
      </c>
      <c r="S181" t="s">
        <v>63</v>
      </c>
      <c r="U181">
        <v>0</v>
      </c>
      <c r="V181" t="e">
        <v>#VALUE!</v>
      </c>
      <c r="W181" t="e">
        <v>#VALUE!</v>
      </c>
      <c r="X181" t="e">
        <v>#VALUE!</v>
      </c>
      <c r="Y181" t="e">
        <v>#VALUE!</v>
      </c>
      <c r="Z181" t="e">
        <v>#VALUE!</v>
      </c>
      <c r="AA181" t="e">
        <v>#VALUE!</v>
      </c>
      <c r="AB181" t="s">
        <v>64</v>
      </c>
      <c r="AC181" t="s">
        <v>62</v>
      </c>
      <c r="AD181" t="s">
        <v>2220</v>
      </c>
    </row>
    <row r="182" spans="1:30" x14ac:dyDescent="0.35">
      <c r="A182" t="s">
        <v>1374</v>
      </c>
      <c r="B182" t="s">
        <v>119</v>
      </c>
      <c r="C182" t="e">
        <v>#VALUE!</v>
      </c>
      <c r="D182" t="e">
        <v>#VALUE!</v>
      </c>
      <c r="F182">
        <v>1097</v>
      </c>
      <c r="G182" t="s">
        <v>76</v>
      </c>
      <c r="H182">
        <v>1000</v>
      </c>
      <c r="J182">
        <v>636</v>
      </c>
      <c r="L182">
        <v>-5.5075741784139796</v>
      </c>
      <c r="M182">
        <v>0</v>
      </c>
      <c r="N182" s="21">
        <v>44963</v>
      </c>
      <c r="O182" s="21">
        <v>46058</v>
      </c>
      <c r="P182">
        <v>3</v>
      </c>
      <c r="Q182">
        <v>0</v>
      </c>
      <c r="R182">
        <v>0</v>
      </c>
      <c r="S182" t="s">
        <v>63</v>
      </c>
      <c r="U182">
        <v>0</v>
      </c>
      <c r="V182" t="e">
        <v>#VALUE!</v>
      </c>
      <c r="W182" t="e">
        <v>#VALUE!</v>
      </c>
      <c r="X182" t="e">
        <v>#VALUE!</v>
      </c>
      <c r="Y182" t="e">
        <v>#VALUE!</v>
      </c>
      <c r="Z182" t="e">
        <v>#VALUE!</v>
      </c>
      <c r="AA182" t="e">
        <v>#VALUE!</v>
      </c>
      <c r="AB182" t="s">
        <v>64</v>
      </c>
      <c r="AC182" t="s">
        <v>62</v>
      </c>
      <c r="AD182" t="s">
        <v>2220</v>
      </c>
    </row>
    <row r="183" spans="1:30" x14ac:dyDescent="0.35">
      <c r="A183" t="s">
        <v>1359</v>
      </c>
      <c r="B183" t="s">
        <v>241</v>
      </c>
      <c r="C183" t="e">
        <v>#VALUE!</v>
      </c>
      <c r="D183" t="e">
        <v>#VALUE!</v>
      </c>
      <c r="F183">
        <v>1410</v>
      </c>
      <c r="G183" t="s">
        <v>76</v>
      </c>
      <c r="H183">
        <v>1000</v>
      </c>
      <c r="J183">
        <v>14</v>
      </c>
      <c r="L183">
        <v>-17.630357437383601</v>
      </c>
      <c r="M183">
        <v>0</v>
      </c>
      <c r="N183" s="21">
        <v>44964</v>
      </c>
      <c r="O183" s="21">
        <v>46059</v>
      </c>
      <c r="P183">
        <v>6</v>
      </c>
      <c r="Q183">
        <v>0</v>
      </c>
      <c r="R183">
        <v>0</v>
      </c>
      <c r="S183" t="s">
        <v>63</v>
      </c>
      <c r="U183">
        <v>0</v>
      </c>
      <c r="V183" t="e">
        <v>#VALUE!</v>
      </c>
      <c r="W183" t="e">
        <v>#VALUE!</v>
      </c>
      <c r="X183" t="e">
        <v>#VALUE!</v>
      </c>
      <c r="Y183" t="e">
        <v>#VALUE!</v>
      </c>
      <c r="Z183" t="e">
        <v>#VALUE!</v>
      </c>
      <c r="AA183" t="e">
        <v>#VALUE!</v>
      </c>
      <c r="AB183" t="s">
        <v>64</v>
      </c>
      <c r="AC183" t="s">
        <v>62</v>
      </c>
      <c r="AD183" t="s">
        <v>2220</v>
      </c>
    </row>
    <row r="184" spans="1:30" x14ac:dyDescent="0.35">
      <c r="A184" t="s">
        <v>1352</v>
      </c>
      <c r="B184" t="s">
        <v>460</v>
      </c>
      <c r="C184" t="e">
        <v>#VALUE!</v>
      </c>
      <c r="D184" t="e">
        <v>#VALUE!</v>
      </c>
      <c r="F184">
        <v>1575</v>
      </c>
      <c r="G184" t="s">
        <v>76</v>
      </c>
      <c r="H184">
        <v>1000</v>
      </c>
      <c r="J184">
        <v>19</v>
      </c>
      <c r="L184">
        <v>-18.4818263875129</v>
      </c>
      <c r="M184">
        <v>0</v>
      </c>
      <c r="N184" s="21">
        <v>44965</v>
      </c>
      <c r="O184" s="21">
        <v>46060</v>
      </c>
      <c r="P184">
        <v>7</v>
      </c>
      <c r="Q184">
        <v>0</v>
      </c>
      <c r="R184">
        <v>0</v>
      </c>
      <c r="S184" t="s">
        <v>63</v>
      </c>
      <c r="U184">
        <v>0</v>
      </c>
      <c r="V184" t="e">
        <v>#VALUE!</v>
      </c>
      <c r="W184" t="e">
        <v>#VALUE!</v>
      </c>
      <c r="X184" t="e">
        <v>#VALUE!</v>
      </c>
      <c r="Y184" t="e">
        <v>#VALUE!</v>
      </c>
      <c r="Z184" t="e">
        <v>#VALUE!</v>
      </c>
      <c r="AA184" t="e">
        <v>#VALUE!</v>
      </c>
      <c r="AB184" t="s">
        <v>64</v>
      </c>
      <c r="AC184" t="s">
        <v>62</v>
      </c>
      <c r="AD184" t="s">
        <v>2220</v>
      </c>
    </row>
    <row r="185" spans="1:30" x14ac:dyDescent="0.35">
      <c r="A185" t="s">
        <v>1350</v>
      </c>
      <c r="B185" t="s">
        <v>128</v>
      </c>
      <c r="C185" t="e">
        <v>#VALUE!</v>
      </c>
      <c r="D185" t="e">
        <v>#VALUE!</v>
      </c>
      <c r="F185">
        <v>1000</v>
      </c>
      <c r="G185" t="s">
        <v>76</v>
      </c>
      <c r="H185">
        <v>1000</v>
      </c>
      <c r="J185">
        <v>5</v>
      </c>
      <c r="L185">
        <v>0</v>
      </c>
      <c r="M185">
        <v>0</v>
      </c>
      <c r="N185" s="21">
        <v>44966</v>
      </c>
      <c r="O185" s="21">
        <v>46061</v>
      </c>
      <c r="P185">
        <v>2</v>
      </c>
      <c r="Q185">
        <v>0</v>
      </c>
      <c r="R185">
        <v>0</v>
      </c>
      <c r="S185" t="s">
        <v>63</v>
      </c>
      <c r="U185">
        <v>0</v>
      </c>
      <c r="V185" t="e">
        <v>#VALUE!</v>
      </c>
      <c r="W185" t="e">
        <v>#VALUE!</v>
      </c>
      <c r="X185" t="e">
        <v>#VALUE!</v>
      </c>
      <c r="Y185" t="e">
        <v>#VALUE!</v>
      </c>
      <c r="Z185" t="e">
        <v>#VALUE!</v>
      </c>
      <c r="AA185" t="e">
        <v>#VALUE!</v>
      </c>
      <c r="AB185" t="s">
        <v>64</v>
      </c>
      <c r="AC185" t="s">
        <v>62</v>
      </c>
      <c r="AD185" t="s">
        <v>2220</v>
      </c>
    </row>
    <row r="186" spans="1:30" x14ac:dyDescent="0.35">
      <c r="A186" t="s">
        <v>1335</v>
      </c>
      <c r="B186" t="s">
        <v>94</v>
      </c>
      <c r="C186" t="e">
        <v>#VALUE!</v>
      </c>
      <c r="D186" t="e">
        <v>#VALUE!</v>
      </c>
      <c r="F186">
        <v>12000</v>
      </c>
      <c r="G186" t="s">
        <v>76</v>
      </c>
      <c r="H186">
        <v>5000</v>
      </c>
      <c r="J186">
        <v>15</v>
      </c>
      <c r="L186">
        <v>-32.706093189964101</v>
      </c>
      <c r="M186">
        <v>0</v>
      </c>
      <c r="N186" s="21">
        <v>44967</v>
      </c>
      <c r="O186" s="21">
        <v>46062</v>
      </c>
      <c r="P186">
        <v>15</v>
      </c>
      <c r="Q186">
        <v>0</v>
      </c>
      <c r="R186">
        <v>0</v>
      </c>
      <c r="S186" t="s">
        <v>63</v>
      </c>
      <c r="U186">
        <v>0</v>
      </c>
      <c r="V186" t="e">
        <v>#VALUE!</v>
      </c>
      <c r="W186" t="e">
        <v>#VALUE!</v>
      </c>
      <c r="X186" t="e">
        <v>#VALUE!</v>
      </c>
      <c r="Y186" t="e">
        <v>#VALUE!</v>
      </c>
      <c r="Z186" t="e">
        <v>#VALUE!</v>
      </c>
      <c r="AA186" t="e">
        <v>#VALUE!</v>
      </c>
      <c r="AB186" t="s">
        <v>69</v>
      </c>
      <c r="AC186" t="s">
        <v>62</v>
      </c>
      <c r="AD186" t="s">
        <v>2220</v>
      </c>
    </row>
    <row r="187" spans="1:30" x14ac:dyDescent="0.35">
      <c r="A187" t="s">
        <v>1333</v>
      </c>
      <c r="B187" t="s">
        <v>417</v>
      </c>
      <c r="C187" t="e">
        <v>#VALUE!</v>
      </c>
      <c r="D187" t="e">
        <v>#VALUE!</v>
      </c>
      <c r="F187">
        <v>14975</v>
      </c>
      <c r="G187" t="s">
        <v>76</v>
      </c>
      <c r="H187">
        <v>5000</v>
      </c>
      <c r="J187">
        <v>4</v>
      </c>
      <c r="L187">
        <v>-38.7150027115255</v>
      </c>
      <c r="M187">
        <v>0</v>
      </c>
      <c r="N187" s="21">
        <v>44968</v>
      </c>
      <c r="O187" s="21">
        <v>46063</v>
      </c>
      <c r="P187">
        <v>15</v>
      </c>
      <c r="Q187">
        <v>0</v>
      </c>
      <c r="R187">
        <v>0</v>
      </c>
      <c r="S187" t="s">
        <v>63</v>
      </c>
      <c r="U187">
        <v>0</v>
      </c>
      <c r="V187" t="e">
        <v>#VALUE!</v>
      </c>
      <c r="W187" t="e">
        <v>#VALUE!</v>
      </c>
      <c r="X187" t="e">
        <v>#VALUE!</v>
      </c>
      <c r="Y187" t="e">
        <v>#VALUE!</v>
      </c>
      <c r="Z187" t="e">
        <v>#VALUE!</v>
      </c>
      <c r="AA187" t="e">
        <v>#VALUE!</v>
      </c>
      <c r="AB187" t="s">
        <v>79</v>
      </c>
      <c r="AC187" t="s">
        <v>62</v>
      </c>
      <c r="AD187" t="s">
        <v>2220</v>
      </c>
    </row>
    <row r="188" spans="1:30" x14ac:dyDescent="0.35">
      <c r="A188" t="s">
        <v>1329</v>
      </c>
      <c r="B188" t="s">
        <v>119</v>
      </c>
      <c r="C188" t="e">
        <v>#VALUE!</v>
      </c>
      <c r="D188" t="e">
        <v>#VALUE!</v>
      </c>
      <c r="F188">
        <v>990</v>
      </c>
      <c r="G188" t="s">
        <v>76</v>
      </c>
      <c r="H188">
        <v>1000</v>
      </c>
      <c r="J188">
        <v>10</v>
      </c>
      <c r="L188">
        <v>0.58244371040579501</v>
      </c>
      <c r="M188">
        <v>0</v>
      </c>
      <c r="N188" s="21">
        <v>44969</v>
      </c>
      <c r="O188" s="21">
        <v>46064</v>
      </c>
      <c r="P188">
        <v>2</v>
      </c>
      <c r="Q188">
        <v>0</v>
      </c>
      <c r="R188">
        <v>0</v>
      </c>
      <c r="S188" t="s">
        <v>63</v>
      </c>
      <c r="U188">
        <v>0</v>
      </c>
      <c r="V188" t="e">
        <v>#VALUE!</v>
      </c>
      <c r="W188" t="e">
        <v>#VALUE!</v>
      </c>
      <c r="X188" t="e">
        <v>#VALUE!</v>
      </c>
      <c r="Y188" t="e">
        <v>#VALUE!</v>
      </c>
      <c r="Z188" t="e">
        <v>#VALUE!</v>
      </c>
      <c r="AA188" t="e">
        <v>#VALUE!</v>
      </c>
      <c r="AB188" t="s">
        <v>64</v>
      </c>
      <c r="AC188" t="s">
        <v>62</v>
      </c>
      <c r="AD188" t="s">
        <v>2220</v>
      </c>
    </row>
    <row r="189" spans="1:30" x14ac:dyDescent="0.35">
      <c r="A189" t="s">
        <v>1325</v>
      </c>
      <c r="B189" t="s">
        <v>1019</v>
      </c>
      <c r="C189" t="e">
        <v>#VALUE!</v>
      </c>
      <c r="D189" t="e">
        <v>#VALUE!</v>
      </c>
      <c r="F189">
        <v>120566.2</v>
      </c>
      <c r="G189" t="s">
        <v>76</v>
      </c>
      <c r="H189">
        <v>100000</v>
      </c>
      <c r="J189">
        <v>6</v>
      </c>
      <c r="L189">
        <v>-9.9459669798787402</v>
      </c>
      <c r="M189">
        <v>0</v>
      </c>
      <c r="N189" s="21">
        <v>44970</v>
      </c>
      <c r="O189" s="21">
        <v>46065</v>
      </c>
      <c r="P189">
        <v>4</v>
      </c>
      <c r="Q189">
        <v>0</v>
      </c>
      <c r="R189">
        <v>0</v>
      </c>
      <c r="S189" t="s">
        <v>63</v>
      </c>
      <c r="U189">
        <v>0</v>
      </c>
      <c r="V189" t="e">
        <v>#VALUE!</v>
      </c>
      <c r="W189" t="e">
        <v>#VALUE!</v>
      </c>
      <c r="X189" t="e">
        <v>#VALUE!</v>
      </c>
      <c r="Y189" t="e">
        <v>#VALUE!</v>
      </c>
      <c r="Z189" t="e">
        <v>#VALUE!</v>
      </c>
      <c r="AA189" t="e">
        <v>#VALUE!</v>
      </c>
      <c r="AB189" t="s">
        <v>64</v>
      </c>
      <c r="AC189" t="s">
        <v>62</v>
      </c>
      <c r="AD189" t="s">
        <v>2220</v>
      </c>
    </row>
    <row r="190" spans="1:30" x14ac:dyDescent="0.35">
      <c r="A190" t="s">
        <v>1320</v>
      </c>
      <c r="B190" t="s">
        <v>316</v>
      </c>
      <c r="C190" t="e">
        <v>#VALUE!</v>
      </c>
      <c r="D190" t="e">
        <v>#VALUE!</v>
      </c>
      <c r="F190">
        <v>965</v>
      </c>
      <c r="G190" t="s">
        <v>76</v>
      </c>
      <c r="H190">
        <v>1000</v>
      </c>
      <c r="J190">
        <v>100</v>
      </c>
      <c r="L190">
        <v>1.94395623625725</v>
      </c>
      <c r="M190">
        <v>0</v>
      </c>
      <c r="N190" s="21">
        <v>44971</v>
      </c>
      <c r="O190" s="21">
        <v>46066</v>
      </c>
      <c r="P190">
        <v>3</v>
      </c>
      <c r="Q190">
        <v>0</v>
      </c>
      <c r="R190">
        <v>0</v>
      </c>
      <c r="S190" t="s">
        <v>63</v>
      </c>
      <c r="U190">
        <v>0</v>
      </c>
      <c r="V190" t="e">
        <v>#VALUE!</v>
      </c>
      <c r="W190" t="e">
        <v>#VALUE!</v>
      </c>
      <c r="X190" t="e">
        <v>#VALUE!</v>
      </c>
      <c r="Y190" t="e">
        <v>#VALUE!</v>
      </c>
      <c r="Z190" t="e">
        <v>#VALUE!</v>
      </c>
      <c r="AA190" t="e">
        <v>#VALUE!</v>
      </c>
      <c r="AB190" t="s">
        <v>64</v>
      </c>
      <c r="AC190" t="s">
        <v>62</v>
      </c>
      <c r="AD190" t="s">
        <v>2220</v>
      </c>
    </row>
    <row r="191" spans="1:30" x14ac:dyDescent="0.35">
      <c r="A191" t="s">
        <v>1315</v>
      </c>
      <c r="B191" t="s">
        <v>390</v>
      </c>
      <c r="C191" t="e">
        <v>#VALUE!</v>
      </c>
      <c r="D191" t="e">
        <v>#VALUE!</v>
      </c>
      <c r="F191">
        <v>1000</v>
      </c>
      <c r="G191" t="s">
        <v>76</v>
      </c>
      <c r="H191">
        <v>1000</v>
      </c>
      <c r="J191">
        <v>30</v>
      </c>
      <c r="L191">
        <v>0</v>
      </c>
      <c r="M191">
        <v>0</v>
      </c>
      <c r="N191" s="21">
        <v>44972</v>
      </c>
      <c r="O191" s="21">
        <v>46067</v>
      </c>
      <c r="P191">
        <v>3</v>
      </c>
      <c r="Q191">
        <v>0</v>
      </c>
      <c r="R191">
        <v>0</v>
      </c>
      <c r="S191" t="s">
        <v>63</v>
      </c>
      <c r="U191">
        <v>0</v>
      </c>
      <c r="V191" t="e">
        <v>#VALUE!</v>
      </c>
      <c r="W191" t="e">
        <v>#VALUE!</v>
      </c>
      <c r="X191" t="e">
        <v>#VALUE!</v>
      </c>
      <c r="Y191" t="e">
        <v>#VALUE!</v>
      </c>
      <c r="Z191" t="e">
        <v>#VALUE!</v>
      </c>
      <c r="AA191" t="e">
        <v>#VALUE!</v>
      </c>
      <c r="AB191" t="s">
        <v>64</v>
      </c>
      <c r="AC191" t="s">
        <v>62</v>
      </c>
      <c r="AD191" t="s">
        <v>2220</v>
      </c>
    </row>
    <row r="192" spans="1:30" x14ac:dyDescent="0.35">
      <c r="A192" t="s">
        <v>1305</v>
      </c>
      <c r="B192" t="s">
        <v>478</v>
      </c>
      <c r="C192" t="e">
        <v>#VALUE!</v>
      </c>
      <c r="D192" t="e">
        <v>#VALUE!</v>
      </c>
      <c r="F192">
        <v>1559.43</v>
      </c>
      <c r="G192" t="s">
        <v>76</v>
      </c>
      <c r="H192">
        <v>1000</v>
      </c>
      <c r="J192">
        <v>1052</v>
      </c>
      <c r="L192">
        <v>-20.459393616577799</v>
      </c>
      <c r="M192">
        <v>0</v>
      </c>
      <c r="N192" s="21">
        <v>44973</v>
      </c>
      <c r="O192" s="21">
        <v>46068</v>
      </c>
      <c r="P192">
        <v>2</v>
      </c>
      <c r="Q192">
        <v>0</v>
      </c>
      <c r="R192">
        <v>0</v>
      </c>
      <c r="S192" t="s">
        <v>63</v>
      </c>
      <c r="U192">
        <v>0</v>
      </c>
      <c r="V192" t="e">
        <v>#VALUE!</v>
      </c>
      <c r="W192" t="e">
        <v>#VALUE!</v>
      </c>
      <c r="X192" t="e">
        <v>#VALUE!</v>
      </c>
      <c r="Y192" t="e">
        <v>#VALUE!</v>
      </c>
      <c r="Z192" t="e">
        <v>#VALUE!</v>
      </c>
      <c r="AA192" t="e">
        <v>#VALUE!</v>
      </c>
      <c r="AB192" t="s">
        <v>64</v>
      </c>
      <c r="AC192" t="s">
        <v>62</v>
      </c>
      <c r="AD192" t="s">
        <v>2220</v>
      </c>
    </row>
    <row r="193" spans="1:30" x14ac:dyDescent="0.35">
      <c r="A193" t="s">
        <v>1302</v>
      </c>
      <c r="B193" t="s">
        <v>1019</v>
      </c>
      <c r="C193" t="e">
        <v>#VALUE!</v>
      </c>
      <c r="D193" t="e">
        <v>#VALUE!</v>
      </c>
      <c r="F193">
        <v>102860</v>
      </c>
      <c r="G193" t="s">
        <v>76</v>
      </c>
      <c r="H193">
        <v>100000</v>
      </c>
      <c r="J193">
        <v>4</v>
      </c>
      <c r="L193">
        <v>-1.4687041777381</v>
      </c>
      <c r="M193">
        <v>0</v>
      </c>
      <c r="N193" s="21">
        <v>44974</v>
      </c>
      <c r="O193" s="21">
        <v>46069</v>
      </c>
      <c r="P193">
        <v>2</v>
      </c>
      <c r="Q193">
        <v>0</v>
      </c>
      <c r="R193">
        <v>0</v>
      </c>
      <c r="S193" t="s">
        <v>63</v>
      </c>
      <c r="U193">
        <v>0</v>
      </c>
      <c r="V193" t="e">
        <v>#VALUE!</v>
      </c>
      <c r="W193" t="e">
        <v>#VALUE!</v>
      </c>
      <c r="X193" t="e">
        <v>#VALUE!</v>
      </c>
      <c r="Y193" t="e">
        <v>#VALUE!</v>
      </c>
      <c r="Z193" t="e">
        <v>#VALUE!</v>
      </c>
      <c r="AA193" t="e">
        <v>#VALUE!</v>
      </c>
      <c r="AB193" t="s">
        <v>69</v>
      </c>
      <c r="AC193" t="s">
        <v>62</v>
      </c>
      <c r="AD193" t="s">
        <v>2220</v>
      </c>
    </row>
    <row r="194" spans="1:30" x14ac:dyDescent="0.35">
      <c r="A194" t="s">
        <v>1295</v>
      </c>
      <c r="B194" t="s">
        <v>122</v>
      </c>
      <c r="C194" t="e">
        <v>#VALUE!</v>
      </c>
      <c r="D194" t="e">
        <v>#VALUE!</v>
      </c>
      <c r="F194">
        <v>1071</v>
      </c>
      <c r="G194" t="s">
        <v>76</v>
      </c>
      <c r="H194">
        <v>1000</v>
      </c>
      <c r="J194">
        <v>200</v>
      </c>
      <c r="L194">
        <v>-3.7514747501067598</v>
      </c>
      <c r="M194">
        <v>0</v>
      </c>
      <c r="N194" s="21">
        <v>44975</v>
      </c>
      <c r="O194" s="21">
        <v>46070</v>
      </c>
      <c r="P194">
        <v>3</v>
      </c>
      <c r="Q194">
        <v>0</v>
      </c>
      <c r="R194">
        <v>0</v>
      </c>
      <c r="S194" t="s">
        <v>63</v>
      </c>
      <c r="U194">
        <v>0</v>
      </c>
      <c r="V194" t="e">
        <v>#VALUE!</v>
      </c>
      <c r="W194" t="e">
        <v>#VALUE!</v>
      </c>
      <c r="X194" t="e">
        <v>#VALUE!</v>
      </c>
      <c r="Y194" t="e">
        <v>#VALUE!</v>
      </c>
      <c r="Z194" t="e">
        <v>#VALUE!</v>
      </c>
      <c r="AA194" t="e">
        <v>#VALUE!</v>
      </c>
      <c r="AB194" t="s">
        <v>64</v>
      </c>
      <c r="AC194" t="s">
        <v>62</v>
      </c>
      <c r="AD194" t="s">
        <v>2220</v>
      </c>
    </row>
    <row r="195" spans="1:30" x14ac:dyDescent="0.35">
      <c r="A195" t="s">
        <v>1294</v>
      </c>
      <c r="B195" t="s">
        <v>119</v>
      </c>
      <c r="C195" t="e">
        <v>#VALUE!</v>
      </c>
      <c r="D195" t="e">
        <v>#VALUE!</v>
      </c>
      <c r="F195">
        <v>1322</v>
      </c>
      <c r="G195" t="s">
        <v>76</v>
      </c>
      <c r="H195">
        <v>1000</v>
      </c>
      <c r="J195">
        <v>171</v>
      </c>
      <c r="L195">
        <v>-13.7834382952772</v>
      </c>
      <c r="M195">
        <v>0</v>
      </c>
      <c r="N195" s="21">
        <v>44976</v>
      </c>
      <c r="O195" s="21">
        <v>46071</v>
      </c>
      <c r="P195">
        <v>5</v>
      </c>
      <c r="Q195">
        <v>0</v>
      </c>
      <c r="R195">
        <v>0</v>
      </c>
      <c r="S195" t="s">
        <v>63</v>
      </c>
      <c r="U195">
        <v>0</v>
      </c>
      <c r="V195" t="e">
        <v>#VALUE!</v>
      </c>
      <c r="W195" t="e">
        <v>#VALUE!</v>
      </c>
      <c r="X195" t="e">
        <v>#VALUE!</v>
      </c>
      <c r="Y195" t="e">
        <v>#VALUE!</v>
      </c>
      <c r="Z195" t="e">
        <v>#VALUE!</v>
      </c>
      <c r="AA195" t="e">
        <v>#VALUE!</v>
      </c>
      <c r="AB195" t="s">
        <v>64</v>
      </c>
      <c r="AC195" t="s">
        <v>62</v>
      </c>
      <c r="AD195" t="s">
        <v>2220</v>
      </c>
    </row>
    <row r="196" spans="1:30" x14ac:dyDescent="0.35">
      <c r="A196" t="s">
        <v>1289</v>
      </c>
      <c r="B196" t="s">
        <v>357</v>
      </c>
      <c r="C196" t="e">
        <v>#VALUE!</v>
      </c>
      <c r="D196" t="e">
        <v>#VALUE!</v>
      </c>
      <c r="F196">
        <v>1082.8</v>
      </c>
      <c r="G196" t="s">
        <v>76</v>
      </c>
      <c r="H196">
        <v>1000</v>
      </c>
      <c r="J196">
        <v>61</v>
      </c>
      <c r="L196">
        <v>-4.3272824116631199</v>
      </c>
      <c r="M196">
        <v>0</v>
      </c>
      <c r="N196" s="21">
        <v>44977</v>
      </c>
      <c r="O196" s="21">
        <v>46072</v>
      </c>
      <c r="P196">
        <v>5</v>
      </c>
      <c r="Q196">
        <v>0</v>
      </c>
      <c r="R196">
        <v>0</v>
      </c>
      <c r="S196" t="s">
        <v>63</v>
      </c>
      <c r="U196">
        <v>0</v>
      </c>
      <c r="V196" t="e">
        <v>#VALUE!</v>
      </c>
      <c r="W196" t="e">
        <v>#VALUE!</v>
      </c>
      <c r="X196" t="e">
        <v>#VALUE!</v>
      </c>
      <c r="Y196" t="e">
        <v>#VALUE!</v>
      </c>
      <c r="Z196" t="e">
        <v>#VALUE!</v>
      </c>
      <c r="AA196" t="e">
        <v>#VALUE!</v>
      </c>
      <c r="AB196" t="s">
        <v>64</v>
      </c>
      <c r="AC196" t="s">
        <v>62</v>
      </c>
      <c r="AD196" t="s">
        <v>2220</v>
      </c>
    </row>
    <row r="197" spans="1:30" x14ac:dyDescent="0.35">
      <c r="A197" t="s">
        <v>1288</v>
      </c>
      <c r="B197" t="s">
        <v>122</v>
      </c>
      <c r="C197" t="e">
        <v>#VALUE!</v>
      </c>
      <c r="D197" t="e">
        <v>#VALUE!</v>
      </c>
      <c r="F197">
        <v>982.06</v>
      </c>
      <c r="G197" t="s">
        <v>76</v>
      </c>
      <c r="H197">
        <v>1000</v>
      </c>
      <c r="J197">
        <v>100</v>
      </c>
      <c r="L197">
        <v>1.0321546248679601</v>
      </c>
      <c r="M197">
        <v>0</v>
      </c>
      <c r="N197" s="21">
        <v>44978</v>
      </c>
      <c r="O197" s="21">
        <v>46073</v>
      </c>
      <c r="P197">
        <v>2</v>
      </c>
      <c r="Q197">
        <v>0</v>
      </c>
      <c r="R197">
        <v>0</v>
      </c>
      <c r="S197" t="s">
        <v>63</v>
      </c>
      <c r="U197">
        <v>0</v>
      </c>
      <c r="V197" t="e">
        <v>#VALUE!</v>
      </c>
      <c r="W197" t="e">
        <v>#VALUE!</v>
      </c>
      <c r="X197" t="e">
        <v>#VALUE!</v>
      </c>
      <c r="Y197" t="e">
        <v>#VALUE!</v>
      </c>
      <c r="Z197" t="e">
        <v>#VALUE!</v>
      </c>
      <c r="AA197" t="e">
        <v>#VALUE!</v>
      </c>
      <c r="AB197" t="s">
        <v>64</v>
      </c>
      <c r="AC197" t="s">
        <v>62</v>
      </c>
      <c r="AD197" t="s">
        <v>2220</v>
      </c>
    </row>
    <row r="198" spans="1:30" x14ac:dyDescent="0.35">
      <c r="A198" t="s">
        <v>1283</v>
      </c>
      <c r="B198" t="s">
        <v>272</v>
      </c>
      <c r="C198" t="e">
        <v>#VALUE!</v>
      </c>
      <c r="D198" t="e">
        <v>#VALUE!</v>
      </c>
      <c r="F198">
        <v>1718.2</v>
      </c>
      <c r="G198" t="s">
        <v>76</v>
      </c>
      <c r="H198">
        <v>1000</v>
      </c>
      <c r="J198">
        <v>50</v>
      </c>
      <c r="L198">
        <v>-23.364224428748798</v>
      </c>
      <c r="M198">
        <v>0</v>
      </c>
      <c r="N198" s="21">
        <v>44979</v>
      </c>
      <c r="O198" s="21">
        <v>46074</v>
      </c>
      <c r="P198">
        <v>8</v>
      </c>
      <c r="Q198">
        <v>0</v>
      </c>
      <c r="R198">
        <v>0</v>
      </c>
      <c r="S198" t="s">
        <v>63</v>
      </c>
      <c r="U198">
        <v>0</v>
      </c>
      <c r="V198" t="e">
        <v>#VALUE!</v>
      </c>
      <c r="W198" t="e">
        <v>#VALUE!</v>
      </c>
      <c r="X198" t="e">
        <v>#VALUE!</v>
      </c>
      <c r="Y198" t="e">
        <v>#VALUE!</v>
      </c>
      <c r="Z198" t="e">
        <v>#VALUE!</v>
      </c>
      <c r="AA198" t="e">
        <v>#VALUE!</v>
      </c>
      <c r="AB198" t="s">
        <v>64</v>
      </c>
      <c r="AC198" t="s">
        <v>62</v>
      </c>
      <c r="AD198" t="s">
        <v>2220</v>
      </c>
    </row>
    <row r="199" spans="1:30" x14ac:dyDescent="0.35">
      <c r="A199" t="s">
        <v>1280</v>
      </c>
      <c r="B199" t="s">
        <v>272</v>
      </c>
      <c r="C199" t="e">
        <v>#VALUE!</v>
      </c>
      <c r="D199" t="e">
        <v>#VALUE!</v>
      </c>
      <c r="F199">
        <v>1208.67</v>
      </c>
      <c r="G199" t="s">
        <v>76</v>
      </c>
      <c r="H199">
        <v>1000</v>
      </c>
      <c r="J199">
        <v>460</v>
      </c>
      <c r="L199">
        <v>-9.5477535914131497</v>
      </c>
      <c r="M199">
        <v>0</v>
      </c>
      <c r="N199" s="21">
        <v>44980</v>
      </c>
      <c r="O199" s="21">
        <v>46075</v>
      </c>
      <c r="P199">
        <v>5</v>
      </c>
      <c r="Q199">
        <v>0</v>
      </c>
      <c r="R199">
        <v>0</v>
      </c>
      <c r="S199" t="s">
        <v>63</v>
      </c>
      <c r="U199">
        <v>0</v>
      </c>
      <c r="V199" t="e">
        <v>#VALUE!</v>
      </c>
      <c r="W199" t="e">
        <v>#VALUE!</v>
      </c>
      <c r="X199" t="e">
        <v>#VALUE!</v>
      </c>
      <c r="Y199" t="e">
        <v>#VALUE!</v>
      </c>
      <c r="Z199" t="e">
        <v>#VALUE!</v>
      </c>
      <c r="AA199" t="e">
        <v>#VALUE!</v>
      </c>
      <c r="AB199" t="s">
        <v>64</v>
      </c>
      <c r="AC199" t="s">
        <v>62</v>
      </c>
      <c r="AD199" t="s">
        <v>2220</v>
      </c>
    </row>
    <row r="200" spans="1:30" x14ac:dyDescent="0.35">
      <c r="A200" t="s">
        <v>1278</v>
      </c>
      <c r="B200" t="s">
        <v>465</v>
      </c>
      <c r="C200" t="e">
        <v>#VALUE!</v>
      </c>
      <c r="D200" t="e">
        <v>#VALUE!</v>
      </c>
      <c r="F200">
        <v>1000</v>
      </c>
      <c r="G200" t="s">
        <v>76</v>
      </c>
      <c r="H200">
        <v>1000</v>
      </c>
      <c r="J200">
        <v>2</v>
      </c>
      <c r="L200">
        <v>0</v>
      </c>
      <c r="M200">
        <v>0</v>
      </c>
      <c r="N200" s="21">
        <v>44981</v>
      </c>
      <c r="O200" s="21">
        <v>46076</v>
      </c>
      <c r="P200">
        <v>2</v>
      </c>
      <c r="Q200">
        <v>0</v>
      </c>
      <c r="R200">
        <v>0</v>
      </c>
      <c r="S200" t="s">
        <v>63</v>
      </c>
      <c r="U200">
        <v>0</v>
      </c>
      <c r="V200" t="e">
        <v>#VALUE!</v>
      </c>
      <c r="W200" t="e">
        <v>#VALUE!</v>
      </c>
      <c r="X200" t="e">
        <v>#VALUE!</v>
      </c>
      <c r="Y200" t="e">
        <v>#VALUE!</v>
      </c>
      <c r="Z200" t="e">
        <v>#VALUE!</v>
      </c>
      <c r="AA200" t="e">
        <v>#VALUE!</v>
      </c>
      <c r="AB200" t="s">
        <v>64</v>
      </c>
      <c r="AC200" t="s">
        <v>62</v>
      </c>
      <c r="AD200" t="s">
        <v>2220</v>
      </c>
    </row>
    <row r="201" spans="1:30" x14ac:dyDescent="0.35">
      <c r="A201" t="s">
        <v>1274</v>
      </c>
      <c r="B201" t="s">
        <v>162</v>
      </c>
      <c r="C201" t="e">
        <v>#VALUE!</v>
      </c>
      <c r="D201" t="e">
        <v>#VALUE!</v>
      </c>
      <c r="F201">
        <v>1198</v>
      </c>
      <c r="G201" t="s">
        <v>76</v>
      </c>
      <c r="H201">
        <v>1000</v>
      </c>
      <c r="J201">
        <v>100</v>
      </c>
      <c r="L201">
        <v>-9.1402337228714501</v>
      </c>
      <c r="M201">
        <v>0</v>
      </c>
      <c r="N201" s="21">
        <v>44982</v>
      </c>
      <c r="O201" s="21">
        <v>46077</v>
      </c>
      <c r="P201">
        <v>3</v>
      </c>
      <c r="Q201">
        <v>0</v>
      </c>
      <c r="R201">
        <v>0</v>
      </c>
      <c r="S201" t="s">
        <v>63</v>
      </c>
      <c r="U201">
        <v>0</v>
      </c>
      <c r="V201" t="e">
        <v>#VALUE!</v>
      </c>
      <c r="W201" t="e">
        <v>#VALUE!</v>
      </c>
      <c r="X201" t="e">
        <v>#VALUE!</v>
      </c>
      <c r="Y201" t="e">
        <v>#VALUE!</v>
      </c>
      <c r="Z201" t="e">
        <v>#VALUE!</v>
      </c>
      <c r="AA201" t="e">
        <v>#VALUE!</v>
      </c>
      <c r="AB201" t="s">
        <v>64</v>
      </c>
      <c r="AC201" t="s">
        <v>62</v>
      </c>
      <c r="AD201" t="s">
        <v>2220</v>
      </c>
    </row>
    <row r="202" spans="1:30" x14ac:dyDescent="0.35">
      <c r="A202" t="s">
        <v>1268</v>
      </c>
      <c r="B202" t="s">
        <v>241</v>
      </c>
      <c r="C202" t="e">
        <v>#VALUE!</v>
      </c>
      <c r="D202" t="e">
        <v>#VALUE!</v>
      </c>
      <c r="F202">
        <v>990</v>
      </c>
      <c r="G202" t="s">
        <v>76</v>
      </c>
      <c r="H202">
        <v>1000</v>
      </c>
      <c r="J202">
        <v>50</v>
      </c>
      <c r="L202">
        <v>0.55358388691722005</v>
      </c>
      <c r="M202">
        <v>0</v>
      </c>
      <c r="N202" s="21">
        <v>44983</v>
      </c>
      <c r="O202" s="21">
        <v>46078</v>
      </c>
      <c r="P202">
        <v>2</v>
      </c>
      <c r="Q202">
        <v>0</v>
      </c>
      <c r="R202">
        <v>0</v>
      </c>
      <c r="S202" t="s">
        <v>63</v>
      </c>
      <c r="U202">
        <v>0</v>
      </c>
      <c r="V202" t="e">
        <v>#VALUE!</v>
      </c>
      <c r="W202" t="e">
        <v>#VALUE!</v>
      </c>
      <c r="X202" t="e">
        <v>#VALUE!</v>
      </c>
      <c r="Y202" t="e">
        <v>#VALUE!</v>
      </c>
      <c r="Z202" t="e">
        <v>#VALUE!</v>
      </c>
      <c r="AA202" t="e">
        <v>#VALUE!</v>
      </c>
      <c r="AB202" t="s">
        <v>64</v>
      </c>
      <c r="AC202" t="s">
        <v>62</v>
      </c>
      <c r="AD202" t="s">
        <v>2220</v>
      </c>
    </row>
    <row r="203" spans="1:30" x14ac:dyDescent="0.35">
      <c r="A203" t="s">
        <v>1257</v>
      </c>
      <c r="B203" t="s">
        <v>128</v>
      </c>
      <c r="C203" t="e">
        <v>#VALUE!</v>
      </c>
      <c r="D203" t="e">
        <v>#VALUE!</v>
      </c>
      <c r="F203">
        <v>1072.52</v>
      </c>
      <c r="G203" t="s">
        <v>76</v>
      </c>
      <c r="H203">
        <v>1000</v>
      </c>
      <c r="J203">
        <v>25</v>
      </c>
      <c r="L203">
        <v>-3.6454957115590298</v>
      </c>
      <c r="M203">
        <v>0</v>
      </c>
      <c r="N203" s="21">
        <v>44984</v>
      </c>
      <c r="O203" s="21">
        <v>46079</v>
      </c>
      <c r="P203">
        <v>3</v>
      </c>
      <c r="Q203">
        <v>0</v>
      </c>
      <c r="R203">
        <v>0</v>
      </c>
      <c r="S203" t="s">
        <v>63</v>
      </c>
      <c r="U203">
        <v>0</v>
      </c>
      <c r="V203" t="e">
        <v>#VALUE!</v>
      </c>
      <c r="W203" t="e">
        <v>#VALUE!</v>
      </c>
      <c r="X203" t="e">
        <v>#VALUE!</v>
      </c>
      <c r="Y203" t="e">
        <v>#VALUE!</v>
      </c>
      <c r="Z203" t="e">
        <v>#VALUE!</v>
      </c>
      <c r="AA203" t="e">
        <v>#VALUE!</v>
      </c>
      <c r="AB203" t="s">
        <v>64</v>
      </c>
      <c r="AC203" t="s">
        <v>62</v>
      </c>
      <c r="AD203" t="s">
        <v>2220</v>
      </c>
    </row>
    <row r="204" spans="1:30" x14ac:dyDescent="0.35">
      <c r="A204" t="s">
        <v>1240</v>
      </c>
      <c r="B204" t="s">
        <v>353</v>
      </c>
      <c r="C204" t="e">
        <v>#VALUE!</v>
      </c>
      <c r="D204" t="e">
        <v>#VALUE!</v>
      </c>
      <c r="F204">
        <v>1000</v>
      </c>
      <c r="G204" t="s">
        <v>76</v>
      </c>
      <c r="H204">
        <v>1000</v>
      </c>
      <c r="J204">
        <v>141</v>
      </c>
      <c r="L204">
        <v>0</v>
      </c>
      <c r="M204">
        <v>0</v>
      </c>
      <c r="N204" s="21">
        <v>44985</v>
      </c>
      <c r="O204" s="21">
        <v>46080</v>
      </c>
      <c r="P204">
        <v>2</v>
      </c>
      <c r="Q204">
        <v>0</v>
      </c>
      <c r="R204">
        <v>12</v>
      </c>
      <c r="S204" t="s">
        <v>63</v>
      </c>
      <c r="U204">
        <v>24</v>
      </c>
      <c r="V204" t="e">
        <v>#VALUE!</v>
      </c>
      <c r="W204" t="e">
        <v>#VALUE!</v>
      </c>
      <c r="X204" t="e">
        <v>#VALUE!</v>
      </c>
      <c r="Y204" t="e">
        <v>#VALUE!</v>
      </c>
      <c r="Z204" t="e">
        <v>#VALUE!</v>
      </c>
      <c r="AA204" t="e">
        <v>#VALUE!</v>
      </c>
      <c r="AB204" t="s">
        <v>64</v>
      </c>
      <c r="AC204" t="s">
        <v>62</v>
      </c>
      <c r="AD204" t="s">
        <v>2220</v>
      </c>
    </row>
    <row r="205" spans="1:30" x14ac:dyDescent="0.35">
      <c r="A205" t="s">
        <v>1232</v>
      </c>
      <c r="B205" t="s">
        <v>272</v>
      </c>
      <c r="C205" t="e">
        <v>#VALUE!</v>
      </c>
      <c r="D205" t="e">
        <v>#VALUE!</v>
      </c>
      <c r="F205">
        <v>1230</v>
      </c>
      <c r="G205" t="s">
        <v>76</v>
      </c>
      <c r="H205">
        <v>1000</v>
      </c>
      <c r="J205">
        <v>80</v>
      </c>
      <c r="L205">
        <v>-9.1860070686844093</v>
      </c>
      <c r="M205">
        <v>0</v>
      </c>
      <c r="N205" s="21">
        <v>44986</v>
      </c>
      <c r="O205" s="21">
        <v>46081</v>
      </c>
      <c r="P205">
        <v>5</v>
      </c>
      <c r="Q205">
        <v>0</v>
      </c>
      <c r="R205">
        <v>12</v>
      </c>
      <c r="S205" t="s">
        <v>63</v>
      </c>
      <c r="U205">
        <v>60</v>
      </c>
      <c r="V205" t="e">
        <v>#VALUE!</v>
      </c>
      <c r="W205" t="e">
        <v>#VALUE!</v>
      </c>
      <c r="X205" t="e">
        <v>#VALUE!</v>
      </c>
      <c r="Y205" t="e">
        <v>#VALUE!</v>
      </c>
      <c r="Z205" t="e">
        <v>#VALUE!</v>
      </c>
      <c r="AA205" t="e">
        <v>#VALUE!</v>
      </c>
      <c r="AB205" t="s">
        <v>64</v>
      </c>
      <c r="AC205" t="s">
        <v>62</v>
      </c>
      <c r="AD205" t="s">
        <v>2220</v>
      </c>
    </row>
    <row r="206" spans="1:30" x14ac:dyDescent="0.35">
      <c r="A206" t="s">
        <v>1229</v>
      </c>
      <c r="B206" t="s">
        <v>272</v>
      </c>
      <c r="C206" t="e">
        <v>#VALUE!</v>
      </c>
      <c r="D206" t="e">
        <v>#VALUE!</v>
      </c>
      <c r="F206">
        <v>1684.6</v>
      </c>
      <c r="G206" t="s">
        <v>76</v>
      </c>
      <c r="H206">
        <v>1000</v>
      </c>
      <c r="J206">
        <v>310</v>
      </c>
      <c r="L206">
        <v>-20.2086314201966</v>
      </c>
      <c r="M206">
        <v>0</v>
      </c>
      <c r="N206" s="21">
        <v>44987</v>
      </c>
      <c r="O206" s="21">
        <v>46082</v>
      </c>
      <c r="P206">
        <v>8</v>
      </c>
      <c r="Q206">
        <v>0</v>
      </c>
      <c r="R206">
        <v>12</v>
      </c>
      <c r="S206" t="s">
        <v>63</v>
      </c>
      <c r="U206">
        <v>96</v>
      </c>
      <c r="V206" t="e">
        <v>#VALUE!</v>
      </c>
      <c r="W206" t="e">
        <v>#VALUE!</v>
      </c>
      <c r="X206" t="e">
        <v>#VALUE!</v>
      </c>
      <c r="Y206" t="e">
        <v>#VALUE!</v>
      </c>
      <c r="Z206" t="e">
        <v>#VALUE!</v>
      </c>
      <c r="AA206" t="e">
        <v>#VALUE!</v>
      </c>
      <c r="AB206" t="s">
        <v>64</v>
      </c>
      <c r="AC206" t="s">
        <v>62</v>
      </c>
      <c r="AD206" t="s">
        <v>2220</v>
      </c>
    </row>
    <row r="207" spans="1:30" x14ac:dyDescent="0.35">
      <c r="A207" t="s">
        <v>1228</v>
      </c>
      <c r="B207" t="s">
        <v>241</v>
      </c>
      <c r="C207" t="e">
        <v>#VALUE!</v>
      </c>
      <c r="D207" t="e">
        <v>#VALUE!</v>
      </c>
      <c r="F207">
        <v>1060.81</v>
      </c>
      <c r="G207" t="s">
        <v>76</v>
      </c>
      <c r="H207">
        <v>1000</v>
      </c>
      <c r="J207">
        <v>109</v>
      </c>
      <c r="L207">
        <v>-2.7897738520564399</v>
      </c>
      <c r="M207">
        <v>0</v>
      </c>
      <c r="N207" s="21">
        <v>44988</v>
      </c>
      <c r="O207" s="21">
        <v>46083</v>
      </c>
      <c r="P207">
        <v>3</v>
      </c>
      <c r="Q207">
        <v>0</v>
      </c>
      <c r="R207">
        <v>12</v>
      </c>
      <c r="S207" t="s">
        <v>63</v>
      </c>
      <c r="U207">
        <v>36</v>
      </c>
      <c r="V207" t="e">
        <v>#VALUE!</v>
      </c>
      <c r="W207" t="e">
        <v>#VALUE!</v>
      </c>
      <c r="X207" t="e">
        <v>#VALUE!</v>
      </c>
      <c r="Y207" t="e">
        <v>#VALUE!</v>
      </c>
      <c r="Z207" t="e">
        <v>#VALUE!</v>
      </c>
      <c r="AA207" t="e">
        <v>#VALUE!</v>
      </c>
      <c r="AB207" t="s">
        <v>64</v>
      </c>
      <c r="AC207" t="s">
        <v>62</v>
      </c>
      <c r="AD207" t="s">
        <v>2220</v>
      </c>
    </row>
    <row r="208" spans="1:30" x14ac:dyDescent="0.35">
      <c r="A208" t="s">
        <v>1223</v>
      </c>
      <c r="B208" t="s">
        <v>460</v>
      </c>
      <c r="C208" t="e">
        <v>#VALUE!</v>
      </c>
      <c r="D208" t="e">
        <v>#VALUE!</v>
      </c>
      <c r="F208">
        <v>1351</v>
      </c>
      <c r="G208" t="s">
        <v>76</v>
      </c>
      <c r="H208">
        <v>1000</v>
      </c>
      <c r="J208">
        <v>2</v>
      </c>
      <c r="L208">
        <v>-13.3375183876921</v>
      </c>
      <c r="M208">
        <v>0</v>
      </c>
      <c r="N208" s="21">
        <v>44989</v>
      </c>
      <c r="O208" s="21">
        <v>46084</v>
      </c>
      <c r="P208">
        <v>5</v>
      </c>
      <c r="Q208">
        <v>0</v>
      </c>
      <c r="R208">
        <v>12</v>
      </c>
      <c r="S208" t="s">
        <v>63</v>
      </c>
      <c r="U208">
        <v>60</v>
      </c>
      <c r="V208" t="e">
        <v>#VALUE!</v>
      </c>
      <c r="W208" t="e">
        <v>#VALUE!</v>
      </c>
      <c r="X208" t="e">
        <v>#VALUE!</v>
      </c>
      <c r="Y208" t="e">
        <v>#VALUE!</v>
      </c>
      <c r="Z208" t="e">
        <v>#VALUE!</v>
      </c>
      <c r="AA208" t="e">
        <v>#VALUE!</v>
      </c>
      <c r="AB208" t="s">
        <v>64</v>
      </c>
      <c r="AC208" t="s">
        <v>62</v>
      </c>
      <c r="AD208" t="s">
        <v>2220</v>
      </c>
    </row>
    <row r="209" spans="1:30" x14ac:dyDescent="0.35">
      <c r="A209" t="s">
        <v>1222</v>
      </c>
      <c r="B209" t="s">
        <v>119</v>
      </c>
      <c r="C209" t="e">
        <v>#VALUE!</v>
      </c>
      <c r="D209" t="e">
        <v>#VALUE!</v>
      </c>
      <c r="F209">
        <v>954</v>
      </c>
      <c r="G209" t="s">
        <v>76</v>
      </c>
      <c r="H209">
        <v>1000</v>
      </c>
      <c r="J209">
        <v>3</v>
      </c>
      <c r="L209">
        <v>2.47881418489975</v>
      </c>
      <c r="M209">
        <v>0</v>
      </c>
      <c r="N209" s="21">
        <v>44990</v>
      </c>
      <c r="O209" s="21">
        <v>46085</v>
      </c>
      <c r="P209">
        <v>2</v>
      </c>
      <c r="Q209">
        <v>0</v>
      </c>
      <c r="R209">
        <v>12</v>
      </c>
      <c r="S209" t="s">
        <v>63</v>
      </c>
      <c r="U209">
        <v>24</v>
      </c>
      <c r="V209" t="e">
        <v>#VALUE!</v>
      </c>
      <c r="W209" t="e">
        <v>#VALUE!</v>
      </c>
      <c r="X209" t="e">
        <v>#VALUE!</v>
      </c>
      <c r="Y209" t="e">
        <v>#VALUE!</v>
      </c>
      <c r="Z209" t="e">
        <v>#VALUE!</v>
      </c>
      <c r="AA209" t="e">
        <v>#VALUE!</v>
      </c>
      <c r="AB209" t="s">
        <v>64</v>
      </c>
      <c r="AC209" t="s">
        <v>62</v>
      </c>
      <c r="AD209" t="s">
        <v>2220</v>
      </c>
    </row>
    <row r="210" spans="1:30" x14ac:dyDescent="0.35">
      <c r="A210" t="s">
        <v>1219</v>
      </c>
      <c r="B210" t="s">
        <v>119</v>
      </c>
      <c r="C210" t="e">
        <v>#VALUE!</v>
      </c>
      <c r="D210" t="e">
        <v>#VALUE!</v>
      </c>
      <c r="F210">
        <v>1051.8900000000001</v>
      </c>
      <c r="G210" t="s">
        <v>76</v>
      </c>
      <c r="H210">
        <v>1000</v>
      </c>
      <c r="J210">
        <v>126</v>
      </c>
      <c r="L210">
        <v>-2.3754013726416998</v>
      </c>
      <c r="M210">
        <v>0</v>
      </c>
      <c r="N210" s="21">
        <v>44991</v>
      </c>
      <c r="O210" s="21">
        <v>46086</v>
      </c>
      <c r="P210">
        <v>3</v>
      </c>
      <c r="Q210">
        <v>0</v>
      </c>
      <c r="R210">
        <v>12</v>
      </c>
      <c r="S210" t="s">
        <v>63</v>
      </c>
      <c r="U210">
        <v>36</v>
      </c>
      <c r="V210" t="e">
        <v>#VALUE!</v>
      </c>
      <c r="W210" t="e">
        <v>#VALUE!</v>
      </c>
      <c r="X210" t="e">
        <v>#VALUE!</v>
      </c>
      <c r="Y210" t="e">
        <v>#VALUE!</v>
      </c>
      <c r="Z210" t="e">
        <v>#VALUE!</v>
      </c>
      <c r="AA210" t="e">
        <v>#VALUE!</v>
      </c>
      <c r="AB210" t="s">
        <v>64</v>
      </c>
      <c r="AC210" t="s">
        <v>62</v>
      </c>
      <c r="AD210" t="s">
        <v>2220</v>
      </c>
    </row>
    <row r="211" spans="1:30" x14ac:dyDescent="0.35">
      <c r="A211" t="s">
        <v>1208</v>
      </c>
      <c r="B211" t="s">
        <v>265</v>
      </c>
      <c r="C211" t="e">
        <v>#VALUE!</v>
      </c>
      <c r="D211" t="e">
        <v>#VALUE!</v>
      </c>
      <c r="F211">
        <v>1270</v>
      </c>
      <c r="G211" t="s">
        <v>76</v>
      </c>
      <c r="H211">
        <v>1000</v>
      </c>
      <c r="J211">
        <v>1</v>
      </c>
      <c r="L211">
        <v>-10.4158959995772</v>
      </c>
      <c r="M211">
        <v>0</v>
      </c>
      <c r="N211" s="21">
        <v>44992</v>
      </c>
      <c r="O211" s="21">
        <v>46087</v>
      </c>
      <c r="P211">
        <v>5</v>
      </c>
      <c r="Q211">
        <v>0</v>
      </c>
      <c r="R211">
        <v>12</v>
      </c>
      <c r="S211" t="s">
        <v>63</v>
      </c>
      <c r="U211">
        <v>60</v>
      </c>
      <c r="V211" t="e">
        <v>#VALUE!</v>
      </c>
      <c r="W211" t="e">
        <v>#VALUE!</v>
      </c>
      <c r="X211" t="e">
        <v>#VALUE!</v>
      </c>
      <c r="Y211" t="e">
        <v>#VALUE!</v>
      </c>
      <c r="Z211" t="e">
        <v>#VALUE!</v>
      </c>
      <c r="AA211" t="e">
        <v>#VALUE!</v>
      </c>
      <c r="AB211" t="s">
        <v>64</v>
      </c>
      <c r="AC211" t="s">
        <v>62</v>
      </c>
      <c r="AD211" t="s">
        <v>2220</v>
      </c>
    </row>
    <row r="212" spans="1:30" x14ac:dyDescent="0.35">
      <c r="A212" t="s">
        <v>1202</v>
      </c>
      <c r="B212" t="s">
        <v>316</v>
      </c>
      <c r="C212" t="e">
        <v>#VALUE!</v>
      </c>
      <c r="D212" t="e">
        <v>#VALUE!</v>
      </c>
      <c r="F212">
        <v>1083</v>
      </c>
      <c r="G212" t="s">
        <v>76</v>
      </c>
      <c r="H212">
        <v>1000</v>
      </c>
      <c r="J212">
        <v>283</v>
      </c>
      <c r="L212">
        <v>-3.8110657397832699</v>
      </c>
      <c r="M212">
        <v>0</v>
      </c>
      <c r="N212" s="21">
        <v>44993</v>
      </c>
      <c r="O212" s="21">
        <v>46088</v>
      </c>
      <c r="P212">
        <v>3</v>
      </c>
      <c r="Q212">
        <v>0</v>
      </c>
      <c r="R212">
        <v>12</v>
      </c>
      <c r="S212" t="s">
        <v>63</v>
      </c>
      <c r="U212">
        <v>36</v>
      </c>
      <c r="V212" t="e">
        <v>#VALUE!</v>
      </c>
      <c r="W212" t="e">
        <v>#VALUE!</v>
      </c>
      <c r="X212" t="e">
        <v>#VALUE!</v>
      </c>
      <c r="Y212" t="e">
        <v>#VALUE!</v>
      </c>
      <c r="Z212" t="e">
        <v>#VALUE!</v>
      </c>
      <c r="AA212" t="e">
        <v>#VALUE!</v>
      </c>
      <c r="AB212" t="s">
        <v>64</v>
      </c>
      <c r="AC212" t="s">
        <v>62</v>
      </c>
      <c r="AD212" t="s">
        <v>2220</v>
      </c>
    </row>
    <row r="213" spans="1:30" x14ac:dyDescent="0.35">
      <c r="A213" t="s">
        <v>1200</v>
      </c>
      <c r="B213" t="s">
        <v>122</v>
      </c>
      <c r="C213" t="e">
        <v>#VALUE!</v>
      </c>
      <c r="D213" t="e">
        <v>#VALUE!</v>
      </c>
      <c r="F213">
        <v>1197</v>
      </c>
      <c r="G213" t="s">
        <v>76</v>
      </c>
      <c r="H213">
        <v>1000</v>
      </c>
      <c r="J213">
        <v>200</v>
      </c>
      <c r="L213">
        <v>-7.1089953681046802</v>
      </c>
      <c r="M213">
        <v>0</v>
      </c>
      <c r="N213" s="21">
        <v>44994</v>
      </c>
      <c r="O213" s="21">
        <v>46089</v>
      </c>
      <c r="P213">
        <v>3</v>
      </c>
      <c r="Q213">
        <v>0</v>
      </c>
      <c r="R213">
        <v>12</v>
      </c>
      <c r="S213" t="s">
        <v>63</v>
      </c>
      <c r="U213">
        <v>36</v>
      </c>
      <c r="V213" t="e">
        <v>#VALUE!</v>
      </c>
      <c r="W213" t="e">
        <v>#VALUE!</v>
      </c>
      <c r="X213" t="e">
        <v>#VALUE!</v>
      </c>
      <c r="Y213" t="e">
        <v>#VALUE!</v>
      </c>
      <c r="Z213" t="e">
        <v>#VALUE!</v>
      </c>
      <c r="AA213" t="e">
        <v>#VALUE!</v>
      </c>
      <c r="AB213" t="s">
        <v>64</v>
      </c>
      <c r="AC213" t="s">
        <v>62</v>
      </c>
      <c r="AD213" t="s">
        <v>2220</v>
      </c>
    </row>
    <row r="214" spans="1:30" x14ac:dyDescent="0.35">
      <c r="A214" t="s">
        <v>1195</v>
      </c>
      <c r="B214" t="s">
        <v>460</v>
      </c>
      <c r="C214" t="e">
        <v>#VALUE!</v>
      </c>
      <c r="D214" t="e">
        <v>#VALUE!</v>
      </c>
      <c r="F214">
        <v>1544</v>
      </c>
      <c r="G214" t="s">
        <v>76</v>
      </c>
      <c r="H214">
        <v>1000</v>
      </c>
      <c r="J214">
        <v>90</v>
      </c>
      <c r="L214">
        <v>-16.636615300055599</v>
      </c>
      <c r="M214">
        <v>0</v>
      </c>
      <c r="N214" s="21">
        <v>44995</v>
      </c>
      <c r="O214" s="21">
        <v>46090</v>
      </c>
      <c r="P214">
        <v>7</v>
      </c>
      <c r="Q214">
        <v>0</v>
      </c>
      <c r="R214">
        <v>12</v>
      </c>
      <c r="S214" t="s">
        <v>63</v>
      </c>
      <c r="U214">
        <v>84</v>
      </c>
      <c r="V214" t="e">
        <v>#VALUE!</v>
      </c>
      <c r="W214" t="e">
        <v>#VALUE!</v>
      </c>
      <c r="X214" t="e">
        <v>#VALUE!</v>
      </c>
      <c r="Y214" t="e">
        <v>#VALUE!</v>
      </c>
      <c r="Z214" t="e">
        <v>#VALUE!</v>
      </c>
      <c r="AA214" t="e">
        <v>#VALUE!</v>
      </c>
      <c r="AB214" t="s">
        <v>64</v>
      </c>
      <c r="AC214" t="s">
        <v>62</v>
      </c>
      <c r="AD214" t="s">
        <v>2220</v>
      </c>
    </row>
    <row r="215" spans="1:30" x14ac:dyDescent="0.35">
      <c r="A215" t="s">
        <v>1188</v>
      </c>
      <c r="B215" t="s">
        <v>478</v>
      </c>
      <c r="C215" t="e">
        <v>#VALUE!</v>
      </c>
      <c r="D215" t="e">
        <v>#VALUE!</v>
      </c>
      <c r="F215">
        <v>1060</v>
      </c>
      <c r="G215" t="s">
        <v>76</v>
      </c>
      <c r="H215">
        <v>1000</v>
      </c>
      <c r="J215">
        <v>300</v>
      </c>
      <c r="L215">
        <v>-2.7694875815671001</v>
      </c>
      <c r="M215">
        <v>0</v>
      </c>
      <c r="N215" s="21">
        <v>44996</v>
      </c>
      <c r="O215" s="21">
        <v>46091</v>
      </c>
      <c r="P215">
        <v>3</v>
      </c>
      <c r="Q215">
        <v>0</v>
      </c>
      <c r="R215">
        <v>12</v>
      </c>
      <c r="S215" t="s">
        <v>63</v>
      </c>
      <c r="U215">
        <v>36</v>
      </c>
      <c r="V215" t="e">
        <v>#VALUE!</v>
      </c>
      <c r="W215" t="e">
        <v>#VALUE!</v>
      </c>
      <c r="X215" t="e">
        <v>#VALUE!</v>
      </c>
      <c r="Y215" t="e">
        <v>#VALUE!</v>
      </c>
      <c r="Z215" t="e">
        <v>#VALUE!</v>
      </c>
      <c r="AA215" t="e">
        <v>#VALUE!</v>
      </c>
      <c r="AB215" t="s">
        <v>64</v>
      </c>
      <c r="AC215" t="s">
        <v>62</v>
      </c>
      <c r="AD215" t="s">
        <v>2220</v>
      </c>
    </row>
    <row r="216" spans="1:30" x14ac:dyDescent="0.35">
      <c r="A216" t="s">
        <v>1187</v>
      </c>
      <c r="B216" t="s">
        <v>1186</v>
      </c>
      <c r="C216" t="e">
        <v>#VALUE!</v>
      </c>
      <c r="D216" t="e">
        <v>#VALUE!</v>
      </c>
      <c r="F216">
        <v>100000</v>
      </c>
      <c r="G216" t="s">
        <v>66</v>
      </c>
      <c r="H216">
        <v>100000</v>
      </c>
      <c r="J216">
        <v>0</v>
      </c>
      <c r="L216">
        <v>0</v>
      </c>
      <c r="M216">
        <v>0</v>
      </c>
      <c r="N216" s="21">
        <v>44997</v>
      </c>
      <c r="O216" s="21">
        <v>46092</v>
      </c>
      <c r="P216">
        <v>5</v>
      </c>
      <c r="Q216">
        <v>0</v>
      </c>
      <c r="R216">
        <v>12</v>
      </c>
      <c r="S216" t="s">
        <v>63</v>
      </c>
      <c r="U216">
        <v>60</v>
      </c>
      <c r="V216" t="e">
        <v>#VALUE!</v>
      </c>
      <c r="W216" t="e">
        <v>#VALUE!</v>
      </c>
      <c r="X216" t="e">
        <v>#VALUE!</v>
      </c>
      <c r="Y216" t="e">
        <v>#VALUE!</v>
      </c>
      <c r="Z216" t="e">
        <v>#VALUE!</v>
      </c>
      <c r="AA216" t="e">
        <v>#VALUE!</v>
      </c>
      <c r="AB216" t="s">
        <v>64</v>
      </c>
      <c r="AC216" t="s">
        <v>62</v>
      </c>
      <c r="AD216" t="s">
        <v>2220</v>
      </c>
    </row>
    <row r="217" spans="1:30" x14ac:dyDescent="0.35">
      <c r="A217" t="s">
        <v>1185</v>
      </c>
      <c r="B217" t="s">
        <v>1103</v>
      </c>
      <c r="C217" t="e">
        <v>#VALUE!</v>
      </c>
      <c r="D217" t="e">
        <v>#VALUE!</v>
      </c>
      <c r="F217">
        <v>115500</v>
      </c>
      <c r="G217" t="s">
        <v>76</v>
      </c>
      <c r="H217">
        <v>100000</v>
      </c>
      <c r="J217">
        <v>1</v>
      </c>
      <c r="L217">
        <v>-5.9807916950774098</v>
      </c>
      <c r="M217">
        <v>0</v>
      </c>
      <c r="N217" s="21">
        <v>44998</v>
      </c>
      <c r="O217" s="21">
        <v>46093</v>
      </c>
      <c r="P217">
        <v>3</v>
      </c>
      <c r="Q217">
        <v>0</v>
      </c>
      <c r="R217">
        <v>12</v>
      </c>
      <c r="S217" t="s">
        <v>63</v>
      </c>
      <c r="U217">
        <v>36</v>
      </c>
      <c r="V217" t="e">
        <v>#VALUE!</v>
      </c>
      <c r="W217" t="e">
        <v>#VALUE!</v>
      </c>
      <c r="X217" t="e">
        <v>#VALUE!</v>
      </c>
      <c r="Y217" t="e">
        <v>#VALUE!</v>
      </c>
      <c r="Z217" t="e">
        <v>#VALUE!</v>
      </c>
      <c r="AA217" t="e">
        <v>#VALUE!</v>
      </c>
      <c r="AB217" t="s">
        <v>69</v>
      </c>
      <c r="AC217" t="s">
        <v>62</v>
      </c>
      <c r="AD217" t="s">
        <v>2220</v>
      </c>
    </row>
    <row r="218" spans="1:30" x14ac:dyDescent="0.35">
      <c r="A218" t="s">
        <v>1174</v>
      </c>
      <c r="B218" t="s">
        <v>338</v>
      </c>
      <c r="C218" t="e">
        <v>#VALUE!</v>
      </c>
      <c r="D218" t="e">
        <v>#VALUE!</v>
      </c>
      <c r="F218">
        <v>999</v>
      </c>
      <c r="G218" t="s">
        <v>76</v>
      </c>
      <c r="H218">
        <v>1000</v>
      </c>
      <c r="J218">
        <v>19</v>
      </c>
      <c r="L218">
        <v>3.9456302955222997E-2</v>
      </c>
      <c r="M218">
        <v>0</v>
      </c>
      <c r="N218" s="21">
        <v>44999</v>
      </c>
      <c r="O218" s="21">
        <v>46094</v>
      </c>
      <c r="P218">
        <v>3</v>
      </c>
      <c r="Q218">
        <v>0</v>
      </c>
      <c r="R218">
        <v>12</v>
      </c>
      <c r="S218" t="s">
        <v>63</v>
      </c>
      <c r="U218">
        <v>36</v>
      </c>
      <c r="V218" t="e">
        <v>#VALUE!</v>
      </c>
      <c r="W218" t="e">
        <v>#VALUE!</v>
      </c>
      <c r="X218" t="e">
        <v>#VALUE!</v>
      </c>
      <c r="Y218" t="e">
        <v>#VALUE!</v>
      </c>
      <c r="Z218" t="e">
        <v>#VALUE!</v>
      </c>
      <c r="AA218" t="e">
        <v>#VALUE!</v>
      </c>
      <c r="AB218" t="s">
        <v>64</v>
      </c>
      <c r="AC218" t="s">
        <v>62</v>
      </c>
      <c r="AD218" t="s">
        <v>2220</v>
      </c>
    </row>
    <row r="219" spans="1:30" x14ac:dyDescent="0.35">
      <c r="A219" t="s">
        <v>1172</v>
      </c>
      <c r="B219" t="s">
        <v>600</v>
      </c>
      <c r="C219" t="e">
        <v>#VALUE!</v>
      </c>
      <c r="D219" t="e">
        <v>#VALUE!</v>
      </c>
      <c r="F219">
        <v>1085</v>
      </c>
      <c r="G219" t="s">
        <v>76</v>
      </c>
      <c r="H219">
        <v>1000</v>
      </c>
      <c r="J219">
        <v>99</v>
      </c>
      <c r="L219">
        <v>-3.6241406902513198</v>
      </c>
      <c r="M219">
        <v>0</v>
      </c>
      <c r="N219" s="21">
        <v>45000</v>
      </c>
      <c r="O219" s="21">
        <v>46095</v>
      </c>
      <c r="P219">
        <v>3</v>
      </c>
      <c r="Q219">
        <v>0</v>
      </c>
      <c r="R219">
        <v>12</v>
      </c>
      <c r="S219" t="s">
        <v>63</v>
      </c>
      <c r="U219">
        <v>36</v>
      </c>
      <c r="V219" t="e">
        <v>#VALUE!</v>
      </c>
      <c r="W219" t="e">
        <v>#VALUE!</v>
      </c>
      <c r="X219" t="e">
        <v>#VALUE!</v>
      </c>
      <c r="Y219" t="e">
        <v>#VALUE!</v>
      </c>
      <c r="Z219" t="e">
        <v>#VALUE!</v>
      </c>
      <c r="AA219" t="e">
        <v>#VALUE!</v>
      </c>
      <c r="AB219" t="s">
        <v>64</v>
      </c>
      <c r="AC219" t="s">
        <v>62</v>
      </c>
      <c r="AD219" t="s">
        <v>2220</v>
      </c>
    </row>
    <row r="220" spans="1:30" x14ac:dyDescent="0.35">
      <c r="A220" t="s">
        <v>1168</v>
      </c>
      <c r="B220" t="s">
        <v>241</v>
      </c>
      <c r="C220" t="e">
        <v>#VALUE!</v>
      </c>
      <c r="D220" t="e">
        <v>#VALUE!</v>
      </c>
      <c r="F220">
        <v>1050</v>
      </c>
      <c r="G220" t="s">
        <v>76</v>
      </c>
      <c r="H220">
        <v>1000</v>
      </c>
      <c r="J220">
        <v>100</v>
      </c>
      <c r="L220">
        <v>-2.1753382203945399</v>
      </c>
      <c r="M220">
        <v>0</v>
      </c>
      <c r="N220" s="21">
        <v>45001</v>
      </c>
      <c r="O220" s="21">
        <v>46096</v>
      </c>
      <c r="P220">
        <v>3</v>
      </c>
      <c r="Q220">
        <v>0</v>
      </c>
      <c r="R220">
        <v>12</v>
      </c>
      <c r="S220" t="s">
        <v>63</v>
      </c>
      <c r="U220">
        <v>36</v>
      </c>
      <c r="V220" t="e">
        <v>#VALUE!</v>
      </c>
      <c r="W220" t="e">
        <v>#VALUE!</v>
      </c>
      <c r="X220" t="e">
        <v>#VALUE!</v>
      </c>
      <c r="Y220" t="e">
        <v>#VALUE!</v>
      </c>
      <c r="Z220" t="e">
        <v>#VALUE!</v>
      </c>
      <c r="AA220" t="e">
        <v>#VALUE!</v>
      </c>
      <c r="AB220" t="s">
        <v>64</v>
      </c>
      <c r="AC220" t="s">
        <v>62</v>
      </c>
      <c r="AD220" t="s">
        <v>2220</v>
      </c>
    </row>
    <row r="221" spans="1:30" x14ac:dyDescent="0.35">
      <c r="A221" t="s">
        <v>1166</v>
      </c>
      <c r="B221" t="s">
        <v>1165</v>
      </c>
      <c r="C221" t="e">
        <v>#VALUE!</v>
      </c>
      <c r="D221" t="e">
        <v>#VALUE!</v>
      </c>
      <c r="F221">
        <v>1665</v>
      </c>
      <c r="G221" t="s">
        <v>76</v>
      </c>
      <c r="H221">
        <v>1000</v>
      </c>
      <c r="J221">
        <v>224</v>
      </c>
      <c r="L221">
        <v>-18.547173127325799</v>
      </c>
      <c r="M221">
        <v>0</v>
      </c>
      <c r="N221" s="21">
        <v>45002</v>
      </c>
      <c r="O221" s="21">
        <v>46097</v>
      </c>
      <c r="P221">
        <v>8</v>
      </c>
      <c r="Q221">
        <v>0</v>
      </c>
      <c r="R221">
        <v>12</v>
      </c>
      <c r="S221" t="s">
        <v>63</v>
      </c>
      <c r="U221">
        <v>96</v>
      </c>
      <c r="V221" t="e">
        <v>#VALUE!</v>
      </c>
      <c r="W221" t="e">
        <v>#VALUE!</v>
      </c>
      <c r="X221" t="e">
        <v>#VALUE!</v>
      </c>
      <c r="Y221" t="e">
        <v>#VALUE!</v>
      </c>
      <c r="Z221" t="e">
        <v>#VALUE!</v>
      </c>
      <c r="AA221" t="e">
        <v>#VALUE!</v>
      </c>
      <c r="AB221" t="s">
        <v>64</v>
      </c>
      <c r="AC221" t="s">
        <v>62</v>
      </c>
      <c r="AD221" t="s">
        <v>2220</v>
      </c>
    </row>
    <row r="222" spans="1:30" x14ac:dyDescent="0.35">
      <c r="A222" t="s">
        <v>1164</v>
      </c>
      <c r="B222" t="s">
        <v>465</v>
      </c>
      <c r="C222" t="e">
        <v>#VALUE!</v>
      </c>
      <c r="D222" t="e">
        <v>#VALUE!</v>
      </c>
      <c r="F222">
        <v>1410.1</v>
      </c>
      <c r="G222" t="s">
        <v>76</v>
      </c>
      <c r="H222">
        <v>1000</v>
      </c>
      <c r="J222">
        <v>10</v>
      </c>
      <c r="L222">
        <v>-12.835926204175401</v>
      </c>
      <c r="M222">
        <v>0</v>
      </c>
      <c r="N222" s="21">
        <v>45003</v>
      </c>
      <c r="O222" s="21">
        <v>46098</v>
      </c>
      <c r="P222">
        <v>6</v>
      </c>
      <c r="Q222">
        <v>0</v>
      </c>
      <c r="R222">
        <v>12</v>
      </c>
      <c r="S222" t="s">
        <v>63</v>
      </c>
      <c r="U222">
        <v>72</v>
      </c>
      <c r="V222" t="e">
        <v>#VALUE!</v>
      </c>
      <c r="W222" t="e">
        <v>#VALUE!</v>
      </c>
      <c r="X222" t="e">
        <v>#VALUE!</v>
      </c>
      <c r="Y222" t="e">
        <v>#VALUE!</v>
      </c>
      <c r="Z222" t="e">
        <v>#VALUE!</v>
      </c>
      <c r="AA222" t="e">
        <v>#VALUE!</v>
      </c>
      <c r="AB222" t="s">
        <v>64</v>
      </c>
      <c r="AC222" t="s">
        <v>62</v>
      </c>
      <c r="AD222" t="s">
        <v>2220</v>
      </c>
    </row>
    <row r="223" spans="1:30" x14ac:dyDescent="0.35">
      <c r="A223" t="s">
        <v>1158</v>
      </c>
      <c r="B223" t="s">
        <v>128</v>
      </c>
      <c r="C223" t="e">
        <v>#VALUE!</v>
      </c>
      <c r="D223" t="e">
        <v>#VALUE!</v>
      </c>
      <c r="F223">
        <v>1016.89</v>
      </c>
      <c r="G223" t="s">
        <v>76</v>
      </c>
      <c r="H223">
        <v>1000</v>
      </c>
      <c r="J223">
        <v>60</v>
      </c>
      <c r="L223">
        <v>-0.76161496643302595</v>
      </c>
      <c r="M223">
        <v>0</v>
      </c>
      <c r="N223" s="21">
        <v>45004</v>
      </c>
      <c r="O223" s="21">
        <v>46099</v>
      </c>
      <c r="P223">
        <v>3</v>
      </c>
      <c r="Q223">
        <v>0</v>
      </c>
      <c r="R223">
        <v>12</v>
      </c>
      <c r="S223" t="s">
        <v>63</v>
      </c>
      <c r="U223">
        <v>36</v>
      </c>
      <c r="V223" t="e">
        <v>#VALUE!</v>
      </c>
      <c r="W223" t="e">
        <v>#VALUE!</v>
      </c>
      <c r="X223" t="e">
        <v>#VALUE!</v>
      </c>
      <c r="Y223" t="e">
        <v>#VALUE!</v>
      </c>
      <c r="Z223" t="e">
        <v>#VALUE!</v>
      </c>
      <c r="AA223" t="e">
        <v>#VALUE!</v>
      </c>
      <c r="AB223" t="s">
        <v>64</v>
      </c>
      <c r="AC223" t="s">
        <v>62</v>
      </c>
      <c r="AD223" t="s">
        <v>2220</v>
      </c>
    </row>
    <row r="224" spans="1:30" x14ac:dyDescent="0.35">
      <c r="A224" t="s">
        <v>1144</v>
      </c>
      <c r="B224" t="s">
        <v>119</v>
      </c>
      <c r="C224" t="e">
        <v>#VALUE!</v>
      </c>
      <c r="D224" t="e">
        <v>#VALUE!</v>
      </c>
      <c r="F224">
        <v>825</v>
      </c>
      <c r="G224" t="s">
        <v>76</v>
      </c>
      <c r="H224">
        <v>1000</v>
      </c>
      <c r="J224">
        <v>5</v>
      </c>
      <c r="L224">
        <v>9.0238044783499305</v>
      </c>
      <c r="M224">
        <v>0</v>
      </c>
      <c r="N224" s="21">
        <v>45005</v>
      </c>
      <c r="O224" s="21">
        <v>46100</v>
      </c>
      <c r="P224">
        <v>3</v>
      </c>
      <c r="Q224">
        <v>0</v>
      </c>
      <c r="R224">
        <v>12</v>
      </c>
      <c r="S224" t="s">
        <v>63</v>
      </c>
      <c r="U224">
        <v>36</v>
      </c>
      <c r="V224" t="e">
        <v>#VALUE!</v>
      </c>
      <c r="W224" t="e">
        <v>#VALUE!</v>
      </c>
      <c r="X224" t="e">
        <v>#VALUE!</v>
      </c>
      <c r="Y224" t="e">
        <v>#VALUE!</v>
      </c>
      <c r="Z224" t="e">
        <v>#VALUE!</v>
      </c>
      <c r="AA224" t="e">
        <v>#VALUE!</v>
      </c>
      <c r="AB224" t="s">
        <v>64</v>
      </c>
      <c r="AC224" t="s">
        <v>62</v>
      </c>
      <c r="AD224" t="s">
        <v>2220</v>
      </c>
    </row>
    <row r="225" spans="1:30" x14ac:dyDescent="0.35">
      <c r="A225" t="s">
        <v>1143</v>
      </c>
      <c r="B225" t="s">
        <v>316</v>
      </c>
      <c r="C225" t="e">
        <v>#VALUE!</v>
      </c>
      <c r="D225" t="e">
        <v>#VALUE!</v>
      </c>
      <c r="F225">
        <v>1005.21</v>
      </c>
      <c r="G225" t="s">
        <v>76</v>
      </c>
      <c r="H225">
        <v>1000</v>
      </c>
      <c r="J225">
        <v>10</v>
      </c>
      <c r="L225">
        <v>-0.189368744198084</v>
      </c>
      <c r="M225">
        <v>0</v>
      </c>
      <c r="N225" s="21">
        <v>45006</v>
      </c>
      <c r="O225" s="21">
        <v>46101</v>
      </c>
      <c r="P225">
        <v>7</v>
      </c>
      <c r="Q225">
        <v>0</v>
      </c>
      <c r="R225">
        <v>12</v>
      </c>
      <c r="S225" t="s">
        <v>63</v>
      </c>
      <c r="U225">
        <v>84</v>
      </c>
      <c r="V225" t="e">
        <v>#VALUE!</v>
      </c>
      <c r="W225" t="e">
        <v>#VALUE!</v>
      </c>
      <c r="X225" t="e">
        <v>#VALUE!</v>
      </c>
      <c r="Y225" t="e">
        <v>#VALUE!</v>
      </c>
      <c r="Z225" t="e">
        <v>#VALUE!</v>
      </c>
      <c r="AA225" t="e">
        <v>#VALUE!</v>
      </c>
      <c r="AB225" t="s">
        <v>64</v>
      </c>
      <c r="AC225" t="s">
        <v>62</v>
      </c>
      <c r="AD225" t="s">
        <v>2220</v>
      </c>
    </row>
    <row r="226" spans="1:30" x14ac:dyDescent="0.35">
      <c r="A226" t="s">
        <v>1135</v>
      </c>
      <c r="B226" t="s">
        <v>122</v>
      </c>
      <c r="C226" t="e">
        <v>#VALUE!</v>
      </c>
      <c r="D226" t="e">
        <v>#VALUE!</v>
      </c>
      <c r="F226">
        <v>1231</v>
      </c>
      <c r="G226" t="s">
        <v>76</v>
      </c>
      <c r="H226">
        <v>1000</v>
      </c>
      <c r="J226">
        <v>332</v>
      </c>
      <c r="L226">
        <v>-8.3630152679705798</v>
      </c>
      <c r="M226">
        <v>0</v>
      </c>
      <c r="N226" s="21">
        <v>45007</v>
      </c>
      <c r="O226" s="21">
        <v>46102</v>
      </c>
      <c r="P226">
        <v>5</v>
      </c>
      <c r="Q226">
        <v>0</v>
      </c>
      <c r="R226">
        <v>12</v>
      </c>
      <c r="S226" t="s">
        <v>63</v>
      </c>
      <c r="U226">
        <v>60</v>
      </c>
      <c r="V226" t="e">
        <v>#VALUE!</v>
      </c>
      <c r="W226" t="e">
        <v>#VALUE!</v>
      </c>
      <c r="X226" t="e">
        <v>#VALUE!</v>
      </c>
      <c r="Y226" t="e">
        <v>#VALUE!</v>
      </c>
      <c r="Z226" t="e">
        <v>#VALUE!</v>
      </c>
      <c r="AA226" t="e">
        <v>#VALUE!</v>
      </c>
      <c r="AB226" t="s">
        <v>64</v>
      </c>
      <c r="AC226" t="s">
        <v>62</v>
      </c>
      <c r="AD226" t="s">
        <v>2220</v>
      </c>
    </row>
    <row r="227" spans="1:30" x14ac:dyDescent="0.35">
      <c r="A227" t="s">
        <v>1132</v>
      </c>
      <c r="B227" t="s">
        <v>122</v>
      </c>
      <c r="C227" t="e">
        <v>#VALUE!</v>
      </c>
      <c r="D227" t="e">
        <v>#VALUE!</v>
      </c>
      <c r="F227">
        <v>998.8</v>
      </c>
      <c r="G227" t="s">
        <v>76</v>
      </c>
      <c r="H227">
        <v>1000</v>
      </c>
      <c r="J227">
        <v>40</v>
      </c>
      <c r="L227">
        <v>4.9495059986206499E-2</v>
      </c>
      <c r="M227">
        <v>0</v>
      </c>
      <c r="N227" s="21">
        <v>45008</v>
      </c>
      <c r="O227" s="21">
        <v>46103</v>
      </c>
      <c r="P227">
        <v>3</v>
      </c>
      <c r="Q227">
        <v>0</v>
      </c>
      <c r="R227">
        <v>12</v>
      </c>
      <c r="S227" t="s">
        <v>63</v>
      </c>
      <c r="U227">
        <v>36</v>
      </c>
      <c r="V227" t="e">
        <v>#VALUE!</v>
      </c>
      <c r="W227" t="e">
        <v>#VALUE!</v>
      </c>
      <c r="X227" t="e">
        <v>#VALUE!</v>
      </c>
      <c r="Y227" t="e">
        <v>#VALUE!</v>
      </c>
      <c r="Z227" t="e">
        <v>#VALUE!</v>
      </c>
      <c r="AA227" t="e">
        <v>#VALUE!</v>
      </c>
      <c r="AB227" t="s">
        <v>64</v>
      </c>
      <c r="AC227" t="s">
        <v>62</v>
      </c>
      <c r="AD227" t="s">
        <v>2220</v>
      </c>
    </row>
    <row r="228" spans="1:30" x14ac:dyDescent="0.35">
      <c r="A228" t="s">
        <v>1128</v>
      </c>
      <c r="B228" t="s">
        <v>316</v>
      </c>
      <c r="C228" t="e">
        <v>#VALUE!</v>
      </c>
      <c r="D228" t="e">
        <v>#VALUE!</v>
      </c>
      <c r="F228">
        <v>916</v>
      </c>
      <c r="G228" t="s">
        <v>76</v>
      </c>
      <c r="H228">
        <v>1000</v>
      </c>
      <c r="J228">
        <v>1</v>
      </c>
      <c r="L228">
        <v>3.8166038449856301</v>
      </c>
      <c r="M228">
        <v>0</v>
      </c>
      <c r="N228" s="21">
        <v>45009</v>
      </c>
      <c r="O228" s="21">
        <v>46104</v>
      </c>
      <c r="P228">
        <v>4</v>
      </c>
      <c r="Q228">
        <v>0</v>
      </c>
      <c r="R228">
        <v>12</v>
      </c>
      <c r="S228" t="s">
        <v>63</v>
      </c>
      <c r="U228">
        <v>48</v>
      </c>
      <c r="V228" t="e">
        <v>#VALUE!</v>
      </c>
      <c r="W228" t="e">
        <v>#VALUE!</v>
      </c>
      <c r="X228" t="e">
        <v>#VALUE!</v>
      </c>
      <c r="Y228" t="e">
        <v>#VALUE!</v>
      </c>
      <c r="Z228" t="e">
        <v>#VALUE!</v>
      </c>
      <c r="AA228" t="e">
        <v>#VALUE!</v>
      </c>
      <c r="AB228" t="s">
        <v>64</v>
      </c>
      <c r="AC228" t="s">
        <v>62</v>
      </c>
      <c r="AD228" t="s">
        <v>2220</v>
      </c>
    </row>
    <row r="229" spans="1:30" x14ac:dyDescent="0.35">
      <c r="A229" t="s">
        <v>1126</v>
      </c>
      <c r="B229" t="s">
        <v>460</v>
      </c>
      <c r="C229" t="e">
        <v>#VALUE!</v>
      </c>
      <c r="D229" t="e">
        <v>#VALUE!</v>
      </c>
      <c r="F229">
        <v>1515</v>
      </c>
      <c r="G229" t="s">
        <v>76</v>
      </c>
      <c r="H229">
        <v>1000</v>
      </c>
      <c r="J229">
        <v>49</v>
      </c>
      <c r="L229">
        <v>-14.5118020573987</v>
      </c>
      <c r="M229">
        <v>0</v>
      </c>
      <c r="N229" s="21">
        <v>45010</v>
      </c>
      <c r="O229" s="21">
        <v>46105</v>
      </c>
      <c r="P229">
        <v>7</v>
      </c>
      <c r="Q229">
        <v>0</v>
      </c>
      <c r="R229">
        <v>12</v>
      </c>
      <c r="S229" t="s">
        <v>63</v>
      </c>
      <c r="U229">
        <v>84</v>
      </c>
      <c r="V229" t="e">
        <v>#VALUE!</v>
      </c>
      <c r="W229" t="e">
        <v>#VALUE!</v>
      </c>
      <c r="X229" t="e">
        <v>#VALUE!</v>
      </c>
      <c r="Y229" t="e">
        <v>#VALUE!</v>
      </c>
      <c r="Z229" t="e">
        <v>#VALUE!</v>
      </c>
      <c r="AA229" t="e">
        <v>#VALUE!</v>
      </c>
      <c r="AB229" t="s">
        <v>64</v>
      </c>
      <c r="AC229" t="s">
        <v>62</v>
      </c>
      <c r="AD229" t="s">
        <v>2220</v>
      </c>
    </row>
    <row r="230" spans="1:30" x14ac:dyDescent="0.35">
      <c r="A230" t="s">
        <v>1125</v>
      </c>
      <c r="B230" t="s">
        <v>241</v>
      </c>
      <c r="C230" t="e">
        <v>#VALUE!</v>
      </c>
      <c r="D230" t="e">
        <v>#VALUE!</v>
      </c>
      <c r="F230">
        <v>1021.8</v>
      </c>
      <c r="G230" t="s">
        <v>76</v>
      </c>
      <c r="H230">
        <v>1000</v>
      </c>
      <c r="J230">
        <v>150</v>
      </c>
      <c r="L230">
        <v>-0.92156665172609697</v>
      </c>
      <c r="M230">
        <v>0</v>
      </c>
      <c r="N230" s="21">
        <v>45011</v>
      </c>
      <c r="O230" s="21">
        <v>46106</v>
      </c>
      <c r="P230">
        <v>3</v>
      </c>
      <c r="Q230">
        <v>0</v>
      </c>
      <c r="R230">
        <v>12</v>
      </c>
      <c r="S230" t="s">
        <v>63</v>
      </c>
      <c r="U230">
        <v>36</v>
      </c>
      <c r="V230" t="e">
        <v>#VALUE!</v>
      </c>
      <c r="W230" t="e">
        <v>#VALUE!</v>
      </c>
      <c r="X230" t="e">
        <v>#VALUE!</v>
      </c>
      <c r="Y230" t="e">
        <v>#VALUE!</v>
      </c>
      <c r="Z230" t="e">
        <v>#VALUE!</v>
      </c>
      <c r="AA230" t="e">
        <v>#VALUE!</v>
      </c>
      <c r="AB230" t="s">
        <v>64</v>
      </c>
      <c r="AC230" t="s">
        <v>62</v>
      </c>
      <c r="AD230" t="s">
        <v>2220</v>
      </c>
    </row>
    <row r="231" spans="1:30" x14ac:dyDescent="0.35">
      <c r="A231" t="s">
        <v>1122</v>
      </c>
      <c r="B231" t="s">
        <v>272</v>
      </c>
      <c r="C231" t="e">
        <v>#VALUE!</v>
      </c>
      <c r="D231" t="e">
        <v>#VALUE!</v>
      </c>
      <c r="F231">
        <v>1145</v>
      </c>
      <c r="G231" t="s">
        <v>76</v>
      </c>
      <c r="H231">
        <v>1000</v>
      </c>
      <c r="J231">
        <v>800</v>
      </c>
      <c r="L231">
        <v>-5.3622630421787401</v>
      </c>
      <c r="M231">
        <v>0</v>
      </c>
      <c r="N231" s="21">
        <v>45012</v>
      </c>
      <c r="O231" s="21">
        <v>46107</v>
      </c>
      <c r="P231">
        <v>5</v>
      </c>
      <c r="Q231">
        <v>0</v>
      </c>
      <c r="R231">
        <v>12</v>
      </c>
      <c r="S231" t="s">
        <v>63</v>
      </c>
      <c r="U231">
        <v>60</v>
      </c>
      <c r="V231" t="e">
        <v>#VALUE!</v>
      </c>
      <c r="W231" t="e">
        <v>#VALUE!</v>
      </c>
      <c r="X231" t="e">
        <v>#VALUE!</v>
      </c>
      <c r="Y231" t="e">
        <v>#VALUE!</v>
      </c>
      <c r="Z231" t="e">
        <v>#VALUE!</v>
      </c>
      <c r="AA231" t="e">
        <v>#VALUE!</v>
      </c>
      <c r="AB231" t="s">
        <v>64</v>
      </c>
      <c r="AC231" t="s">
        <v>62</v>
      </c>
      <c r="AD231" t="s">
        <v>2220</v>
      </c>
    </row>
    <row r="232" spans="1:30" x14ac:dyDescent="0.35">
      <c r="A232" t="s">
        <v>1116</v>
      </c>
      <c r="B232" t="s">
        <v>875</v>
      </c>
      <c r="C232" t="e">
        <v>#VALUE!</v>
      </c>
      <c r="D232" t="e">
        <v>#VALUE!</v>
      </c>
      <c r="F232">
        <v>1087</v>
      </c>
      <c r="G232" t="s">
        <v>76</v>
      </c>
      <c r="H232">
        <v>1000</v>
      </c>
      <c r="J232">
        <v>500</v>
      </c>
      <c r="L232">
        <v>-2.8612567544310901</v>
      </c>
      <c r="M232">
        <v>0</v>
      </c>
      <c r="N232" s="21">
        <v>45013</v>
      </c>
      <c r="O232" s="21">
        <v>46108</v>
      </c>
      <c r="P232">
        <v>4</v>
      </c>
      <c r="Q232">
        <v>0</v>
      </c>
      <c r="R232">
        <v>12</v>
      </c>
      <c r="S232" t="s">
        <v>63</v>
      </c>
      <c r="U232">
        <v>48</v>
      </c>
      <c r="V232" t="e">
        <v>#VALUE!</v>
      </c>
      <c r="W232" t="e">
        <v>#VALUE!</v>
      </c>
      <c r="X232" t="e">
        <v>#VALUE!</v>
      </c>
      <c r="Y232" t="e">
        <v>#VALUE!</v>
      </c>
      <c r="Z232" t="e">
        <v>#VALUE!</v>
      </c>
      <c r="AA232" t="e">
        <v>#VALUE!</v>
      </c>
      <c r="AB232" t="s">
        <v>64</v>
      </c>
      <c r="AC232" t="s">
        <v>62</v>
      </c>
      <c r="AD232" t="s">
        <v>2220</v>
      </c>
    </row>
    <row r="233" spans="1:30" x14ac:dyDescent="0.35">
      <c r="A233" t="s">
        <v>1115</v>
      </c>
      <c r="B233" t="s">
        <v>1114</v>
      </c>
      <c r="C233" t="e">
        <v>#VALUE!</v>
      </c>
      <c r="D233" t="e">
        <v>#VALUE!</v>
      </c>
      <c r="F233">
        <v>98980</v>
      </c>
      <c r="G233" t="s">
        <v>76</v>
      </c>
      <c r="H233">
        <v>100000</v>
      </c>
      <c r="J233">
        <v>3</v>
      </c>
      <c r="L233">
        <v>0.441474874707936</v>
      </c>
      <c r="M233">
        <v>0</v>
      </c>
      <c r="N233" s="21">
        <v>45014</v>
      </c>
      <c r="O233" s="21">
        <v>46109</v>
      </c>
      <c r="P233">
        <v>3</v>
      </c>
      <c r="Q233">
        <v>0</v>
      </c>
      <c r="R233">
        <v>12</v>
      </c>
      <c r="S233" t="s">
        <v>63</v>
      </c>
      <c r="U233">
        <v>36</v>
      </c>
      <c r="V233" t="e">
        <v>#VALUE!</v>
      </c>
      <c r="W233" t="e">
        <v>#VALUE!</v>
      </c>
      <c r="X233" t="e">
        <v>#VALUE!</v>
      </c>
      <c r="Y233" t="e">
        <v>#VALUE!</v>
      </c>
      <c r="Z233" t="e">
        <v>#VALUE!</v>
      </c>
      <c r="AA233" t="e">
        <v>#VALUE!</v>
      </c>
      <c r="AB233" t="s">
        <v>64</v>
      </c>
      <c r="AC233" t="s">
        <v>62</v>
      </c>
      <c r="AD233" t="s">
        <v>2220</v>
      </c>
    </row>
    <row r="234" spans="1:30" x14ac:dyDescent="0.35">
      <c r="A234" t="s">
        <v>1113</v>
      </c>
      <c r="B234" t="s">
        <v>460</v>
      </c>
      <c r="C234" t="e">
        <v>#VALUE!</v>
      </c>
      <c r="D234" t="e">
        <v>#VALUE!</v>
      </c>
      <c r="F234">
        <v>840.01</v>
      </c>
      <c r="G234" t="s">
        <v>76</v>
      </c>
      <c r="H234">
        <v>1000</v>
      </c>
      <c r="J234">
        <v>4</v>
      </c>
      <c r="L234">
        <v>6.5275715195207997</v>
      </c>
      <c r="M234">
        <v>0</v>
      </c>
      <c r="N234" s="21">
        <v>45015</v>
      </c>
      <c r="O234" s="21">
        <v>46110</v>
      </c>
      <c r="P234">
        <v>3</v>
      </c>
      <c r="Q234">
        <v>0</v>
      </c>
      <c r="R234">
        <v>12</v>
      </c>
      <c r="S234" t="s">
        <v>63</v>
      </c>
      <c r="U234">
        <v>36</v>
      </c>
      <c r="V234" t="e">
        <v>#VALUE!</v>
      </c>
      <c r="W234" t="e">
        <v>#VALUE!</v>
      </c>
      <c r="X234" t="e">
        <v>#VALUE!</v>
      </c>
      <c r="Y234" t="e">
        <v>#VALUE!</v>
      </c>
      <c r="Z234" t="e">
        <v>#VALUE!</v>
      </c>
      <c r="AA234" t="e">
        <v>#VALUE!</v>
      </c>
      <c r="AB234" t="s">
        <v>64</v>
      </c>
      <c r="AC234" t="s">
        <v>62</v>
      </c>
      <c r="AD234" t="s">
        <v>2220</v>
      </c>
    </row>
    <row r="235" spans="1:30" x14ac:dyDescent="0.35">
      <c r="A235" t="s">
        <v>1107</v>
      </c>
      <c r="B235" t="s">
        <v>460</v>
      </c>
      <c r="C235" t="e">
        <v>#VALUE!</v>
      </c>
      <c r="D235" t="e">
        <v>#VALUE!</v>
      </c>
      <c r="F235">
        <v>1055.4000000000001</v>
      </c>
      <c r="G235" t="s">
        <v>76</v>
      </c>
      <c r="H235">
        <v>1000</v>
      </c>
      <c r="J235">
        <v>35</v>
      </c>
      <c r="L235">
        <v>-2.2278558553794201</v>
      </c>
      <c r="M235">
        <v>0</v>
      </c>
      <c r="N235" s="21">
        <v>45016</v>
      </c>
      <c r="O235" s="21">
        <v>46111</v>
      </c>
      <c r="P235">
        <v>5</v>
      </c>
      <c r="Q235">
        <v>0</v>
      </c>
      <c r="R235">
        <v>12</v>
      </c>
      <c r="S235" t="s">
        <v>63</v>
      </c>
      <c r="U235">
        <v>60</v>
      </c>
      <c r="V235" t="e">
        <v>#VALUE!</v>
      </c>
      <c r="W235" t="e">
        <v>#VALUE!</v>
      </c>
      <c r="X235" t="e">
        <v>#VALUE!</v>
      </c>
      <c r="Y235" t="e">
        <v>#VALUE!</v>
      </c>
      <c r="Z235" t="e">
        <v>#VALUE!</v>
      </c>
      <c r="AA235" t="e">
        <v>#VALUE!</v>
      </c>
      <c r="AB235" t="s">
        <v>64</v>
      </c>
      <c r="AC235" t="s">
        <v>62</v>
      </c>
      <c r="AD235" t="s">
        <v>2220</v>
      </c>
    </row>
    <row r="236" spans="1:30" x14ac:dyDescent="0.35">
      <c r="A236" t="s">
        <v>1105</v>
      </c>
      <c r="B236" t="s">
        <v>875</v>
      </c>
      <c r="C236" t="e">
        <v>#VALUE!</v>
      </c>
      <c r="D236" t="e">
        <v>#VALUE!</v>
      </c>
      <c r="F236">
        <v>1312.34</v>
      </c>
      <c r="G236" t="s">
        <v>76</v>
      </c>
      <c r="H236">
        <v>1000</v>
      </c>
      <c r="J236">
        <v>300</v>
      </c>
      <c r="L236">
        <v>-10.0312767480094</v>
      </c>
      <c r="M236">
        <v>0</v>
      </c>
      <c r="N236" s="21">
        <v>45017</v>
      </c>
      <c r="O236" s="21">
        <v>46112</v>
      </c>
      <c r="P236">
        <v>5</v>
      </c>
      <c r="Q236">
        <v>0</v>
      </c>
      <c r="R236">
        <v>12</v>
      </c>
      <c r="S236" t="s">
        <v>63</v>
      </c>
      <c r="U236">
        <v>60</v>
      </c>
      <c r="V236" t="e">
        <v>#VALUE!</v>
      </c>
      <c r="W236" t="e">
        <v>#VALUE!</v>
      </c>
      <c r="X236" t="e">
        <v>#VALUE!</v>
      </c>
      <c r="Y236" t="e">
        <v>#VALUE!</v>
      </c>
      <c r="Z236" t="e">
        <v>#VALUE!</v>
      </c>
      <c r="AA236" t="e">
        <v>#VALUE!</v>
      </c>
      <c r="AB236" t="s">
        <v>64</v>
      </c>
      <c r="AC236" t="s">
        <v>62</v>
      </c>
      <c r="AD236" t="s">
        <v>2220</v>
      </c>
    </row>
    <row r="237" spans="1:30" x14ac:dyDescent="0.35">
      <c r="A237" t="s">
        <v>1104</v>
      </c>
      <c r="B237" t="s">
        <v>1103</v>
      </c>
      <c r="C237" t="e">
        <v>#VALUE!</v>
      </c>
      <c r="D237" t="e">
        <v>#VALUE!</v>
      </c>
      <c r="F237">
        <v>110900</v>
      </c>
      <c r="G237" t="s">
        <v>76</v>
      </c>
      <c r="H237">
        <v>100000</v>
      </c>
      <c r="J237">
        <v>4</v>
      </c>
      <c r="L237">
        <v>-3.84508701581235</v>
      </c>
      <c r="M237">
        <v>0</v>
      </c>
      <c r="N237" s="21">
        <v>45018</v>
      </c>
      <c r="O237" s="21">
        <v>46113</v>
      </c>
      <c r="P237">
        <v>4</v>
      </c>
      <c r="Q237">
        <v>0</v>
      </c>
      <c r="R237">
        <v>12</v>
      </c>
      <c r="S237" t="s">
        <v>63</v>
      </c>
      <c r="U237">
        <v>48</v>
      </c>
      <c r="V237" t="e">
        <v>#VALUE!</v>
      </c>
      <c r="W237" t="e">
        <v>#VALUE!</v>
      </c>
      <c r="X237" t="e">
        <v>#VALUE!</v>
      </c>
      <c r="Y237" t="e">
        <v>#VALUE!</v>
      </c>
      <c r="Z237" t="e">
        <v>#VALUE!</v>
      </c>
      <c r="AA237" t="e">
        <v>#VALUE!</v>
      </c>
      <c r="AB237" t="s">
        <v>69</v>
      </c>
      <c r="AC237" t="s">
        <v>62</v>
      </c>
      <c r="AD237" t="s">
        <v>2220</v>
      </c>
    </row>
    <row r="238" spans="1:30" x14ac:dyDescent="0.35">
      <c r="A238" t="s">
        <v>1089</v>
      </c>
      <c r="B238" t="s">
        <v>357</v>
      </c>
      <c r="C238" t="e">
        <v>#VALUE!</v>
      </c>
      <c r="D238" t="e">
        <v>#VALUE!</v>
      </c>
      <c r="F238">
        <v>1650</v>
      </c>
      <c r="G238" t="s">
        <v>76</v>
      </c>
      <c r="H238">
        <v>100000</v>
      </c>
      <c r="J238">
        <v>50</v>
      </c>
      <c r="M238">
        <v>0</v>
      </c>
      <c r="N238" s="21">
        <v>45019</v>
      </c>
      <c r="O238" s="21">
        <v>46114</v>
      </c>
      <c r="P238">
        <v>3</v>
      </c>
      <c r="Q238">
        <v>0</v>
      </c>
      <c r="R238">
        <v>12</v>
      </c>
      <c r="S238" t="s">
        <v>63</v>
      </c>
      <c r="U238">
        <v>36</v>
      </c>
      <c r="V238" t="e">
        <v>#VALUE!</v>
      </c>
      <c r="W238" t="e">
        <v>#VALUE!</v>
      </c>
      <c r="X238" t="e">
        <v>#VALUE!</v>
      </c>
      <c r="Y238" t="e">
        <v>#VALUE!</v>
      </c>
      <c r="Z238" t="e">
        <v>#VALUE!</v>
      </c>
      <c r="AA238" t="e">
        <v>#VALUE!</v>
      </c>
      <c r="AB238" t="s">
        <v>64</v>
      </c>
      <c r="AC238" t="s">
        <v>62</v>
      </c>
      <c r="AD238" t="s">
        <v>2220</v>
      </c>
    </row>
    <row r="239" spans="1:30" x14ac:dyDescent="0.35">
      <c r="A239" t="s">
        <v>1085</v>
      </c>
      <c r="B239" t="s">
        <v>272</v>
      </c>
      <c r="C239" t="e">
        <v>#VALUE!</v>
      </c>
      <c r="D239" t="e">
        <v>#VALUE!</v>
      </c>
      <c r="F239">
        <v>1182.8</v>
      </c>
      <c r="G239" t="s">
        <v>76</v>
      </c>
      <c r="H239">
        <v>1000</v>
      </c>
      <c r="J239">
        <v>200</v>
      </c>
      <c r="L239">
        <v>-6.2262928315420201</v>
      </c>
      <c r="M239">
        <v>0</v>
      </c>
      <c r="N239" s="21">
        <v>45020</v>
      </c>
      <c r="O239" s="21">
        <v>46115</v>
      </c>
      <c r="P239">
        <v>5</v>
      </c>
      <c r="Q239">
        <v>0</v>
      </c>
      <c r="R239">
        <v>12</v>
      </c>
      <c r="S239" t="s">
        <v>63</v>
      </c>
      <c r="U239">
        <v>60</v>
      </c>
      <c r="V239" t="e">
        <v>#VALUE!</v>
      </c>
      <c r="W239" t="e">
        <v>#VALUE!</v>
      </c>
      <c r="X239" t="e">
        <v>#VALUE!</v>
      </c>
      <c r="Y239" t="e">
        <v>#VALUE!</v>
      </c>
      <c r="Z239" t="e">
        <v>#VALUE!</v>
      </c>
      <c r="AA239" t="e">
        <v>#VALUE!</v>
      </c>
      <c r="AB239" t="s">
        <v>64</v>
      </c>
      <c r="AC239" t="s">
        <v>62</v>
      </c>
      <c r="AD239" t="s">
        <v>2220</v>
      </c>
    </row>
    <row r="240" spans="1:30" x14ac:dyDescent="0.35">
      <c r="A240" t="s">
        <v>1082</v>
      </c>
      <c r="B240" t="s">
        <v>460</v>
      </c>
      <c r="C240" t="e">
        <v>#VALUE!</v>
      </c>
      <c r="D240" t="e">
        <v>#VALUE!</v>
      </c>
      <c r="F240">
        <v>1500</v>
      </c>
      <c r="G240" t="s">
        <v>76</v>
      </c>
      <c r="H240">
        <v>1000</v>
      </c>
      <c r="J240">
        <v>1</v>
      </c>
      <c r="L240">
        <v>-13.655069210624699</v>
      </c>
      <c r="M240">
        <v>0</v>
      </c>
      <c r="N240" s="21">
        <v>45021</v>
      </c>
      <c r="O240" s="21">
        <v>46116</v>
      </c>
      <c r="P240">
        <v>7</v>
      </c>
      <c r="Q240">
        <v>0</v>
      </c>
      <c r="R240">
        <v>12</v>
      </c>
      <c r="S240" t="s">
        <v>63</v>
      </c>
      <c r="U240">
        <v>84</v>
      </c>
      <c r="V240" t="e">
        <v>#VALUE!</v>
      </c>
      <c r="W240" t="e">
        <v>#VALUE!</v>
      </c>
      <c r="X240" t="e">
        <v>#VALUE!</v>
      </c>
      <c r="Y240" t="e">
        <v>#VALUE!</v>
      </c>
      <c r="Z240" t="e">
        <v>#VALUE!</v>
      </c>
      <c r="AA240" t="e">
        <v>#VALUE!</v>
      </c>
      <c r="AB240" t="s">
        <v>64</v>
      </c>
      <c r="AC240" t="s">
        <v>62</v>
      </c>
      <c r="AD240" t="s">
        <v>2220</v>
      </c>
    </row>
    <row r="241" spans="1:30" x14ac:dyDescent="0.35">
      <c r="A241" t="s">
        <v>1069</v>
      </c>
      <c r="B241" t="s">
        <v>241</v>
      </c>
      <c r="C241" t="e">
        <v>#VALUE!</v>
      </c>
      <c r="D241" t="e">
        <v>#VALUE!</v>
      </c>
      <c r="F241">
        <v>990.2</v>
      </c>
      <c r="G241" t="s">
        <v>76</v>
      </c>
      <c r="H241">
        <v>1000</v>
      </c>
      <c r="J241">
        <v>1</v>
      </c>
      <c r="L241">
        <v>0.38552844557560301</v>
      </c>
      <c r="M241">
        <v>0</v>
      </c>
      <c r="N241" s="21">
        <v>45022</v>
      </c>
      <c r="O241" s="21">
        <v>46117</v>
      </c>
      <c r="P241">
        <v>3</v>
      </c>
      <c r="Q241">
        <v>0</v>
      </c>
      <c r="R241">
        <v>12</v>
      </c>
      <c r="S241" t="s">
        <v>63</v>
      </c>
      <c r="U241">
        <v>36</v>
      </c>
      <c r="V241" t="e">
        <v>#VALUE!</v>
      </c>
      <c r="W241" t="e">
        <v>#VALUE!</v>
      </c>
      <c r="X241" t="e">
        <v>#VALUE!</v>
      </c>
      <c r="Y241" t="e">
        <v>#VALUE!</v>
      </c>
      <c r="Z241" t="e">
        <v>#VALUE!</v>
      </c>
      <c r="AA241" t="e">
        <v>#VALUE!</v>
      </c>
      <c r="AB241" t="s">
        <v>64</v>
      </c>
      <c r="AC241" t="s">
        <v>62</v>
      </c>
      <c r="AD241" t="s">
        <v>2220</v>
      </c>
    </row>
    <row r="242" spans="1:30" x14ac:dyDescent="0.35">
      <c r="A242" t="s">
        <v>1060</v>
      </c>
      <c r="B242" t="s">
        <v>122</v>
      </c>
      <c r="C242" t="e">
        <v>#VALUE!</v>
      </c>
      <c r="D242" t="e">
        <v>#VALUE!</v>
      </c>
      <c r="F242">
        <v>1218.8</v>
      </c>
      <c r="G242" t="s">
        <v>76</v>
      </c>
      <c r="H242">
        <v>1000</v>
      </c>
      <c r="J242">
        <v>18</v>
      </c>
      <c r="L242">
        <v>-7.1769010583012802</v>
      </c>
      <c r="M242">
        <v>0</v>
      </c>
      <c r="N242" s="21">
        <v>45023</v>
      </c>
      <c r="O242" s="21">
        <v>46118</v>
      </c>
      <c r="P242">
        <v>5</v>
      </c>
      <c r="Q242">
        <v>0</v>
      </c>
      <c r="R242">
        <v>12</v>
      </c>
      <c r="S242" t="s">
        <v>63</v>
      </c>
      <c r="U242">
        <v>60</v>
      </c>
      <c r="V242" t="e">
        <v>#VALUE!</v>
      </c>
      <c r="W242" t="e">
        <v>#VALUE!</v>
      </c>
      <c r="X242" t="e">
        <v>#VALUE!</v>
      </c>
      <c r="Y242" t="e">
        <v>#VALUE!</v>
      </c>
      <c r="Z242" t="e">
        <v>#VALUE!</v>
      </c>
      <c r="AA242" t="e">
        <v>#VALUE!</v>
      </c>
      <c r="AB242" t="s">
        <v>64</v>
      </c>
      <c r="AC242" t="s">
        <v>62</v>
      </c>
      <c r="AD242" t="s">
        <v>2220</v>
      </c>
    </row>
    <row r="243" spans="1:30" x14ac:dyDescent="0.35">
      <c r="A243" t="s">
        <v>1057</v>
      </c>
      <c r="B243" t="s">
        <v>316</v>
      </c>
      <c r="C243" t="e">
        <v>#VALUE!</v>
      </c>
      <c r="D243" t="e">
        <v>#VALUE!</v>
      </c>
      <c r="F243">
        <v>1250</v>
      </c>
      <c r="G243" t="s">
        <v>76</v>
      </c>
      <c r="H243">
        <v>1000</v>
      </c>
      <c r="J243">
        <v>10</v>
      </c>
      <c r="L243">
        <v>-5.2745664739884397</v>
      </c>
      <c r="M243">
        <v>0</v>
      </c>
      <c r="N243" s="21">
        <v>45024</v>
      </c>
      <c r="O243" s="21">
        <v>46119</v>
      </c>
      <c r="P243">
        <v>7</v>
      </c>
      <c r="Q243">
        <v>0</v>
      </c>
      <c r="R243">
        <v>12</v>
      </c>
      <c r="S243" t="s">
        <v>63</v>
      </c>
      <c r="U243">
        <v>84</v>
      </c>
      <c r="V243" t="e">
        <v>#VALUE!</v>
      </c>
      <c r="W243" t="e">
        <v>#VALUE!</v>
      </c>
      <c r="X243" t="e">
        <v>#VALUE!</v>
      </c>
      <c r="Y243" t="e">
        <v>#VALUE!</v>
      </c>
      <c r="Z243" t="e">
        <v>#VALUE!</v>
      </c>
      <c r="AA243" t="e">
        <v>#VALUE!</v>
      </c>
      <c r="AB243" t="s">
        <v>64</v>
      </c>
      <c r="AC243" t="s">
        <v>62</v>
      </c>
      <c r="AD243" t="s">
        <v>2220</v>
      </c>
    </row>
    <row r="244" spans="1:30" x14ac:dyDescent="0.35">
      <c r="A244" t="s">
        <v>1055</v>
      </c>
      <c r="B244" t="s">
        <v>483</v>
      </c>
      <c r="C244" t="e">
        <v>#VALUE!</v>
      </c>
      <c r="D244" t="e">
        <v>#VALUE!</v>
      </c>
      <c r="F244">
        <v>1180</v>
      </c>
      <c r="G244" t="s">
        <v>76</v>
      </c>
      <c r="H244">
        <v>1000</v>
      </c>
      <c r="J244">
        <v>772</v>
      </c>
      <c r="L244">
        <v>-6.0388249567998802</v>
      </c>
      <c r="M244">
        <v>0</v>
      </c>
      <c r="N244" s="21">
        <v>45025</v>
      </c>
      <c r="O244" s="21">
        <v>46120</v>
      </c>
      <c r="P244">
        <v>5</v>
      </c>
      <c r="Q244">
        <v>0</v>
      </c>
      <c r="R244">
        <v>12</v>
      </c>
      <c r="S244" t="s">
        <v>63</v>
      </c>
      <c r="U244">
        <v>60</v>
      </c>
      <c r="V244" t="e">
        <v>#VALUE!</v>
      </c>
      <c r="W244" t="e">
        <v>#VALUE!</v>
      </c>
      <c r="X244" t="e">
        <v>#VALUE!</v>
      </c>
      <c r="Y244" t="e">
        <v>#VALUE!</v>
      </c>
      <c r="Z244" t="e">
        <v>#VALUE!</v>
      </c>
      <c r="AA244" t="e">
        <v>#VALUE!</v>
      </c>
      <c r="AB244" t="s">
        <v>64</v>
      </c>
      <c r="AC244" t="s">
        <v>62</v>
      </c>
      <c r="AD244" t="s">
        <v>2220</v>
      </c>
    </row>
    <row r="245" spans="1:30" x14ac:dyDescent="0.35">
      <c r="A245" t="s">
        <v>1048</v>
      </c>
      <c r="B245" t="s">
        <v>122</v>
      </c>
      <c r="C245" t="e">
        <v>#VALUE!</v>
      </c>
      <c r="D245" t="e">
        <v>#VALUE!</v>
      </c>
      <c r="F245">
        <v>1000</v>
      </c>
      <c r="G245" t="s">
        <v>76</v>
      </c>
      <c r="H245">
        <v>1000</v>
      </c>
      <c r="J245">
        <v>30</v>
      </c>
      <c r="L245">
        <v>0</v>
      </c>
      <c r="M245">
        <v>0</v>
      </c>
      <c r="N245" s="21">
        <v>45026</v>
      </c>
      <c r="O245" s="21">
        <v>46121</v>
      </c>
      <c r="P245">
        <v>3</v>
      </c>
      <c r="Q245">
        <v>0</v>
      </c>
      <c r="R245">
        <v>12</v>
      </c>
      <c r="S245" t="s">
        <v>63</v>
      </c>
      <c r="U245">
        <v>36</v>
      </c>
      <c r="V245" t="e">
        <v>#VALUE!</v>
      </c>
      <c r="W245" t="e">
        <v>#VALUE!</v>
      </c>
      <c r="X245" t="e">
        <v>#VALUE!</v>
      </c>
      <c r="Y245" t="e">
        <v>#VALUE!</v>
      </c>
      <c r="Z245" t="e">
        <v>#VALUE!</v>
      </c>
      <c r="AA245" t="e">
        <v>#VALUE!</v>
      </c>
      <c r="AB245" t="s">
        <v>64</v>
      </c>
      <c r="AC245" t="s">
        <v>62</v>
      </c>
      <c r="AD245" t="s">
        <v>2220</v>
      </c>
    </row>
    <row r="246" spans="1:30" x14ac:dyDescent="0.35">
      <c r="A246" t="s">
        <v>1044</v>
      </c>
      <c r="B246" t="s">
        <v>338</v>
      </c>
      <c r="C246" t="e">
        <v>#VALUE!</v>
      </c>
      <c r="D246" t="e">
        <v>#VALUE!</v>
      </c>
      <c r="F246">
        <v>950</v>
      </c>
      <c r="G246" t="s">
        <v>76</v>
      </c>
      <c r="H246">
        <v>1000</v>
      </c>
      <c r="J246">
        <v>30</v>
      </c>
      <c r="L246">
        <v>1.89827335136259</v>
      </c>
      <c r="M246">
        <v>0</v>
      </c>
      <c r="N246" s="21">
        <v>45027</v>
      </c>
      <c r="O246" s="21">
        <v>46122</v>
      </c>
      <c r="P246">
        <v>3</v>
      </c>
      <c r="Q246">
        <v>0</v>
      </c>
      <c r="R246">
        <v>12</v>
      </c>
      <c r="S246" t="s">
        <v>63</v>
      </c>
      <c r="U246">
        <v>36</v>
      </c>
      <c r="V246" t="e">
        <v>#VALUE!</v>
      </c>
      <c r="W246" t="e">
        <v>#VALUE!</v>
      </c>
      <c r="X246" t="e">
        <v>#VALUE!</v>
      </c>
      <c r="Y246" t="e">
        <v>#VALUE!</v>
      </c>
      <c r="Z246" t="e">
        <v>#VALUE!</v>
      </c>
      <c r="AA246" t="e">
        <v>#VALUE!</v>
      </c>
      <c r="AB246" t="s">
        <v>64</v>
      </c>
      <c r="AC246" t="s">
        <v>62</v>
      </c>
      <c r="AD246" t="s">
        <v>2220</v>
      </c>
    </row>
    <row r="247" spans="1:30" x14ac:dyDescent="0.35">
      <c r="A247" t="s">
        <v>1036</v>
      </c>
      <c r="B247" t="s">
        <v>241</v>
      </c>
      <c r="C247" t="e">
        <v>#VALUE!</v>
      </c>
      <c r="D247" t="e">
        <v>#VALUE!</v>
      </c>
      <c r="F247">
        <v>1273.4000000000001</v>
      </c>
      <c r="G247" t="s">
        <v>76</v>
      </c>
      <c r="H247">
        <v>1000</v>
      </c>
      <c r="J247">
        <v>460</v>
      </c>
      <c r="L247">
        <v>-8.3102643018973197</v>
      </c>
      <c r="M247">
        <v>0</v>
      </c>
      <c r="N247" s="21">
        <v>45028</v>
      </c>
      <c r="O247" s="21">
        <v>46123</v>
      </c>
      <c r="P247">
        <v>6</v>
      </c>
      <c r="Q247">
        <v>0</v>
      </c>
      <c r="R247">
        <v>12</v>
      </c>
      <c r="S247" t="s">
        <v>63</v>
      </c>
      <c r="U247">
        <v>72</v>
      </c>
      <c r="V247" t="e">
        <v>#VALUE!</v>
      </c>
      <c r="W247" t="e">
        <v>#VALUE!</v>
      </c>
      <c r="X247" t="e">
        <v>#VALUE!</v>
      </c>
      <c r="Y247" t="e">
        <v>#VALUE!</v>
      </c>
      <c r="Z247" t="e">
        <v>#VALUE!</v>
      </c>
      <c r="AA247" t="e">
        <v>#VALUE!</v>
      </c>
      <c r="AB247" t="s">
        <v>64</v>
      </c>
      <c r="AC247" t="s">
        <v>62</v>
      </c>
      <c r="AD247" t="s">
        <v>2220</v>
      </c>
    </row>
    <row r="248" spans="1:30" x14ac:dyDescent="0.35">
      <c r="A248" t="s">
        <v>1035</v>
      </c>
      <c r="B248" t="s">
        <v>460</v>
      </c>
      <c r="C248" t="e">
        <v>#VALUE!</v>
      </c>
      <c r="D248" t="e">
        <v>#VALUE!</v>
      </c>
      <c r="F248">
        <v>1458.5</v>
      </c>
      <c r="G248" t="s">
        <v>76</v>
      </c>
      <c r="H248">
        <v>1000</v>
      </c>
      <c r="J248">
        <v>45</v>
      </c>
      <c r="L248">
        <v>-11.6372095869426</v>
      </c>
      <c r="M248">
        <v>0</v>
      </c>
      <c r="N248" s="21">
        <v>45029</v>
      </c>
      <c r="O248" s="21">
        <v>46124</v>
      </c>
      <c r="P248">
        <v>7</v>
      </c>
      <c r="Q248">
        <v>0</v>
      </c>
      <c r="R248">
        <v>12</v>
      </c>
      <c r="S248" t="s">
        <v>63</v>
      </c>
      <c r="U248">
        <v>84</v>
      </c>
      <c r="V248" t="e">
        <v>#VALUE!</v>
      </c>
      <c r="W248" t="e">
        <v>#VALUE!</v>
      </c>
      <c r="X248" t="e">
        <v>#VALUE!</v>
      </c>
      <c r="Y248" t="e">
        <v>#VALUE!</v>
      </c>
      <c r="Z248" t="e">
        <v>#VALUE!</v>
      </c>
      <c r="AA248" t="e">
        <v>#VALUE!</v>
      </c>
      <c r="AB248" t="s">
        <v>64</v>
      </c>
      <c r="AC248" t="s">
        <v>62</v>
      </c>
      <c r="AD248" t="s">
        <v>2220</v>
      </c>
    </row>
    <row r="249" spans="1:30" x14ac:dyDescent="0.35">
      <c r="A249" t="s">
        <v>1032</v>
      </c>
      <c r="B249" t="s">
        <v>444</v>
      </c>
      <c r="C249" t="e">
        <v>#VALUE!</v>
      </c>
      <c r="D249" t="e">
        <v>#VALUE!</v>
      </c>
      <c r="F249">
        <v>2379.9499999999998</v>
      </c>
      <c r="G249" t="s">
        <v>66</v>
      </c>
      <c r="H249">
        <v>1000</v>
      </c>
      <c r="J249">
        <v>1000000</v>
      </c>
      <c r="L249">
        <v>-22.3716103084049</v>
      </c>
      <c r="M249">
        <v>0</v>
      </c>
      <c r="N249" s="21">
        <v>45030</v>
      </c>
      <c r="O249" s="21">
        <v>46125</v>
      </c>
      <c r="P249">
        <v>6</v>
      </c>
      <c r="Q249">
        <v>0</v>
      </c>
      <c r="R249">
        <v>12</v>
      </c>
      <c r="S249" t="s">
        <v>63</v>
      </c>
      <c r="U249">
        <v>72</v>
      </c>
      <c r="V249" t="e">
        <v>#VALUE!</v>
      </c>
      <c r="W249" t="e">
        <v>#VALUE!</v>
      </c>
      <c r="X249" t="e">
        <v>#VALUE!</v>
      </c>
      <c r="Y249" t="e">
        <v>#VALUE!</v>
      </c>
      <c r="Z249" t="e">
        <v>#VALUE!</v>
      </c>
      <c r="AA249" t="e">
        <v>#VALUE!</v>
      </c>
      <c r="AB249" t="s">
        <v>79</v>
      </c>
      <c r="AC249" t="s">
        <v>62</v>
      </c>
      <c r="AD249" t="s">
        <v>2220</v>
      </c>
    </row>
    <row r="250" spans="1:30" x14ac:dyDescent="0.35">
      <c r="A250" t="s">
        <v>1027</v>
      </c>
      <c r="B250" t="s">
        <v>241</v>
      </c>
      <c r="C250" t="e">
        <v>#VALUE!</v>
      </c>
      <c r="D250" t="e">
        <v>#VALUE!</v>
      </c>
      <c r="F250">
        <v>1093</v>
      </c>
      <c r="G250" t="s">
        <v>76</v>
      </c>
      <c r="H250">
        <v>1000</v>
      </c>
      <c r="J250">
        <v>3</v>
      </c>
      <c r="L250">
        <v>-3.1658231000165</v>
      </c>
      <c r="M250">
        <v>0</v>
      </c>
      <c r="N250" s="21">
        <v>45031</v>
      </c>
      <c r="O250" s="21">
        <v>46126</v>
      </c>
      <c r="P250">
        <v>3</v>
      </c>
      <c r="Q250">
        <v>0</v>
      </c>
      <c r="R250">
        <v>12</v>
      </c>
      <c r="S250" t="s">
        <v>63</v>
      </c>
      <c r="U250">
        <v>36</v>
      </c>
      <c r="V250" t="e">
        <v>#VALUE!</v>
      </c>
      <c r="W250" t="e">
        <v>#VALUE!</v>
      </c>
      <c r="X250" t="e">
        <v>#VALUE!</v>
      </c>
      <c r="Y250" t="e">
        <v>#VALUE!</v>
      </c>
      <c r="Z250" t="e">
        <v>#VALUE!</v>
      </c>
      <c r="AA250" t="e">
        <v>#VALUE!</v>
      </c>
      <c r="AB250" t="s">
        <v>64</v>
      </c>
      <c r="AC250" t="s">
        <v>62</v>
      </c>
      <c r="AD250" t="s">
        <v>2220</v>
      </c>
    </row>
    <row r="251" spans="1:30" x14ac:dyDescent="0.35">
      <c r="A251" t="s">
        <v>1018</v>
      </c>
      <c r="B251" t="s">
        <v>1017</v>
      </c>
      <c r="C251" t="e">
        <v>#VALUE!</v>
      </c>
      <c r="D251" t="e">
        <v>#VALUE!</v>
      </c>
      <c r="F251">
        <v>111317</v>
      </c>
      <c r="G251" t="s">
        <v>76</v>
      </c>
      <c r="H251">
        <v>100000</v>
      </c>
      <c r="J251">
        <v>1</v>
      </c>
      <c r="L251">
        <v>-3.8059061175027198</v>
      </c>
      <c r="M251">
        <v>0</v>
      </c>
      <c r="N251" s="21">
        <v>45032</v>
      </c>
      <c r="O251" s="21">
        <v>46127</v>
      </c>
      <c r="P251">
        <v>4</v>
      </c>
      <c r="Q251">
        <v>0</v>
      </c>
      <c r="R251">
        <v>12</v>
      </c>
      <c r="S251" t="s">
        <v>63</v>
      </c>
      <c r="U251">
        <v>48</v>
      </c>
      <c r="V251" t="e">
        <v>#VALUE!</v>
      </c>
      <c r="W251" t="e">
        <v>#VALUE!</v>
      </c>
      <c r="X251" t="e">
        <v>#VALUE!</v>
      </c>
      <c r="Y251" t="e">
        <v>#VALUE!</v>
      </c>
      <c r="Z251" t="e">
        <v>#VALUE!</v>
      </c>
      <c r="AA251" t="e">
        <v>#VALUE!</v>
      </c>
      <c r="AB251" t="s">
        <v>503</v>
      </c>
      <c r="AC251" t="s">
        <v>62</v>
      </c>
      <c r="AD251" t="s">
        <v>2220</v>
      </c>
    </row>
    <row r="252" spans="1:30" x14ac:dyDescent="0.35">
      <c r="A252" t="s">
        <v>1014</v>
      </c>
      <c r="B252" t="s">
        <v>128</v>
      </c>
      <c r="C252" t="e">
        <v>#VALUE!</v>
      </c>
      <c r="D252" t="e">
        <v>#VALUE!</v>
      </c>
      <c r="F252">
        <v>830</v>
      </c>
      <c r="G252" t="s">
        <v>76</v>
      </c>
      <c r="H252">
        <v>1000</v>
      </c>
      <c r="J252">
        <v>50</v>
      </c>
      <c r="L252">
        <v>7.4833870014592803</v>
      </c>
      <c r="M252">
        <v>0</v>
      </c>
      <c r="N252" s="21">
        <v>45033</v>
      </c>
      <c r="O252" s="21">
        <v>46128</v>
      </c>
      <c r="P252">
        <v>3</v>
      </c>
      <c r="Q252">
        <v>0</v>
      </c>
      <c r="R252">
        <v>12</v>
      </c>
      <c r="S252" t="s">
        <v>63</v>
      </c>
      <c r="U252">
        <v>36</v>
      </c>
      <c r="V252" t="e">
        <v>#VALUE!</v>
      </c>
      <c r="W252" t="e">
        <v>#VALUE!</v>
      </c>
      <c r="X252" t="e">
        <v>#VALUE!</v>
      </c>
      <c r="Y252" t="e">
        <v>#VALUE!</v>
      </c>
      <c r="Z252" t="e">
        <v>#VALUE!</v>
      </c>
      <c r="AA252" t="e">
        <v>#VALUE!</v>
      </c>
      <c r="AB252" t="s">
        <v>64</v>
      </c>
      <c r="AC252" t="s">
        <v>62</v>
      </c>
      <c r="AD252" t="s">
        <v>2220</v>
      </c>
    </row>
    <row r="253" spans="1:30" x14ac:dyDescent="0.35">
      <c r="A253" t="s">
        <v>989</v>
      </c>
      <c r="B253" t="s">
        <v>119</v>
      </c>
      <c r="C253" t="e">
        <v>#VALUE!</v>
      </c>
      <c r="D253" t="e">
        <v>#VALUE!</v>
      </c>
      <c r="F253">
        <v>1000</v>
      </c>
      <c r="G253" t="s">
        <v>76</v>
      </c>
      <c r="H253">
        <v>1000</v>
      </c>
      <c r="J253">
        <v>20</v>
      </c>
      <c r="L253">
        <v>0</v>
      </c>
      <c r="M253">
        <v>0</v>
      </c>
      <c r="N253" s="21">
        <v>45034</v>
      </c>
      <c r="O253" s="21">
        <v>46129</v>
      </c>
      <c r="P253">
        <v>3</v>
      </c>
      <c r="Q253">
        <v>0</v>
      </c>
      <c r="R253">
        <v>12</v>
      </c>
      <c r="S253" t="s">
        <v>63</v>
      </c>
      <c r="U253">
        <v>36</v>
      </c>
      <c r="V253" t="e">
        <v>#VALUE!</v>
      </c>
      <c r="W253" t="e">
        <v>#VALUE!</v>
      </c>
      <c r="X253" t="e">
        <v>#VALUE!</v>
      </c>
      <c r="Y253" t="e">
        <v>#VALUE!</v>
      </c>
      <c r="Z253" t="e">
        <v>#VALUE!</v>
      </c>
      <c r="AA253" t="e">
        <v>#VALUE!</v>
      </c>
      <c r="AB253" t="s">
        <v>64</v>
      </c>
      <c r="AC253" t="s">
        <v>62</v>
      </c>
      <c r="AD253" t="s">
        <v>2220</v>
      </c>
    </row>
    <row r="254" spans="1:30" x14ac:dyDescent="0.35">
      <c r="A254" t="s">
        <v>985</v>
      </c>
      <c r="B254" t="s">
        <v>272</v>
      </c>
      <c r="C254" t="e">
        <v>#VALUE!</v>
      </c>
      <c r="D254" t="e">
        <v>#VALUE!</v>
      </c>
      <c r="F254">
        <v>1190</v>
      </c>
      <c r="G254" t="s">
        <v>76</v>
      </c>
      <c r="H254">
        <v>1000</v>
      </c>
      <c r="J254">
        <v>200</v>
      </c>
      <c r="L254">
        <v>-5.83356465709406</v>
      </c>
      <c r="M254">
        <v>0</v>
      </c>
      <c r="N254" s="21">
        <v>45035</v>
      </c>
      <c r="O254" s="21">
        <v>46130</v>
      </c>
      <c r="P254">
        <v>5</v>
      </c>
      <c r="Q254">
        <v>0</v>
      </c>
      <c r="R254">
        <v>12</v>
      </c>
      <c r="S254" t="s">
        <v>63</v>
      </c>
      <c r="U254">
        <v>60</v>
      </c>
      <c r="V254" t="e">
        <v>#VALUE!</v>
      </c>
      <c r="W254" t="e">
        <v>#VALUE!</v>
      </c>
      <c r="X254" t="e">
        <v>#VALUE!</v>
      </c>
      <c r="Y254" t="e">
        <v>#VALUE!</v>
      </c>
      <c r="Z254" t="e">
        <v>#VALUE!</v>
      </c>
      <c r="AA254" t="e">
        <v>#VALUE!</v>
      </c>
      <c r="AB254" t="s">
        <v>64</v>
      </c>
      <c r="AC254" t="s">
        <v>62</v>
      </c>
      <c r="AD254" t="s">
        <v>2220</v>
      </c>
    </row>
    <row r="255" spans="1:30" x14ac:dyDescent="0.35">
      <c r="A255" t="s">
        <v>979</v>
      </c>
      <c r="B255" t="s">
        <v>483</v>
      </c>
      <c r="C255" t="e">
        <v>#VALUE!</v>
      </c>
      <c r="D255" t="e">
        <v>#VALUE!</v>
      </c>
      <c r="F255">
        <v>970</v>
      </c>
      <c r="G255" t="s">
        <v>76</v>
      </c>
      <c r="H255">
        <v>1000</v>
      </c>
      <c r="J255">
        <v>19</v>
      </c>
      <c r="L255">
        <v>1.1243685053600001</v>
      </c>
      <c r="M255">
        <v>0</v>
      </c>
      <c r="N255" s="21">
        <v>45036</v>
      </c>
      <c r="O255" s="21">
        <v>46131</v>
      </c>
      <c r="P255">
        <v>3</v>
      </c>
      <c r="Q255">
        <v>0</v>
      </c>
      <c r="R255">
        <v>12</v>
      </c>
      <c r="S255" t="s">
        <v>63</v>
      </c>
      <c r="U255">
        <v>36</v>
      </c>
      <c r="V255" t="e">
        <v>#VALUE!</v>
      </c>
      <c r="W255" t="e">
        <v>#VALUE!</v>
      </c>
      <c r="X255" t="e">
        <v>#VALUE!</v>
      </c>
      <c r="Y255" t="e">
        <v>#VALUE!</v>
      </c>
      <c r="Z255" t="e">
        <v>#VALUE!</v>
      </c>
      <c r="AA255" t="e">
        <v>#VALUE!</v>
      </c>
      <c r="AB255" t="s">
        <v>64</v>
      </c>
      <c r="AC255" t="s">
        <v>62</v>
      </c>
      <c r="AD255" t="s">
        <v>2220</v>
      </c>
    </row>
    <row r="256" spans="1:30" x14ac:dyDescent="0.35">
      <c r="A256" t="s">
        <v>974</v>
      </c>
      <c r="B256" t="s">
        <v>478</v>
      </c>
      <c r="C256" t="e">
        <v>#VALUE!</v>
      </c>
      <c r="D256" t="e">
        <v>#VALUE!</v>
      </c>
      <c r="F256">
        <v>1389.78</v>
      </c>
      <c r="G256" t="s">
        <v>76</v>
      </c>
      <c r="H256">
        <v>1000</v>
      </c>
      <c r="J256">
        <v>79</v>
      </c>
      <c r="L256">
        <v>-10.175795662783001</v>
      </c>
      <c r="M256">
        <v>0</v>
      </c>
      <c r="N256" s="21">
        <v>45037</v>
      </c>
      <c r="O256" s="21">
        <v>46132</v>
      </c>
      <c r="P256">
        <v>3</v>
      </c>
      <c r="Q256">
        <v>0</v>
      </c>
      <c r="R256">
        <v>12</v>
      </c>
      <c r="S256" t="s">
        <v>63</v>
      </c>
      <c r="U256">
        <v>36</v>
      </c>
      <c r="V256" t="e">
        <v>#VALUE!</v>
      </c>
      <c r="W256" t="e">
        <v>#VALUE!</v>
      </c>
      <c r="X256" t="e">
        <v>#VALUE!</v>
      </c>
      <c r="Y256" t="e">
        <v>#VALUE!</v>
      </c>
      <c r="Z256" t="e">
        <v>#VALUE!</v>
      </c>
      <c r="AA256" t="e">
        <v>#VALUE!</v>
      </c>
      <c r="AB256" t="s">
        <v>64</v>
      </c>
      <c r="AC256" t="s">
        <v>62</v>
      </c>
      <c r="AD256" t="s">
        <v>2220</v>
      </c>
    </row>
    <row r="257" spans="1:30" x14ac:dyDescent="0.35">
      <c r="A257" t="s">
        <v>966</v>
      </c>
      <c r="B257" t="s">
        <v>122</v>
      </c>
      <c r="C257" t="e">
        <v>#VALUE!</v>
      </c>
      <c r="D257" t="e">
        <v>#VALUE!</v>
      </c>
      <c r="F257">
        <v>1225.8</v>
      </c>
      <c r="G257" t="s">
        <v>76</v>
      </c>
      <c r="H257">
        <v>1000</v>
      </c>
      <c r="J257">
        <v>1</v>
      </c>
      <c r="L257">
        <v>-6.6569579131187702</v>
      </c>
      <c r="M257">
        <v>0</v>
      </c>
      <c r="N257" s="21">
        <v>45038</v>
      </c>
      <c r="O257" s="21">
        <v>46133</v>
      </c>
      <c r="P257">
        <v>5</v>
      </c>
      <c r="Q257">
        <v>0</v>
      </c>
      <c r="R257">
        <v>12</v>
      </c>
      <c r="S257" t="s">
        <v>63</v>
      </c>
      <c r="U257">
        <v>60</v>
      </c>
      <c r="V257" t="e">
        <v>#VALUE!</v>
      </c>
      <c r="W257" t="e">
        <v>#VALUE!</v>
      </c>
      <c r="X257" t="e">
        <v>#VALUE!</v>
      </c>
      <c r="Y257" t="e">
        <v>#VALUE!</v>
      </c>
      <c r="Z257" t="e">
        <v>#VALUE!</v>
      </c>
      <c r="AA257" t="e">
        <v>#VALUE!</v>
      </c>
      <c r="AB257" t="s">
        <v>64</v>
      </c>
      <c r="AC257" t="s">
        <v>62</v>
      </c>
      <c r="AD257" t="s">
        <v>2220</v>
      </c>
    </row>
    <row r="258" spans="1:30" x14ac:dyDescent="0.35">
      <c r="A258" t="s">
        <v>963</v>
      </c>
      <c r="B258" t="s">
        <v>316</v>
      </c>
      <c r="C258" t="e">
        <v>#VALUE!</v>
      </c>
      <c r="D258" t="e">
        <v>#VALUE!</v>
      </c>
      <c r="F258">
        <v>1409.26</v>
      </c>
      <c r="G258" t="s">
        <v>76</v>
      </c>
      <c r="H258">
        <v>1000</v>
      </c>
      <c r="J258">
        <v>28</v>
      </c>
      <c r="L258">
        <v>-10.028270773588799</v>
      </c>
      <c r="M258">
        <v>0</v>
      </c>
      <c r="N258" s="21">
        <v>45039</v>
      </c>
      <c r="O258" s="21">
        <v>46134</v>
      </c>
      <c r="P258">
        <v>7</v>
      </c>
      <c r="Q258">
        <v>0</v>
      </c>
      <c r="R258">
        <v>12</v>
      </c>
      <c r="S258" t="s">
        <v>63</v>
      </c>
      <c r="U258">
        <v>84</v>
      </c>
      <c r="V258" t="e">
        <v>#VALUE!</v>
      </c>
      <c r="W258" t="e">
        <v>#VALUE!</v>
      </c>
      <c r="X258" t="e">
        <v>#VALUE!</v>
      </c>
      <c r="Y258" t="e">
        <v>#VALUE!</v>
      </c>
      <c r="Z258" t="e">
        <v>#VALUE!</v>
      </c>
      <c r="AA258" t="e">
        <v>#VALUE!</v>
      </c>
      <c r="AB258" t="s">
        <v>64</v>
      </c>
      <c r="AC258" t="s">
        <v>62</v>
      </c>
      <c r="AD258" t="s">
        <v>2220</v>
      </c>
    </row>
    <row r="259" spans="1:30" x14ac:dyDescent="0.35">
      <c r="A259" t="s">
        <v>961</v>
      </c>
      <c r="B259" t="s">
        <v>122</v>
      </c>
      <c r="C259" t="e">
        <v>#VALUE!</v>
      </c>
      <c r="D259" t="e">
        <v>#VALUE!</v>
      </c>
      <c r="F259">
        <v>985</v>
      </c>
      <c r="G259" t="s">
        <v>76</v>
      </c>
      <c r="H259">
        <v>1000</v>
      </c>
      <c r="J259">
        <v>15</v>
      </c>
      <c r="L259">
        <v>0.53190197459500099</v>
      </c>
      <c r="M259">
        <v>0</v>
      </c>
      <c r="N259" s="21">
        <v>45040</v>
      </c>
      <c r="O259" s="21">
        <v>46135</v>
      </c>
      <c r="P259">
        <v>3</v>
      </c>
      <c r="Q259">
        <v>0</v>
      </c>
      <c r="R259">
        <v>12</v>
      </c>
      <c r="S259" t="s">
        <v>63</v>
      </c>
      <c r="U259">
        <v>36</v>
      </c>
      <c r="V259" t="e">
        <v>#VALUE!</v>
      </c>
      <c r="W259" t="e">
        <v>#VALUE!</v>
      </c>
      <c r="X259" t="e">
        <v>#VALUE!</v>
      </c>
      <c r="Y259" t="e">
        <v>#VALUE!</v>
      </c>
      <c r="Z259" t="e">
        <v>#VALUE!</v>
      </c>
      <c r="AA259" t="e">
        <v>#VALUE!</v>
      </c>
      <c r="AB259" t="s">
        <v>64</v>
      </c>
      <c r="AC259" t="s">
        <v>62</v>
      </c>
      <c r="AD259" t="s">
        <v>2220</v>
      </c>
    </row>
    <row r="260" spans="1:30" x14ac:dyDescent="0.35">
      <c r="A260" t="s">
        <v>958</v>
      </c>
      <c r="B260" t="s">
        <v>460</v>
      </c>
      <c r="C260" t="e">
        <v>#VALUE!</v>
      </c>
      <c r="D260" t="e">
        <v>#VALUE!</v>
      </c>
      <c r="F260">
        <v>1460</v>
      </c>
      <c r="G260" t="s">
        <v>76</v>
      </c>
      <c r="H260">
        <v>1000</v>
      </c>
      <c r="J260">
        <v>1</v>
      </c>
      <c r="L260">
        <v>-11.3412228796844</v>
      </c>
      <c r="M260">
        <v>0</v>
      </c>
      <c r="N260" s="21">
        <v>45041</v>
      </c>
      <c r="O260" s="21">
        <v>46136</v>
      </c>
      <c r="P260">
        <v>7</v>
      </c>
      <c r="Q260">
        <v>0</v>
      </c>
      <c r="R260">
        <v>12</v>
      </c>
      <c r="S260" t="s">
        <v>63</v>
      </c>
      <c r="U260">
        <v>84</v>
      </c>
      <c r="V260" t="e">
        <v>#VALUE!</v>
      </c>
      <c r="W260" t="e">
        <v>#VALUE!</v>
      </c>
      <c r="X260" t="e">
        <v>#VALUE!</v>
      </c>
      <c r="Y260" t="e">
        <v>#VALUE!</v>
      </c>
      <c r="Z260" t="e">
        <v>#VALUE!</v>
      </c>
      <c r="AA260" t="e">
        <v>#VALUE!</v>
      </c>
      <c r="AB260" t="s">
        <v>64</v>
      </c>
      <c r="AC260" t="s">
        <v>62</v>
      </c>
      <c r="AD260" t="s">
        <v>2220</v>
      </c>
    </row>
    <row r="261" spans="1:30" x14ac:dyDescent="0.35">
      <c r="A261" t="s">
        <v>954</v>
      </c>
      <c r="B261" t="s">
        <v>749</v>
      </c>
      <c r="C261" t="e">
        <v>#VALUE!</v>
      </c>
      <c r="D261" t="e">
        <v>#VALUE!</v>
      </c>
      <c r="F261">
        <v>1045.5</v>
      </c>
      <c r="G261" t="s">
        <v>76</v>
      </c>
      <c r="H261">
        <v>1000</v>
      </c>
      <c r="J261">
        <v>25</v>
      </c>
      <c r="L261">
        <v>-1.38974139471207</v>
      </c>
      <c r="M261">
        <v>0</v>
      </c>
      <c r="N261" s="21">
        <v>45042</v>
      </c>
      <c r="O261" s="21">
        <v>46137</v>
      </c>
      <c r="P261">
        <v>5</v>
      </c>
      <c r="Q261">
        <v>0</v>
      </c>
      <c r="R261">
        <v>12</v>
      </c>
      <c r="S261" t="s">
        <v>63</v>
      </c>
      <c r="U261">
        <v>60</v>
      </c>
      <c r="V261" t="e">
        <v>#VALUE!</v>
      </c>
      <c r="W261" t="e">
        <v>#VALUE!</v>
      </c>
      <c r="X261" t="e">
        <v>#VALUE!</v>
      </c>
      <c r="Y261" t="e">
        <v>#VALUE!</v>
      </c>
      <c r="Z261" t="e">
        <v>#VALUE!</v>
      </c>
      <c r="AA261" t="e">
        <v>#VALUE!</v>
      </c>
      <c r="AB261" t="s">
        <v>64</v>
      </c>
      <c r="AC261" t="s">
        <v>62</v>
      </c>
      <c r="AD261" t="s">
        <v>2220</v>
      </c>
    </row>
    <row r="262" spans="1:30" x14ac:dyDescent="0.35">
      <c r="A262" t="s">
        <v>946</v>
      </c>
      <c r="B262" t="s">
        <v>390</v>
      </c>
      <c r="C262" t="e">
        <v>#VALUE!</v>
      </c>
      <c r="D262" t="e">
        <v>#VALUE!</v>
      </c>
      <c r="F262">
        <v>900</v>
      </c>
      <c r="G262" t="s">
        <v>76</v>
      </c>
      <c r="H262">
        <v>1000</v>
      </c>
      <c r="J262">
        <v>20</v>
      </c>
      <c r="L262">
        <v>3.9108539590699598</v>
      </c>
      <c r="M262">
        <v>0</v>
      </c>
      <c r="N262" s="21">
        <v>45043</v>
      </c>
      <c r="O262" s="21">
        <v>46138</v>
      </c>
      <c r="P262">
        <v>3</v>
      </c>
      <c r="Q262">
        <v>0</v>
      </c>
      <c r="R262">
        <v>12</v>
      </c>
      <c r="S262" t="s">
        <v>63</v>
      </c>
      <c r="U262">
        <v>36</v>
      </c>
      <c r="V262" t="e">
        <v>#VALUE!</v>
      </c>
      <c r="W262" t="e">
        <v>#VALUE!</v>
      </c>
      <c r="X262" t="e">
        <v>#VALUE!</v>
      </c>
      <c r="Y262" t="e">
        <v>#VALUE!</v>
      </c>
      <c r="Z262" t="e">
        <v>#VALUE!</v>
      </c>
      <c r="AA262" t="e">
        <v>#VALUE!</v>
      </c>
      <c r="AB262" t="s">
        <v>64</v>
      </c>
      <c r="AC262" t="s">
        <v>62</v>
      </c>
      <c r="AD262" t="s">
        <v>2220</v>
      </c>
    </row>
    <row r="263" spans="1:30" x14ac:dyDescent="0.35">
      <c r="A263" t="s">
        <v>944</v>
      </c>
      <c r="B263" t="s">
        <v>241</v>
      </c>
      <c r="C263" t="e">
        <v>#VALUE!</v>
      </c>
      <c r="D263" t="e">
        <v>#VALUE!</v>
      </c>
      <c r="F263">
        <v>980</v>
      </c>
      <c r="G263" t="s">
        <v>76</v>
      </c>
      <c r="H263">
        <v>1000</v>
      </c>
      <c r="J263">
        <v>52</v>
      </c>
      <c r="L263">
        <v>0.72110160617974195</v>
      </c>
      <c r="M263">
        <v>0</v>
      </c>
      <c r="N263" s="21">
        <v>45044</v>
      </c>
      <c r="O263" s="21">
        <v>46139</v>
      </c>
      <c r="P263">
        <v>3</v>
      </c>
      <c r="Q263">
        <v>0</v>
      </c>
      <c r="R263">
        <v>12</v>
      </c>
      <c r="S263" t="s">
        <v>63</v>
      </c>
      <c r="U263">
        <v>36</v>
      </c>
      <c r="V263" t="e">
        <v>#VALUE!</v>
      </c>
      <c r="W263" t="e">
        <v>#VALUE!</v>
      </c>
      <c r="X263" t="e">
        <v>#VALUE!</v>
      </c>
      <c r="Y263" t="e">
        <v>#VALUE!</v>
      </c>
      <c r="Z263" t="e">
        <v>#VALUE!</v>
      </c>
      <c r="AA263" t="e">
        <v>#VALUE!</v>
      </c>
      <c r="AB263" t="s">
        <v>64</v>
      </c>
      <c r="AC263" t="s">
        <v>62</v>
      </c>
      <c r="AD263" t="s">
        <v>2220</v>
      </c>
    </row>
    <row r="264" spans="1:30" x14ac:dyDescent="0.35">
      <c r="A264" t="s">
        <v>934</v>
      </c>
      <c r="B264" t="s">
        <v>272</v>
      </c>
      <c r="C264" t="e">
        <v>#VALUE!</v>
      </c>
      <c r="D264" t="e">
        <v>#VALUE!</v>
      </c>
      <c r="F264">
        <v>1160</v>
      </c>
      <c r="G264" t="s">
        <v>76</v>
      </c>
      <c r="H264">
        <v>1000</v>
      </c>
      <c r="J264">
        <v>50</v>
      </c>
      <c r="L264">
        <v>-4.7272138578598</v>
      </c>
      <c r="M264">
        <v>0</v>
      </c>
      <c r="N264" s="21">
        <v>45045</v>
      </c>
      <c r="O264" s="21">
        <v>46140</v>
      </c>
      <c r="P264">
        <v>5</v>
      </c>
      <c r="Q264">
        <v>0</v>
      </c>
      <c r="R264">
        <v>12</v>
      </c>
      <c r="S264" t="s">
        <v>63</v>
      </c>
      <c r="U264">
        <v>60</v>
      </c>
      <c r="V264" t="e">
        <v>#VALUE!</v>
      </c>
      <c r="W264" t="e">
        <v>#VALUE!</v>
      </c>
      <c r="X264" t="e">
        <v>#VALUE!</v>
      </c>
      <c r="Y264" t="e">
        <v>#VALUE!</v>
      </c>
      <c r="Z264" t="e">
        <v>#VALUE!</v>
      </c>
      <c r="AA264" t="e">
        <v>#VALUE!</v>
      </c>
      <c r="AB264" t="s">
        <v>64</v>
      </c>
      <c r="AC264" t="s">
        <v>62</v>
      </c>
      <c r="AD264" t="s">
        <v>2220</v>
      </c>
    </row>
    <row r="265" spans="1:30" x14ac:dyDescent="0.35">
      <c r="A265" t="s">
        <v>925</v>
      </c>
      <c r="B265" t="s">
        <v>483</v>
      </c>
      <c r="C265" t="e">
        <v>#VALUE!</v>
      </c>
      <c r="D265" t="e">
        <v>#VALUE!</v>
      </c>
      <c r="F265">
        <v>1426.6</v>
      </c>
      <c r="G265" t="s">
        <v>76</v>
      </c>
      <c r="H265">
        <v>1000</v>
      </c>
      <c r="J265">
        <v>10</v>
      </c>
      <c r="L265">
        <v>-10.153202116595301</v>
      </c>
      <c r="M265">
        <v>0</v>
      </c>
      <c r="N265" s="21">
        <v>45046</v>
      </c>
      <c r="O265" s="21">
        <v>46141</v>
      </c>
      <c r="P265">
        <v>7</v>
      </c>
      <c r="Q265">
        <v>0</v>
      </c>
      <c r="R265">
        <v>12</v>
      </c>
      <c r="S265" t="s">
        <v>63</v>
      </c>
      <c r="U265">
        <v>84</v>
      </c>
      <c r="V265" t="e">
        <v>#VALUE!</v>
      </c>
      <c r="W265" t="e">
        <v>#VALUE!</v>
      </c>
      <c r="X265" t="e">
        <v>#VALUE!</v>
      </c>
      <c r="Y265" t="e">
        <v>#VALUE!</v>
      </c>
      <c r="Z265" t="e">
        <v>#VALUE!</v>
      </c>
      <c r="AA265" t="e">
        <v>#VALUE!</v>
      </c>
      <c r="AB265" t="s">
        <v>64</v>
      </c>
      <c r="AC265" t="s">
        <v>62</v>
      </c>
      <c r="AD265" t="s">
        <v>2220</v>
      </c>
    </row>
    <row r="266" spans="1:30" x14ac:dyDescent="0.35">
      <c r="A266" t="s">
        <v>921</v>
      </c>
      <c r="B266" t="s">
        <v>483</v>
      </c>
      <c r="C266" t="e">
        <v>#VALUE!</v>
      </c>
      <c r="D266" t="e">
        <v>#VALUE!</v>
      </c>
      <c r="F266">
        <v>1117.5</v>
      </c>
      <c r="G266" t="s">
        <v>76</v>
      </c>
      <c r="H266">
        <v>1000</v>
      </c>
      <c r="J266">
        <v>10</v>
      </c>
      <c r="L266">
        <v>-3.5833871206946601</v>
      </c>
      <c r="M266">
        <v>0</v>
      </c>
      <c r="N266" s="21">
        <v>45047</v>
      </c>
      <c r="O266" s="21">
        <v>46142</v>
      </c>
      <c r="P266">
        <v>5</v>
      </c>
      <c r="Q266">
        <v>0</v>
      </c>
      <c r="R266">
        <v>12</v>
      </c>
      <c r="S266" t="s">
        <v>63</v>
      </c>
      <c r="U266">
        <v>60</v>
      </c>
      <c r="V266" t="e">
        <v>#VALUE!</v>
      </c>
      <c r="W266" t="e">
        <v>#VALUE!</v>
      </c>
      <c r="X266" t="e">
        <v>#VALUE!</v>
      </c>
      <c r="Y266" t="e">
        <v>#VALUE!</v>
      </c>
      <c r="Z266" t="e">
        <v>#VALUE!</v>
      </c>
      <c r="AA266" t="e">
        <v>#VALUE!</v>
      </c>
      <c r="AB266" t="s">
        <v>64</v>
      </c>
      <c r="AC266" t="s">
        <v>62</v>
      </c>
      <c r="AD266" t="s">
        <v>2220</v>
      </c>
    </row>
    <row r="267" spans="1:30" x14ac:dyDescent="0.35">
      <c r="A267" t="s">
        <v>917</v>
      </c>
      <c r="B267" t="s">
        <v>119</v>
      </c>
      <c r="C267" t="e">
        <v>#VALUE!</v>
      </c>
      <c r="D267" t="e">
        <v>#VALUE!</v>
      </c>
      <c r="F267">
        <v>933</v>
      </c>
      <c r="G267" t="s">
        <v>76</v>
      </c>
      <c r="H267">
        <v>1000</v>
      </c>
      <c r="J267">
        <v>1</v>
      </c>
      <c r="L267">
        <v>2.43824621750292</v>
      </c>
      <c r="M267">
        <v>0</v>
      </c>
      <c r="N267" s="21">
        <v>45048</v>
      </c>
      <c r="O267" s="21">
        <v>46143</v>
      </c>
      <c r="P267">
        <v>3</v>
      </c>
      <c r="Q267">
        <v>0</v>
      </c>
      <c r="R267">
        <v>12</v>
      </c>
      <c r="S267" t="s">
        <v>63</v>
      </c>
      <c r="U267">
        <v>36</v>
      </c>
      <c r="V267" t="e">
        <v>#VALUE!</v>
      </c>
      <c r="W267" t="e">
        <v>#VALUE!</v>
      </c>
      <c r="X267" t="e">
        <v>#VALUE!</v>
      </c>
      <c r="Y267" t="e">
        <v>#VALUE!</v>
      </c>
      <c r="Z267" t="e">
        <v>#VALUE!</v>
      </c>
      <c r="AA267" t="e">
        <v>#VALUE!</v>
      </c>
      <c r="AB267" t="s">
        <v>64</v>
      </c>
      <c r="AC267" t="s">
        <v>62</v>
      </c>
      <c r="AD267" t="s">
        <v>2220</v>
      </c>
    </row>
    <row r="268" spans="1:30" x14ac:dyDescent="0.35">
      <c r="A268" t="s">
        <v>904</v>
      </c>
      <c r="B268" t="s">
        <v>316</v>
      </c>
      <c r="C268" t="e">
        <v>#VALUE!</v>
      </c>
      <c r="D268" t="e">
        <v>#VALUE!</v>
      </c>
      <c r="F268">
        <v>820.25</v>
      </c>
      <c r="G268" t="s">
        <v>76</v>
      </c>
      <c r="H268">
        <v>1000</v>
      </c>
      <c r="J268">
        <v>150</v>
      </c>
      <c r="L268">
        <v>6.6213811812341099</v>
      </c>
      <c r="M268">
        <v>0</v>
      </c>
      <c r="N268" s="21">
        <v>45049</v>
      </c>
      <c r="O268" s="21">
        <v>46144</v>
      </c>
      <c r="P268">
        <v>4</v>
      </c>
      <c r="Q268">
        <v>0</v>
      </c>
      <c r="R268">
        <v>12</v>
      </c>
      <c r="S268" t="s">
        <v>63</v>
      </c>
      <c r="U268">
        <v>48</v>
      </c>
      <c r="V268" t="e">
        <v>#VALUE!</v>
      </c>
      <c r="W268" t="e">
        <v>#VALUE!</v>
      </c>
      <c r="X268" t="e">
        <v>#VALUE!</v>
      </c>
      <c r="Y268" t="e">
        <v>#VALUE!</v>
      </c>
      <c r="Z268" t="e">
        <v>#VALUE!</v>
      </c>
      <c r="AA268" t="e">
        <v>#VALUE!</v>
      </c>
      <c r="AB268" t="s">
        <v>64</v>
      </c>
      <c r="AC268" t="s">
        <v>62</v>
      </c>
      <c r="AD268" t="s">
        <v>2220</v>
      </c>
    </row>
    <row r="269" spans="1:30" x14ac:dyDescent="0.35">
      <c r="A269" t="s">
        <v>900</v>
      </c>
      <c r="B269" t="s">
        <v>122</v>
      </c>
      <c r="C269" t="e">
        <v>#VALUE!</v>
      </c>
      <c r="D269" t="e">
        <v>#VALUE!</v>
      </c>
      <c r="F269">
        <v>1140.2</v>
      </c>
      <c r="G269" t="s">
        <v>76</v>
      </c>
      <c r="H269">
        <v>1000</v>
      </c>
      <c r="J269">
        <v>11</v>
      </c>
      <c r="L269">
        <v>-4.0179698012740799</v>
      </c>
      <c r="M269">
        <v>0</v>
      </c>
      <c r="N269" s="21">
        <v>45050</v>
      </c>
      <c r="O269" s="21">
        <v>46145</v>
      </c>
      <c r="P269">
        <v>5</v>
      </c>
      <c r="Q269">
        <v>0</v>
      </c>
      <c r="R269">
        <v>12</v>
      </c>
      <c r="S269" t="s">
        <v>63</v>
      </c>
      <c r="U269">
        <v>60</v>
      </c>
      <c r="V269" t="e">
        <v>#VALUE!</v>
      </c>
      <c r="W269" t="e">
        <v>#VALUE!</v>
      </c>
      <c r="X269" t="e">
        <v>#VALUE!</v>
      </c>
      <c r="Y269" t="e">
        <v>#VALUE!</v>
      </c>
      <c r="Z269" t="e">
        <v>#VALUE!</v>
      </c>
      <c r="AA269" t="e">
        <v>#VALUE!</v>
      </c>
      <c r="AB269" t="s">
        <v>64</v>
      </c>
      <c r="AC269" t="s">
        <v>62</v>
      </c>
      <c r="AD269" t="s">
        <v>2220</v>
      </c>
    </row>
    <row r="270" spans="1:30" x14ac:dyDescent="0.35">
      <c r="A270" t="s">
        <v>898</v>
      </c>
      <c r="B270" t="s">
        <v>465</v>
      </c>
      <c r="C270" t="e">
        <v>#VALUE!</v>
      </c>
      <c r="D270" t="e">
        <v>#VALUE!</v>
      </c>
      <c r="F270">
        <v>895.2</v>
      </c>
      <c r="G270" t="s">
        <v>76</v>
      </c>
      <c r="H270">
        <v>1000</v>
      </c>
      <c r="J270">
        <v>25</v>
      </c>
      <c r="L270">
        <v>3.1008792579939302</v>
      </c>
      <c r="M270">
        <v>0</v>
      </c>
      <c r="N270" s="21">
        <v>45051</v>
      </c>
      <c r="O270" s="21">
        <v>46146</v>
      </c>
      <c r="P270">
        <v>5</v>
      </c>
      <c r="Q270">
        <v>0</v>
      </c>
      <c r="R270">
        <v>12</v>
      </c>
      <c r="S270" t="s">
        <v>63</v>
      </c>
      <c r="U270">
        <v>60</v>
      </c>
      <c r="V270" t="e">
        <v>#VALUE!</v>
      </c>
      <c r="W270" t="e">
        <v>#VALUE!</v>
      </c>
      <c r="X270" t="e">
        <v>#VALUE!</v>
      </c>
      <c r="Y270" t="e">
        <v>#VALUE!</v>
      </c>
      <c r="Z270" t="e">
        <v>#VALUE!</v>
      </c>
      <c r="AA270" t="e">
        <v>#VALUE!</v>
      </c>
      <c r="AB270" t="s">
        <v>64</v>
      </c>
      <c r="AC270" t="s">
        <v>62</v>
      </c>
      <c r="AD270" t="s">
        <v>2220</v>
      </c>
    </row>
    <row r="271" spans="1:30" x14ac:dyDescent="0.35">
      <c r="A271" t="s">
        <v>893</v>
      </c>
      <c r="B271" t="s">
        <v>316</v>
      </c>
      <c r="C271" t="e">
        <v>#VALUE!</v>
      </c>
      <c r="D271" t="e">
        <v>#VALUE!</v>
      </c>
      <c r="F271">
        <v>1025</v>
      </c>
      <c r="G271" t="s">
        <v>76</v>
      </c>
      <c r="H271">
        <v>1000</v>
      </c>
      <c r="J271">
        <v>10</v>
      </c>
      <c r="L271">
        <v>-0.77278116531165297</v>
      </c>
      <c r="M271">
        <v>0</v>
      </c>
      <c r="N271" s="21">
        <v>45052</v>
      </c>
      <c r="O271" s="21">
        <v>46147</v>
      </c>
      <c r="P271">
        <v>4</v>
      </c>
      <c r="Q271">
        <v>0</v>
      </c>
      <c r="R271">
        <v>12</v>
      </c>
      <c r="S271" t="s">
        <v>63</v>
      </c>
      <c r="U271">
        <v>48</v>
      </c>
      <c r="V271" t="e">
        <v>#VALUE!</v>
      </c>
      <c r="W271" t="e">
        <v>#VALUE!</v>
      </c>
      <c r="X271" t="e">
        <v>#VALUE!</v>
      </c>
      <c r="Y271" t="e">
        <v>#VALUE!</v>
      </c>
      <c r="Z271" t="e">
        <v>#VALUE!</v>
      </c>
      <c r="AA271" t="e">
        <v>#VALUE!</v>
      </c>
      <c r="AB271" t="s">
        <v>64</v>
      </c>
      <c r="AC271" t="s">
        <v>62</v>
      </c>
      <c r="AD271" t="s">
        <v>2220</v>
      </c>
    </row>
    <row r="272" spans="1:30" x14ac:dyDescent="0.35">
      <c r="A272" t="s">
        <v>889</v>
      </c>
      <c r="B272" t="s">
        <v>241</v>
      </c>
      <c r="C272" t="e">
        <v>#VALUE!</v>
      </c>
      <c r="D272" t="e">
        <v>#VALUE!</v>
      </c>
      <c r="F272">
        <v>1561.4</v>
      </c>
      <c r="G272" t="s">
        <v>76</v>
      </c>
      <c r="H272">
        <v>1000</v>
      </c>
      <c r="J272">
        <v>242</v>
      </c>
      <c r="L272">
        <v>-11.1880161758345</v>
      </c>
      <c r="M272">
        <v>0</v>
      </c>
      <c r="N272" s="21">
        <v>45053</v>
      </c>
      <c r="O272" s="21">
        <v>46148</v>
      </c>
      <c r="P272">
        <v>7</v>
      </c>
      <c r="Q272">
        <v>0</v>
      </c>
      <c r="R272">
        <v>12</v>
      </c>
      <c r="S272" t="s">
        <v>63</v>
      </c>
      <c r="U272">
        <v>84</v>
      </c>
      <c r="V272" t="e">
        <v>#VALUE!</v>
      </c>
      <c r="W272" t="e">
        <v>#VALUE!</v>
      </c>
      <c r="X272" t="e">
        <v>#VALUE!</v>
      </c>
      <c r="Y272" t="e">
        <v>#VALUE!</v>
      </c>
      <c r="Z272" t="e">
        <v>#VALUE!</v>
      </c>
      <c r="AA272" t="e">
        <v>#VALUE!</v>
      </c>
      <c r="AB272" t="s">
        <v>64</v>
      </c>
      <c r="AC272" t="s">
        <v>62</v>
      </c>
      <c r="AD272" t="s">
        <v>2220</v>
      </c>
    </row>
    <row r="273" spans="1:30" x14ac:dyDescent="0.35">
      <c r="A273" t="s">
        <v>886</v>
      </c>
      <c r="B273" t="s">
        <v>749</v>
      </c>
      <c r="C273" t="e">
        <v>#VALUE!</v>
      </c>
      <c r="D273" t="e">
        <v>#VALUE!</v>
      </c>
      <c r="F273">
        <v>1145.1400000000001</v>
      </c>
      <c r="G273" t="s">
        <v>76</v>
      </c>
      <c r="H273">
        <v>1000</v>
      </c>
      <c r="J273">
        <v>810</v>
      </c>
      <c r="L273">
        <v>-4.1378962249204196</v>
      </c>
      <c r="M273">
        <v>0</v>
      </c>
      <c r="N273" s="21">
        <v>45054</v>
      </c>
      <c r="O273" s="21">
        <v>46149</v>
      </c>
      <c r="P273">
        <v>5</v>
      </c>
      <c r="Q273">
        <v>0</v>
      </c>
      <c r="R273">
        <v>12</v>
      </c>
      <c r="S273" t="s">
        <v>63</v>
      </c>
      <c r="U273">
        <v>60</v>
      </c>
      <c r="V273" t="e">
        <v>#VALUE!</v>
      </c>
      <c r="W273" t="e">
        <v>#VALUE!</v>
      </c>
      <c r="X273" t="e">
        <v>#VALUE!</v>
      </c>
      <c r="Y273" t="e">
        <v>#VALUE!</v>
      </c>
      <c r="Z273" t="e">
        <v>#VALUE!</v>
      </c>
      <c r="AA273" t="e">
        <v>#VALUE!</v>
      </c>
      <c r="AB273" t="s">
        <v>64</v>
      </c>
      <c r="AC273" t="s">
        <v>62</v>
      </c>
      <c r="AD273" t="s">
        <v>2220</v>
      </c>
    </row>
    <row r="274" spans="1:30" x14ac:dyDescent="0.35">
      <c r="A274" t="s">
        <v>876</v>
      </c>
      <c r="B274" t="s">
        <v>875</v>
      </c>
      <c r="C274" t="e">
        <v>#VALUE!</v>
      </c>
      <c r="D274" t="e">
        <v>#VALUE!</v>
      </c>
      <c r="F274">
        <v>1187.0899999999999</v>
      </c>
      <c r="G274" t="s">
        <v>76</v>
      </c>
      <c r="H274">
        <v>1000</v>
      </c>
      <c r="J274">
        <v>26</v>
      </c>
      <c r="L274">
        <v>-4.9548164774043402</v>
      </c>
      <c r="M274">
        <v>0</v>
      </c>
      <c r="N274" s="21">
        <v>45055</v>
      </c>
      <c r="O274" s="21">
        <v>46150</v>
      </c>
      <c r="P274">
        <v>5</v>
      </c>
      <c r="Q274">
        <v>0</v>
      </c>
      <c r="R274">
        <v>12</v>
      </c>
      <c r="S274" t="s">
        <v>63</v>
      </c>
      <c r="U274">
        <v>60</v>
      </c>
      <c r="V274" t="e">
        <v>#VALUE!</v>
      </c>
      <c r="W274" t="e">
        <v>#VALUE!</v>
      </c>
      <c r="X274" t="e">
        <v>#VALUE!</v>
      </c>
      <c r="Y274" t="e">
        <v>#VALUE!</v>
      </c>
      <c r="Z274" t="e">
        <v>#VALUE!</v>
      </c>
      <c r="AA274" t="e">
        <v>#VALUE!</v>
      </c>
      <c r="AB274" t="s">
        <v>64</v>
      </c>
      <c r="AC274" t="s">
        <v>62</v>
      </c>
      <c r="AD274" t="s">
        <v>2220</v>
      </c>
    </row>
    <row r="275" spans="1:30" x14ac:dyDescent="0.35">
      <c r="A275" t="s">
        <v>873</v>
      </c>
      <c r="B275" t="s">
        <v>460</v>
      </c>
      <c r="C275" t="e">
        <v>#VALUE!</v>
      </c>
      <c r="D275" t="e">
        <v>#VALUE!</v>
      </c>
      <c r="F275">
        <v>1260.03</v>
      </c>
      <c r="G275" t="s">
        <v>76</v>
      </c>
      <c r="H275">
        <v>1000</v>
      </c>
      <c r="J275">
        <v>2</v>
      </c>
      <c r="L275">
        <v>-6.52158938152128</v>
      </c>
      <c r="M275">
        <v>0</v>
      </c>
      <c r="N275" s="21">
        <v>45056</v>
      </c>
      <c r="O275" s="21">
        <v>46151</v>
      </c>
      <c r="P275">
        <v>7</v>
      </c>
      <c r="Q275">
        <v>0</v>
      </c>
      <c r="R275">
        <v>12</v>
      </c>
      <c r="S275" t="s">
        <v>63</v>
      </c>
      <c r="U275">
        <v>84</v>
      </c>
      <c r="V275" t="e">
        <v>#VALUE!</v>
      </c>
      <c r="W275" t="e">
        <v>#VALUE!</v>
      </c>
      <c r="X275" t="e">
        <v>#VALUE!</v>
      </c>
      <c r="Y275" t="e">
        <v>#VALUE!</v>
      </c>
      <c r="Z275" t="e">
        <v>#VALUE!</v>
      </c>
      <c r="AA275" t="e">
        <v>#VALUE!</v>
      </c>
      <c r="AB275" t="s">
        <v>64</v>
      </c>
      <c r="AC275" t="s">
        <v>62</v>
      </c>
      <c r="AD275" t="s">
        <v>2220</v>
      </c>
    </row>
    <row r="276" spans="1:30" x14ac:dyDescent="0.35">
      <c r="A276" t="s">
        <v>870</v>
      </c>
      <c r="B276" t="s">
        <v>119</v>
      </c>
      <c r="C276" t="e">
        <v>#VALUE!</v>
      </c>
      <c r="D276" t="e">
        <v>#VALUE!</v>
      </c>
      <c r="F276">
        <v>1141.95</v>
      </c>
      <c r="G276" t="s">
        <v>76</v>
      </c>
      <c r="H276">
        <v>1000</v>
      </c>
      <c r="J276">
        <v>5</v>
      </c>
      <c r="L276">
        <v>-3.8745768330640602</v>
      </c>
      <c r="M276">
        <v>0</v>
      </c>
      <c r="N276" s="21">
        <v>45057</v>
      </c>
      <c r="O276" s="21">
        <v>46152</v>
      </c>
      <c r="P276">
        <v>5</v>
      </c>
      <c r="Q276">
        <v>0</v>
      </c>
      <c r="R276">
        <v>12</v>
      </c>
      <c r="S276" t="s">
        <v>63</v>
      </c>
      <c r="U276">
        <v>60</v>
      </c>
      <c r="V276" t="e">
        <v>#VALUE!</v>
      </c>
      <c r="W276" t="e">
        <v>#VALUE!</v>
      </c>
      <c r="X276" t="e">
        <v>#VALUE!</v>
      </c>
      <c r="Y276" t="e">
        <v>#VALUE!</v>
      </c>
      <c r="Z276" t="e">
        <v>#VALUE!</v>
      </c>
      <c r="AA276" t="e">
        <v>#VALUE!</v>
      </c>
      <c r="AB276" t="s">
        <v>64</v>
      </c>
      <c r="AC276" t="s">
        <v>62</v>
      </c>
      <c r="AD276" t="s">
        <v>2220</v>
      </c>
    </row>
    <row r="277" spans="1:30" x14ac:dyDescent="0.35">
      <c r="A277" t="s">
        <v>867</v>
      </c>
      <c r="B277" t="s">
        <v>241</v>
      </c>
      <c r="C277" t="e">
        <v>#VALUE!</v>
      </c>
      <c r="D277" t="e">
        <v>#VALUE!</v>
      </c>
      <c r="F277">
        <v>1163.22</v>
      </c>
      <c r="G277" t="s">
        <v>76</v>
      </c>
      <c r="H277">
        <v>1000</v>
      </c>
      <c r="J277">
        <v>80</v>
      </c>
      <c r="L277">
        <v>-4.3811675884096797</v>
      </c>
      <c r="M277">
        <v>0</v>
      </c>
      <c r="N277" s="21">
        <v>45058</v>
      </c>
      <c r="O277" s="21">
        <v>46153</v>
      </c>
      <c r="P277">
        <v>5</v>
      </c>
      <c r="Q277">
        <v>0</v>
      </c>
      <c r="R277">
        <v>12</v>
      </c>
      <c r="S277" t="s">
        <v>63</v>
      </c>
      <c r="U277">
        <v>60</v>
      </c>
      <c r="V277" t="e">
        <v>#VALUE!</v>
      </c>
      <c r="W277" t="e">
        <v>#VALUE!</v>
      </c>
      <c r="X277" t="e">
        <v>#VALUE!</v>
      </c>
      <c r="Y277" t="e">
        <v>#VALUE!</v>
      </c>
      <c r="Z277" t="e">
        <v>#VALUE!</v>
      </c>
      <c r="AA277" t="e">
        <v>#VALUE!</v>
      </c>
      <c r="AB277" t="s">
        <v>64</v>
      </c>
      <c r="AC277" t="s">
        <v>62</v>
      </c>
      <c r="AD277" t="s">
        <v>2220</v>
      </c>
    </row>
    <row r="278" spans="1:30" x14ac:dyDescent="0.35">
      <c r="A278" t="s">
        <v>852</v>
      </c>
      <c r="B278" t="s">
        <v>316</v>
      </c>
      <c r="C278" t="e">
        <v>#VALUE!</v>
      </c>
      <c r="D278" t="e">
        <v>#VALUE!</v>
      </c>
      <c r="F278">
        <v>1365</v>
      </c>
      <c r="G278" t="s">
        <v>76</v>
      </c>
      <c r="H278">
        <v>1000</v>
      </c>
      <c r="J278">
        <v>38</v>
      </c>
      <c r="L278">
        <v>-8.2502732544997901</v>
      </c>
      <c r="M278">
        <v>0</v>
      </c>
      <c r="N278" s="21">
        <v>45059</v>
      </c>
      <c r="O278" s="21">
        <v>46154</v>
      </c>
      <c r="P278">
        <v>7</v>
      </c>
      <c r="Q278">
        <v>0</v>
      </c>
      <c r="R278">
        <v>12</v>
      </c>
      <c r="S278" t="s">
        <v>63</v>
      </c>
      <c r="U278">
        <v>84</v>
      </c>
      <c r="V278" t="e">
        <v>#VALUE!</v>
      </c>
      <c r="W278" t="e">
        <v>#VALUE!</v>
      </c>
      <c r="X278" t="e">
        <v>#VALUE!</v>
      </c>
      <c r="Y278" t="e">
        <v>#VALUE!</v>
      </c>
      <c r="Z278" t="e">
        <v>#VALUE!</v>
      </c>
      <c r="AA278" t="e">
        <v>#VALUE!</v>
      </c>
      <c r="AB278" t="s">
        <v>64</v>
      </c>
      <c r="AC278" t="s">
        <v>62</v>
      </c>
      <c r="AD278" t="s">
        <v>2220</v>
      </c>
    </row>
    <row r="279" spans="1:30" x14ac:dyDescent="0.35">
      <c r="A279" t="s">
        <v>850</v>
      </c>
      <c r="B279" t="s">
        <v>272</v>
      </c>
      <c r="C279" t="e">
        <v>#VALUE!</v>
      </c>
      <c r="D279" t="e">
        <v>#VALUE!</v>
      </c>
      <c r="F279">
        <v>1150</v>
      </c>
      <c r="G279" t="s">
        <v>76</v>
      </c>
      <c r="H279">
        <v>1000</v>
      </c>
      <c r="J279">
        <v>139</v>
      </c>
      <c r="L279">
        <v>-3.9313538936559702</v>
      </c>
      <c r="M279">
        <v>0</v>
      </c>
      <c r="N279" s="21">
        <v>45060</v>
      </c>
      <c r="O279" s="21">
        <v>46155</v>
      </c>
      <c r="P279">
        <v>5</v>
      </c>
      <c r="Q279">
        <v>0</v>
      </c>
      <c r="R279">
        <v>12</v>
      </c>
      <c r="S279" t="s">
        <v>63</v>
      </c>
      <c r="U279">
        <v>60</v>
      </c>
      <c r="V279" t="e">
        <v>#VALUE!</v>
      </c>
      <c r="W279" t="e">
        <v>#VALUE!</v>
      </c>
      <c r="X279" t="e">
        <v>#VALUE!</v>
      </c>
      <c r="Y279" t="e">
        <v>#VALUE!</v>
      </c>
      <c r="Z279" t="e">
        <v>#VALUE!</v>
      </c>
      <c r="AA279" t="e">
        <v>#VALUE!</v>
      </c>
      <c r="AB279" t="s">
        <v>64</v>
      </c>
      <c r="AC279" t="s">
        <v>62</v>
      </c>
      <c r="AD279" t="s">
        <v>2220</v>
      </c>
    </row>
    <row r="280" spans="1:30" x14ac:dyDescent="0.35">
      <c r="A280" t="s">
        <v>848</v>
      </c>
      <c r="B280" t="s">
        <v>216</v>
      </c>
      <c r="C280" t="e">
        <v>#VALUE!</v>
      </c>
      <c r="D280" t="e">
        <v>#VALUE!</v>
      </c>
      <c r="F280">
        <v>1145</v>
      </c>
      <c r="G280" t="s">
        <v>76</v>
      </c>
      <c r="H280">
        <v>1000</v>
      </c>
      <c r="J280">
        <v>1</v>
      </c>
      <c r="L280">
        <v>-3.9305023319371402</v>
      </c>
      <c r="M280">
        <v>0</v>
      </c>
      <c r="N280" s="21">
        <v>45061</v>
      </c>
      <c r="O280" s="21">
        <v>46156</v>
      </c>
      <c r="P280">
        <v>5</v>
      </c>
      <c r="Q280">
        <v>0</v>
      </c>
      <c r="R280">
        <v>12</v>
      </c>
      <c r="S280" t="s">
        <v>63</v>
      </c>
      <c r="U280">
        <v>60</v>
      </c>
      <c r="V280" t="e">
        <v>#VALUE!</v>
      </c>
      <c r="W280" t="e">
        <v>#VALUE!</v>
      </c>
      <c r="X280" t="e">
        <v>#VALUE!</v>
      </c>
      <c r="Y280" t="e">
        <v>#VALUE!</v>
      </c>
      <c r="Z280" t="e">
        <v>#VALUE!</v>
      </c>
      <c r="AA280" t="e">
        <v>#VALUE!</v>
      </c>
      <c r="AB280" t="s">
        <v>64</v>
      </c>
      <c r="AC280" t="s">
        <v>62</v>
      </c>
      <c r="AD280" t="s">
        <v>2220</v>
      </c>
    </row>
    <row r="281" spans="1:30" x14ac:dyDescent="0.35">
      <c r="A281" t="s">
        <v>843</v>
      </c>
      <c r="B281" t="s">
        <v>316</v>
      </c>
      <c r="C281" t="e">
        <v>#VALUE!</v>
      </c>
      <c r="D281" t="e">
        <v>#VALUE!</v>
      </c>
      <c r="F281">
        <v>1170</v>
      </c>
      <c r="G281" t="s">
        <v>76</v>
      </c>
      <c r="H281">
        <v>1000</v>
      </c>
      <c r="J281">
        <v>20</v>
      </c>
      <c r="L281">
        <v>-2.9479815472033302</v>
      </c>
      <c r="M281">
        <v>0</v>
      </c>
      <c r="N281" s="21">
        <v>45062</v>
      </c>
      <c r="O281" s="21">
        <v>46157</v>
      </c>
      <c r="P281">
        <v>4</v>
      </c>
      <c r="Q281">
        <v>0</v>
      </c>
      <c r="R281">
        <v>12</v>
      </c>
      <c r="S281" t="s">
        <v>63</v>
      </c>
      <c r="U281">
        <v>48</v>
      </c>
      <c r="V281" t="e">
        <v>#VALUE!</v>
      </c>
      <c r="W281" t="e">
        <v>#VALUE!</v>
      </c>
      <c r="X281" t="e">
        <v>#VALUE!</v>
      </c>
      <c r="Y281" t="e">
        <v>#VALUE!</v>
      </c>
      <c r="Z281" t="e">
        <v>#VALUE!</v>
      </c>
      <c r="AA281" t="e">
        <v>#VALUE!</v>
      </c>
      <c r="AB281" t="s">
        <v>64</v>
      </c>
      <c r="AC281" t="s">
        <v>62</v>
      </c>
      <c r="AD281" t="s">
        <v>2220</v>
      </c>
    </row>
    <row r="282" spans="1:30" x14ac:dyDescent="0.35">
      <c r="A282" t="s">
        <v>842</v>
      </c>
      <c r="B282" t="s">
        <v>122</v>
      </c>
      <c r="C282" t="e">
        <v>#VALUE!</v>
      </c>
      <c r="D282" t="e">
        <v>#VALUE!</v>
      </c>
      <c r="F282">
        <v>1119.8</v>
      </c>
      <c r="G282" t="s">
        <v>76</v>
      </c>
      <c r="H282">
        <v>1000</v>
      </c>
      <c r="J282">
        <v>322</v>
      </c>
      <c r="L282">
        <v>-3.256792102605</v>
      </c>
      <c r="M282">
        <v>0</v>
      </c>
      <c r="N282" s="21">
        <v>45063</v>
      </c>
      <c r="O282" s="21">
        <v>46158</v>
      </c>
      <c r="P282">
        <v>5</v>
      </c>
      <c r="Q282">
        <v>0</v>
      </c>
      <c r="R282">
        <v>12</v>
      </c>
      <c r="S282" t="s">
        <v>63</v>
      </c>
      <c r="U282">
        <v>60</v>
      </c>
      <c r="V282" t="e">
        <v>#VALUE!</v>
      </c>
      <c r="W282" t="e">
        <v>#VALUE!</v>
      </c>
      <c r="X282" t="e">
        <v>#VALUE!</v>
      </c>
      <c r="Y282" t="e">
        <v>#VALUE!</v>
      </c>
      <c r="Z282" t="e">
        <v>#VALUE!</v>
      </c>
      <c r="AA282" t="e">
        <v>#VALUE!</v>
      </c>
      <c r="AB282" t="s">
        <v>64</v>
      </c>
      <c r="AC282" t="s">
        <v>62</v>
      </c>
      <c r="AD282" t="s">
        <v>2220</v>
      </c>
    </row>
    <row r="283" spans="1:30" x14ac:dyDescent="0.35">
      <c r="A283" t="s">
        <v>836</v>
      </c>
      <c r="B283" t="s">
        <v>241</v>
      </c>
      <c r="C283" t="e">
        <v>#VALUE!</v>
      </c>
      <c r="D283" t="e">
        <v>#VALUE!</v>
      </c>
      <c r="F283">
        <v>1015</v>
      </c>
      <c r="G283" t="s">
        <v>76</v>
      </c>
      <c r="H283">
        <v>1000</v>
      </c>
      <c r="J283">
        <v>25</v>
      </c>
      <c r="L283">
        <v>-0.41685383848150898</v>
      </c>
      <c r="M283">
        <v>0</v>
      </c>
      <c r="N283" s="21">
        <v>45064</v>
      </c>
      <c r="O283" s="21">
        <v>46159</v>
      </c>
      <c r="P283">
        <v>5</v>
      </c>
      <c r="Q283">
        <v>0</v>
      </c>
      <c r="R283">
        <v>12</v>
      </c>
      <c r="S283" t="s">
        <v>63</v>
      </c>
      <c r="U283">
        <v>60</v>
      </c>
      <c r="V283" t="e">
        <v>#VALUE!</v>
      </c>
      <c r="W283" t="e">
        <v>#VALUE!</v>
      </c>
      <c r="X283" t="e">
        <v>#VALUE!</v>
      </c>
      <c r="Y283" t="e">
        <v>#VALUE!</v>
      </c>
      <c r="Z283" t="e">
        <v>#VALUE!</v>
      </c>
      <c r="AA283" t="e">
        <v>#VALUE!</v>
      </c>
      <c r="AB283" t="s">
        <v>64</v>
      </c>
      <c r="AC283" t="s">
        <v>62</v>
      </c>
      <c r="AD283" t="s">
        <v>2220</v>
      </c>
    </row>
    <row r="284" spans="1:30" x14ac:dyDescent="0.35">
      <c r="A284" t="s">
        <v>827</v>
      </c>
      <c r="B284" t="s">
        <v>553</v>
      </c>
      <c r="C284" t="e">
        <v>#VALUE!</v>
      </c>
      <c r="D284" t="e">
        <v>#VALUE!</v>
      </c>
      <c r="F284">
        <v>1420</v>
      </c>
      <c r="G284" t="s">
        <v>76</v>
      </c>
      <c r="H284">
        <v>1000</v>
      </c>
      <c r="J284">
        <v>33</v>
      </c>
      <c r="L284">
        <v>-9.0039821917325398</v>
      </c>
      <c r="M284">
        <v>0</v>
      </c>
      <c r="N284" s="21">
        <v>45065</v>
      </c>
      <c r="O284" s="21">
        <v>46160</v>
      </c>
      <c r="P284">
        <v>7</v>
      </c>
      <c r="Q284">
        <v>0</v>
      </c>
      <c r="R284">
        <v>12</v>
      </c>
      <c r="S284" t="s">
        <v>63</v>
      </c>
      <c r="U284">
        <v>84</v>
      </c>
      <c r="V284" t="e">
        <v>#VALUE!</v>
      </c>
      <c r="W284" t="e">
        <v>#VALUE!</v>
      </c>
      <c r="X284" t="e">
        <v>#VALUE!</v>
      </c>
      <c r="Y284" t="e">
        <v>#VALUE!</v>
      </c>
      <c r="Z284" t="e">
        <v>#VALUE!</v>
      </c>
      <c r="AA284" t="e">
        <v>#VALUE!</v>
      </c>
      <c r="AB284" t="s">
        <v>64</v>
      </c>
      <c r="AC284" t="s">
        <v>62</v>
      </c>
      <c r="AD284" t="s">
        <v>2220</v>
      </c>
    </row>
    <row r="285" spans="1:30" x14ac:dyDescent="0.35">
      <c r="A285" t="s">
        <v>816</v>
      </c>
      <c r="B285" t="s">
        <v>465</v>
      </c>
      <c r="C285" t="e">
        <v>#VALUE!</v>
      </c>
      <c r="D285" t="e">
        <v>#VALUE!</v>
      </c>
      <c r="F285">
        <v>1345</v>
      </c>
      <c r="G285" t="s">
        <v>76</v>
      </c>
      <c r="H285">
        <v>1000</v>
      </c>
      <c r="J285">
        <v>3</v>
      </c>
      <c r="L285">
        <v>-7.6241478270346104</v>
      </c>
      <c r="M285">
        <v>0</v>
      </c>
      <c r="N285" s="21">
        <v>45066</v>
      </c>
      <c r="O285" s="21">
        <v>46161</v>
      </c>
      <c r="P285">
        <v>6</v>
      </c>
      <c r="Q285">
        <v>0</v>
      </c>
      <c r="R285">
        <v>12</v>
      </c>
      <c r="S285" t="s">
        <v>63</v>
      </c>
      <c r="U285">
        <v>72</v>
      </c>
      <c r="V285" t="e">
        <v>#VALUE!</v>
      </c>
      <c r="W285" t="e">
        <v>#VALUE!</v>
      </c>
      <c r="X285" t="e">
        <v>#VALUE!</v>
      </c>
      <c r="Y285" t="e">
        <v>#VALUE!</v>
      </c>
      <c r="Z285" t="e">
        <v>#VALUE!</v>
      </c>
      <c r="AA285" t="e">
        <v>#VALUE!</v>
      </c>
      <c r="AB285" t="s">
        <v>64</v>
      </c>
      <c r="AC285" t="s">
        <v>62</v>
      </c>
      <c r="AD285" t="s">
        <v>2220</v>
      </c>
    </row>
    <row r="286" spans="1:30" x14ac:dyDescent="0.35">
      <c r="A286" t="s">
        <v>812</v>
      </c>
      <c r="B286" t="s">
        <v>749</v>
      </c>
      <c r="C286" t="e">
        <v>#VALUE!</v>
      </c>
      <c r="D286" t="e">
        <v>#VALUE!</v>
      </c>
      <c r="F286">
        <v>1125</v>
      </c>
      <c r="G286" t="s">
        <v>76</v>
      </c>
      <c r="H286">
        <v>1000</v>
      </c>
      <c r="J286">
        <v>462</v>
      </c>
      <c r="L286">
        <v>-3.25485999643303</v>
      </c>
      <c r="M286">
        <v>0</v>
      </c>
      <c r="N286" s="21">
        <v>45067</v>
      </c>
      <c r="O286" s="21">
        <v>46162</v>
      </c>
      <c r="P286">
        <v>5</v>
      </c>
      <c r="Q286">
        <v>0</v>
      </c>
      <c r="R286">
        <v>12</v>
      </c>
      <c r="S286" t="s">
        <v>63</v>
      </c>
      <c r="U286">
        <v>60</v>
      </c>
      <c r="V286" t="e">
        <v>#VALUE!</v>
      </c>
      <c r="W286" t="e">
        <v>#VALUE!</v>
      </c>
      <c r="X286" t="e">
        <v>#VALUE!</v>
      </c>
      <c r="Y286" t="e">
        <v>#VALUE!</v>
      </c>
      <c r="Z286" t="e">
        <v>#VALUE!</v>
      </c>
      <c r="AA286" t="e">
        <v>#VALUE!</v>
      </c>
      <c r="AB286" t="s">
        <v>64</v>
      </c>
      <c r="AC286" t="s">
        <v>62</v>
      </c>
      <c r="AD286" t="s">
        <v>2220</v>
      </c>
    </row>
    <row r="287" spans="1:30" x14ac:dyDescent="0.35">
      <c r="A287" t="s">
        <v>808</v>
      </c>
      <c r="B287" t="s">
        <v>316</v>
      </c>
      <c r="C287" t="e">
        <v>#VALUE!</v>
      </c>
      <c r="D287" t="e">
        <v>#VALUE!</v>
      </c>
      <c r="F287">
        <v>950</v>
      </c>
      <c r="G287" t="s">
        <v>76</v>
      </c>
      <c r="H287">
        <v>1000</v>
      </c>
      <c r="J287">
        <v>15</v>
      </c>
      <c r="L287">
        <v>1.3930766001297601</v>
      </c>
      <c r="M287">
        <v>0</v>
      </c>
      <c r="N287" s="21">
        <v>45068</v>
      </c>
      <c r="O287" s="21">
        <v>46163</v>
      </c>
      <c r="P287">
        <v>4</v>
      </c>
      <c r="Q287">
        <v>0</v>
      </c>
      <c r="R287">
        <v>12</v>
      </c>
      <c r="S287" t="s">
        <v>63</v>
      </c>
      <c r="U287">
        <v>48</v>
      </c>
      <c r="V287" t="e">
        <v>#VALUE!</v>
      </c>
      <c r="W287" t="e">
        <v>#VALUE!</v>
      </c>
      <c r="X287" t="e">
        <v>#VALUE!</v>
      </c>
      <c r="Y287" t="e">
        <v>#VALUE!</v>
      </c>
      <c r="Z287" t="e">
        <v>#VALUE!</v>
      </c>
      <c r="AA287" t="e">
        <v>#VALUE!</v>
      </c>
      <c r="AB287" t="s">
        <v>64</v>
      </c>
      <c r="AC287" t="s">
        <v>62</v>
      </c>
      <c r="AD287" t="s">
        <v>2220</v>
      </c>
    </row>
    <row r="288" spans="1:30" x14ac:dyDescent="0.35">
      <c r="A288" t="s">
        <v>797</v>
      </c>
      <c r="B288" t="s">
        <v>338</v>
      </c>
      <c r="C288" t="e">
        <v>#VALUE!</v>
      </c>
      <c r="D288" t="e">
        <v>#VALUE!</v>
      </c>
      <c r="F288">
        <v>847.84997999999996</v>
      </c>
      <c r="G288" t="s">
        <v>76</v>
      </c>
      <c r="H288">
        <v>1000</v>
      </c>
      <c r="J288">
        <v>2300</v>
      </c>
      <c r="L288">
        <v>3.7258639556947801</v>
      </c>
      <c r="M288">
        <v>0</v>
      </c>
      <c r="N288" s="21">
        <v>45069</v>
      </c>
      <c r="O288" s="21">
        <v>46164</v>
      </c>
      <c r="P288">
        <v>5</v>
      </c>
      <c r="Q288">
        <v>0</v>
      </c>
      <c r="R288">
        <v>12</v>
      </c>
      <c r="S288" t="s">
        <v>63</v>
      </c>
      <c r="U288">
        <v>60</v>
      </c>
      <c r="V288" t="e">
        <v>#VALUE!</v>
      </c>
      <c r="W288" t="e">
        <v>#VALUE!</v>
      </c>
      <c r="X288" t="e">
        <v>#VALUE!</v>
      </c>
      <c r="Y288" t="e">
        <v>#VALUE!</v>
      </c>
      <c r="Z288" t="e">
        <v>#VALUE!</v>
      </c>
      <c r="AA288" t="e">
        <v>#VALUE!</v>
      </c>
      <c r="AB288" t="s">
        <v>64</v>
      </c>
      <c r="AC288" t="s">
        <v>62</v>
      </c>
      <c r="AD288" t="s">
        <v>2220</v>
      </c>
    </row>
    <row r="289" spans="1:30" x14ac:dyDescent="0.35">
      <c r="A289" t="s">
        <v>796</v>
      </c>
      <c r="B289" t="s">
        <v>338</v>
      </c>
      <c r="C289" t="e">
        <v>#VALUE!</v>
      </c>
      <c r="D289" t="e">
        <v>#VALUE!</v>
      </c>
      <c r="F289">
        <v>989.8</v>
      </c>
      <c r="G289" t="s">
        <v>76</v>
      </c>
      <c r="H289">
        <v>1000</v>
      </c>
      <c r="J289">
        <v>8</v>
      </c>
      <c r="L289">
        <v>0.25466255467241899</v>
      </c>
      <c r="M289">
        <v>0</v>
      </c>
      <c r="N289" s="21">
        <v>45070</v>
      </c>
      <c r="O289" s="21">
        <v>46165</v>
      </c>
      <c r="P289">
        <v>5</v>
      </c>
      <c r="Q289">
        <v>0</v>
      </c>
      <c r="R289">
        <v>12</v>
      </c>
      <c r="S289" t="s">
        <v>63</v>
      </c>
      <c r="U289">
        <v>60</v>
      </c>
      <c r="V289" t="e">
        <v>#VALUE!</v>
      </c>
      <c r="W289" t="e">
        <v>#VALUE!</v>
      </c>
      <c r="X289" t="e">
        <v>#VALUE!</v>
      </c>
      <c r="Y289" t="e">
        <v>#VALUE!</v>
      </c>
      <c r="Z289" t="e">
        <v>#VALUE!</v>
      </c>
      <c r="AA289" t="e">
        <v>#VALUE!</v>
      </c>
      <c r="AB289" t="s">
        <v>64</v>
      </c>
      <c r="AC289" t="s">
        <v>62</v>
      </c>
      <c r="AD289" t="s">
        <v>2220</v>
      </c>
    </row>
    <row r="290" spans="1:30" x14ac:dyDescent="0.35">
      <c r="A290" t="s">
        <v>779</v>
      </c>
      <c r="B290" t="s">
        <v>553</v>
      </c>
      <c r="C290" t="e">
        <v>#VALUE!</v>
      </c>
      <c r="D290" t="e">
        <v>#VALUE!</v>
      </c>
      <c r="F290">
        <v>1151.6500000000001</v>
      </c>
      <c r="G290" t="s">
        <v>76</v>
      </c>
      <c r="H290">
        <v>1000</v>
      </c>
      <c r="J290">
        <v>35</v>
      </c>
      <c r="L290">
        <v>-3.68584591486368</v>
      </c>
      <c r="M290">
        <v>0</v>
      </c>
      <c r="N290" s="21">
        <v>45071</v>
      </c>
      <c r="O290" s="21">
        <v>46166</v>
      </c>
      <c r="P290">
        <v>7</v>
      </c>
      <c r="Q290">
        <v>0</v>
      </c>
      <c r="R290">
        <v>12</v>
      </c>
      <c r="S290" t="s">
        <v>63</v>
      </c>
      <c r="U290">
        <v>84</v>
      </c>
      <c r="V290" t="e">
        <v>#VALUE!</v>
      </c>
      <c r="W290" t="e">
        <v>#VALUE!</v>
      </c>
      <c r="X290" t="e">
        <v>#VALUE!</v>
      </c>
      <c r="Y290" t="e">
        <v>#VALUE!</v>
      </c>
      <c r="Z290" t="e">
        <v>#VALUE!</v>
      </c>
      <c r="AA290" t="e">
        <v>#VALUE!</v>
      </c>
      <c r="AB290" t="s">
        <v>64</v>
      </c>
      <c r="AC290" t="s">
        <v>62</v>
      </c>
      <c r="AD290" t="s">
        <v>2220</v>
      </c>
    </row>
    <row r="291" spans="1:30" x14ac:dyDescent="0.35">
      <c r="A291" t="s">
        <v>763</v>
      </c>
      <c r="B291" t="s">
        <v>272</v>
      </c>
      <c r="C291" t="e">
        <v>#VALUE!</v>
      </c>
      <c r="D291" t="e">
        <v>#VALUE!</v>
      </c>
      <c r="F291">
        <v>1110</v>
      </c>
      <c r="G291" t="s">
        <v>76</v>
      </c>
      <c r="H291">
        <v>1000</v>
      </c>
      <c r="J291">
        <v>10</v>
      </c>
      <c r="L291">
        <v>-2.7717372544958701</v>
      </c>
      <c r="M291">
        <v>0</v>
      </c>
      <c r="N291" s="21">
        <v>45072</v>
      </c>
      <c r="O291" s="21">
        <v>46167</v>
      </c>
      <c r="P291">
        <v>5</v>
      </c>
      <c r="Q291">
        <v>0</v>
      </c>
      <c r="R291">
        <v>12</v>
      </c>
      <c r="S291" t="s">
        <v>63</v>
      </c>
      <c r="U291">
        <v>60</v>
      </c>
      <c r="V291" t="e">
        <v>#VALUE!</v>
      </c>
      <c r="W291" t="e">
        <v>#VALUE!</v>
      </c>
      <c r="X291" t="e">
        <v>#VALUE!</v>
      </c>
      <c r="Y291" t="e">
        <v>#VALUE!</v>
      </c>
      <c r="Z291" t="e">
        <v>#VALUE!</v>
      </c>
      <c r="AA291" t="e">
        <v>#VALUE!</v>
      </c>
      <c r="AB291" t="s">
        <v>64</v>
      </c>
      <c r="AC291" t="s">
        <v>62</v>
      </c>
      <c r="AD291" t="s">
        <v>2220</v>
      </c>
    </row>
    <row r="292" spans="1:30" x14ac:dyDescent="0.35">
      <c r="A292" t="s">
        <v>760</v>
      </c>
      <c r="B292" t="s">
        <v>241</v>
      </c>
      <c r="C292" t="e">
        <v>#VALUE!</v>
      </c>
      <c r="D292" t="e">
        <v>#VALUE!</v>
      </c>
      <c r="F292">
        <v>1330.9</v>
      </c>
      <c r="G292" t="s">
        <v>76</v>
      </c>
      <c r="H292">
        <v>1000</v>
      </c>
      <c r="J292">
        <v>157</v>
      </c>
      <c r="L292">
        <v>-6.9486594811948299</v>
      </c>
      <c r="M292">
        <v>0</v>
      </c>
      <c r="N292" s="21">
        <v>45073</v>
      </c>
      <c r="O292" s="21">
        <v>46168</v>
      </c>
      <c r="P292">
        <v>7</v>
      </c>
      <c r="Q292">
        <v>0</v>
      </c>
      <c r="R292">
        <v>12</v>
      </c>
      <c r="S292" t="s">
        <v>63</v>
      </c>
      <c r="U292">
        <v>84</v>
      </c>
      <c r="V292" t="e">
        <v>#VALUE!</v>
      </c>
      <c r="W292" t="e">
        <v>#VALUE!</v>
      </c>
      <c r="X292" t="e">
        <v>#VALUE!</v>
      </c>
      <c r="Y292" t="e">
        <v>#VALUE!</v>
      </c>
      <c r="Z292" t="e">
        <v>#VALUE!</v>
      </c>
      <c r="AA292" t="e">
        <v>#VALUE!</v>
      </c>
      <c r="AB292" t="s">
        <v>64</v>
      </c>
      <c r="AC292" t="s">
        <v>62</v>
      </c>
      <c r="AD292" t="s">
        <v>2220</v>
      </c>
    </row>
    <row r="293" spans="1:30" x14ac:dyDescent="0.35">
      <c r="A293" t="s">
        <v>757</v>
      </c>
      <c r="B293" t="s">
        <v>122</v>
      </c>
      <c r="C293" t="e">
        <v>#VALUE!</v>
      </c>
      <c r="D293" t="e">
        <v>#VALUE!</v>
      </c>
      <c r="F293">
        <v>1090.8</v>
      </c>
      <c r="G293" t="s">
        <v>76</v>
      </c>
      <c r="H293">
        <v>1000</v>
      </c>
      <c r="J293">
        <v>20</v>
      </c>
      <c r="L293">
        <v>-2.3371696143973302</v>
      </c>
      <c r="M293">
        <v>0</v>
      </c>
      <c r="N293" s="21">
        <v>45074</v>
      </c>
      <c r="O293" s="21">
        <v>46169</v>
      </c>
      <c r="P293">
        <v>5</v>
      </c>
      <c r="Q293">
        <v>0</v>
      </c>
      <c r="R293">
        <v>12</v>
      </c>
      <c r="S293" t="s">
        <v>63</v>
      </c>
      <c r="U293">
        <v>60</v>
      </c>
      <c r="V293" t="e">
        <v>#VALUE!</v>
      </c>
      <c r="W293" t="e">
        <v>#VALUE!</v>
      </c>
      <c r="X293" t="e">
        <v>#VALUE!</v>
      </c>
      <c r="Y293" t="e">
        <v>#VALUE!</v>
      </c>
      <c r="Z293" t="e">
        <v>#VALUE!</v>
      </c>
      <c r="AA293" t="e">
        <v>#VALUE!</v>
      </c>
      <c r="AB293" t="s">
        <v>64</v>
      </c>
      <c r="AC293" t="s">
        <v>62</v>
      </c>
      <c r="AD293" t="s">
        <v>2220</v>
      </c>
    </row>
    <row r="294" spans="1:30" x14ac:dyDescent="0.35">
      <c r="A294" t="s">
        <v>752</v>
      </c>
      <c r="B294" t="s">
        <v>749</v>
      </c>
      <c r="C294" t="e">
        <v>#VALUE!</v>
      </c>
      <c r="D294" t="e">
        <v>#VALUE!</v>
      </c>
      <c r="F294">
        <v>1000</v>
      </c>
      <c r="G294" t="s">
        <v>76</v>
      </c>
      <c r="H294">
        <v>1000</v>
      </c>
      <c r="J294">
        <v>14</v>
      </c>
      <c r="L294">
        <v>0</v>
      </c>
      <c r="M294">
        <v>0</v>
      </c>
      <c r="N294" s="21">
        <v>45075</v>
      </c>
      <c r="O294" s="21">
        <v>46170</v>
      </c>
      <c r="P294">
        <v>5</v>
      </c>
      <c r="Q294">
        <v>0</v>
      </c>
      <c r="R294">
        <v>12</v>
      </c>
      <c r="S294" t="s">
        <v>63</v>
      </c>
      <c r="U294">
        <v>60</v>
      </c>
      <c r="V294" t="e">
        <v>#VALUE!</v>
      </c>
      <c r="W294" t="e">
        <v>#VALUE!</v>
      </c>
      <c r="X294" t="e">
        <v>#VALUE!</v>
      </c>
      <c r="Y294" t="e">
        <v>#VALUE!</v>
      </c>
      <c r="Z294" t="e">
        <v>#VALUE!</v>
      </c>
      <c r="AA294" t="e">
        <v>#VALUE!</v>
      </c>
      <c r="AB294" t="s">
        <v>64</v>
      </c>
      <c r="AC294" t="s">
        <v>62</v>
      </c>
      <c r="AD294" t="s">
        <v>2220</v>
      </c>
    </row>
    <row r="295" spans="1:30" x14ac:dyDescent="0.35">
      <c r="A295" t="s">
        <v>747</v>
      </c>
      <c r="B295" t="s">
        <v>241</v>
      </c>
      <c r="C295" t="e">
        <v>#VALUE!</v>
      </c>
      <c r="D295" t="e">
        <v>#VALUE!</v>
      </c>
      <c r="F295">
        <v>1105.5</v>
      </c>
      <c r="G295" t="s">
        <v>76</v>
      </c>
      <c r="H295">
        <v>1000</v>
      </c>
      <c r="J295">
        <v>100</v>
      </c>
      <c r="L295">
        <v>-2.6508869792451799</v>
      </c>
      <c r="M295">
        <v>0</v>
      </c>
      <c r="N295" s="21">
        <v>45076</v>
      </c>
      <c r="O295" s="21">
        <v>46171</v>
      </c>
      <c r="P295">
        <v>5</v>
      </c>
      <c r="Q295">
        <v>0</v>
      </c>
      <c r="R295">
        <v>12</v>
      </c>
      <c r="S295" t="s">
        <v>63</v>
      </c>
      <c r="U295">
        <v>60</v>
      </c>
      <c r="V295" t="e">
        <v>#VALUE!</v>
      </c>
      <c r="W295" t="e">
        <v>#VALUE!</v>
      </c>
      <c r="X295" t="e">
        <v>#VALUE!</v>
      </c>
      <c r="Y295" t="e">
        <v>#VALUE!</v>
      </c>
      <c r="Z295" t="e">
        <v>#VALUE!</v>
      </c>
      <c r="AA295" t="e">
        <v>#VALUE!</v>
      </c>
      <c r="AB295" t="s">
        <v>64</v>
      </c>
      <c r="AC295" t="s">
        <v>62</v>
      </c>
      <c r="AD295" t="s">
        <v>2220</v>
      </c>
    </row>
    <row r="296" spans="1:30" x14ac:dyDescent="0.35">
      <c r="A296" t="s">
        <v>727</v>
      </c>
      <c r="B296" t="s">
        <v>357</v>
      </c>
      <c r="C296" t="e">
        <v>#VALUE!</v>
      </c>
      <c r="D296" t="e">
        <v>#VALUE!</v>
      </c>
      <c r="F296">
        <v>1050</v>
      </c>
      <c r="G296" t="s">
        <v>76</v>
      </c>
      <c r="H296">
        <v>1000</v>
      </c>
      <c r="J296">
        <v>72</v>
      </c>
      <c r="L296">
        <v>-1.25675722205006</v>
      </c>
      <c r="M296">
        <v>0</v>
      </c>
      <c r="N296" s="21">
        <v>45077</v>
      </c>
      <c r="O296" s="21">
        <v>46172</v>
      </c>
      <c r="P296">
        <v>5</v>
      </c>
      <c r="Q296">
        <v>0</v>
      </c>
      <c r="R296">
        <v>12</v>
      </c>
      <c r="S296" t="s">
        <v>63</v>
      </c>
      <c r="U296">
        <v>60</v>
      </c>
      <c r="V296" t="e">
        <v>#VALUE!</v>
      </c>
      <c r="W296" t="e">
        <v>#VALUE!</v>
      </c>
      <c r="X296" t="e">
        <v>#VALUE!</v>
      </c>
      <c r="Y296" t="e">
        <v>#VALUE!</v>
      </c>
      <c r="Z296" t="e">
        <v>#VALUE!</v>
      </c>
      <c r="AA296" t="e">
        <v>#VALUE!</v>
      </c>
      <c r="AB296" t="s">
        <v>64</v>
      </c>
      <c r="AC296" t="s">
        <v>62</v>
      </c>
      <c r="AD296" t="s">
        <v>2220</v>
      </c>
    </row>
    <row r="297" spans="1:30" x14ac:dyDescent="0.35">
      <c r="A297" t="s">
        <v>724</v>
      </c>
      <c r="B297" t="s">
        <v>390</v>
      </c>
      <c r="C297" t="e">
        <v>#VALUE!</v>
      </c>
      <c r="D297" t="e">
        <v>#VALUE!</v>
      </c>
      <c r="F297">
        <v>985.71996999999999</v>
      </c>
      <c r="G297" t="s">
        <v>76</v>
      </c>
      <c r="H297">
        <v>100000</v>
      </c>
      <c r="J297">
        <v>1</v>
      </c>
      <c r="M297">
        <v>0</v>
      </c>
      <c r="N297" s="21">
        <v>45078</v>
      </c>
      <c r="O297" s="21">
        <v>46173</v>
      </c>
      <c r="P297">
        <v>4</v>
      </c>
      <c r="Q297">
        <v>0</v>
      </c>
      <c r="R297">
        <v>12</v>
      </c>
      <c r="S297" t="s">
        <v>63</v>
      </c>
      <c r="U297">
        <v>48</v>
      </c>
      <c r="V297" t="e">
        <v>#VALUE!</v>
      </c>
      <c r="W297" t="e">
        <v>#VALUE!</v>
      </c>
      <c r="X297" t="e">
        <v>#VALUE!</v>
      </c>
      <c r="Y297" t="e">
        <v>#VALUE!</v>
      </c>
      <c r="Z297" t="e">
        <v>#VALUE!</v>
      </c>
      <c r="AA297" t="e">
        <v>#VALUE!</v>
      </c>
      <c r="AB297" t="s">
        <v>79</v>
      </c>
      <c r="AC297" t="s">
        <v>62</v>
      </c>
      <c r="AD297" t="s">
        <v>2220</v>
      </c>
    </row>
    <row r="298" spans="1:30" x14ac:dyDescent="0.35">
      <c r="A298" t="s">
        <v>723</v>
      </c>
      <c r="B298" t="s">
        <v>353</v>
      </c>
      <c r="C298" t="e">
        <v>#VALUE!</v>
      </c>
      <c r="D298" t="e">
        <v>#VALUE!</v>
      </c>
      <c r="F298">
        <v>1290</v>
      </c>
      <c r="G298" t="s">
        <v>76</v>
      </c>
      <c r="H298">
        <v>1000</v>
      </c>
      <c r="J298">
        <v>10</v>
      </c>
      <c r="L298">
        <v>-6.1602299974392896</v>
      </c>
      <c r="M298">
        <v>0</v>
      </c>
      <c r="N298" s="21">
        <v>45079</v>
      </c>
      <c r="O298" s="21">
        <v>46174</v>
      </c>
      <c r="P298">
        <v>6</v>
      </c>
      <c r="Q298">
        <v>0</v>
      </c>
      <c r="R298">
        <v>12</v>
      </c>
      <c r="S298" t="s">
        <v>63</v>
      </c>
      <c r="U298">
        <v>72</v>
      </c>
      <c r="V298" t="e">
        <v>#VALUE!</v>
      </c>
      <c r="W298" t="e">
        <v>#VALUE!</v>
      </c>
      <c r="X298" t="e">
        <v>#VALUE!</v>
      </c>
      <c r="Y298" t="e">
        <v>#VALUE!</v>
      </c>
      <c r="Z298" t="e">
        <v>#VALUE!</v>
      </c>
      <c r="AA298" t="e">
        <v>#VALUE!</v>
      </c>
      <c r="AB298" t="s">
        <v>64</v>
      </c>
      <c r="AC298" t="s">
        <v>62</v>
      </c>
      <c r="AD298" t="s">
        <v>2220</v>
      </c>
    </row>
    <row r="299" spans="1:30" x14ac:dyDescent="0.35">
      <c r="A299" t="s">
        <v>688</v>
      </c>
      <c r="B299" t="s">
        <v>122</v>
      </c>
      <c r="C299" t="e">
        <v>#VALUE!</v>
      </c>
      <c r="D299" t="e">
        <v>#VALUE!</v>
      </c>
      <c r="F299">
        <v>945</v>
      </c>
      <c r="G299" t="s">
        <v>76</v>
      </c>
      <c r="H299">
        <v>1000</v>
      </c>
      <c r="J299">
        <v>16</v>
      </c>
      <c r="L299">
        <v>1.34622219539836</v>
      </c>
      <c r="M299">
        <v>0</v>
      </c>
      <c r="N299" s="21">
        <v>45080</v>
      </c>
      <c r="O299" s="21">
        <v>46175</v>
      </c>
      <c r="P299">
        <v>5</v>
      </c>
      <c r="Q299">
        <v>0</v>
      </c>
      <c r="R299">
        <v>12</v>
      </c>
      <c r="S299" t="s">
        <v>63</v>
      </c>
      <c r="U299">
        <v>60</v>
      </c>
      <c r="V299" t="e">
        <v>#VALUE!</v>
      </c>
      <c r="W299" t="e">
        <v>#VALUE!</v>
      </c>
      <c r="X299" t="e">
        <v>#VALUE!</v>
      </c>
      <c r="Y299" t="e">
        <v>#VALUE!</v>
      </c>
      <c r="Z299" t="e">
        <v>#VALUE!</v>
      </c>
      <c r="AA299" t="e">
        <v>#VALUE!</v>
      </c>
      <c r="AB299" t="s">
        <v>64</v>
      </c>
      <c r="AC299" t="s">
        <v>62</v>
      </c>
      <c r="AD299" t="s">
        <v>2220</v>
      </c>
    </row>
    <row r="300" spans="1:30" x14ac:dyDescent="0.35">
      <c r="A300" t="s">
        <v>687</v>
      </c>
      <c r="B300" t="s">
        <v>241</v>
      </c>
      <c r="C300" t="e">
        <v>#VALUE!</v>
      </c>
      <c r="D300" t="e">
        <v>#VALUE!</v>
      </c>
      <c r="F300">
        <v>1089</v>
      </c>
      <c r="G300" t="s">
        <v>76</v>
      </c>
      <c r="H300">
        <v>1000</v>
      </c>
      <c r="J300">
        <v>1</v>
      </c>
      <c r="L300">
        <v>-2.133771056908</v>
      </c>
      <c r="M300">
        <v>0</v>
      </c>
      <c r="N300" s="21">
        <v>45081</v>
      </c>
      <c r="O300" s="21">
        <v>46176</v>
      </c>
      <c r="P300">
        <v>5</v>
      </c>
      <c r="Q300">
        <v>0</v>
      </c>
      <c r="R300">
        <v>12</v>
      </c>
      <c r="S300" t="s">
        <v>63</v>
      </c>
      <c r="U300">
        <v>60</v>
      </c>
      <c r="V300" t="e">
        <v>#VALUE!</v>
      </c>
      <c r="W300" t="e">
        <v>#VALUE!</v>
      </c>
      <c r="X300" t="e">
        <v>#VALUE!</v>
      </c>
      <c r="Y300" t="e">
        <v>#VALUE!</v>
      </c>
      <c r="Z300" t="e">
        <v>#VALUE!</v>
      </c>
      <c r="AA300" t="e">
        <v>#VALUE!</v>
      </c>
      <c r="AB300" t="s">
        <v>64</v>
      </c>
      <c r="AC300" t="s">
        <v>62</v>
      </c>
      <c r="AD300" t="s">
        <v>2220</v>
      </c>
    </row>
    <row r="301" spans="1:30" x14ac:dyDescent="0.35">
      <c r="A301" t="s">
        <v>672</v>
      </c>
      <c r="B301" t="s">
        <v>568</v>
      </c>
      <c r="C301" t="e">
        <v>#VALUE!</v>
      </c>
      <c r="D301" t="e">
        <v>#VALUE!</v>
      </c>
      <c r="F301">
        <v>980</v>
      </c>
      <c r="G301" t="s">
        <v>76</v>
      </c>
      <c r="H301">
        <v>1000</v>
      </c>
      <c r="J301">
        <v>160</v>
      </c>
      <c r="L301">
        <v>0.53206997084548102</v>
      </c>
      <c r="M301">
        <v>0</v>
      </c>
      <c r="N301" s="21">
        <v>45082</v>
      </c>
      <c r="O301" s="21">
        <v>46177</v>
      </c>
      <c r="P301">
        <v>10</v>
      </c>
      <c r="Q301">
        <v>0</v>
      </c>
      <c r="R301">
        <v>12</v>
      </c>
      <c r="S301" t="s">
        <v>63</v>
      </c>
      <c r="U301">
        <v>120</v>
      </c>
      <c r="V301" t="e">
        <v>#VALUE!</v>
      </c>
      <c r="W301" t="e">
        <v>#VALUE!</v>
      </c>
      <c r="X301" t="e">
        <v>#VALUE!</v>
      </c>
      <c r="Y301" t="e">
        <v>#VALUE!</v>
      </c>
      <c r="Z301" t="e">
        <v>#VALUE!</v>
      </c>
      <c r="AA301" t="e">
        <v>#VALUE!</v>
      </c>
      <c r="AB301" t="s">
        <v>64</v>
      </c>
      <c r="AC301" t="s">
        <v>62</v>
      </c>
      <c r="AD301" t="s">
        <v>2220</v>
      </c>
    </row>
    <row r="302" spans="1:30" x14ac:dyDescent="0.35">
      <c r="A302" t="s">
        <v>653</v>
      </c>
      <c r="B302" t="s">
        <v>465</v>
      </c>
      <c r="C302" t="e">
        <v>#VALUE!</v>
      </c>
      <c r="D302" t="e">
        <v>#VALUE!</v>
      </c>
      <c r="F302">
        <v>1129</v>
      </c>
      <c r="G302" t="s">
        <v>76</v>
      </c>
      <c r="H302">
        <v>1000</v>
      </c>
      <c r="J302">
        <v>10</v>
      </c>
      <c r="L302">
        <v>-2.80087634087828</v>
      </c>
      <c r="M302">
        <v>0</v>
      </c>
      <c r="N302" s="21">
        <v>45083</v>
      </c>
      <c r="O302" s="21">
        <v>46178</v>
      </c>
      <c r="P302">
        <v>6</v>
      </c>
      <c r="Q302">
        <v>0</v>
      </c>
      <c r="R302">
        <v>12</v>
      </c>
      <c r="S302" t="s">
        <v>63</v>
      </c>
      <c r="U302">
        <v>72</v>
      </c>
      <c r="V302" t="e">
        <v>#VALUE!</v>
      </c>
      <c r="W302" t="e">
        <v>#VALUE!</v>
      </c>
      <c r="X302" t="e">
        <v>#VALUE!</v>
      </c>
      <c r="Y302" t="e">
        <v>#VALUE!</v>
      </c>
      <c r="Z302" t="e">
        <v>#VALUE!</v>
      </c>
      <c r="AA302" t="e">
        <v>#VALUE!</v>
      </c>
      <c r="AB302" t="s">
        <v>64</v>
      </c>
      <c r="AC302" t="s">
        <v>62</v>
      </c>
      <c r="AD302" t="s">
        <v>2220</v>
      </c>
    </row>
    <row r="303" spans="1:30" x14ac:dyDescent="0.35">
      <c r="A303" t="s">
        <v>643</v>
      </c>
      <c r="B303" t="s">
        <v>357</v>
      </c>
      <c r="C303" t="e">
        <v>#VALUE!</v>
      </c>
      <c r="D303" t="e">
        <v>#VALUE!</v>
      </c>
      <c r="F303">
        <v>945</v>
      </c>
      <c r="G303" t="s">
        <v>76</v>
      </c>
      <c r="H303">
        <v>1000</v>
      </c>
      <c r="J303">
        <v>9</v>
      </c>
      <c r="L303">
        <v>1.2977022750999501</v>
      </c>
      <c r="M303">
        <v>0</v>
      </c>
      <c r="N303" s="21">
        <v>45084</v>
      </c>
      <c r="O303" s="21">
        <v>46179</v>
      </c>
      <c r="P303">
        <v>5</v>
      </c>
      <c r="Q303">
        <v>0</v>
      </c>
      <c r="R303">
        <v>12</v>
      </c>
      <c r="S303" t="s">
        <v>63</v>
      </c>
      <c r="U303">
        <v>60</v>
      </c>
      <c r="V303" t="e">
        <v>#VALUE!</v>
      </c>
      <c r="W303" t="e">
        <v>#VALUE!</v>
      </c>
      <c r="X303" t="e">
        <v>#VALUE!</v>
      </c>
      <c r="Y303" t="e">
        <v>#VALUE!</v>
      </c>
      <c r="Z303" t="e">
        <v>#VALUE!</v>
      </c>
      <c r="AA303" t="e">
        <v>#VALUE!</v>
      </c>
      <c r="AB303" t="s">
        <v>64</v>
      </c>
      <c r="AC303" t="s">
        <v>62</v>
      </c>
      <c r="AD303" t="s">
        <v>2220</v>
      </c>
    </row>
    <row r="304" spans="1:30" x14ac:dyDescent="0.35">
      <c r="A304" t="s">
        <v>630</v>
      </c>
      <c r="B304" t="s">
        <v>122</v>
      </c>
      <c r="C304" t="e">
        <v>#VALUE!</v>
      </c>
      <c r="D304" t="e">
        <v>#VALUE!</v>
      </c>
      <c r="F304">
        <v>1170</v>
      </c>
      <c r="G304" t="s">
        <v>76</v>
      </c>
      <c r="H304">
        <v>1000</v>
      </c>
      <c r="J304">
        <v>50</v>
      </c>
      <c r="L304">
        <v>-3.5569542611796101</v>
      </c>
      <c r="M304">
        <v>0</v>
      </c>
      <c r="N304" s="21">
        <v>45085</v>
      </c>
      <c r="O304" s="21">
        <v>46180</v>
      </c>
      <c r="P304">
        <v>5</v>
      </c>
      <c r="Q304">
        <v>0</v>
      </c>
      <c r="R304">
        <v>12</v>
      </c>
      <c r="S304" t="s">
        <v>63</v>
      </c>
      <c r="U304">
        <v>60</v>
      </c>
      <c r="V304" t="e">
        <v>#VALUE!</v>
      </c>
      <c r="W304" t="e">
        <v>#VALUE!</v>
      </c>
      <c r="X304" t="e">
        <v>#VALUE!</v>
      </c>
      <c r="Y304" t="e">
        <v>#VALUE!</v>
      </c>
      <c r="Z304" t="e">
        <v>#VALUE!</v>
      </c>
      <c r="AA304" t="e">
        <v>#VALUE!</v>
      </c>
      <c r="AB304" t="s">
        <v>64</v>
      </c>
      <c r="AC304" t="s">
        <v>62</v>
      </c>
      <c r="AD304" t="s">
        <v>2220</v>
      </c>
    </row>
    <row r="305" spans="1:30" x14ac:dyDescent="0.35">
      <c r="A305" t="s">
        <v>620</v>
      </c>
      <c r="B305" t="s">
        <v>390</v>
      </c>
      <c r="C305" t="e">
        <v>#VALUE!</v>
      </c>
      <c r="D305" t="e">
        <v>#VALUE!</v>
      </c>
      <c r="F305">
        <v>1222.3800000000001</v>
      </c>
      <c r="G305" t="s">
        <v>76</v>
      </c>
      <c r="H305">
        <v>1000</v>
      </c>
      <c r="J305">
        <v>2</v>
      </c>
      <c r="L305">
        <v>-4.4505484334673904</v>
      </c>
      <c r="M305">
        <v>0</v>
      </c>
      <c r="N305" s="21">
        <v>45086</v>
      </c>
      <c r="O305" s="21">
        <v>46181</v>
      </c>
      <c r="P305">
        <v>6</v>
      </c>
      <c r="Q305">
        <v>0</v>
      </c>
      <c r="R305">
        <v>12</v>
      </c>
      <c r="S305" t="s">
        <v>63</v>
      </c>
      <c r="U305">
        <v>72</v>
      </c>
      <c r="V305" t="e">
        <v>#VALUE!</v>
      </c>
      <c r="W305" t="e">
        <v>#VALUE!</v>
      </c>
      <c r="X305" t="e">
        <v>#VALUE!</v>
      </c>
      <c r="Y305" t="e">
        <v>#VALUE!</v>
      </c>
      <c r="Z305" t="e">
        <v>#VALUE!</v>
      </c>
      <c r="AA305" t="e">
        <v>#VALUE!</v>
      </c>
      <c r="AB305" t="s">
        <v>64</v>
      </c>
      <c r="AC305" t="s">
        <v>62</v>
      </c>
      <c r="AD305" t="s">
        <v>2220</v>
      </c>
    </row>
    <row r="306" spans="1:30" x14ac:dyDescent="0.35">
      <c r="A306" t="s">
        <v>619</v>
      </c>
      <c r="B306" t="s">
        <v>316</v>
      </c>
      <c r="C306" t="e">
        <v>#VALUE!</v>
      </c>
      <c r="D306" t="e">
        <v>#VALUE!</v>
      </c>
      <c r="F306">
        <v>1202.1199999999999</v>
      </c>
      <c r="G306" t="s">
        <v>76</v>
      </c>
      <c r="H306">
        <v>1000</v>
      </c>
      <c r="J306">
        <v>57</v>
      </c>
      <c r="L306">
        <v>-3.9618945629882099</v>
      </c>
      <c r="M306">
        <v>0</v>
      </c>
      <c r="N306" s="21">
        <v>45087</v>
      </c>
      <c r="O306" s="21">
        <v>46182</v>
      </c>
      <c r="P306">
        <v>7</v>
      </c>
      <c r="Q306">
        <v>0</v>
      </c>
      <c r="R306">
        <v>12</v>
      </c>
      <c r="S306" t="s">
        <v>63</v>
      </c>
      <c r="U306">
        <v>84</v>
      </c>
      <c r="V306" t="e">
        <v>#VALUE!</v>
      </c>
      <c r="W306" t="e">
        <v>#VALUE!</v>
      </c>
      <c r="X306" t="e">
        <v>#VALUE!</v>
      </c>
      <c r="Y306" t="e">
        <v>#VALUE!</v>
      </c>
      <c r="Z306" t="e">
        <v>#VALUE!</v>
      </c>
      <c r="AA306" t="e">
        <v>#VALUE!</v>
      </c>
      <c r="AB306" t="s">
        <v>64</v>
      </c>
      <c r="AC306" t="s">
        <v>62</v>
      </c>
      <c r="AD306" t="s">
        <v>2220</v>
      </c>
    </row>
    <row r="307" spans="1:30" x14ac:dyDescent="0.35">
      <c r="A307" t="s">
        <v>618</v>
      </c>
      <c r="B307" t="s">
        <v>326</v>
      </c>
      <c r="C307" t="e">
        <v>#VALUE!</v>
      </c>
      <c r="D307" t="e">
        <v>#VALUE!</v>
      </c>
      <c r="F307">
        <v>1200</v>
      </c>
      <c r="G307" t="s">
        <v>76</v>
      </c>
      <c r="H307">
        <v>1000</v>
      </c>
      <c r="J307">
        <v>1</v>
      </c>
      <c r="L307">
        <v>-3.8945795988049499</v>
      </c>
      <c r="M307">
        <v>0</v>
      </c>
      <c r="N307" s="21">
        <v>45088</v>
      </c>
      <c r="O307" s="21">
        <v>46183</v>
      </c>
      <c r="P307">
        <v>7</v>
      </c>
      <c r="Q307">
        <v>0</v>
      </c>
      <c r="R307">
        <v>12</v>
      </c>
      <c r="S307" t="s">
        <v>63</v>
      </c>
      <c r="U307">
        <v>84</v>
      </c>
      <c r="V307" t="e">
        <v>#VALUE!</v>
      </c>
      <c r="W307" t="e">
        <v>#VALUE!</v>
      </c>
      <c r="X307" t="e">
        <v>#VALUE!</v>
      </c>
      <c r="Y307" t="e">
        <v>#VALUE!</v>
      </c>
      <c r="Z307" t="e">
        <v>#VALUE!</v>
      </c>
      <c r="AA307" t="e">
        <v>#VALUE!</v>
      </c>
      <c r="AB307" t="s">
        <v>64</v>
      </c>
      <c r="AC307" t="s">
        <v>62</v>
      </c>
      <c r="AD307" t="s">
        <v>2220</v>
      </c>
    </row>
    <row r="308" spans="1:30" x14ac:dyDescent="0.35">
      <c r="A308" t="s">
        <v>608</v>
      </c>
      <c r="B308" t="s">
        <v>338</v>
      </c>
      <c r="C308" t="e">
        <v>#VALUE!</v>
      </c>
      <c r="D308" t="e">
        <v>#VALUE!</v>
      </c>
      <c r="F308">
        <v>900</v>
      </c>
      <c r="G308" t="s">
        <v>76</v>
      </c>
      <c r="H308">
        <v>1000</v>
      </c>
      <c r="J308">
        <v>2</v>
      </c>
      <c r="L308">
        <v>2.3856209150326699</v>
      </c>
      <c r="M308">
        <v>0</v>
      </c>
      <c r="N308" s="21">
        <v>45089</v>
      </c>
      <c r="O308" s="21">
        <v>46184</v>
      </c>
      <c r="P308">
        <v>5</v>
      </c>
      <c r="Q308">
        <v>0</v>
      </c>
      <c r="R308">
        <v>12</v>
      </c>
      <c r="S308" t="s">
        <v>63</v>
      </c>
      <c r="U308">
        <v>60</v>
      </c>
      <c r="V308" t="e">
        <v>#VALUE!</v>
      </c>
      <c r="W308" t="e">
        <v>#VALUE!</v>
      </c>
      <c r="X308" t="e">
        <v>#VALUE!</v>
      </c>
      <c r="Y308" t="e">
        <v>#VALUE!</v>
      </c>
      <c r="Z308" t="e">
        <v>#VALUE!</v>
      </c>
      <c r="AA308" t="e">
        <v>#VALUE!</v>
      </c>
      <c r="AB308" t="s">
        <v>64</v>
      </c>
      <c r="AC308" t="s">
        <v>62</v>
      </c>
      <c r="AD308" t="s">
        <v>2220</v>
      </c>
    </row>
    <row r="309" spans="1:30" x14ac:dyDescent="0.35">
      <c r="A309" t="s">
        <v>601</v>
      </c>
      <c r="B309" t="s">
        <v>600</v>
      </c>
      <c r="C309" t="e">
        <v>#VALUE!</v>
      </c>
      <c r="D309" t="e">
        <v>#VALUE!</v>
      </c>
      <c r="F309">
        <v>1090</v>
      </c>
      <c r="G309" t="s">
        <v>76</v>
      </c>
      <c r="H309">
        <v>1000</v>
      </c>
      <c r="J309">
        <v>288</v>
      </c>
      <c r="L309">
        <v>-1.98404309933502</v>
      </c>
      <c r="M309">
        <v>0</v>
      </c>
      <c r="N309" s="21">
        <v>45090</v>
      </c>
      <c r="O309" s="21">
        <v>46185</v>
      </c>
      <c r="P309">
        <v>5</v>
      </c>
      <c r="Q309">
        <v>0</v>
      </c>
      <c r="R309">
        <v>12</v>
      </c>
      <c r="S309" t="s">
        <v>63</v>
      </c>
      <c r="U309">
        <v>60</v>
      </c>
      <c r="V309" t="e">
        <v>#VALUE!</v>
      </c>
      <c r="W309" t="e">
        <v>#VALUE!</v>
      </c>
      <c r="X309" t="e">
        <v>#VALUE!</v>
      </c>
      <c r="Y309" t="e">
        <v>#VALUE!</v>
      </c>
      <c r="Z309" t="e">
        <v>#VALUE!</v>
      </c>
      <c r="AA309" t="e">
        <v>#VALUE!</v>
      </c>
      <c r="AB309" t="s">
        <v>64</v>
      </c>
      <c r="AC309" t="s">
        <v>62</v>
      </c>
      <c r="AD309" t="s">
        <v>2220</v>
      </c>
    </row>
    <row r="310" spans="1:30" x14ac:dyDescent="0.35">
      <c r="A310" t="s">
        <v>597</v>
      </c>
      <c r="B310" t="s">
        <v>241</v>
      </c>
      <c r="C310" t="e">
        <v>#VALUE!</v>
      </c>
      <c r="D310" t="e">
        <v>#VALUE!</v>
      </c>
      <c r="F310">
        <v>999</v>
      </c>
      <c r="G310" t="s">
        <v>76</v>
      </c>
      <c r="H310">
        <v>1000</v>
      </c>
      <c r="J310">
        <v>100</v>
      </c>
      <c r="L310">
        <v>2.2964510708068198E-2</v>
      </c>
      <c r="M310">
        <v>0</v>
      </c>
      <c r="N310" s="21">
        <v>45091</v>
      </c>
      <c r="O310" s="21">
        <v>46186</v>
      </c>
      <c r="P310">
        <v>5</v>
      </c>
      <c r="Q310">
        <v>0</v>
      </c>
      <c r="R310">
        <v>12</v>
      </c>
      <c r="S310" t="s">
        <v>63</v>
      </c>
      <c r="U310">
        <v>60</v>
      </c>
      <c r="V310" t="e">
        <v>#VALUE!</v>
      </c>
      <c r="W310" t="e">
        <v>#VALUE!</v>
      </c>
      <c r="X310" t="e">
        <v>#VALUE!</v>
      </c>
      <c r="Y310" t="e">
        <v>#VALUE!</v>
      </c>
      <c r="Z310" t="e">
        <v>#VALUE!</v>
      </c>
      <c r="AA310" t="e">
        <v>#VALUE!</v>
      </c>
      <c r="AB310" t="s">
        <v>64</v>
      </c>
      <c r="AC310" t="s">
        <v>62</v>
      </c>
      <c r="AD310" t="s">
        <v>2220</v>
      </c>
    </row>
    <row r="311" spans="1:30" x14ac:dyDescent="0.35">
      <c r="A311" t="s">
        <v>586</v>
      </c>
      <c r="B311" t="s">
        <v>119</v>
      </c>
      <c r="C311" t="e">
        <v>#VALUE!</v>
      </c>
      <c r="D311" t="e">
        <v>#VALUE!</v>
      </c>
      <c r="F311">
        <v>1022</v>
      </c>
      <c r="G311" t="s">
        <v>76</v>
      </c>
      <c r="H311">
        <v>1000</v>
      </c>
      <c r="J311">
        <v>177</v>
      </c>
      <c r="L311">
        <v>-0.51086754597807904</v>
      </c>
      <c r="M311">
        <v>0</v>
      </c>
      <c r="N311" s="21">
        <v>45092</v>
      </c>
      <c r="O311" s="21">
        <v>46187</v>
      </c>
      <c r="P311">
        <v>5</v>
      </c>
      <c r="Q311">
        <v>0</v>
      </c>
      <c r="R311">
        <v>12</v>
      </c>
      <c r="S311" t="s">
        <v>63</v>
      </c>
      <c r="U311">
        <v>60</v>
      </c>
      <c r="V311" t="e">
        <v>#VALUE!</v>
      </c>
      <c r="W311" t="e">
        <v>#VALUE!</v>
      </c>
      <c r="X311" t="e">
        <v>#VALUE!</v>
      </c>
      <c r="Y311" t="e">
        <v>#VALUE!</v>
      </c>
      <c r="Z311" t="e">
        <v>#VALUE!</v>
      </c>
      <c r="AA311" t="e">
        <v>#VALUE!</v>
      </c>
      <c r="AB311" t="s">
        <v>64</v>
      </c>
      <c r="AC311" t="s">
        <v>62</v>
      </c>
      <c r="AD311" t="s">
        <v>2220</v>
      </c>
    </row>
    <row r="312" spans="1:30" x14ac:dyDescent="0.35">
      <c r="A312" t="s">
        <v>578</v>
      </c>
      <c r="B312" t="s">
        <v>122</v>
      </c>
      <c r="C312" t="e">
        <v>#VALUE!</v>
      </c>
      <c r="D312" t="e">
        <v>#VALUE!</v>
      </c>
      <c r="F312">
        <v>1025</v>
      </c>
      <c r="G312" t="s">
        <v>76</v>
      </c>
      <c r="H312">
        <v>1000</v>
      </c>
      <c r="J312">
        <v>200</v>
      </c>
      <c r="L312">
        <v>-0.57103521644581401</v>
      </c>
      <c r="M312">
        <v>0</v>
      </c>
      <c r="N312" s="21">
        <v>45093</v>
      </c>
      <c r="O312" s="21">
        <v>46188</v>
      </c>
      <c r="P312">
        <v>5</v>
      </c>
      <c r="Q312">
        <v>0</v>
      </c>
      <c r="R312">
        <v>12</v>
      </c>
      <c r="S312" t="s">
        <v>63</v>
      </c>
      <c r="U312">
        <v>60</v>
      </c>
      <c r="V312" t="e">
        <v>#VALUE!</v>
      </c>
      <c r="W312" t="e">
        <v>#VALUE!</v>
      </c>
      <c r="X312" t="e">
        <v>#VALUE!</v>
      </c>
      <c r="Y312" t="e">
        <v>#VALUE!</v>
      </c>
      <c r="Z312" t="e">
        <v>#VALUE!</v>
      </c>
      <c r="AA312" t="e">
        <v>#VALUE!</v>
      </c>
      <c r="AB312" t="s">
        <v>64</v>
      </c>
      <c r="AC312" t="s">
        <v>62</v>
      </c>
      <c r="AD312" t="s">
        <v>2220</v>
      </c>
    </row>
    <row r="313" spans="1:30" x14ac:dyDescent="0.35">
      <c r="A313" t="s">
        <v>575</v>
      </c>
      <c r="B313" t="s">
        <v>241</v>
      </c>
      <c r="C313" t="e">
        <v>#VALUE!</v>
      </c>
      <c r="D313" t="e">
        <v>#VALUE!</v>
      </c>
      <c r="F313">
        <v>970</v>
      </c>
      <c r="G313" t="s">
        <v>76</v>
      </c>
      <c r="H313">
        <v>1000</v>
      </c>
      <c r="J313">
        <v>50</v>
      </c>
      <c r="L313">
        <v>0.62471830624318903</v>
      </c>
      <c r="M313">
        <v>0</v>
      </c>
      <c r="N313" s="21">
        <v>45094</v>
      </c>
      <c r="O313" s="21">
        <v>46189</v>
      </c>
      <c r="P313">
        <v>5</v>
      </c>
      <c r="Q313">
        <v>0</v>
      </c>
      <c r="R313">
        <v>12</v>
      </c>
      <c r="S313" t="s">
        <v>63</v>
      </c>
      <c r="U313">
        <v>60</v>
      </c>
      <c r="V313" t="e">
        <v>#VALUE!</v>
      </c>
      <c r="W313" t="e">
        <v>#VALUE!</v>
      </c>
      <c r="X313" t="e">
        <v>#VALUE!</v>
      </c>
      <c r="Y313" t="e">
        <v>#VALUE!</v>
      </c>
      <c r="Z313" t="e">
        <v>#VALUE!</v>
      </c>
      <c r="AA313" t="e">
        <v>#VALUE!</v>
      </c>
      <c r="AB313" t="s">
        <v>64</v>
      </c>
      <c r="AC313" t="s">
        <v>62</v>
      </c>
      <c r="AD313" t="s">
        <v>2220</v>
      </c>
    </row>
    <row r="314" spans="1:30" x14ac:dyDescent="0.35">
      <c r="A314" t="s">
        <v>558</v>
      </c>
      <c r="B314" t="s">
        <v>316</v>
      </c>
      <c r="C314" t="e">
        <v>#VALUE!</v>
      </c>
      <c r="D314" t="e">
        <v>#VALUE!</v>
      </c>
      <c r="F314">
        <v>1218</v>
      </c>
      <c r="G314" t="s">
        <v>76</v>
      </c>
      <c r="H314">
        <v>1000</v>
      </c>
      <c r="J314">
        <v>110</v>
      </c>
      <c r="L314">
        <v>-4.0779280415080397</v>
      </c>
      <c r="M314">
        <v>0</v>
      </c>
      <c r="N314" s="21">
        <v>45095</v>
      </c>
      <c r="O314" s="21">
        <v>46190</v>
      </c>
      <c r="P314">
        <v>7</v>
      </c>
      <c r="Q314">
        <v>0</v>
      </c>
      <c r="R314">
        <v>12</v>
      </c>
      <c r="S314" t="s">
        <v>63</v>
      </c>
      <c r="U314">
        <v>84</v>
      </c>
      <c r="V314" t="e">
        <v>#VALUE!</v>
      </c>
      <c r="W314" t="e">
        <v>#VALUE!</v>
      </c>
      <c r="X314" t="e">
        <v>#VALUE!</v>
      </c>
      <c r="Y314" t="e">
        <v>#VALUE!</v>
      </c>
      <c r="Z314" t="e">
        <v>#VALUE!</v>
      </c>
      <c r="AA314" t="e">
        <v>#VALUE!</v>
      </c>
      <c r="AB314" t="s">
        <v>64</v>
      </c>
      <c r="AC314" t="s">
        <v>62</v>
      </c>
      <c r="AD314" t="s">
        <v>2220</v>
      </c>
    </row>
    <row r="315" spans="1:30" x14ac:dyDescent="0.35">
      <c r="A315" t="s">
        <v>556</v>
      </c>
      <c r="B315" t="s">
        <v>390</v>
      </c>
      <c r="C315" t="e">
        <v>#VALUE!</v>
      </c>
      <c r="D315" t="e">
        <v>#VALUE!</v>
      </c>
      <c r="F315">
        <v>1056.1400000000001</v>
      </c>
      <c r="G315" t="s">
        <v>76</v>
      </c>
      <c r="H315">
        <v>1000</v>
      </c>
      <c r="J315">
        <v>51</v>
      </c>
      <c r="L315">
        <v>-1.1939617562356899</v>
      </c>
      <c r="M315">
        <v>0</v>
      </c>
      <c r="N315" s="21">
        <v>45096</v>
      </c>
      <c r="O315" s="21">
        <v>46191</v>
      </c>
      <c r="P315">
        <v>6</v>
      </c>
      <c r="Q315">
        <v>0</v>
      </c>
      <c r="R315">
        <v>12</v>
      </c>
      <c r="S315" t="s">
        <v>63</v>
      </c>
      <c r="U315">
        <v>72</v>
      </c>
      <c r="V315" t="e">
        <v>#VALUE!</v>
      </c>
      <c r="W315" t="e">
        <v>#VALUE!</v>
      </c>
      <c r="X315" t="e">
        <v>#VALUE!</v>
      </c>
      <c r="Y315" t="e">
        <v>#VALUE!</v>
      </c>
      <c r="Z315" t="e">
        <v>#VALUE!</v>
      </c>
      <c r="AA315" t="e">
        <v>#VALUE!</v>
      </c>
      <c r="AB315" t="s">
        <v>64</v>
      </c>
      <c r="AC315" t="s">
        <v>62</v>
      </c>
      <c r="AD315" t="s">
        <v>2220</v>
      </c>
    </row>
    <row r="316" spans="1:30" x14ac:dyDescent="0.35">
      <c r="A316" t="s">
        <v>549</v>
      </c>
      <c r="B316" t="s">
        <v>353</v>
      </c>
      <c r="C316" t="e">
        <v>#VALUE!</v>
      </c>
      <c r="D316" t="e">
        <v>#VALUE!</v>
      </c>
      <c r="F316">
        <v>1150</v>
      </c>
      <c r="G316" t="s">
        <v>76</v>
      </c>
      <c r="H316">
        <v>1000</v>
      </c>
      <c r="J316">
        <v>9</v>
      </c>
      <c r="L316">
        <v>-2.8801388779294501</v>
      </c>
      <c r="M316">
        <v>0</v>
      </c>
      <c r="N316" s="21">
        <v>45097</v>
      </c>
      <c r="O316" s="21">
        <v>46192</v>
      </c>
      <c r="P316">
        <v>6</v>
      </c>
      <c r="Q316">
        <v>0</v>
      </c>
      <c r="R316">
        <v>12</v>
      </c>
      <c r="S316" t="s">
        <v>63</v>
      </c>
      <c r="U316">
        <v>72</v>
      </c>
      <c r="V316" t="e">
        <v>#VALUE!</v>
      </c>
      <c r="W316" t="e">
        <v>#VALUE!</v>
      </c>
      <c r="X316" t="e">
        <v>#VALUE!</v>
      </c>
      <c r="Y316" t="e">
        <v>#VALUE!</v>
      </c>
      <c r="Z316" t="e">
        <v>#VALUE!</v>
      </c>
      <c r="AA316" t="e">
        <v>#VALUE!</v>
      </c>
      <c r="AB316" t="s">
        <v>64</v>
      </c>
      <c r="AC316" t="s">
        <v>62</v>
      </c>
      <c r="AD316" t="s">
        <v>2220</v>
      </c>
    </row>
    <row r="317" spans="1:30" x14ac:dyDescent="0.35">
      <c r="A317" t="s">
        <v>548</v>
      </c>
      <c r="B317" t="s">
        <v>119</v>
      </c>
      <c r="C317" t="e">
        <v>#VALUE!</v>
      </c>
      <c r="D317" t="e">
        <v>#VALUE!</v>
      </c>
      <c r="F317">
        <v>989.99</v>
      </c>
      <c r="G317" t="s">
        <v>76</v>
      </c>
      <c r="H317">
        <v>1000</v>
      </c>
      <c r="J317">
        <v>20</v>
      </c>
      <c r="L317">
        <v>0.21101159715671999</v>
      </c>
      <c r="M317">
        <v>0</v>
      </c>
      <c r="N317" s="21">
        <v>45098</v>
      </c>
      <c r="O317" s="21">
        <v>46193</v>
      </c>
      <c r="P317">
        <v>5</v>
      </c>
      <c r="Q317">
        <v>0</v>
      </c>
      <c r="R317">
        <v>12</v>
      </c>
      <c r="S317" t="s">
        <v>63</v>
      </c>
      <c r="U317">
        <v>60</v>
      </c>
      <c r="V317" t="e">
        <v>#VALUE!</v>
      </c>
      <c r="W317" t="e">
        <v>#VALUE!</v>
      </c>
      <c r="X317" t="e">
        <v>#VALUE!</v>
      </c>
      <c r="Y317" t="e">
        <v>#VALUE!</v>
      </c>
      <c r="Z317" t="e">
        <v>#VALUE!</v>
      </c>
      <c r="AA317" t="e">
        <v>#VALUE!</v>
      </c>
      <c r="AB317" t="s">
        <v>64</v>
      </c>
      <c r="AC317" t="s">
        <v>62</v>
      </c>
      <c r="AD317" t="s">
        <v>2220</v>
      </c>
    </row>
    <row r="318" spans="1:30" x14ac:dyDescent="0.35">
      <c r="A318" t="s">
        <v>544</v>
      </c>
      <c r="B318" t="s">
        <v>326</v>
      </c>
      <c r="C318" t="e">
        <v>#VALUE!</v>
      </c>
      <c r="D318" t="e">
        <v>#VALUE!</v>
      </c>
      <c r="F318">
        <v>1142.4000000000001</v>
      </c>
      <c r="G318" t="s">
        <v>76</v>
      </c>
      <c r="H318">
        <v>1000</v>
      </c>
      <c r="J318">
        <v>10</v>
      </c>
      <c r="L318">
        <v>-2.7391450258610299</v>
      </c>
      <c r="M318">
        <v>0</v>
      </c>
      <c r="N318" s="21">
        <v>45099</v>
      </c>
      <c r="O318" s="21">
        <v>46194</v>
      </c>
      <c r="P318">
        <v>7</v>
      </c>
      <c r="Q318">
        <v>0</v>
      </c>
      <c r="R318">
        <v>12</v>
      </c>
      <c r="S318" t="s">
        <v>63</v>
      </c>
      <c r="U318">
        <v>84</v>
      </c>
      <c r="V318" t="e">
        <v>#VALUE!</v>
      </c>
      <c r="W318" t="e">
        <v>#VALUE!</v>
      </c>
      <c r="X318" t="e">
        <v>#VALUE!</v>
      </c>
      <c r="Y318" t="e">
        <v>#VALUE!</v>
      </c>
      <c r="Z318" t="e">
        <v>#VALUE!</v>
      </c>
      <c r="AA318" t="e">
        <v>#VALUE!</v>
      </c>
      <c r="AB318" t="s">
        <v>64</v>
      </c>
      <c r="AC318" t="s">
        <v>62</v>
      </c>
      <c r="AD318" t="s">
        <v>2220</v>
      </c>
    </row>
    <row r="319" spans="1:30" x14ac:dyDescent="0.35">
      <c r="A319" t="s">
        <v>541</v>
      </c>
      <c r="B319" t="s">
        <v>241</v>
      </c>
      <c r="C319" t="e">
        <v>#VALUE!</v>
      </c>
      <c r="D319" t="e">
        <v>#VALUE!</v>
      </c>
      <c r="F319">
        <v>960</v>
      </c>
      <c r="G319" t="s">
        <v>76</v>
      </c>
      <c r="H319">
        <v>1000</v>
      </c>
      <c r="J319">
        <v>44</v>
      </c>
      <c r="L319">
        <v>0.89460784313725406</v>
      </c>
      <c r="M319">
        <v>0</v>
      </c>
      <c r="N319" s="21">
        <v>45100</v>
      </c>
      <c r="O319" s="21">
        <v>46195</v>
      </c>
      <c r="P319">
        <v>5</v>
      </c>
      <c r="Q319">
        <v>0</v>
      </c>
      <c r="R319">
        <v>12</v>
      </c>
      <c r="S319" t="s">
        <v>63</v>
      </c>
      <c r="U319">
        <v>60</v>
      </c>
      <c r="V319" t="e">
        <v>#VALUE!</v>
      </c>
      <c r="W319" t="e">
        <v>#VALUE!</v>
      </c>
      <c r="X319" t="e">
        <v>#VALUE!</v>
      </c>
      <c r="Y319" t="e">
        <v>#VALUE!</v>
      </c>
      <c r="Z319" t="e">
        <v>#VALUE!</v>
      </c>
      <c r="AA319" t="e">
        <v>#VALUE!</v>
      </c>
      <c r="AB319" t="s">
        <v>64</v>
      </c>
      <c r="AC319" t="s">
        <v>62</v>
      </c>
      <c r="AD319" t="s">
        <v>2220</v>
      </c>
    </row>
    <row r="320" spans="1:30" x14ac:dyDescent="0.35">
      <c r="A320" t="s">
        <v>531</v>
      </c>
      <c r="B320" t="s">
        <v>122</v>
      </c>
      <c r="C320" t="e">
        <v>#VALUE!</v>
      </c>
      <c r="D320" t="e">
        <v>#VALUE!</v>
      </c>
      <c r="F320">
        <v>990</v>
      </c>
      <c r="G320" t="s">
        <v>76</v>
      </c>
      <c r="H320">
        <v>1000</v>
      </c>
      <c r="J320">
        <v>2000</v>
      </c>
      <c r="L320">
        <v>0.21764277962625</v>
      </c>
      <c r="M320">
        <v>0</v>
      </c>
      <c r="N320" s="21">
        <v>45101</v>
      </c>
      <c r="O320" s="21">
        <v>46196</v>
      </c>
      <c r="P320">
        <v>5</v>
      </c>
      <c r="Q320">
        <v>0</v>
      </c>
      <c r="R320">
        <v>12</v>
      </c>
      <c r="S320" t="s">
        <v>63</v>
      </c>
      <c r="U320">
        <v>60</v>
      </c>
      <c r="V320" t="e">
        <v>#VALUE!</v>
      </c>
      <c r="W320" t="e">
        <v>#VALUE!</v>
      </c>
      <c r="X320" t="e">
        <v>#VALUE!</v>
      </c>
      <c r="Y320" t="e">
        <v>#VALUE!</v>
      </c>
      <c r="Z320" t="e">
        <v>#VALUE!</v>
      </c>
      <c r="AA320" t="e">
        <v>#VALUE!</v>
      </c>
      <c r="AB320" t="s">
        <v>64</v>
      </c>
      <c r="AC320" t="s">
        <v>62</v>
      </c>
      <c r="AD320" t="s">
        <v>2220</v>
      </c>
    </row>
    <row r="321" spans="1:30" x14ac:dyDescent="0.35">
      <c r="A321" t="s">
        <v>523</v>
      </c>
      <c r="B321" t="s">
        <v>241</v>
      </c>
      <c r="C321" t="e">
        <v>#VALUE!</v>
      </c>
      <c r="D321" t="e">
        <v>#VALUE!</v>
      </c>
      <c r="F321">
        <v>1280.2</v>
      </c>
      <c r="G321" t="s">
        <v>76</v>
      </c>
      <c r="H321">
        <v>1000</v>
      </c>
      <c r="J321">
        <v>190</v>
      </c>
      <c r="L321">
        <v>-4.8125481146582896</v>
      </c>
      <c r="M321">
        <v>0</v>
      </c>
      <c r="N321" s="21">
        <v>45102</v>
      </c>
      <c r="O321" s="21">
        <v>46197</v>
      </c>
      <c r="P321">
        <v>8</v>
      </c>
      <c r="Q321">
        <v>0</v>
      </c>
      <c r="R321">
        <v>12</v>
      </c>
      <c r="S321" t="s">
        <v>63</v>
      </c>
      <c r="U321">
        <v>96</v>
      </c>
      <c r="V321" t="e">
        <v>#VALUE!</v>
      </c>
      <c r="W321" t="e">
        <v>#VALUE!</v>
      </c>
      <c r="X321" t="e">
        <v>#VALUE!</v>
      </c>
      <c r="Y321" t="e">
        <v>#VALUE!</v>
      </c>
      <c r="Z321" t="e">
        <v>#VALUE!</v>
      </c>
      <c r="AA321" t="e">
        <v>#VALUE!</v>
      </c>
      <c r="AB321" t="s">
        <v>64</v>
      </c>
      <c r="AC321" t="s">
        <v>62</v>
      </c>
      <c r="AD321" t="s">
        <v>2220</v>
      </c>
    </row>
    <row r="322" spans="1:30" x14ac:dyDescent="0.35">
      <c r="A322" t="s">
        <v>510</v>
      </c>
      <c r="B322" t="s">
        <v>465</v>
      </c>
      <c r="C322" t="e">
        <v>#VALUE!</v>
      </c>
      <c r="D322" t="e">
        <v>#VALUE!</v>
      </c>
      <c r="F322">
        <v>1162.52</v>
      </c>
      <c r="G322" t="s">
        <v>76</v>
      </c>
      <c r="H322">
        <v>1000</v>
      </c>
      <c r="J322">
        <v>84</v>
      </c>
      <c r="L322">
        <v>-3.0555034170038602</v>
      </c>
      <c r="M322">
        <v>0</v>
      </c>
      <c r="N322" s="21">
        <v>45103</v>
      </c>
      <c r="O322" s="21">
        <v>46198</v>
      </c>
      <c r="P322">
        <v>6</v>
      </c>
      <c r="Q322">
        <v>0</v>
      </c>
      <c r="R322">
        <v>12</v>
      </c>
      <c r="S322" t="s">
        <v>63</v>
      </c>
      <c r="U322">
        <v>72</v>
      </c>
      <c r="V322" t="e">
        <v>#VALUE!</v>
      </c>
      <c r="W322" t="e">
        <v>#VALUE!</v>
      </c>
      <c r="X322" t="e">
        <v>#VALUE!</v>
      </c>
      <c r="Y322" t="e">
        <v>#VALUE!</v>
      </c>
      <c r="Z322" t="e">
        <v>#VALUE!</v>
      </c>
      <c r="AA322" t="e">
        <v>#VALUE!</v>
      </c>
      <c r="AB322" t="s">
        <v>64</v>
      </c>
      <c r="AC322" t="s">
        <v>62</v>
      </c>
      <c r="AD322" t="s">
        <v>2220</v>
      </c>
    </row>
    <row r="323" spans="1:30" x14ac:dyDescent="0.35">
      <c r="A323" t="s">
        <v>507</v>
      </c>
      <c r="B323" t="s">
        <v>241</v>
      </c>
      <c r="C323" t="e">
        <v>#VALUE!</v>
      </c>
      <c r="D323" t="e">
        <v>#VALUE!</v>
      </c>
      <c r="F323">
        <v>975</v>
      </c>
      <c r="G323" t="s">
        <v>76</v>
      </c>
      <c r="H323">
        <v>1000</v>
      </c>
      <c r="J323">
        <v>5</v>
      </c>
      <c r="L323">
        <v>0.54634993339021298</v>
      </c>
      <c r="M323">
        <v>0</v>
      </c>
      <c r="N323" s="21">
        <v>45104</v>
      </c>
      <c r="O323" s="21">
        <v>46199</v>
      </c>
      <c r="P323">
        <v>5</v>
      </c>
      <c r="Q323">
        <v>0</v>
      </c>
      <c r="R323">
        <v>12</v>
      </c>
      <c r="S323" t="s">
        <v>63</v>
      </c>
      <c r="U323">
        <v>60</v>
      </c>
      <c r="V323" t="e">
        <v>#VALUE!</v>
      </c>
      <c r="W323" t="e">
        <v>#VALUE!</v>
      </c>
      <c r="X323" t="e">
        <v>#VALUE!</v>
      </c>
      <c r="Y323" t="e">
        <v>#VALUE!</v>
      </c>
      <c r="Z323" t="e">
        <v>#VALUE!</v>
      </c>
      <c r="AA323" t="e">
        <v>#VALUE!</v>
      </c>
      <c r="AB323" t="s">
        <v>64</v>
      </c>
      <c r="AC323" t="s">
        <v>62</v>
      </c>
      <c r="AD323" t="s">
        <v>2220</v>
      </c>
    </row>
    <row r="324" spans="1:30" x14ac:dyDescent="0.35">
      <c r="A324" t="s">
        <v>502</v>
      </c>
      <c r="B324" t="s">
        <v>353</v>
      </c>
      <c r="C324" t="e">
        <v>#VALUE!</v>
      </c>
      <c r="D324" t="e">
        <v>#VALUE!</v>
      </c>
      <c r="F324">
        <v>1109.7</v>
      </c>
      <c r="G324" t="s">
        <v>76</v>
      </c>
      <c r="H324">
        <v>1000</v>
      </c>
      <c r="J324">
        <v>10</v>
      </c>
      <c r="L324">
        <v>-2.13252213289601</v>
      </c>
      <c r="M324">
        <v>0</v>
      </c>
      <c r="N324" s="21">
        <v>45105</v>
      </c>
      <c r="O324" s="21">
        <v>46200</v>
      </c>
      <c r="P324">
        <v>6</v>
      </c>
      <c r="Q324">
        <v>0</v>
      </c>
      <c r="R324">
        <v>12</v>
      </c>
      <c r="S324" t="s">
        <v>63</v>
      </c>
      <c r="U324">
        <v>72</v>
      </c>
      <c r="V324" t="e">
        <v>#VALUE!</v>
      </c>
      <c r="W324" t="e">
        <v>#VALUE!</v>
      </c>
      <c r="X324" t="e">
        <v>#VALUE!</v>
      </c>
      <c r="Y324" t="e">
        <v>#VALUE!</v>
      </c>
      <c r="Z324" t="e">
        <v>#VALUE!</v>
      </c>
      <c r="AA324" t="e">
        <v>#VALUE!</v>
      </c>
      <c r="AB324" t="s">
        <v>64</v>
      </c>
      <c r="AC324" t="s">
        <v>62</v>
      </c>
      <c r="AD324" t="s">
        <v>2220</v>
      </c>
    </row>
    <row r="325" spans="1:30" x14ac:dyDescent="0.35">
      <c r="A325" t="s">
        <v>496</v>
      </c>
      <c r="B325" t="s">
        <v>338</v>
      </c>
      <c r="C325" t="e">
        <v>#VALUE!</v>
      </c>
      <c r="D325" t="e">
        <v>#VALUE!</v>
      </c>
      <c r="F325">
        <v>1151</v>
      </c>
      <c r="G325" t="s">
        <v>76</v>
      </c>
      <c r="H325">
        <v>1000</v>
      </c>
      <c r="J325">
        <v>10</v>
      </c>
      <c r="L325">
        <v>-2.7253527777928799</v>
      </c>
      <c r="M325">
        <v>0</v>
      </c>
      <c r="N325" s="21">
        <v>45106</v>
      </c>
      <c r="O325" s="21">
        <v>46201</v>
      </c>
      <c r="P325">
        <v>6</v>
      </c>
      <c r="Q325">
        <v>0</v>
      </c>
      <c r="R325">
        <v>12</v>
      </c>
      <c r="S325" t="s">
        <v>63</v>
      </c>
      <c r="U325">
        <v>72</v>
      </c>
      <c r="V325" t="e">
        <v>#VALUE!</v>
      </c>
      <c r="W325" t="e">
        <v>#VALUE!</v>
      </c>
      <c r="X325" t="e">
        <v>#VALUE!</v>
      </c>
      <c r="Y325" t="e">
        <v>#VALUE!</v>
      </c>
      <c r="Z325" t="e">
        <v>#VALUE!</v>
      </c>
      <c r="AA325" t="e">
        <v>#VALUE!</v>
      </c>
      <c r="AB325" t="s">
        <v>64</v>
      </c>
      <c r="AC325" t="s">
        <v>62</v>
      </c>
      <c r="AD325" t="s">
        <v>2220</v>
      </c>
    </row>
    <row r="326" spans="1:30" x14ac:dyDescent="0.35">
      <c r="A326" t="s">
        <v>473</v>
      </c>
      <c r="B326" t="s">
        <v>241</v>
      </c>
      <c r="C326" t="e">
        <v>#VALUE!</v>
      </c>
      <c r="D326" t="e">
        <v>#VALUE!</v>
      </c>
      <c r="F326">
        <v>1035</v>
      </c>
      <c r="G326" t="s">
        <v>76</v>
      </c>
      <c r="H326">
        <v>1000</v>
      </c>
      <c r="J326">
        <v>10</v>
      </c>
      <c r="L326">
        <v>-0.681556883991282</v>
      </c>
      <c r="M326">
        <v>0</v>
      </c>
      <c r="N326" s="21">
        <v>45107</v>
      </c>
      <c r="O326" s="21">
        <v>46202</v>
      </c>
      <c r="P326">
        <v>6</v>
      </c>
      <c r="Q326">
        <v>0</v>
      </c>
      <c r="R326">
        <v>12</v>
      </c>
      <c r="S326" t="s">
        <v>63</v>
      </c>
      <c r="U326">
        <v>72</v>
      </c>
      <c r="V326" t="e">
        <v>#VALUE!</v>
      </c>
      <c r="W326" t="e">
        <v>#VALUE!</v>
      </c>
      <c r="X326" t="e">
        <v>#VALUE!</v>
      </c>
      <c r="Y326" t="e">
        <v>#VALUE!</v>
      </c>
      <c r="Z326" t="e">
        <v>#VALUE!</v>
      </c>
      <c r="AA326" t="e">
        <v>#VALUE!</v>
      </c>
      <c r="AB326" t="s">
        <v>64</v>
      </c>
      <c r="AC326" t="s">
        <v>62</v>
      </c>
      <c r="AD326" t="s">
        <v>2220</v>
      </c>
    </row>
    <row r="327" spans="1:30" x14ac:dyDescent="0.35">
      <c r="A327" t="s">
        <v>470</v>
      </c>
      <c r="B327" t="s">
        <v>122</v>
      </c>
      <c r="C327" t="e">
        <v>#VALUE!</v>
      </c>
      <c r="D327" t="e">
        <v>#VALUE!</v>
      </c>
      <c r="F327">
        <v>1003</v>
      </c>
      <c r="G327" t="s">
        <v>76</v>
      </c>
      <c r="H327">
        <v>1000</v>
      </c>
      <c r="J327">
        <v>280</v>
      </c>
      <c r="L327">
        <v>-6.1924266904335203E-2</v>
      </c>
      <c r="M327">
        <v>0</v>
      </c>
      <c r="N327" s="21">
        <v>45108</v>
      </c>
      <c r="O327" s="21">
        <v>46203</v>
      </c>
      <c r="P327">
        <v>5</v>
      </c>
      <c r="Q327">
        <v>0</v>
      </c>
      <c r="R327">
        <v>12</v>
      </c>
      <c r="S327" t="s">
        <v>63</v>
      </c>
      <c r="U327">
        <v>60</v>
      </c>
      <c r="V327" t="e">
        <v>#VALUE!</v>
      </c>
      <c r="W327" t="e">
        <v>#VALUE!</v>
      </c>
      <c r="X327" t="e">
        <v>#VALUE!</v>
      </c>
      <c r="Y327" t="e">
        <v>#VALUE!</v>
      </c>
      <c r="Z327" t="e">
        <v>#VALUE!</v>
      </c>
      <c r="AA327" t="e">
        <v>#VALUE!</v>
      </c>
      <c r="AB327" t="s">
        <v>64</v>
      </c>
      <c r="AC327" t="s">
        <v>62</v>
      </c>
      <c r="AD327" t="s">
        <v>2220</v>
      </c>
    </row>
    <row r="328" spans="1:30" x14ac:dyDescent="0.35">
      <c r="A328" t="s">
        <v>469</v>
      </c>
      <c r="B328" t="s">
        <v>241</v>
      </c>
      <c r="C328" t="e">
        <v>#VALUE!</v>
      </c>
      <c r="D328" t="e">
        <v>#VALUE!</v>
      </c>
      <c r="F328">
        <v>1075</v>
      </c>
      <c r="G328" t="s">
        <v>76</v>
      </c>
      <c r="H328">
        <v>1000</v>
      </c>
      <c r="J328">
        <v>580</v>
      </c>
      <c r="L328">
        <v>-1.4362727737772001</v>
      </c>
      <c r="M328">
        <v>0</v>
      </c>
      <c r="N328" s="21">
        <v>45109</v>
      </c>
      <c r="O328" s="21">
        <v>46204</v>
      </c>
      <c r="P328">
        <v>7</v>
      </c>
      <c r="Q328">
        <v>0</v>
      </c>
      <c r="R328">
        <v>12</v>
      </c>
      <c r="S328" t="s">
        <v>63</v>
      </c>
      <c r="U328">
        <v>84</v>
      </c>
      <c r="V328" t="e">
        <v>#VALUE!</v>
      </c>
      <c r="W328" t="e">
        <v>#VALUE!</v>
      </c>
      <c r="X328" t="e">
        <v>#VALUE!</v>
      </c>
      <c r="Y328" t="e">
        <v>#VALUE!</v>
      </c>
      <c r="Z328" t="e">
        <v>#VALUE!</v>
      </c>
      <c r="AA328" t="e">
        <v>#VALUE!</v>
      </c>
      <c r="AB328" t="s">
        <v>64</v>
      </c>
      <c r="AC328" t="s">
        <v>62</v>
      </c>
      <c r="AD328" t="s">
        <v>2220</v>
      </c>
    </row>
    <row r="329" spans="1:30" x14ac:dyDescent="0.35">
      <c r="A329" t="s">
        <v>466</v>
      </c>
      <c r="B329" t="s">
        <v>465</v>
      </c>
      <c r="C329" t="e">
        <v>#VALUE!</v>
      </c>
      <c r="D329" t="e">
        <v>#VALUE!</v>
      </c>
      <c r="F329">
        <v>1035</v>
      </c>
      <c r="G329" t="s">
        <v>76</v>
      </c>
      <c r="H329">
        <v>1000</v>
      </c>
      <c r="J329">
        <v>1</v>
      </c>
      <c r="L329">
        <v>-0.70051050902849699</v>
      </c>
      <c r="M329">
        <v>0</v>
      </c>
      <c r="N329" s="21">
        <v>45110</v>
      </c>
      <c r="O329" s="21">
        <v>46205</v>
      </c>
      <c r="P329">
        <v>5</v>
      </c>
      <c r="Q329">
        <v>0</v>
      </c>
      <c r="R329">
        <v>12</v>
      </c>
      <c r="S329" t="s">
        <v>63</v>
      </c>
      <c r="U329">
        <v>60</v>
      </c>
      <c r="V329" t="e">
        <v>#VALUE!</v>
      </c>
      <c r="W329" t="e">
        <v>#VALUE!</v>
      </c>
      <c r="X329" t="e">
        <v>#VALUE!</v>
      </c>
      <c r="Y329" t="e">
        <v>#VALUE!</v>
      </c>
      <c r="Z329" t="e">
        <v>#VALUE!</v>
      </c>
      <c r="AA329" t="e">
        <v>#VALUE!</v>
      </c>
      <c r="AB329" t="s">
        <v>64</v>
      </c>
      <c r="AC329" t="s">
        <v>62</v>
      </c>
      <c r="AD329" t="s">
        <v>2220</v>
      </c>
    </row>
    <row r="330" spans="1:30" x14ac:dyDescent="0.35">
      <c r="A330" t="s">
        <v>461</v>
      </c>
      <c r="B330" t="s">
        <v>460</v>
      </c>
      <c r="C330" t="e">
        <v>#VALUE!</v>
      </c>
      <c r="D330" t="e">
        <v>#VALUE!</v>
      </c>
      <c r="F330">
        <v>1000</v>
      </c>
      <c r="G330" t="s">
        <v>76</v>
      </c>
      <c r="H330">
        <v>1000</v>
      </c>
      <c r="J330">
        <v>75</v>
      </c>
      <c r="L330">
        <v>0</v>
      </c>
      <c r="M330">
        <v>0</v>
      </c>
      <c r="N330" s="21">
        <v>45111</v>
      </c>
      <c r="O330" s="21">
        <v>46206</v>
      </c>
      <c r="P330">
        <v>5</v>
      </c>
      <c r="Q330">
        <v>0</v>
      </c>
      <c r="R330">
        <v>12</v>
      </c>
      <c r="S330" t="s">
        <v>63</v>
      </c>
      <c r="U330">
        <v>60</v>
      </c>
      <c r="V330" t="e">
        <v>#VALUE!</v>
      </c>
      <c r="W330" t="e">
        <v>#VALUE!</v>
      </c>
      <c r="X330" t="e">
        <v>#VALUE!</v>
      </c>
      <c r="Y330" t="e">
        <v>#VALUE!</v>
      </c>
      <c r="Z330" t="e">
        <v>#VALUE!</v>
      </c>
      <c r="AA330" t="e">
        <v>#VALUE!</v>
      </c>
      <c r="AB330" t="s">
        <v>64</v>
      </c>
      <c r="AC330" t="s">
        <v>62</v>
      </c>
      <c r="AD330" t="s">
        <v>2220</v>
      </c>
    </row>
    <row r="331" spans="1:30" x14ac:dyDescent="0.35">
      <c r="A331" t="s">
        <v>459</v>
      </c>
      <c r="B331" t="s">
        <v>241</v>
      </c>
      <c r="C331" t="e">
        <v>#VALUE!</v>
      </c>
      <c r="D331" t="e">
        <v>#VALUE!</v>
      </c>
      <c r="F331">
        <v>970</v>
      </c>
      <c r="G331" t="s">
        <v>76</v>
      </c>
      <c r="H331">
        <v>1000</v>
      </c>
      <c r="J331">
        <v>50</v>
      </c>
      <c r="L331">
        <v>0.62924525049132796</v>
      </c>
      <c r="M331">
        <v>0</v>
      </c>
      <c r="N331" s="21">
        <v>45112</v>
      </c>
      <c r="O331" s="21">
        <v>46207</v>
      </c>
      <c r="P331">
        <v>5</v>
      </c>
      <c r="Q331">
        <v>0</v>
      </c>
      <c r="R331">
        <v>12</v>
      </c>
      <c r="S331" t="s">
        <v>63</v>
      </c>
      <c r="U331">
        <v>60</v>
      </c>
      <c r="V331" t="e">
        <v>#VALUE!</v>
      </c>
      <c r="W331" t="e">
        <v>#VALUE!</v>
      </c>
      <c r="X331" t="e">
        <v>#VALUE!</v>
      </c>
      <c r="Y331" t="e">
        <v>#VALUE!</v>
      </c>
      <c r="Z331" t="e">
        <v>#VALUE!</v>
      </c>
      <c r="AA331" t="e">
        <v>#VALUE!</v>
      </c>
      <c r="AB331" t="s">
        <v>64</v>
      </c>
      <c r="AC331" t="s">
        <v>62</v>
      </c>
      <c r="AD331" t="s">
        <v>2220</v>
      </c>
    </row>
    <row r="332" spans="1:30" x14ac:dyDescent="0.35">
      <c r="A332" t="s">
        <v>455</v>
      </c>
      <c r="B332" t="s">
        <v>357</v>
      </c>
      <c r="C332" t="e">
        <v>#VALUE!</v>
      </c>
      <c r="D332" t="e">
        <v>#VALUE!</v>
      </c>
      <c r="F332">
        <v>1041</v>
      </c>
      <c r="G332" t="s">
        <v>76</v>
      </c>
      <c r="H332">
        <v>1000</v>
      </c>
      <c r="J332">
        <v>2465</v>
      </c>
      <c r="L332">
        <v>-0.73948561647355504</v>
      </c>
      <c r="M332">
        <v>0</v>
      </c>
      <c r="N332" s="21">
        <v>45113</v>
      </c>
      <c r="O332" s="21">
        <v>46208</v>
      </c>
      <c r="P332">
        <v>7</v>
      </c>
      <c r="Q332">
        <v>0</v>
      </c>
      <c r="R332">
        <v>12</v>
      </c>
      <c r="S332" t="s">
        <v>63</v>
      </c>
      <c r="U332">
        <v>84</v>
      </c>
      <c r="V332" t="e">
        <v>#VALUE!</v>
      </c>
      <c r="W332" t="e">
        <v>#VALUE!</v>
      </c>
      <c r="X332" t="e">
        <v>#VALUE!</v>
      </c>
      <c r="Y332" t="e">
        <v>#VALUE!</v>
      </c>
      <c r="Z332" t="e">
        <v>#VALUE!</v>
      </c>
      <c r="AA332" t="e">
        <v>#VALUE!</v>
      </c>
      <c r="AB332" t="s">
        <v>64</v>
      </c>
      <c r="AC332" t="s">
        <v>62</v>
      </c>
      <c r="AD332" t="s">
        <v>2220</v>
      </c>
    </row>
    <row r="333" spans="1:30" x14ac:dyDescent="0.35">
      <c r="A333" t="s">
        <v>452</v>
      </c>
      <c r="B333" t="s">
        <v>353</v>
      </c>
      <c r="C333" t="e">
        <v>#VALUE!</v>
      </c>
      <c r="D333" t="e">
        <v>#VALUE!</v>
      </c>
      <c r="F333">
        <v>1055</v>
      </c>
      <c r="G333" t="s">
        <v>76</v>
      </c>
      <c r="H333">
        <v>1000</v>
      </c>
      <c r="J333">
        <v>140</v>
      </c>
      <c r="L333">
        <v>-1.06008000105611</v>
      </c>
      <c r="M333">
        <v>0</v>
      </c>
      <c r="N333" s="21">
        <v>45114</v>
      </c>
      <c r="O333" s="21">
        <v>46209</v>
      </c>
      <c r="P333">
        <v>6</v>
      </c>
      <c r="Q333">
        <v>0</v>
      </c>
      <c r="R333">
        <v>12</v>
      </c>
      <c r="S333" t="s">
        <v>63</v>
      </c>
      <c r="U333">
        <v>72</v>
      </c>
      <c r="V333" t="e">
        <v>#VALUE!</v>
      </c>
      <c r="W333" t="e">
        <v>#VALUE!</v>
      </c>
      <c r="X333" t="e">
        <v>#VALUE!</v>
      </c>
      <c r="Y333" t="e">
        <v>#VALUE!</v>
      </c>
      <c r="Z333" t="e">
        <v>#VALUE!</v>
      </c>
      <c r="AA333" t="e">
        <v>#VALUE!</v>
      </c>
      <c r="AB333" t="s">
        <v>64</v>
      </c>
      <c r="AC333" t="s">
        <v>62</v>
      </c>
      <c r="AD333" t="s">
        <v>2220</v>
      </c>
    </row>
    <row r="334" spans="1:30" x14ac:dyDescent="0.35">
      <c r="A334" t="s">
        <v>445</v>
      </c>
      <c r="B334" t="s">
        <v>444</v>
      </c>
      <c r="C334" t="e">
        <v>#VALUE!</v>
      </c>
      <c r="D334" t="e">
        <v>#VALUE!</v>
      </c>
      <c r="F334">
        <v>1067.4000000000001</v>
      </c>
      <c r="G334" t="s">
        <v>66</v>
      </c>
      <c r="H334">
        <v>1000</v>
      </c>
      <c r="J334">
        <v>0</v>
      </c>
      <c r="L334">
        <v>-1.27758272063787</v>
      </c>
      <c r="M334">
        <v>0</v>
      </c>
      <c r="N334" s="21">
        <v>45115</v>
      </c>
      <c r="O334" s="21">
        <v>46210</v>
      </c>
      <c r="P334">
        <v>5</v>
      </c>
      <c r="Q334">
        <v>0</v>
      </c>
      <c r="R334">
        <v>12</v>
      </c>
      <c r="S334" t="s">
        <v>63</v>
      </c>
      <c r="U334">
        <v>60</v>
      </c>
      <c r="V334" t="e">
        <v>#VALUE!</v>
      </c>
      <c r="W334" t="e">
        <v>#VALUE!</v>
      </c>
      <c r="X334" t="e">
        <v>#VALUE!</v>
      </c>
      <c r="Y334" t="e">
        <v>#VALUE!</v>
      </c>
      <c r="Z334" t="e">
        <v>#VALUE!</v>
      </c>
      <c r="AA334" t="e">
        <v>#VALUE!</v>
      </c>
      <c r="AB334" t="s">
        <v>79</v>
      </c>
      <c r="AC334" t="s">
        <v>62</v>
      </c>
      <c r="AD334" t="s">
        <v>2220</v>
      </c>
    </row>
    <row r="335" spans="1:30" x14ac:dyDescent="0.35">
      <c r="A335" t="s">
        <v>443</v>
      </c>
      <c r="B335" t="s">
        <v>119</v>
      </c>
      <c r="C335" t="e">
        <v>#VALUE!</v>
      </c>
      <c r="D335" t="e">
        <v>#VALUE!</v>
      </c>
      <c r="F335">
        <v>1120</v>
      </c>
      <c r="G335" t="s">
        <v>76</v>
      </c>
      <c r="H335">
        <v>1000</v>
      </c>
      <c r="J335">
        <v>1</v>
      </c>
      <c r="L335">
        <v>-2.1487441130298199</v>
      </c>
      <c r="M335">
        <v>0</v>
      </c>
      <c r="N335" s="21">
        <v>45116</v>
      </c>
      <c r="O335" s="21">
        <v>46211</v>
      </c>
      <c r="P335">
        <v>5</v>
      </c>
      <c r="Q335">
        <v>0</v>
      </c>
      <c r="R335">
        <v>12</v>
      </c>
      <c r="S335" t="s">
        <v>63</v>
      </c>
      <c r="U335">
        <v>60</v>
      </c>
      <c r="V335" t="e">
        <v>#VALUE!</v>
      </c>
      <c r="W335" t="e">
        <v>#VALUE!</v>
      </c>
      <c r="X335" t="e">
        <v>#VALUE!</v>
      </c>
      <c r="Y335" t="e">
        <v>#VALUE!</v>
      </c>
      <c r="Z335" t="e">
        <v>#VALUE!</v>
      </c>
      <c r="AA335" t="e">
        <v>#VALUE!</v>
      </c>
      <c r="AB335" t="s">
        <v>64</v>
      </c>
      <c r="AC335" t="s">
        <v>62</v>
      </c>
      <c r="AD335" t="s">
        <v>2220</v>
      </c>
    </row>
    <row r="336" spans="1:30" x14ac:dyDescent="0.35">
      <c r="A336" t="s">
        <v>436</v>
      </c>
      <c r="B336" t="s">
        <v>390</v>
      </c>
      <c r="C336" t="e">
        <v>#VALUE!</v>
      </c>
      <c r="D336" t="e">
        <v>#VALUE!</v>
      </c>
      <c r="F336">
        <v>1002</v>
      </c>
      <c r="G336" t="s">
        <v>76</v>
      </c>
      <c r="H336">
        <v>1000</v>
      </c>
      <c r="J336">
        <v>50</v>
      </c>
      <c r="L336">
        <v>-3.9338170311644501E-2</v>
      </c>
      <c r="M336">
        <v>0</v>
      </c>
      <c r="N336" s="21">
        <v>45117</v>
      </c>
      <c r="O336" s="21">
        <v>46212</v>
      </c>
      <c r="P336">
        <v>6</v>
      </c>
      <c r="Q336">
        <v>0</v>
      </c>
      <c r="R336">
        <v>12</v>
      </c>
      <c r="S336" t="s">
        <v>63</v>
      </c>
      <c r="U336">
        <v>72</v>
      </c>
      <c r="V336" t="e">
        <v>#VALUE!</v>
      </c>
      <c r="W336" t="e">
        <v>#VALUE!</v>
      </c>
      <c r="X336" t="e">
        <v>#VALUE!</v>
      </c>
      <c r="Y336" t="e">
        <v>#VALUE!</v>
      </c>
      <c r="Z336" t="e">
        <v>#VALUE!</v>
      </c>
      <c r="AA336" t="e">
        <v>#VALUE!</v>
      </c>
      <c r="AB336" t="s">
        <v>64</v>
      </c>
      <c r="AC336" t="s">
        <v>62</v>
      </c>
      <c r="AD336" t="s">
        <v>2220</v>
      </c>
    </row>
    <row r="337" spans="1:30" x14ac:dyDescent="0.35">
      <c r="A337" t="s">
        <v>432</v>
      </c>
      <c r="B337" t="s">
        <v>316</v>
      </c>
      <c r="C337" t="e">
        <v>#VALUE!</v>
      </c>
      <c r="D337" t="e">
        <v>#VALUE!</v>
      </c>
      <c r="F337">
        <v>1035</v>
      </c>
      <c r="G337" t="s">
        <v>76</v>
      </c>
      <c r="H337">
        <v>1000</v>
      </c>
      <c r="J337">
        <v>19</v>
      </c>
      <c r="L337">
        <v>-0.59801333183537397</v>
      </c>
      <c r="M337">
        <v>0</v>
      </c>
      <c r="N337" s="21">
        <v>45118</v>
      </c>
      <c r="O337" s="21">
        <v>46213</v>
      </c>
      <c r="P337">
        <v>7</v>
      </c>
      <c r="Q337">
        <v>0</v>
      </c>
      <c r="R337">
        <v>12</v>
      </c>
      <c r="S337" t="s">
        <v>63</v>
      </c>
      <c r="U337">
        <v>84</v>
      </c>
      <c r="V337" t="e">
        <v>#VALUE!</v>
      </c>
      <c r="W337" t="e">
        <v>#VALUE!</v>
      </c>
      <c r="X337" t="e">
        <v>#VALUE!</v>
      </c>
      <c r="Y337" t="e">
        <v>#VALUE!</v>
      </c>
      <c r="Z337" t="e">
        <v>#VALUE!</v>
      </c>
      <c r="AA337" t="e">
        <v>#VALUE!</v>
      </c>
      <c r="AB337" t="s">
        <v>64</v>
      </c>
      <c r="AC337" t="s">
        <v>62</v>
      </c>
      <c r="AD337" t="s">
        <v>2220</v>
      </c>
    </row>
    <row r="338" spans="1:30" x14ac:dyDescent="0.35">
      <c r="A338" t="s">
        <v>431</v>
      </c>
      <c r="B338" t="s">
        <v>241</v>
      </c>
      <c r="C338" t="e">
        <v>#VALUE!</v>
      </c>
      <c r="D338" t="e">
        <v>#VALUE!</v>
      </c>
      <c r="F338">
        <v>1170</v>
      </c>
      <c r="G338" t="s">
        <v>76</v>
      </c>
      <c r="H338">
        <v>1000</v>
      </c>
      <c r="J338">
        <v>7</v>
      </c>
      <c r="L338">
        <v>-2.8105028105028098</v>
      </c>
      <c r="M338">
        <v>0</v>
      </c>
      <c r="N338" s="21">
        <v>45119</v>
      </c>
      <c r="O338" s="21">
        <v>46214</v>
      </c>
      <c r="P338">
        <v>8</v>
      </c>
      <c r="Q338">
        <v>0</v>
      </c>
      <c r="R338">
        <v>12</v>
      </c>
      <c r="S338" t="s">
        <v>63</v>
      </c>
      <c r="U338">
        <v>96</v>
      </c>
      <c r="V338" t="e">
        <v>#VALUE!</v>
      </c>
      <c r="W338" t="e">
        <v>#VALUE!</v>
      </c>
      <c r="X338" t="e">
        <v>#VALUE!</v>
      </c>
      <c r="Y338" t="e">
        <v>#VALUE!</v>
      </c>
      <c r="Z338" t="e">
        <v>#VALUE!</v>
      </c>
      <c r="AA338" t="e">
        <v>#VALUE!</v>
      </c>
      <c r="AB338" t="s">
        <v>64</v>
      </c>
      <c r="AC338" t="s">
        <v>62</v>
      </c>
      <c r="AD338" t="s">
        <v>2220</v>
      </c>
    </row>
    <row r="339" spans="1:30" x14ac:dyDescent="0.35">
      <c r="A339" t="s">
        <v>429</v>
      </c>
      <c r="B339" t="s">
        <v>241</v>
      </c>
      <c r="C339" t="e">
        <v>#VALUE!</v>
      </c>
      <c r="D339" t="e">
        <v>#VALUE!</v>
      </c>
      <c r="F339">
        <v>1010</v>
      </c>
      <c r="G339" t="s">
        <v>76</v>
      </c>
      <c r="H339">
        <v>1000</v>
      </c>
      <c r="J339">
        <v>100</v>
      </c>
      <c r="L339">
        <v>-0.19120959715019101</v>
      </c>
      <c r="M339">
        <v>0</v>
      </c>
      <c r="N339" s="21">
        <v>45120</v>
      </c>
      <c r="O339" s="21">
        <v>46215</v>
      </c>
      <c r="P339">
        <v>6</v>
      </c>
      <c r="Q339">
        <v>0</v>
      </c>
      <c r="R339">
        <v>12</v>
      </c>
      <c r="S339" t="s">
        <v>63</v>
      </c>
      <c r="U339">
        <v>72</v>
      </c>
      <c r="V339" t="e">
        <v>#VALUE!</v>
      </c>
      <c r="W339" t="e">
        <v>#VALUE!</v>
      </c>
      <c r="X339" t="e">
        <v>#VALUE!</v>
      </c>
      <c r="Y339" t="e">
        <v>#VALUE!</v>
      </c>
      <c r="Z339" t="e">
        <v>#VALUE!</v>
      </c>
      <c r="AA339" t="e">
        <v>#VALUE!</v>
      </c>
      <c r="AB339" t="s">
        <v>64</v>
      </c>
      <c r="AC339" t="s">
        <v>62</v>
      </c>
      <c r="AD339" t="s">
        <v>2220</v>
      </c>
    </row>
    <row r="340" spans="1:30" x14ac:dyDescent="0.35">
      <c r="A340" t="s">
        <v>425</v>
      </c>
      <c r="B340" t="s">
        <v>390</v>
      </c>
      <c r="C340" t="e">
        <v>#VALUE!</v>
      </c>
      <c r="D340" t="e">
        <v>#VALUE!</v>
      </c>
      <c r="F340">
        <v>976</v>
      </c>
      <c r="G340" t="s">
        <v>76</v>
      </c>
      <c r="H340">
        <v>1000</v>
      </c>
      <c r="J340">
        <v>20</v>
      </c>
      <c r="L340">
        <v>0.46408530693203498</v>
      </c>
      <c r="M340">
        <v>0</v>
      </c>
      <c r="N340" s="21">
        <v>45121</v>
      </c>
      <c r="O340" s="21">
        <v>46216</v>
      </c>
      <c r="P340">
        <v>6</v>
      </c>
      <c r="Q340">
        <v>0</v>
      </c>
      <c r="R340">
        <v>12</v>
      </c>
      <c r="S340" t="s">
        <v>63</v>
      </c>
      <c r="U340">
        <v>72</v>
      </c>
      <c r="V340" t="e">
        <v>#VALUE!</v>
      </c>
      <c r="W340" t="e">
        <v>#VALUE!</v>
      </c>
      <c r="X340" t="e">
        <v>#VALUE!</v>
      </c>
      <c r="Y340" t="e">
        <v>#VALUE!</v>
      </c>
      <c r="Z340" t="e">
        <v>#VALUE!</v>
      </c>
      <c r="AA340" t="e">
        <v>#VALUE!</v>
      </c>
      <c r="AB340" t="s">
        <v>64</v>
      </c>
      <c r="AC340" t="s">
        <v>62</v>
      </c>
      <c r="AD340" t="s">
        <v>2220</v>
      </c>
    </row>
    <row r="341" spans="1:30" x14ac:dyDescent="0.35">
      <c r="A341" t="s">
        <v>420</v>
      </c>
      <c r="B341" t="s">
        <v>338</v>
      </c>
      <c r="C341" t="e">
        <v>#VALUE!</v>
      </c>
      <c r="D341" t="e">
        <v>#VALUE!</v>
      </c>
      <c r="F341">
        <v>964</v>
      </c>
      <c r="G341" t="s">
        <v>76</v>
      </c>
      <c r="H341">
        <v>1000</v>
      </c>
      <c r="J341">
        <v>10</v>
      </c>
      <c r="L341">
        <v>0.69051192473104706</v>
      </c>
      <c r="M341">
        <v>0</v>
      </c>
      <c r="N341" s="21">
        <v>45122</v>
      </c>
      <c r="O341" s="21">
        <v>46217</v>
      </c>
      <c r="P341">
        <v>6</v>
      </c>
      <c r="Q341">
        <v>0</v>
      </c>
      <c r="R341">
        <v>12</v>
      </c>
      <c r="S341" t="s">
        <v>63</v>
      </c>
      <c r="U341">
        <v>72</v>
      </c>
      <c r="V341" t="e">
        <v>#VALUE!</v>
      </c>
      <c r="W341" t="e">
        <v>#VALUE!</v>
      </c>
      <c r="X341" t="e">
        <v>#VALUE!</v>
      </c>
      <c r="Y341" t="e">
        <v>#VALUE!</v>
      </c>
      <c r="Z341" t="e">
        <v>#VALUE!</v>
      </c>
      <c r="AA341" t="e">
        <v>#VALUE!</v>
      </c>
      <c r="AB341" t="s">
        <v>64</v>
      </c>
      <c r="AC341" t="s">
        <v>62</v>
      </c>
      <c r="AD341" t="s">
        <v>2220</v>
      </c>
    </row>
    <row r="342" spans="1:30" x14ac:dyDescent="0.35">
      <c r="A342" t="s">
        <v>416</v>
      </c>
      <c r="B342" t="s">
        <v>241</v>
      </c>
      <c r="C342" t="e">
        <v>#VALUE!</v>
      </c>
      <c r="D342" t="e">
        <v>#VALUE!</v>
      </c>
      <c r="F342">
        <v>990</v>
      </c>
      <c r="G342" t="s">
        <v>76</v>
      </c>
      <c r="H342">
        <v>1000</v>
      </c>
      <c r="J342">
        <v>2</v>
      </c>
      <c r="L342">
        <v>0.18955623068733601</v>
      </c>
      <c r="M342">
        <v>0</v>
      </c>
      <c r="N342" s="21">
        <v>45123</v>
      </c>
      <c r="O342" s="21">
        <v>46218</v>
      </c>
      <c r="P342">
        <v>6</v>
      </c>
      <c r="Q342">
        <v>0</v>
      </c>
      <c r="R342">
        <v>12</v>
      </c>
      <c r="S342" t="s">
        <v>63</v>
      </c>
      <c r="U342">
        <v>72</v>
      </c>
      <c r="V342" t="e">
        <v>#VALUE!</v>
      </c>
      <c r="W342" t="e">
        <v>#VALUE!</v>
      </c>
      <c r="X342" t="e">
        <v>#VALUE!</v>
      </c>
      <c r="Y342" t="e">
        <v>#VALUE!</v>
      </c>
      <c r="Z342" t="e">
        <v>#VALUE!</v>
      </c>
      <c r="AA342" t="e">
        <v>#VALUE!</v>
      </c>
      <c r="AB342" t="s">
        <v>64</v>
      </c>
      <c r="AC342" t="s">
        <v>62</v>
      </c>
      <c r="AD342" t="s">
        <v>2220</v>
      </c>
    </row>
    <row r="343" spans="1:30" x14ac:dyDescent="0.35">
      <c r="A343" t="s">
        <v>409</v>
      </c>
      <c r="B343" t="s">
        <v>353</v>
      </c>
      <c r="C343" t="e">
        <v>#VALUE!</v>
      </c>
      <c r="D343" t="e">
        <v>#VALUE!</v>
      </c>
      <c r="F343">
        <v>1015</v>
      </c>
      <c r="G343" t="s">
        <v>76</v>
      </c>
      <c r="H343">
        <v>1000</v>
      </c>
      <c r="J343">
        <v>30</v>
      </c>
      <c r="L343">
        <v>-0.27605366785827701</v>
      </c>
      <c r="M343">
        <v>0</v>
      </c>
      <c r="N343" s="21">
        <v>45124</v>
      </c>
      <c r="O343" s="21">
        <v>46219</v>
      </c>
      <c r="P343">
        <v>6</v>
      </c>
      <c r="Q343">
        <v>0</v>
      </c>
      <c r="R343">
        <v>12</v>
      </c>
      <c r="S343" t="s">
        <v>63</v>
      </c>
      <c r="U343">
        <v>72</v>
      </c>
      <c r="V343" t="e">
        <v>#VALUE!</v>
      </c>
      <c r="W343" t="e">
        <v>#VALUE!</v>
      </c>
      <c r="X343" t="e">
        <v>#VALUE!</v>
      </c>
      <c r="Y343" t="e">
        <v>#VALUE!</v>
      </c>
      <c r="Z343" t="e">
        <v>#VALUE!</v>
      </c>
      <c r="AA343" t="e">
        <v>#VALUE!</v>
      </c>
      <c r="AB343" t="s">
        <v>64</v>
      </c>
      <c r="AC343" t="s">
        <v>62</v>
      </c>
      <c r="AD343" t="s">
        <v>2220</v>
      </c>
    </row>
    <row r="344" spans="1:30" x14ac:dyDescent="0.35">
      <c r="A344" t="s">
        <v>395</v>
      </c>
      <c r="B344" t="s">
        <v>241</v>
      </c>
      <c r="C344" t="e">
        <v>#VALUE!</v>
      </c>
      <c r="D344" t="e">
        <v>#VALUE!</v>
      </c>
      <c r="F344">
        <v>990</v>
      </c>
      <c r="G344" t="s">
        <v>76</v>
      </c>
      <c r="H344">
        <v>1000</v>
      </c>
      <c r="J344">
        <v>361</v>
      </c>
      <c r="L344">
        <v>0.18324397052031199</v>
      </c>
      <c r="M344">
        <v>0</v>
      </c>
      <c r="N344" s="21">
        <v>45125</v>
      </c>
      <c r="O344" s="21">
        <v>46220</v>
      </c>
      <c r="P344">
        <v>6</v>
      </c>
      <c r="Q344">
        <v>0</v>
      </c>
      <c r="R344">
        <v>12</v>
      </c>
      <c r="S344" t="s">
        <v>63</v>
      </c>
      <c r="U344">
        <v>72</v>
      </c>
      <c r="V344" t="e">
        <v>#VALUE!</v>
      </c>
      <c r="W344" t="e">
        <v>#VALUE!</v>
      </c>
      <c r="X344" t="e">
        <v>#VALUE!</v>
      </c>
      <c r="Y344" t="e">
        <v>#VALUE!</v>
      </c>
      <c r="Z344" t="e">
        <v>#VALUE!</v>
      </c>
      <c r="AA344" t="e">
        <v>#VALUE!</v>
      </c>
      <c r="AB344" t="s">
        <v>64</v>
      </c>
      <c r="AC344" t="s">
        <v>62</v>
      </c>
      <c r="AD344" t="s">
        <v>2220</v>
      </c>
    </row>
    <row r="345" spans="1:30" x14ac:dyDescent="0.35">
      <c r="A345" t="s">
        <v>391</v>
      </c>
      <c r="B345" t="s">
        <v>390</v>
      </c>
      <c r="C345" t="e">
        <v>#VALUE!</v>
      </c>
      <c r="D345" t="e">
        <v>#VALUE!</v>
      </c>
      <c r="F345">
        <v>1050</v>
      </c>
      <c r="G345" t="s">
        <v>76</v>
      </c>
      <c r="H345">
        <v>1000</v>
      </c>
      <c r="J345">
        <v>1</v>
      </c>
      <c r="L345">
        <v>-0.85874270656879303</v>
      </c>
      <c r="M345">
        <v>0</v>
      </c>
      <c r="N345" s="21">
        <v>45126</v>
      </c>
      <c r="O345" s="21">
        <v>46221</v>
      </c>
      <c r="P345">
        <v>6</v>
      </c>
      <c r="Q345">
        <v>0</v>
      </c>
      <c r="R345">
        <v>12</v>
      </c>
      <c r="S345" t="s">
        <v>63</v>
      </c>
      <c r="U345">
        <v>72</v>
      </c>
      <c r="V345" t="e">
        <v>#VALUE!</v>
      </c>
      <c r="W345" t="e">
        <v>#VALUE!</v>
      </c>
      <c r="X345" t="e">
        <v>#VALUE!</v>
      </c>
      <c r="Y345" t="e">
        <v>#VALUE!</v>
      </c>
      <c r="Z345" t="e">
        <v>#VALUE!</v>
      </c>
      <c r="AA345" t="e">
        <v>#VALUE!</v>
      </c>
      <c r="AB345" t="s">
        <v>64</v>
      </c>
      <c r="AC345" t="s">
        <v>62</v>
      </c>
      <c r="AD345" t="s">
        <v>2220</v>
      </c>
    </row>
    <row r="346" spans="1:30" x14ac:dyDescent="0.35">
      <c r="A346" t="s">
        <v>384</v>
      </c>
      <c r="B346" t="s">
        <v>316</v>
      </c>
      <c r="C346" t="e">
        <v>#VALUE!</v>
      </c>
      <c r="D346" t="e">
        <v>#VALUE!</v>
      </c>
      <c r="F346">
        <v>960</v>
      </c>
      <c r="G346" t="s">
        <v>76</v>
      </c>
      <c r="H346">
        <v>1000</v>
      </c>
      <c r="J346">
        <v>10</v>
      </c>
      <c r="L346">
        <v>0.68444344434443405</v>
      </c>
      <c r="M346">
        <v>0</v>
      </c>
      <c r="N346" s="21">
        <v>45127</v>
      </c>
      <c r="O346" s="21">
        <v>46222</v>
      </c>
      <c r="P346">
        <v>7</v>
      </c>
      <c r="Q346">
        <v>0</v>
      </c>
      <c r="R346">
        <v>12</v>
      </c>
      <c r="S346" t="s">
        <v>63</v>
      </c>
      <c r="U346">
        <v>84</v>
      </c>
      <c r="V346" t="e">
        <v>#VALUE!</v>
      </c>
      <c r="W346" t="e">
        <v>#VALUE!</v>
      </c>
      <c r="X346" t="e">
        <v>#VALUE!</v>
      </c>
      <c r="Y346" t="e">
        <v>#VALUE!</v>
      </c>
      <c r="Z346" t="e">
        <v>#VALUE!</v>
      </c>
      <c r="AA346" t="e">
        <v>#VALUE!</v>
      </c>
      <c r="AB346" t="s">
        <v>64</v>
      </c>
      <c r="AC346" t="s">
        <v>62</v>
      </c>
      <c r="AD346" t="s">
        <v>2220</v>
      </c>
    </row>
    <row r="347" spans="1:30" x14ac:dyDescent="0.35">
      <c r="A347" t="s">
        <v>369</v>
      </c>
      <c r="B347" t="s">
        <v>241</v>
      </c>
      <c r="C347" t="e">
        <v>#VALUE!</v>
      </c>
      <c r="D347" t="e">
        <v>#VALUE!</v>
      </c>
      <c r="F347">
        <v>990</v>
      </c>
      <c r="G347" t="s">
        <v>76</v>
      </c>
      <c r="H347">
        <v>1000</v>
      </c>
      <c r="J347">
        <v>30</v>
      </c>
      <c r="L347">
        <v>0.17993502620149701</v>
      </c>
      <c r="M347">
        <v>0</v>
      </c>
      <c r="N347" s="21">
        <v>45128</v>
      </c>
      <c r="O347" s="21">
        <v>46223</v>
      </c>
      <c r="P347">
        <v>6</v>
      </c>
      <c r="Q347">
        <v>0</v>
      </c>
      <c r="R347">
        <v>12</v>
      </c>
      <c r="S347" t="s">
        <v>63</v>
      </c>
      <c r="U347">
        <v>72</v>
      </c>
      <c r="V347" t="e">
        <v>#VALUE!</v>
      </c>
      <c r="W347" t="e">
        <v>#VALUE!</v>
      </c>
      <c r="X347" t="e">
        <v>#VALUE!</v>
      </c>
      <c r="Y347" t="e">
        <v>#VALUE!</v>
      </c>
      <c r="Z347" t="e">
        <v>#VALUE!</v>
      </c>
      <c r="AA347" t="e">
        <v>#VALUE!</v>
      </c>
      <c r="AB347" t="s">
        <v>64</v>
      </c>
      <c r="AC347" t="s">
        <v>62</v>
      </c>
      <c r="AD347" t="s">
        <v>2220</v>
      </c>
    </row>
    <row r="348" spans="1:30" x14ac:dyDescent="0.35">
      <c r="A348" t="s">
        <v>367</v>
      </c>
      <c r="B348" t="s">
        <v>338</v>
      </c>
      <c r="C348" t="e">
        <v>#VALUE!</v>
      </c>
      <c r="D348" t="e">
        <v>#VALUE!</v>
      </c>
      <c r="F348">
        <v>941</v>
      </c>
      <c r="G348" t="s">
        <v>76</v>
      </c>
      <c r="H348">
        <v>1000</v>
      </c>
      <c r="J348">
        <v>20</v>
      </c>
      <c r="L348">
        <v>1.0866680190094999</v>
      </c>
      <c r="M348">
        <v>0</v>
      </c>
      <c r="N348" s="21">
        <v>45129</v>
      </c>
      <c r="O348" s="21">
        <v>46224</v>
      </c>
      <c r="P348">
        <v>6</v>
      </c>
      <c r="Q348">
        <v>0</v>
      </c>
      <c r="R348">
        <v>12</v>
      </c>
      <c r="S348" t="s">
        <v>63</v>
      </c>
      <c r="U348">
        <v>72</v>
      </c>
      <c r="V348" t="e">
        <v>#VALUE!</v>
      </c>
      <c r="W348" t="e">
        <v>#VALUE!</v>
      </c>
      <c r="X348" t="e">
        <v>#VALUE!</v>
      </c>
      <c r="Y348" t="e">
        <v>#VALUE!</v>
      </c>
      <c r="Z348" t="e">
        <v>#VALUE!</v>
      </c>
      <c r="AA348" t="e">
        <v>#VALUE!</v>
      </c>
      <c r="AB348" t="s">
        <v>64</v>
      </c>
      <c r="AC348" t="s">
        <v>62</v>
      </c>
      <c r="AD348" t="s">
        <v>2220</v>
      </c>
    </row>
    <row r="349" spans="1:30" x14ac:dyDescent="0.35">
      <c r="A349" t="s">
        <v>366</v>
      </c>
      <c r="B349" t="s">
        <v>326</v>
      </c>
      <c r="C349" t="e">
        <v>#VALUE!</v>
      </c>
      <c r="D349" t="e">
        <v>#VALUE!</v>
      </c>
      <c r="F349">
        <v>1010</v>
      </c>
      <c r="G349" t="s">
        <v>76</v>
      </c>
      <c r="H349">
        <v>1000</v>
      </c>
      <c r="J349">
        <v>10</v>
      </c>
      <c r="L349">
        <v>-0.16738589097446099</v>
      </c>
      <c r="M349">
        <v>0</v>
      </c>
      <c r="N349" s="21">
        <v>45130</v>
      </c>
      <c r="O349" s="21">
        <v>46225</v>
      </c>
      <c r="P349">
        <v>7</v>
      </c>
      <c r="Q349">
        <v>0</v>
      </c>
      <c r="R349">
        <v>12</v>
      </c>
      <c r="S349" t="s">
        <v>63</v>
      </c>
      <c r="U349">
        <v>84</v>
      </c>
      <c r="V349" t="e">
        <v>#VALUE!</v>
      </c>
      <c r="W349" t="e">
        <v>#VALUE!</v>
      </c>
      <c r="X349" t="e">
        <v>#VALUE!</v>
      </c>
      <c r="Y349" t="e">
        <v>#VALUE!</v>
      </c>
      <c r="Z349" t="e">
        <v>#VALUE!</v>
      </c>
      <c r="AA349" t="e">
        <v>#VALUE!</v>
      </c>
      <c r="AB349" t="s">
        <v>64</v>
      </c>
      <c r="AC349" t="s">
        <v>62</v>
      </c>
      <c r="AD349" t="s">
        <v>2220</v>
      </c>
    </row>
    <row r="350" spans="1:30" x14ac:dyDescent="0.35">
      <c r="A350" t="s">
        <v>358</v>
      </c>
      <c r="B350" t="s">
        <v>357</v>
      </c>
      <c r="C350" t="e">
        <v>#VALUE!</v>
      </c>
      <c r="D350" t="e">
        <v>#VALUE!</v>
      </c>
      <c r="F350">
        <v>1000</v>
      </c>
      <c r="G350" t="s">
        <v>76</v>
      </c>
      <c r="H350">
        <v>1000</v>
      </c>
      <c r="J350">
        <v>60</v>
      </c>
      <c r="L350">
        <v>0</v>
      </c>
      <c r="M350">
        <v>0</v>
      </c>
      <c r="N350" s="21">
        <v>45131</v>
      </c>
      <c r="O350" s="21">
        <v>46226</v>
      </c>
      <c r="P350">
        <v>7</v>
      </c>
      <c r="Q350">
        <v>0</v>
      </c>
      <c r="R350">
        <v>12</v>
      </c>
      <c r="S350" t="s">
        <v>63</v>
      </c>
      <c r="U350">
        <v>84</v>
      </c>
      <c r="V350" t="e">
        <v>#VALUE!</v>
      </c>
      <c r="W350" t="e">
        <v>#VALUE!</v>
      </c>
      <c r="X350" t="e">
        <v>#VALUE!</v>
      </c>
      <c r="Y350" t="e">
        <v>#VALUE!</v>
      </c>
      <c r="Z350" t="e">
        <v>#VALUE!</v>
      </c>
      <c r="AA350" t="e">
        <v>#VALUE!</v>
      </c>
      <c r="AB350" t="s">
        <v>64</v>
      </c>
      <c r="AC350" t="s">
        <v>62</v>
      </c>
      <c r="AD350" t="s">
        <v>2220</v>
      </c>
    </row>
    <row r="351" spans="1:30" x14ac:dyDescent="0.35">
      <c r="A351" t="s">
        <v>354</v>
      </c>
      <c r="B351" t="s">
        <v>353</v>
      </c>
      <c r="C351" t="e">
        <v>#VALUE!</v>
      </c>
      <c r="D351" t="e">
        <v>#VALUE!</v>
      </c>
      <c r="F351">
        <v>989.9</v>
      </c>
      <c r="G351" t="s">
        <v>76</v>
      </c>
      <c r="H351">
        <v>1000</v>
      </c>
      <c r="J351">
        <v>73</v>
      </c>
      <c r="L351">
        <v>0.177677173035444</v>
      </c>
      <c r="M351">
        <v>0</v>
      </c>
      <c r="N351" s="21">
        <v>45132</v>
      </c>
      <c r="O351" s="21">
        <v>46227</v>
      </c>
      <c r="P351">
        <v>6</v>
      </c>
      <c r="Q351">
        <v>0</v>
      </c>
      <c r="R351">
        <v>12</v>
      </c>
      <c r="S351" t="s">
        <v>63</v>
      </c>
      <c r="U351">
        <v>72</v>
      </c>
      <c r="V351" t="e">
        <v>#VALUE!</v>
      </c>
      <c r="W351" t="e">
        <v>#VALUE!</v>
      </c>
      <c r="X351" t="e">
        <v>#VALUE!</v>
      </c>
      <c r="Y351" t="e">
        <v>#VALUE!</v>
      </c>
      <c r="Z351" t="e">
        <v>#VALUE!</v>
      </c>
      <c r="AA351" t="e">
        <v>#VALUE!</v>
      </c>
      <c r="AB351" t="s">
        <v>64</v>
      </c>
      <c r="AC351" t="s">
        <v>62</v>
      </c>
      <c r="AD351" t="s">
        <v>2220</v>
      </c>
    </row>
    <row r="352" spans="1:30" x14ac:dyDescent="0.35">
      <c r="A352" t="s">
        <v>346</v>
      </c>
      <c r="B352" t="s">
        <v>316</v>
      </c>
      <c r="C352" t="e">
        <v>#VALUE!</v>
      </c>
      <c r="D352" t="e">
        <v>#VALUE!</v>
      </c>
      <c r="F352">
        <v>835.2</v>
      </c>
      <c r="G352" t="s">
        <v>76</v>
      </c>
      <c r="H352">
        <v>1000</v>
      </c>
      <c r="J352">
        <v>25</v>
      </c>
      <c r="L352">
        <v>3.2123582871068099</v>
      </c>
      <c r="M352">
        <v>0</v>
      </c>
      <c r="N352" s="21">
        <v>45133</v>
      </c>
      <c r="O352" s="21">
        <v>46228</v>
      </c>
      <c r="P352">
        <v>7</v>
      </c>
      <c r="Q352">
        <v>0</v>
      </c>
      <c r="R352">
        <v>12</v>
      </c>
      <c r="S352" t="s">
        <v>63</v>
      </c>
      <c r="U352">
        <v>84</v>
      </c>
      <c r="V352" t="e">
        <v>#VALUE!</v>
      </c>
      <c r="W352" t="e">
        <v>#VALUE!</v>
      </c>
      <c r="X352" t="e">
        <v>#VALUE!</v>
      </c>
      <c r="Y352" t="e">
        <v>#VALUE!</v>
      </c>
      <c r="Z352" t="e">
        <v>#VALUE!</v>
      </c>
      <c r="AA352" t="e">
        <v>#VALUE!</v>
      </c>
      <c r="AB352" t="s">
        <v>64</v>
      </c>
      <c r="AC352" t="s">
        <v>62</v>
      </c>
      <c r="AD352" t="s">
        <v>2220</v>
      </c>
    </row>
    <row r="353" spans="1:30" x14ac:dyDescent="0.35">
      <c r="A353" t="s">
        <v>342</v>
      </c>
      <c r="B353" t="s">
        <v>241</v>
      </c>
      <c r="C353" t="e">
        <v>#VALUE!</v>
      </c>
      <c r="D353" t="e">
        <v>#VALUE!</v>
      </c>
      <c r="F353">
        <v>975</v>
      </c>
      <c r="G353" t="s">
        <v>76</v>
      </c>
      <c r="H353">
        <v>1000</v>
      </c>
      <c r="J353">
        <v>80</v>
      </c>
      <c r="L353">
        <v>0.43856487155456197</v>
      </c>
      <c r="M353">
        <v>0</v>
      </c>
      <c r="N353" s="21">
        <v>45134</v>
      </c>
      <c r="O353" s="21">
        <v>46229</v>
      </c>
      <c r="P353">
        <v>6</v>
      </c>
      <c r="Q353">
        <v>0</v>
      </c>
      <c r="R353">
        <v>12</v>
      </c>
      <c r="S353" t="s">
        <v>63</v>
      </c>
      <c r="U353">
        <v>72</v>
      </c>
      <c r="V353" t="e">
        <v>#VALUE!</v>
      </c>
      <c r="W353" t="e">
        <v>#VALUE!</v>
      </c>
      <c r="X353" t="e">
        <v>#VALUE!</v>
      </c>
      <c r="Y353" t="e">
        <v>#VALUE!</v>
      </c>
      <c r="Z353" t="e">
        <v>#VALUE!</v>
      </c>
      <c r="AA353" t="e">
        <v>#VALUE!</v>
      </c>
      <c r="AB353" t="s">
        <v>64</v>
      </c>
      <c r="AC353" t="s">
        <v>62</v>
      </c>
      <c r="AD353" t="s">
        <v>2220</v>
      </c>
    </row>
    <row r="354" spans="1:30" x14ac:dyDescent="0.35">
      <c r="A354" t="s">
        <v>339</v>
      </c>
      <c r="B354" t="s">
        <v>338</v>
      </c>
      <c r="C354" t="e">
        <v>#VALUE!</v>
      </c>
      <c r="D354" t="e">
        <v>#VALUE!</v>
      </c>
      <c r="F354">
        <v>951</v>
      </c>
      <c r="G354" t="s">
        <v>76</v>
      </c>
      <c r="H354">
        <v>1000</v>
      </c>
      <c r="J354">
        <v>10</v>
      </c>
      <c r="L354">
        <v>0.882106916191704</v>
      </c>
      <c r="M354">
        <v>0</v>
      </c>
      <c r="N354" s="21">
        <v>45135</v>
      </c>
      <c r="O354" s="21">
        <v>46230</v>
      </c>
      <c r="P354">
        <v>6</v>
      </c>
      <c r="Q354">
        <v>0</v>
      </c>
      <c r="R354">
        <v>12</v>
      </c>
      <c r="S354" t="s">
        <v>63</v>
      </c>
      <c r="U354">
        <v>72</v>
      </c>
      <c r="V354" t="e">
        <v>#VALUE!</v>
      </c>
      <c r="W354" t="e">
        <v>#VALUE!</v>
      </c>
      <c r="X354" t="e">
        <v>#VALUE!</v>
      </c>
      <c r="Y354" t="e">
        <v>#VALUE!</v>
      </c>
      <c r="Z354" t="e">
        <v>#VALUE!</v>
      </c>
      <c r="AA354" t="e">
        <v>#VALUE!</v>
      </c>
      <c r="AB354" t="s">
        <v>64</v>
      </c>
      <c r="AC354" t="s">
        <v>62</v>
      </c>
      <c r="AD354" t="s">
        <v>2220</v>
      </c>
    </row>
    <row r="355" spans="1:30" x14ac:dyDescent="0.35">
      <c r="A355" t="s">
        <v>327</v>
      </c>
      <c r="B355" t="s">
        <v>326</v>
      </c>
      <c r="C355" t="e">
        <v>#VALUE!</v>
      </c>
      <c r="D355" t="e">
        <v>#VALUE!</v>
      </c>
      <c r="F355">
        <v>999.8</v>
      </c>
      <c r="G355" t="s">
        <v>76</v>
      </c>
      <c r="H355">
        <v>1000</v>
      </c>
      <c r="J355">
        <v>20</v>
      </c>
      <c r="L355">
        <v>3.2595804875268099E-3</v>
      </c>
      <c r="M355">
        <v>0</v>
      </c>
      <c r="N355" s="21">
        <v>45136</v>
      </c>
      <c r="O355" s="21">
        <v>46231</v>
      </c>
      <c r="P355">
        <v>7</v>
      </c>
      <c r="Q355">
        <v>0</v>
      </c>
      <c r="R355">
        <v>12</v>
      </c>
      <c r="S355" t="s">
        <v>63</v>
      </c>
      <c r="U355">
        <v>84</v>
      </c>
      <c r="V355" t="e">
        <v>#VALUE!</v>
      </c>
      <c r="W355" t="e">
        <v>#VALUE!</v>
      </c>
      <c r="X355" t="e">
        <v>#VALUE!</v>
      </c>
      <c r="Y355" t="e">
        <v>#VALUE!</v>
      </c>
      <c r="Z355" t="e">
        <v>#VALUE!</v>
      </c>
      <c r="AA355" t="e">
        <v>#VALUE!</v>
      </c>
      <c r="AB355" t="s">
        <v>64</v>
      </c>
      <c r="AC355" t="s">
        <v>62</v>
      </c>
      <c r="AD355" t="s">
        <v>2220</v>
      </c>
    </row>
    <row r="356" spans="1:30" x14ac:dyDescent="0.35">
      <c r="A356" t="s">
        <v>317</v>
      </c>
      <c r="B356" t="s">
        <v>316</v>
      </c>
      <c r="C356" t="e">
        <v>#VALUE!</v>
      </c>
      <c r="D356" t="e">
        <v>#VALUE!</v>
      </c>
      <c r="F356">
        <v>994.8</v>
      </c>
      <c r="G356" t="s">
        <v>76</v>
      </c>
      <c r="H356">
        <v>1000</v>
      </c>
      <c r="J356">
        <v>30</v>
      </c>
      <c r="L356">
        <v>8.2522542828243894E-2</v>
      </c>
      <c r="M356">
        <v>0</v>
      </c>
      <c r="N356" s="21">
        <v>45137</v>
      </c>
      <c r="O356" s="21">
        <v>46232</v>
      </c>
      <c r="P356">
        <v>7</v>
      </c>
      <c r="Q356">
        <v>0</v>
      </c>
      <c r="R356">
        <v>12</v>
      </c>
      <c r="S356" t="s">
        <v>63</v>
      </c>
      <c r="U356">
        <v>84</v>
      </c>
      <c r="V356" t="e">
        <v>#VALUE!</v>
      </c>
      <c r="W356" t="e">
        <v>#VALUE!</v>
      </c>
      <c r="X356" t="e">
        <v>#VALUE!</v>
      </c>
      <c r="Y356" t="e">
        <v>#VALUE!</v>
      </c>
      <c r="Z356" t="e">
        <v>#VALUE!</v>
      </c>
      <c r="AA356" t="e">
        <v>#VALUE!</v>
      </c>
      <c r="AB356" t="s">
        <v>64</v>
      </c>
      <c r="AC356" t="s">
        <v>62</v>
      </c>
      <c r="AD356" t="s">
        <v>2220</v>
      </c>
    </row>
    <row r="357" spans="1:30" x14ac:dyDescent="0.35">
      <c r="A357" t="s">
        <v>306</v>
      </c>
      <c r="B357" t="s">
        <v>241</v>
      </c>
      <c r="C357" t="e">
        <v>#VALUE!</v>
      </c>
      <c r="D357" t="e">
        <v>#VALUE!</v>
      </c>
      <c r="F357">
        <v>1050</v>
      </c>
      <c r="G357" t="s">
        <v>76</v>
      </c>
      <c r="H357">
        <v>1000</v>
      </c>
      <c r="J357">
        <v>51</v>
      </c>
      <c r="L357">
        <v>-0.771800727395754</v>
      </c>
      <c r="M357">
        <v>0</v>
      </c>
      <c r="N357" s="21">
        <v>45138</v>
      </c>
      <c r="O357" s="21">
        <v>46233</v>
      </c>
      <c r="P357">
        <v>8</v>
      </c>
      <c r="Q357">
        <v>0</v>
      </c>
      <c r="R357">
        <v>12</v>
      </c>
      <c r="S357" t="s">
        <v>63</v>
      </c>
      <c r="U357">
        <v>96</v>
      </c>
      <c r="V357" t="e">
        <v>#VALUE!</v>
      </c>
      <c r="W357" t="e">
        <v>#VALUE!</v>
      </c>
      <c r="X357" t="e">
        <v>#VALUE!</v>
      </c>
      <c r="Y357" t="e">
        <v>#VALUE!</v>
      </c>
      <c r="Z357" t="e">
        <v>#VALUE!</v>
      </c>
      <c r="AA357" t="e">
        <v>#VALUE!</v>
      </c>
      <c r="AB357" t="s">
        <v>64</v>
      </c>
      <c r="AC357" t="s">
        <v>62</v>
      </c>
      <c r="AD357" t="s">
        <v>2220</v>
      </c>
    </row>
    <row r="358" spans="1:30" x14ac:dyDescent="0.35">
      <c r="A358" t="s">
        <v>303</v>
      </c>
      <c r="B358" t="s">
        <v>241</v>
      </c>
      <c r="C358" t="e">
        <v>#VALUE!</v>
      </c>
      <c r="D358" t="e">
        <v>#VALUE!</v>
      </c>
      <c r="F358">
        <v>1051</v>
      </c>
      <c r="G358" t="s">
        <v>76</v>
      </c>
      <c r="H358">
        <v>1000</v>
      </c>
      <c r="J358">
        <v>710</v>
      </c>
      <c r="L358">
        <v>-0.75145113024466603</v>
      </c>
      <c r="M358">
        <v>0</v>
      </c>
      <c r="N358" s="21">
        <v>45139</v>
      </c>
      <c r="O358" s="21">
        <v>46234</v>
      </c>
      <c r="P358">
        <v>8</v>
      </c>
      <c r="Q358">
        <v>0</v>
      </c>
      <c r="R358">
        <v>12</v>
      </c>
      <c r="S358" t="s">
        <v>63</v>
      </c>
      <c r="U358">
        <v>96</v>
      </c>
      <c r="V358" t="e">
        <v>#VALUE!</v>
      </c>
      <c r="W358" t="e">
        <v>#VALUE!</v>
      </c>
      <c r="X358" t="e">
        <v>#VALUE!</v>
      </c>
      <c r="Y358" t="e">
        <v>#VALUE!</v>
      </c>
      <c r="Z358" t="e">
        <v>#VALUE!</v>
      </c>
      <c r="AA358" t="e">
        <v>#VALUE!</v>
      </c>
      <c r="AB358" t="s">
        <v>64</v>
      </c>
      <c r="AC358" t="s">
        <v>62</v>
      </c>
      <c r="AD358" t="s">
        <v>2220</v>
      </c>
    </row>
    <row r="359" spans="1:30" x14ac:dyDescent="0.35">
      <c r="A359" t="s">
        <v>292</v>
      </c>
      <c r="B359" t="s">
        <v>241</v>
      </c>
      <c r="C359" t="e">
        <v>#VALUE!</v>
      </c>
      <c r="D359" t="e">
        <v>#VALUE!</v>
      </c>
      <c r="F359">
        <v>1010</v>
      </c>
      <c r="G359" t="s">
        <v>76</v>
      </c>
      <c r="H359">
        <v>1000</v>
      </c>
      <c r="J359">
        <v>50</v>
      </c>
      <c r="L359">
        <v>-0.15152458642090599</v>
      </c>
      <c r="M359">
        <v>0</v>
      </c>
      <c r="N359" s="21">
        <v>45140</v>
      </c>
      <c r="O359" s="21">
        <v>46235</v>
      </c>
      <c r="P359">
        <v>8</v>
      </c>
      <c r="Q359">
        <v>0</v>
      </c>
      <c r="R359">
        <v>12</v>
      </c>
      <c r="S359" t="s">
        <v>63</v>
      </c>
      <c r="U359">
        <v>96</v>
      </c>
      <c r="V359" t="e">
        <v>#VALUE!</v>
      </c>
      <c r="W359" t="e">
        <v>#VALUE!</v>
      </c>
      <c r="X359" t="e">
        <v>#VALUE!</v>
      </c>
      <c r="Y359" t="e">
        <v>#VALUE!</v>
      </c>
      <c r="Z359" t="e">
        <v>#VALUE!</v>
      </c>
      <c r="AA359" t="e">
        <v>#VALUE!</v>
      </c>
      <c r="AB359" t="s">
        <v>64</v>
      </c>
      <c r="AC359" t="s">
        <v>62</v>
      </c>
      <c r="AD359" t="s">
        <v>2220</v>
      </c>
    </row>
    <row r="360" spans="1:30" x14ac:dyDescent="0.35">
      <c r="A360" t="s">
        <v>289</v>
      </c>
      <c r="B360" t="s">
        <v>241</v>
      </c>
      <c r="C360" t="e">
        <v>#VALUE!</v>
      </c>
      <c r="D360" t="e">
        <v>#VALUE!</v>
      </c>
      <c r="F360">
        <v>975</v>
      </c>
      <c r="G360" t="s">
        <v>76</v>
      </c>
      <c r="H360">
        <v>1000</v>
      </c>
      <c r="J360">
        <v>3</v>
      </c>
      <c r="L360">
        <v>0.38482624831308998</v>
      </c>
      <c r="M360">
        <v>0</v>
      </c>
      <c r="N360" s="21">
        <v>45141</v>
      </c>
      <c r="O360" s="21">
        <v>46236</v>
      </c>
      <c r="P360">
        <v>8</v>
      </c>
      <c r="Q360">
        <v>0</v>
      </c>
      <c r="R360">
        <v>12</v>
      </c>
      <c r="S360" t="s">
        <v>63</v>
      </c>
      <c r="U360">
        <v>96</v>
      </c>
      <c r="V360" t="e">
        <v>#VALUE!</v>
      </c>
      <c r="W360" t="e">
        <v>#VALUE!</v>
      </c>
      <c r="X360" t="e">
        <v>#VALUE!</v>
      </c>
      <c r="Y360" t="e">
        <v>#VALUE!</v>
      </c>
      <c r="Z360" t="e">
        <v>#VALUE!</v>
      </c>
      <c r="AA360" t="e">
        <v>#VALUE!</v>
      </c>
      <c r="AB360" t="s">
        <v>64</v>
      </c>
      <c r="AC360" t="s">
        <v>62</v>
      </c>
      <c r="AD360" t="s">
        <v>2220</v>
      </c>
    </row>
    <row r="361" spans="1:30" x14ac:dyDescent="0.35">
      <c r="A361" t="s">
        <v>271</v>
      </c>
      <c r="B361" t="s">
        <v>241</v>
      </c>
      <c r="C361" t="e">
        <v>#VALUE!</v>
      </c>
      <c r="D361" t="e">
        <v>#VALUE!</v>
      </c>
      <c r="F361">
        <v>1021.5</v>
      </c>
      <c r="G361" t="s">
        <v>76</v>
      </c>
      <c r="H361">
        <v>1000</v>
      </c>
      <c r="J361">
        <v>700</v>
      </c>
      <c r="L361">
        <v>-0.287619989030307</v>
      </c>
      <c r="M361">
        <v>0</v>
      </c>
      <c r="N361" s="21">
        <v>45142</v>
      </c>
      <c r="O361" s="21">
        <v>46237</v>
      </c>
      <c r="P361">
        <v>8</v>
      </c>
      <c r="Q361">
        <v>0</v>
      </c>
      <c r="R361">
        <v>12</v>
      </c>
      <c r="S361" t="s">
        <v>63</v>
      </c>
      <c r="U361">
        <v>96</v>
      </c>
      <c r="V361" t="e">
        <v>#VALUE!</v>
      </c>
      <c r="W361" t="e">
        <v>#VALUE!</v>
      </c>
      <c r="X361" t="e">
        <v>#VALUE!</v>
      </c>
      <c r="Y361" t="e">
        <v>#VALUE!</v>
      </c>
      <c r="Z361" t="e">
        <v>#VALUE!</v>
      </c>
      <c r="AA361" t="e">
        <v>#VALUE!</v>
      </c>
      <c r="AB361" t="s">
        <v>64</v>
      </c>
      <c r="AC361" t="s">
        <v>62</v>
      </c>
      <c r="AD361" t="s">
        <v>2220</v>
      </c>
    </row>
    <row r="362" spans="1:30" x14ac:dyDescent="0.35">
      <c r="A362" t="s">
        <v>269</v>
      </c>
      <c r="B362" t="s">
        <v>241</v>
      </c>
      <c r="C362" t="e">
        <v>#VALUE!</v>
      </c>
      <c r="D362" t="e">
        <v>#VALUE!</v>
      </c>
      <c r="F362">
        <v>968</v>
      </c>
      <c r="G362" t="s">
        <v>76</v>
      </c>
      <c r="H362">
        <v>1000</v>
      </c>
      <c r="J362">
        <v>80</v>
      </c>
      <c r="L362">
        <v>0.46840511267388701</v>
      </c>
      <c r="M362">
        <v>0</v>
      </c>
      <c r="N362" s="21">
        <v>45143</v>
      </c>
      <c r="O362" s="21">
        <v>46238</v>
      </c>
      <c r="P362">
        <v>8</v>
      </c>
      <c r="Q362">
        <v>0</v>
      </c>
      <c r="R362">
        <v>12</v>
      </c>
      <c r="S362" t="s">
        <v>63</v>
      </c>
      <c r="U362">
        <v>96</v>
      </c>
      <c r="V362" t="e">
        <v>#VALUE!</v>
      </c>
      <c r="W362" t="e">
        <v>#VALUE!</v>
      </c>
      <c r="X362" t="e">
        <v>#VALUE!</v>
      </c>
      <c r="Y362" t="e">
        <v>#VALUE!</v>
      </c>
      <c r="Z362" t="e">
        <v>#VALUE!</v>
      </c>
      <c r="AA362" t="e">
        <v>#VALUE!</v>
      </c>
      <c r="AB362" t="s">
        <v>64</v>
      </c>
      <c r="AC362" t="s">
        <v>62</v>
      </c>
      <c r="AD362" t="s">
        <v>2220</v>
      </c>
    </row>
    <row r="363" spans="1:30" x14ac:dyDescent="0.35">
      <c r="A363" t="s">
        <v>259</v>
      </c>
      <c r="B363" t="s">
        <v>241</v>
      </c>
      <c r="C363" t="e">
        <v>#VALUE!</v>
      </c>
      <c r="D363" t="e">
        <v>#VALUE!</v>
      </c>
      <c r="F363">
        <v>979</v>
      </c>
      <c r="G363" t="s">
        <v>76</v>
      </c>
      <c r="H363">
        <v>1000</v>
      </c>
      <c r="J363">
        <v>50</v>
      </c>
      <c r="L363">
        <v>0.29951866003205802</v>
      </c>
      <c r="M363">
        <v>0</v>
      </c>
      <c r="N363" s="21">
        <v>45144</v>
      </c>
      <c r="O363" s="21">
        <v>46239</v>
      </c>
      <c r="P363">
        <v>8</v>
      </c>
      <c r="Q363">
        <v>0</v>
      </c>
      <c r="R363">
        <v>12</v>
      </c>
      <c r="S363" t="s">
        <v>63</v>
      </c>
      <c r="U363">
        <v>96</v>
      </c>
      <c r="V363" t="e">
        <v>#VALUE!</v>
      </c>
      <c r="W363" t="e">
        <v>#VALUE!</v>
      </c>
      <c r="X363" t="e">
        <v>#VALUE!</v>
      </c>
      <c r="Y363" t="e">
        <v>#VALUE!</v>
      </c>
      <c r="Z363" t="e">
        <v>#VALUE!</v>
      </c>
      <c r="AA363" t="e">
        <v>#VALUE!</v>
      </c>
      <c r="AB363" t="s">
        <v>64</v>
      </c>
      <c r="AC363" t="s">
        <v>62</v>
      </c>
      <c r="AD363" t="s">
        <v>2220</v>
      </c>
    </row>
  </sheetData>
  <mergeCells count="30"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5526-A198-4AC0-81F4-71B168F8D38E}">
  <dimension ref="A2:K53"/>
  <sheetViews>
    <sheetView workbookViewId="0">
      <selection activeCell="B20" sqref="B20"/>
    </sheetView>
  </sheetViews>
  <sheetFormatPr defaultColWidth="8.81640625" defaultRowHeight="14.5" x14ac:dyDescent="0.35"/>
  <cols>
    <col min="2" max="2" width="31" bestFit="1" customWidth="1"/>
    <col min="3" max="3" width="11.1796875" bestFit="1" customWidth="1"/>
    <col min="4" max="4" width="16.453125" bestFit="1" customWidth="1"/>
    <col min="5" max="5" width="28.1796875" bestFit="1" customWidth="1"/>
    <col min="6" max="6" width="10.7265625" bestFit="1" customWidth="1"/>
    <col min="8" max="8" width="13" bestFit="1" customWidth="1"/>
    <col min="9" max="9" width="19.26953125" bestFit="1" customWidth="1"/>
  </cols>
  <sheetData>
    <row r="2" spans="1:11" x14ac:dyDescent="0.35">
      <c r="A2" s="2"/>
      <c r="B2" t="s">
        <v>2206</v>
      </c>
      <c r="C2" s="21">
        <v>45877</v>
      </c>
      <c r="F2" t="s">
        <v>46</v>
      </c>
      <c r="H2" t="s">
        <v>15</v>
      </c>
      <c r="I2" t="s">
        <v>16</v>
      </c>
    </row>
    <row r="3" spans="1:11" x14ac:dyDescent="0.35">
      <c r="B3" t="s">
        <v>0</v>
      </c>
      <c r="C3" s="21">
        <v>53182</v>
      </c>
      <c r="E3" t="s">
        <v>2</v>
      </c>
      <c r="F3" t="s">
        <v>45</v>
      </c>
      <c r="G3">
        <f>C10</f>
        <v>50</v>
      </c>
      <c r="H3">
        <f>(1-(1/(1+C7)^C13))/C7</f>
        <v>19.819610140153259</v>
      </c>
      <c r="I3">
        <f>G3*H3</f>
        <v>990.98050700766294</v>
      </c>
      <c r="J3" s="4" t="s">
        <v>14</v>
      </c>
    </row>
    <row r="4" spans="1:11" ht="15" thickBot="1" x14ac:dyDescent="0.4">
      <c r="B4" t="s">
        <v>6</v>
      </c>
      <c r="C4" s="16">
        <v>1000</v>
      </c>
      <c r="F4" t="s">
        <v>38</v>
      </c>
      <c r="G4">
        <f>C4</f>
        <v>1000</v>
      </c>
      <c r="H4">
        <f>1/((1+C7)^C13)</f>
        <v>0.20901949299432326</v>
      </c>
      <c r="I4">
        <f>G4*H4</f>
        <v>209.01949299432326</v>
      </c>
      <c r="J4" t="s">
        <v>17</v>
      </c>
    </row>
    <row r="5" spans="1:11" ht="16" thickBot="1" x14ac:dyDescent="0.4">
      <c r="B5" t="s">
        <v>2207</v>
      </c>
      <c r="C5" s="24">
        <f>Data!R107</f>
        <v>2</v>
      </c>
      <c r="I5" s="19">
        <f>SUM(I3:I4)</f>
        <v>1200.0000000019861</v>
      </c>
      <c r="J5" s="17" t="s">
        <v>2</v>
      </c>
      <c r="K5" s="18" t="str">
        <f>IF(I5&lt;C14, "Rich", "Cheap")</f>
        <v>Cheap</v>
      </c>
    </row>
    <row r="6" spans="1:11" ht="15" thickBot="1" x14ac:dyDescent="0.4">
      <c r="C6" s="1"/>
      <c r="F6" s="4"/>
      <c r="J6" s="10" t="s">
        <v>37</v>
      </c>
      <c r="K6" t="s">
        <v>42</v>
      </c>
    </row>
    <row r="7" spans="1:11" ht="15" thickBot="1" x14ac:dyDescent="0.4">
      <c r="B7" s="20" t="s">
        <v>2224</v>
      </c>
      <c r="C7" s="37">
        <f>I7</f>
        <v>3.9908984153184779E-2</v>
      </c>
      <c r="D7" s="20" t="s">
        <v>2225</v>
      </c>
      <c r="E7" s="20" t="s">
        <v>2226</v>
      </c>
      <c r="F7" s="4"/>
      <c r="H7" t="s">
        <v>47</v>
      </c>
      <c r="I7" s="1">
        <f>IRR(H11:H51)+J7</f>
        <v>3.9908984153184779E-2</v>
      </c>
      <c r="J7" s="11">
        <f>0.0001*K7</f>
        <v>0</v>
      </c>
      <c r="K7" s="15">
        <v>0</v>
      </c>
    </row>
    <row r="8" spans="1:11" x14ac:dyDescent="0.35">
      <c r="B8" t="s">
        <v>24</v>
      </c>
      <c r="C8" s="23">
        <v>0.1</v>
      </c>
      <c r="F8" s="4"/>
    </row>
    <row r="9" spans="1:11" x14ac:dyDescent="0.35">
      <c r="B9" t="s">
        <v>23</v>
      </c>
      <c r="C9" s="16">
        <f>YEAR(C3)-YEAR(C2)</f>
        <v>20</v>
      </c>
      <c r="F9" s="4"/>
    </row>
    <row r="10" spans="1:11" x14ac:dyDescent="0.35">
      <c r="B10" t="s">
        <v>25</v>
      </c>
      <c r="C10">
        <f>C4*C8/2</f>
        <v>50</v>
      </c>
      <c r="F10" t="s">
        <v>20</v>
      </c>
    </row>
    <row r="11" spans="1:11" x14ac:dyDescent="0.35">
      <c r="B11" t="s">
        <v>3</v>
      </c>
      <c r="C11" t="s">
        <v>8</v>
      </c>
      <c r="E11" s="1"/>
      <c r="G11">
        <v>0</v>
      </c>
      <c r="H11">
        <f>-C14</f>
        <v>-1200</v>
      </c>
      <c r="I11" s="1" t="s">
        <v>19</v>
      </c>
      <c r="J11" s="1"/>
    </row>
    <row r="12" spans="1:11" x14ac:dyDescent="0.35">
      <c r="B12" t="s">
        <v>7</v>
      </c>
      <c r="C12" s="16" t="s">
        <v>9</v>
      </c>
      <c r="F12" t="s">
        <v>21</v>
      </c>
      <c r="G12" s="8">
        <v>1</v>
      </c>
      <c r="H12" s="7">
        <v>50</v>
      </c>
      <c r="I12" s="1"/>
    </row>
    <row r="13" spans="1:11" x14ac:dyDescent="0.35">
      <c r="B13" t="s">
        <v>12</v>
      </c>
      <c r="C13" s="20">
        <f>C9*C5</f>
        <v>40</v>
      </c>
      <c r="G13">
        <v>2</v>
      </c>
      <c r="H13" s="7">
        <v>50</v>
      </c>
    </row>
    <row r="14" spans="1:11" x14ac:dyDescent="0.35">
      <c r="B14" s="16" t="s">
        <v>18</v>
      </c>
      <c r="C14" s="16">
        <v>1200</v>
      </c>
      <c r="G14">
        <v>3</v>
      </c>
      <c r="H14" s="7">
        <v>50</v>
      </c>
    </row>
    <row r="15" spans="1:11" x14ac:dyDescent="0.35">
      <c r="G15" s="8">
        <v>4</v>
      </c>
      <c r="H15" s="7">
        <v>50</v>
      </c>
    </row>
    <row r="16" spans="1:11" x14ac:dyDescent="0.35">
      <c r="A16" s="2"/>
      <c r="C16" s="3"/>
      <c r="G16">
        <v>5</v>
      </c>
      <c r="H16" s="7">
        <v>50</v>
      </c>
    </row>
    <row r="17" spans="1:8" x14ac:dyDescent="0.35">
      <c r="A17" s="2">
        <v>2</v>
      </c>
      <c r="G17">
        <v>6</v>
      </c>
      <c r="H17" s="7">
        <v>50</v>
      </c>
    </row>
    <row r="18" spans="1:8" x14ac:dyDescent="0.35">
      <c r="G18" s="8">
        <v>7</v>
      </c>
      <c r="H18" s="7">
        <v>50</v>
      </c>
    </row>
    <row r="19" spans="1:8" x14ac:dyDescent="0.35">
      <c r="G19">
        <v>8</v>
      </c>
      <c r="H19" s="7">
        <v>50</v>
      </c>
    </row>
    <row r="20" spans="1:8" x14ac:dyDescent="0.35">
      <c r="G20">
        <v>9</v>
      </c>
      <c r="H20" s="7">
        <v>50</v>
      </c>
    </row>
    <row r="21" spans="1:8" x14ac:dyDescent="0.35">
      <c r="A21" s="2"/>
      <c r="G21" s="8">
        <v>10</v>
      </c>
      <c r="H21" s="7">
        <v>50</v>
      </c>
    </row>
    <row r="22" spans="1:8" x14ac:dyDescent="0.35">
      <c r="G22">
        <v>11</v>
      </c>
      <c r="H22" s="7">
        <v>50</v>
      </c>
    </row>
    <row r="23" spans="1:8" x14ac:dyDescent="0.35">
      <c r="G23">
        <v>12</v>
      </c>
      <c r="H23" s="7">
        <v>50</v>
      </c>
    </row>
    <row r="24" spans="1:8" x14ac:dyDescent="0.35">
      <c r="G24" s="8">
        <v>13</v>
      </c>
      <c r="H24" s="7">
        <v>50</v>
      </c>
    </row>
    <row r="25" spans="1:8" x14ac:dyDescent="0.35">
      <c r="G25">
        <v>14</v>
      </c>
      <c r="H25" s="7">
        <v>50</v>
      </c>
    </row>
    <row r="26" spans="1:8" x14ac:dyDescent="0.35">
      <c r="G26">
        <v>15</v>
      </c>
      <c r="H26" s="7">
        <v>50</v>
      </c>
    </row>
    <row r="27" spans="1:8" x14ac:dyDescent="0.35">
      <c r="G27" s="8">
        <v>16</v>
      </c>
      <c r="H27" s="7">
        <v>50</v>
      </c>
    </row>
    <row r="28" spans="1:8" x14ac:dyDescent="0.35">
      <c r="G28">
        <v>17</v>
      </c>
      <c r="H28" s="7">
        <v>50</v>
      </c>
    </row>
    <row r="29" spans="1:8" x14ac:dyDescent="0.35">
      <c r="G29">
        <v>18</v>
      </c>
      <c r="H29" s="7">
        <v>50</v>
      </c>
    </row>
    <row r="30" spans="1:8" x14ac:dyDescent="0.35">
      <c r="G30" s="8">
        <v>19</v>
      </c>
      <c r="H30" s="7">
        <v>50</v>
      </c>
    </row>
    <row r="31" spans="1:8" x14ac:dyDescent="0.35">
      <c r="G31">
        <v>20</v>
      </c>
      <c r="H31" s="7">
        <v>50</v>
      </c>
    </row>
    <row r="32" spans="1:8" x14ac:dyDescent="0.35">
      <c r="G32">
        <v>21</v>
      </c>
      <c r="H32" s="7">
        <v>50</v>
      </c>
    </row>
    <row r="33" spans="7:8" x14ac:dyDescent="0.35">
      <c r="G33" s="8">
        <v>22</v>
      </c>
      <c r="H33" s="7">
        <v>50</v>
      </c>
    </row>
    <row r="34" spans="7:8" x14ac:dyDescent="0.35">
      <c r="G34">
        <v>23</v>
      </c>
      <c r="H34" s="7">
        <v>50</v>
      </c>
    </row>
    <row r="35" spans="7:8" x14ac:dyDescent="0.35">
      <c r="G35">
        <v>24</v>
      </c>
      <c r="H35" s="7">
        <v>50</v>
      </c>
    </row>
    <row r="36" spans="7:8" x14ac:dyDescent="0.35">
      <c r="G36" s="8">
        <v>25</v>
      </c>
      <c r="H36" s="7">
        <v>50</v>
      </c>
    </row>
    <row r="37" spans="7:8" x14ac:dyDescent="0.35">
      <c r="G37">
        <v>26</v>
      </c>
      <c r="H37" s="7">
        <v>50</v>
      </c>
    </row>
    <row r="38" spans="7:8" x14ac:dyDescent="0.35">
      <c r="G38">
        <v>27</v>
      </c>
      <c r="H38" s="7">
        <v>50</v>
      </c>
    </row>
    <row r="39" spans="7:8" x14ac:dyDescent="0.35">
      <c r="G39" s="8">
        <v>28</v>
      </c>
      <c r="H39" s="7">
        <v>50</v>
      </c>
    </row>
    <row r="40" spans="7:8" x14ac:dyDescent="0.35">
      <c r="G40">
        <v>29</v>
      </c>
      <c r="H40" s="7">
        <v>50</v>
      </c>
    </row>
    <row r="41" spans="7:8" x14ac:dyDescent="0.35">
      <c r="G41">
        <v>30</v>
      </c>
      <c r="H41" s="7">
        <v>50</v>
      </c>
    </row>
    <row r="42" spans="7:8" x14ac:dyDescent="0.35">
      <c r="G42" s="8">
        <v>31</v>
      </c>
      <c r="H42" s="7">
        <v>50</v>
      </c>
    </row>
    <row r="43" spans="7:8" x14ac:dyDescent="0.35">
      <c r="G43">
        <v>32</v>
      </c>
      <c r="H43" s="7">
        <v>50</v>
      </c>
    </row>
    <row r="44" spans="7:8" x14ac:dyDescent="0.35">
      <c r="G44">
        <v>33</v>
      </c>
      <c r="H44" s="7">
        <v>50</v>
      </c>
    </row>
    <row r="45" spans="7:8" x14ac:dyDescent="0.35">
      <c r="G45" s="8">
        <v>34</v>
      </c>
      <c r="H45" s="7">
        <v>50</v>
      </c>
    </row>
    <row r="46" spans="7:8" x14ac:dyDescent="0.35">
      <c r="G46">
        <v>35</v>
      </c>
      <c r="H46" s="7">
        <v>50</v>
      </c>
    </row>
    <row r="47" spans="7:8" x14ac:dyDescent="0.35">
      <c r="G47">
        <v>36</v>
      </c>
      <c r="H47" s="7">
        <v>50</v>
      </c>
    </row>
    <row r="48" spans="7:8" x14ac:dyDescent="0.35">
      <c r="G48" s="8">
        <v>37</v>
      </c>
      <c r="H48" s="7">
        <v>50</v>
      </c>
    </row>
    <row r="49" spans="1:8" x14ac:dyDescent="0.35">
      <c r="G49">
        <v>38</v>
      </c>
      <c r="H49" s="7">
        <v>50</v>
      </c>
    </row>
    <row r="50" spans="1:8" x14ac:dyDescent="0.35">
      <c r="G50">
        <v>39</v>
      </c>
      <c r="H50" s="7">
        <v>50</v>
      </c>
    </row>
    <row r="51" spans="1:8" x14ac:dyDescent="0.35">
      <c r="E51" t="s">
        <v>22</v>
      </c>
      <c r="G51" s="8">
        <v>40</v>
      </c>
      <c r="H51" s="7">
        <v>1050</v>
      </c>
    </row>
    <row r="52" spans="1:8" x14ac:dyDescent="0.35">
      <c r="H52" s="7"/>
    </row>
    <row r="53" spans="1:8" x14ac:dyDescent="0.35">
      <c r="A53">
        <v>2</v>
      </c>
      <c r="B53" t="s">
        <v>26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258E-909A-4E42-B653-35DACEAB0824}">
  <dimension ref="A1:M55"/>
  <sheetViews>
    <sheetView topLeftCell="B1" zoomScale="86" zoomScaleNormal="86" workbookViewId="0">
      <selection activeCell="D19" sqref="D19"/>
    </sheetView>
  </sheetViews>
  <sheetFormatPr defaultColWidth="8.81640625" defaultRowHeight="14.5" x14ac:dyDescent="0.35"/>
  <cols>
    <col min="2" max="2" width="12.36328125" bestFit="1" customWidth="1"/>
    <col min="3" max="3" width="31" bestFit="1" customWidth="1"/>
    <col min="4" max="4" width="20.7265625" bestFit="1" customWidth="1"/>
    <col min="5" max="6" width="20.7265625" customWidth="1"/>
    <col min="7" max="7" width="28.1796875" bestFit="1" customWidth="1"/>
    <col min="8" max="8" width="10.7265625" bestFit="1" customWidth="1"/>
    <col min="10" max="10" width="13" bestFit="1" customWidth="1"/>
    <col min="11" max="11" width="19.26953125" bestFit="1" customWidth="1"/>
  </cols>
  <sheetData>
    <row r="1" spans="1:13" x14ac:dyDescent="0.35">
      <c r="D1" s="1"/>
      <c r="E1" s="1"/>
      <c r="F1" s="1"/>
    </row>
    <row r="2" spans="1:13" x14ac:dyDescent="0.35">
      <c r="C2" t="s">
        <v>2205</v>
      </c>
      <c r="D2" s="56" t="s">
        <v>115</v>
      </c>
    </row>
    <row r="3" spans="1:13" x14ac:dyDescent="0.35">
      <c r="C3" t="s">
        <v>2204</v>
      </c>
      <c r="D3" t="str">
        <f>VLOOKUP(D2,Data!$A$1:$AB$1913,2,0)</f>
        <v>Ntpc Ltd.</v>
      </c>
    </row>
    <row r="4" spans="1:13" x14ac:dyDescent="0.35">
      <c r="A4" s="2"/>
      <c r="B4" s="2"/>
      <c r="C4" t="s">
        <v>2206</v>
      </c>
      <c r="D4" s="21">
        <f>VLOOKUP(D2,Data!$A$1:$AB$1913,14,0)</f>
        <v>42282</v>
      </c>
      <c r="E4" s="21"/>
      <c r="F4" s="21"/>
      <c r="H4" t="s">
        <v>46</v>
      </c>
      <c r="J4" t="s">
        <v>15</v>
      </c>
      <c r="K4" t="s">
        <v>16</v>
      </c>
    </row>
    <row r="5" spans="1:13" x14ac:dyDescent="0.35">
      <c r="C5" t="s">
        <v>0</v>
      </c>
      <c r="D5" s="21">
        <f>VLOOKUP(D2,Data!$A$1:$AB$1913,15,0)</f>
        <v>49587</v>
      </c>
      <c r="E5" s="21"/>
      <c r="F5" s="82"/>
      <c r="G5" t="s">
        <v>2</v>
      </c>
      <c r="H5" t="s">
        <v>45</v>
      </c>
      <c r="I5">
        <f>D12</f>
        <v>73.7</v>
      </c>
      <c r="J5">
        <f>(1-(1/(1+D9)^D15))/D9</f>
        <v>17.669651386370582</v>
      </c>
      <c r="K5" s="5">
        <f>I5*J5</f>
        <v>1302.253307175512</v>
      </c>
      <c r="L5" s="4" t="s">
        <v>14</v>
      </c>
    </row>
    <row r="6" spans="1:13" ht="15" thickBot="1" x14ac:dyDescent="0.4">
      <c r="C6" t="s">
        <v>6</v>
      </c>
      <c r="D6" s="16">
        <f>VLOOKUP(D2,Data!$A$1:$AB$1913,8,0)</f>
        <v>1000</v>
      </c>
      <c r="E6" s="16"/>
      <c r="F6" s="82" t="s">
        <v>3138</v>
      </c>
      <c r="H6" t="s">
        <v>38</v>
      </c>
      <c r="I6">
        <f>D6</f>
        <v>1000</v>
      </c>
      <c r="J6">
        <f>1/((1+D9)^D15)</f>
        <v>0.78619721822491595</v>
      </c>
      <c r="K6" s="5">
        <f>I6*J6</f>
        <v>786.1972182249159</v>
      </c>
      <c r="L6" t="s">
        <v>17</v>
      </c>
    </row>
    <row r="7" spans="1:13" ht="16" thickBot="1" x14ac:dyDescent="0.4">
      <c r="C7" t="s">
        <v>2207</v>
      </c>
      <c r="D7" s="24">
        <f>VLOOKUP(D2,Data!$A$1:$AB$1913,18,0)</f>
        <v>1</v>
      </c>
      <c r="E7" s="10" t="s">
        <v>37</v>
      </c>
      <c r="F7" s="20" t="s">
        <v>42</v>
      </c>
      <c r="K7" s="33">
        <f>SUM(K5:K6)</f>
        <v>2088.450525400428</v>
      </c>
      <c r="L7" s="17" t="s">
        <v>2</v>
      </c>
      <c r="M7" s="18" t="str">
        <f>IF(K7&lt;D16, "Rich", "Cheap")</f>
        <v>Rich</v>
      </c>
    </row>
    <row r="8" spans="1:13" ht="15" thickBot="1" x14ac:dyDescent="0.4">
      <c r="A8" s="40" t="s">
        <v>2229</v>
      </c>
      <c r="B8" s="89" t="s">
        <v>3116</v>
      </c>
      <c r="C8" s="20" t="s">
        <v>3140</v>
      </c>
      <c r="D8" s="39">
        <v>0.03</v>
      </c>
      <c r="E8" s="11">
        <f>0.0001*F8</f>
        <v>-1.7899999999999999E-2</v>
      </c>
      <c r="F8" s="15">
        <v>-179</v>
      </c>
      <c r="H8" s="4"/>
      <c r="K8" s="5"/>
      <c r="L8" s="10"/>
    </row>
    <row r="9" spans="1:13" ht="15" thickBot="1" x14ac:dyDescent="0.4">
      <c r="C9" s="38" t="s">
        <v>2228</v>
      </c>
      <c r="D9" s="79">
        <f>D8+E8</f>
        <v>1.21E-2</v>
      </c>
      <c r="G9" s="20" t="s">
        <v>2233</v>
      </c>
      <c r="H9" s="4"/>
      <c r="J9" t="s">
        <v>47</v>
      </c>
      <c r="K9" s="76">
        <f>RATE(D17,D12,-D16,D6)</f>
        <v>1.2087752856210084E-2</v>
      </c>
      <c r="L9" s="82" t="s">
        <v>3111</v>
      </c>
    </row>
    <row r="10" spans="1:13" x14ac:dyDescent="0.35">
      <c r="C10" t="s">
        <v>24</v>
      </c>
      <c r="D10" s="23">
        <f>VLOOKUP(D2,Data!$A$1:$AB$1913,13,0)</f>
        <v>7.3700000000000002E-2</v>
      </c>
      <c r="E10" s="23"/>
      <c r="F10" s="23"/>
      <c r="G10" t="s">
        <v>2211</v>
      </c>
      <c r="H10" s="4"/>
      <c r="K10" s="3">
        <f>K9*D7</f>
        <v>1.2087752856210084E-2</v>
      </c>
      <c r="L10" s="82" t="s">
        <v>3112</v>
      </c>
    </row>
    <row r="11" spans="1:13" x14ac:dyDescent="0.35">
      <c r="C11" t="s">
        <v>23</v>
      </c>
      <c r="D11" s="16">
        <f>YEAR(D5)-YEAR(D4)</f>
        <v>20</v>
      </c>
      <c r="E11" s="16"/>
      <c r="F11" s="82" t="s">
        <v>3117</v>
      </c>
      <c r="G11" s="20" t="s">
        <v>2237</v>
      </c>
      <c r="H11" s="71" t="s">
        <v>3098</v>
      </c>
      <c r="K11" s="66">
        <f>DURATION(D4,D5,D10,K10,D7)</f>
        <v>13.827680230301276</v>
      </c>
    </row>
    <row r="12" spans="1:13" ht="15" thickBot="1" x14ac:dyDescent="0.4">
      <c r="C12" t="s">
        <v>3099</v>
      </c>
      <c r="D12">
        <f>(D6*D10)/D7</f>
        <v>73.7</v>
      </c>
      <c r="F12" s="82" t="s">
        <v>3118</v>
      </c>
      <c r="G12" s="20" t="s">
        <v>2234</v>
      </c>
      <c r="K12" s="66">
        <f>K11/(1+K9)</f>
        <v>13.662530932992933</v>
      </c>
    </row>
    <row r="13" spans="1:13" ht="15" thickBot="1" x14ac:dyDescent="0.4">
      <c r="C13" t="s">
        <v>3</v>
      </c>
      <c r="D13" t="str">
        <f>IF(D7=1,"YES","NO")</f>
        <v>YES</v>
      </c>
      <c r="G13" s="67" t="s">
        <v>3097</v>
      </c>
      <c r="H13" s="68" t="s">
        <v>37</v>
      </c>
      <c r="K13" s="1"/>
      <c r="L13" s="1"/>
    </row>
    <row r="14" spans="1:13" ht="15" thickBot="1" x14ac:dyDescent="0.4">
      <c r="C14" t="s">
        <v>7</v>
      </c>
      <c r="D14" s="16" t="str">
        <f>IF(D7=2,"YES","NO")</f>
        <v>NO</v>
      </c>
      <c r="E14" s="16"/>
      <c r="F14" s="16"/>
      <c r="G14" s="69" t="s">
        <v>3095</v>
      </c>
      <c r="H14" s="15">
        <v>-180</v>
      </c>
      <c r="I14" s="8" t="s">
        <v>3101</v>
      </c>
      <c r="J14" s="7"/>
      <c r="K14" s="1"/>
    </row>
    <row r="15" spans="1:13" ht="15" thickBot="1" x14ac:dyDescent="0.4">
      <c r="C15" t="s">
        <v>12</v>
      </c>
      <c r="D15" s="20">
        <f>D11*D7</f>
        <v>20</v>
      </c>
      <c r="E15" s="20"/>
      <c r="F15" s="20"/>
      <c r="G15" s="70" t="s">
        <v>3096</v>
      </c>
      <c r="H15" s="15">
        <v>-179</v>
      </c>
      <c r="I15" t="s">
        <v>3102</v>
      </c>
      <c r="J15" s="7"/>
    </row>
    <row r="16" spans="1:13" x14ac:dyDescent="0.35">
      <c r="C16" s="16" t="s">
        <v>18</v>
      </c>
      <c r="D16" s="16">
        <f>VLOOKUP(D2,Data!$A$1:$AB$1913,6,0)</f>
        <v>2088.8000000000002</v>
      </c>
      <c r="E16" s="16"/>
      <c r="F16" s="16"/>
      <c r="J16" s="7"/>
    </row>
    <row r="17" spans="1:10" x14ac:dyDescent="0.35">
      <c r="C17" t="s">
        <v>2208</v>
      </c>
      <c r="D17">
        <f>D11*D7</f>
        <v>20</v>
      </c>
      <c r="G17" s="1"/>
      <c r="I17" s="8"/>
      <c r="J17" s="7"/>
    </row>
    <row r="18" spans="1:10" x14ac:dyDescent="0.35">
      <c r="A18" s="2"/>
      <c r="B18" s="2"/>
      <c r="D18" s="3"/>
      <c r="E18" s="3"/>
      <c r="F18" s="3"/>
      <c r="I18" s="8"/>
      <c r="J18" s="7"/>
    </row>
    <row r="19" spans="1:10" x14ac:dyDescent="0.35">
      <c r="A19" s="2">
        <v>2</v>
      </c>
      <c r="B19" s="2"/>
      <c r="J19" s="7"/>
    </row>
    <row r="23" spans="1:10" x14ac:dyDescent="0.35">
      <c r="A23" s="2"/>
      <c r="B23" s="2"/>
    </row>
    <row r="53" spans="1:7" x14ac:dyDescent="0.35">
      <c r="G53" t="s">
        <v>22</v>
      </c>
    </row>
    <row r="55" spans="1:7" x14ac:dyDescent="0.35">
      <c r="A55">
        <v>2</v>
      </c>
      <c r="C55" t="s">
        <v>26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0BD879-A4AB-487D-A39D-863E2AD48CC7}">
          <x14:formula1>
            <xm:f>Data!$A$16:$A$1913</xm:f>
          </x14:formula1>
          <xm:sqref>D2:F2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85E7-0BD1-450D-A56F-26EA5590BB54}">
  <dimension ref="A1:S53"/>
  <sheetViews>
    <sheetView workbookViewId="0">
      <selection activeCell="P2" sqref="P2"/>
    </sheetView>
  </sheetViews>
  <sheetFormatPr defaultColWidth="8.81640625" defaultRowHeight="14.5" x14ac:dyDescent="0.35"/>
  <cols>
    <col min="2" max="2" width="33.1796875" bestFit="1" customWidth="1"/>
    <col min="3" max="3" width="11.1796875" bestFit="1" customWidth="1"/>
    <col min="4" max="4" width="27" bestFit="1" customWidth="1"/>
    <col min="7" max="7" width="9" bestFit="1" customWidth="1"/>
    <col min="8" max="8" width="18.1796875" customWidth="1"/>
    <col min="9" max="9" width="24.1796875" bestFit="1" customWidth="1"/>
    <col min="11" max="11" width="27.81640625" bestFit="1" customWidth="1"/>
    <col min="12" max="12" width="27.26953125" bestFit="1" customWidth="1"/>
    <col min="14" max="14" width="23.81640625" bestFit="1" customWidth="1"/>
    <col min="15" max="15" width="23.26953125" bestFit="1" customWidth="1"/>
    <col min="16" max="16" width="13.7265625" bestFit="1" customWidth="1"/>
    <col min="17" max="17" width="27.81640625" bestFit="1" customWidth="1"/>
    <col min="18" max="18" width="24" bestFit="1" customWidth="1"/>
    <col min="19" max="19" width="12.453125" bestFit="1" customWidth="1"/>
  </cols>
  <sheetData>
    <row r="1" spans="1:19" x14ac:dyDescent="0.35">
      <c r="D1" t="s">
        <v>27</v>
      </c>
      <c r="E1" t="s">
        <v>20</v>
      </c>
      <c r="G1" t="s">
        <v>28</v>
      </c>
      <c r="H1" s="9" t="s">
        <v>29</v>
      </c>
      <c r="I1" t="s">
        <v>30</v>
      </c>
      <c r="J1" t="s">
        <v>31</v>
      </c>
      <c r="K1" t="s">
        <v>34</v>
      </c>
      <c r="L1" t="s">
        <v>35</v>
      </c>
      <c r="N1" t="s">
        <v>32</v>
      </c>
      <c r="O1" t="s">
        <v>33</v>
      </c>
      <c r="P1" t="s">
        <v>36</v>
      </c>
      <c r="Q1" t="s">
        <v>43</v>
      </c>
      <c r="R1" t="s">
        <v>44</v>
      </c>
      <c r="S1" t="s">
        <v>41</v>
      </c>
    </row>
    <row r="2" spans="1:19" x14ac:dyDescent="0.35">
      <c r="A2" s="2">
        <v>1</v>
      </c>
      <c r="B2" t="s">
        <v>1</v>
      </c>
      <c r="C2" t="s">
        <v>4</v>
      </c>
      <c r="D2">
        <v>1</v>
      </c>
      <c r="E2">
        <v>1</v>
      </c>
      <c r="F2">
        <v>50</v>
      </c>
      <c r="G2">
        <f>(-D2*F2)/((1+'Bond Pricing'!$I7)^(D3))</f>
        <v>-46.235902988816399</v>
      </c>
      <c r="H2" s="9">
        <f>1/(1+'Bond Pricing'!I7)</f>
        <v>0.96162261817010519</v>
      </c>
      <c r="I2">
        <f>SUM(G2:G42)</f>
        <v>-22999.112577630938</v>
      </c>
      <c r="J2">
        <f>1/(1+'Bond Pricing'!C14)</f>
        <v>8.3263946711074107E-4</v>
      </c>
      <c r="K2" s="5">
        <f>I2*J2</f>
        <v>-19.149968840658566</v>
      </c>
      <c r="L2" s="5">
        <f>K2*H2</f>
        <v>-18.415043174430025</v>
      </c>
      <c r="N2" s="5">
        <f>K2/2</f>
        <v>-9.5749844203292831</v>
      </c>
      <c r="O2" s="5">
        <f>L2/2</f>
        <v>-9.2075215872150125</v>
      </c>
      <c r="P2" s="13">
        <f>-L2*'Bond Pricing'!C14</f>
        <v>22098.051809316028</v>
      </c>
      <c r="Q2" s="12">
        <f>'Convexity Template'!G25</f>
        <v>242.80232611974236</v>
      </c>
      <c r="R2" s="12">
        <f>'Convexity Template'!G26</f>
        <v>242.80232611974236</v>
      </c>
      <c r="S2" s="12">
        <f>'Convexity Template'!G27</f>
        <v>507165.49879891786</v>
      </c>
    </row>
    <row r="3" spans="1:19" x14ac:dyDescent="0.35">
      <c r="B3" t="s">
        <v>0</v>
      </c>
      <c r="C3" t="s">
        <v>5</v>
      </c>
      <c r="D3">
        <v>2</v>
      </c>
      <c r="E3">
        <v>2</v>
      </c>
      <c r="F3">
        <v>50</v>
      </c>
      <c r="G3">
        <f>(-D3*F3)/((1+'Bond Pricing'!$I$7)^(D4))</f>
        <v>-88.92298017112924</v>
      </c>
    </row>
    <row r="4" spans="1:19" x14ac:dyDescent="0.35">
      <c r="B4" t="s">
        <v>6</v>
      </c>
      <c r="C4">
        <v>1000</v>
      </c>
      <c r="D4">
        <v>3</v>
      </c>
      <c r="E4">
        <v>3</v>
      </c>
      <c r="F4">
        <v>50</v>
      </c>
      <c r="G4">
        <f>(-D4*F4)/((1+'Bond Pricing'!$I$7)^(D5))</f>
        <v>-128.26552351147447</v>
      </c>
    </row>
    <row r="5" spans="1:19" x14ac:dyDescent="0.35">
      <c r="B5" t="s">
        <v>10</v>
      </c>
      <c r="C5" t="s">
        <v>11</v>
      </c>
      <c r="D5">
        <v>4</v>
      </c>
      <c r="E5">
        <v>4</v>
      </c>
      <c r="F5">
        <v>50</v>
      </c>
      <c r="G5">
        <f>(-D5*F5)/((1+'Bond Pricing'!$I$7)^(D6))</f>
        <v>-164.45737138675102</v>
      </c>
    </row>
    <row r="6" spans="1:19" x14ac:dyDescent="0.35">
      <c r="C6" s="1"/>
      <c r="D6">
        <v>5</v>
      </c>
      <c r="E6">
        <v>5</v>
      </c>
      <c r="F6">
        <v>50</v>
      </c>
      <c r="G6">
        <f>(-D6*F6)/((1+'Bond Pricing'!$I$7)^(D7))</f>
        <v>-197.6824100628761</v>
      </c>
    </row>
    <row r="7" spans="1:19" x14ac:dyDescent="0.35">
      <c r="B7" t="s">
        <v>13</v>
      </c>
      <c r="C7" s="6">
        <f>I7</f>
        <v>0</v>
      </c>
      <c r="D7">
        <v>6</v>
      </c>
      <c r="E7">
        <v>6</v>
      </c>
      <c r="F7">
        <v>50</v>
      </c>
      <c r="G7">
        <f>(-D7*F7)/((1+'Bond Pricing'!$I$7)^(D8))</f>
        <v>-228.11505207700714</v>
      </c>
    </row>
    <row r="8" spans="1:19" x14ac:dyDescent="0.35">
      <c r="B8" t="s">
        <v>24</v>
      </c>
      <c r="C8" s="6">
        <v>0.1</v>
      </c>
      <c r="D8">
        <v>7</v>
      </c>
      <c r="E8">
        <v>7</v>
      </c>
      <c r="F8">
        <v>50</v>
      </c>
      <c r="G8">
        <f>(-D8*F8)/((1+'Bond Pricing'!$I$7)^(D9))</f>
        <v>-255.92069255935175</v>
      </c>
    </row>
    <row r="9" spans="1:19" x14ac:dyDescent="0.35">
      <c r="B9" t="s">
        <v>23</v>
      </c>
      <c r="C9">
        <v>20</v>
      </c>
      <c r="D9">
        <v>8</v>
      </c>
      <c r="E9">
        <v>8</v>
      </c>
      <c r="F9">
        <v>50</v>
      </c>
      <c r="G9">
        <f>(-D9*F9)/((1+'Bond Pricing'!$I$7)^(D10))</f>
        <v>-281.25614448323472</v>
      </c>
    </row>
    <row r="10" spans="1:19" x14ac:dyDescent="0.35">
      <c r="B10" t="s">
        <v>25</v>
      </c>
      <c r="C10">
        <f>C4*C8/2</f>
        <v>50</v>
      </c>
      <c r="D10">
        <v>9</v>
      </c>
      <c r="E10">
        <v>9</v>
      </c>
      <c r="F10">
        <v>50</v>
      </c>
      <c r="G10">
        <f>(-D10*F10)/((1+'Bond Pricing'!$I$7)^(D11))</f>
        <v>-304.27005378869728</v>
      </c>
    </row>
    <row r="11" spans="1:19" x14ac:dyDescent="0.35">
      <c r="B11" t="s">
        <v>3</v>
      </c>
      <c r="C11" t="s">
        <v>8</v>
      </c>
      <c r="D11">
        <v>10</v>
      </c>
      <c r="E11">
        <v>10</v>
      </c>
      <c r="F11">
        <v>50</v>
      </c>
      <c r="G11">
        <f>(-D11*F11)/((1+'Bond Pricing'!$I$7)^(D12))</f>
        <v>-325.10329528338428</v>
      </c>
    </row>
    <row r="12" spans="1:19" x14ac:dyDescent="0.35">
      <c r="B12" t="s">
        <v>7</v>
      </c>
      <c r="C12" t="s">
        <v>9</v>
      </c>
      <c r="D12">
        <v>11</v>
      </c>
      <c r="E12">
        <v>11</v>
      </c>
      <c r="F12">
        <v>50</v>
      </c>
      <c r="G12">
        <f>(-D12*F12)/((1+'Bond Pricing'!$I$7)^(D13))</f>
        <v>-343.88935018475047</v>
      </c>
    </row>
    <row r="13" spans="1:19" x14ac:dyDescent="0.35">
      <c r="B13" t="s">
        <v>12</v>
      </c>
      <c r="C13">
        <v>40</v>
      </c>
      <c r="D13">
        <v>12</v>
      </c>
      <c r="E13">
        <v>12</v>
      </c>
      <c r="F13">
        <v>50</v>
      </c>
      <c r="G13">
        <f>(-D13*F13)/((1+'Bond Pricing'!$I$7)^(D14))</f>
        <v>-360.75466612961003</v>
      </c>
    </row>
    <row r="14" spans="1:19" x14ac:dyDescent="0.35">
      <c r="B14" t="s">
        <v>18</v>
      </c>
      <c r="C14">
        <v>1200</v>
      </c>
      <c r="D14">
        <v>13</v>
      </c>
      <c r="E14">
        <v>13</v>
      </c>
      <c r="F14">
        <v>50</v>
      </c>
      <c r="G14">
        <f>(-D14*F14)/((1+'Bond Pricing'!$I$7)^(D15))</f>
        <v>-375.81900044069096</v>
      </c>
    </row>
    <row r="15" spans="1:19" x14ac:dyDescent="0.35">
      <c r="D15">
        <v>14</v>
      </c>
      <c r="E15">
        <v>14</v>
      </c>
      <c r="F15">
        <v>50</v>
      </c>
      <c r="G15">
        <f>(-D15*F15)/((1+'Bond Pricing'!$I$7)^(D16))</f>
        <v>-389.19574740506835</v>
      </c>
    </row>
    <row r="16" spans="1:19" x14ac:dyDescent="0.35">
      <c r="A16" s="2"/>
      <c r="C16" s="3"/>
      <c r="D16">
        <v>15</v>
      </c>
      <c r="E16">
        <v>15</v>
      </c>
      <c r="F16">
        <v>50</v>
      </c>
      <c r="G16">
        <f>(-D16*F16)/((1+'Bond Pricing'!$I$7)^(D17))</f>
        <v>-400.99225028607083</v>
      </c>
    </row>
    <row r="17" spans="1:7" x14ac:dyDescent="0.35">
      <c r="A17" s="2">
        <v>2</v>
      </c>
      <c r="D17">
        <v>16</v>
      </c>
      <c r="E17">
        <v>16</v>
      </c>
      <c r="F17">
        <v>50</v>
      </c>
      <c r="G17">
        <f>(-D17*F17)/((1+'Bond Pricing'!$I$7)^(D18))</f>
        <v>-411.31009875841443</v>
      </c>
    </row>
    <row r="18" spans="1:7" x14ac:dyDescent="0.35">
      <c r="D18">
        <v>17</v>
      </c>
      <c r="E18">
        <v>17</v>
      </c>
      <c r="F18">
        <v>50</v>
      </c>
      <c r="G18">
        <f>(-D18*F18)/((1+'Bond Pricing'!$I$7)^(D19))</f>
        <v>-420.24541242586298</v>
      </c>
    </row>
    <row r="19" spans="1:7" x14ac:dyDescent="0.35">
      <c r="D19">
        <v>18</v>
      </c>
      <c r="E19">
        <v>18</v>
      </c>
      <c r="F19">
        <v>50</v>
      </c>
      <c r="G19">
        <f>(-D19*F19)/((1+'Bond Pricing'!$I$7)^(D20))</f>
        <v>-427.88911105157723</v>
      </c>
    </row>
    <row r="20" spans="1:7" x14ac:dyDescent="0.35">
      <c r="D20">
        <v>19</v>
      </c>
      <c r="E20">
        <v>19</v>
      </c>
      <c r="F20">
        <v>50</v>
      </c>
      <c r="G20">
        <f>(-D20*F20)/((1+'Bond Pricing'!$I$7)^(D21))</f>
        <v>-434.32717210344646</v>
      </c>
    </row>
    <row r="21" spans="1:7" x14ac:dyDescent="0.35">
      <c r="A21" s="2"/>
      <c r="D21">
        <v>20</v>
      </c>
      <c r="E21">
        <v>20</v>
      </c>
      <c r="F21">
        <v>50</v>
      </c>
      <c r="G21">
        <f>(-D21*F21)/((1+'Bond Pricing'!$I$7)^(D22))</f>
        <v>-439.64087619003578</v>
      </c>
    </row>
    <row r="22" spans="1:7" x14ac:dyDescent="0.35">
      <c r="D22">
        <v>21</v>
      </c>
      <c r="E22">
        <v>21</v>
      </c>
      <c r="F22">
        <v>50</v>
      </c>
      <c r="G22">
        <f>(-D22*F22)/((1+'Bond Pricing'!$I$7)^(D23))</f>
        <v>-443.90704093728436</v>
      </c>
    </row>
    <row r="23" spans="1:7" x14ac:dyDescent="0.35">
      <c r="D23">
        <v>22</v>
      </c>
      <c r="E23">
        <v>22</v>
      </c>
      <c r="F23">
        <v>50</v>
      </c>
      <c r="G23">
        <f>(-D23*F23)/((1+'Bond Pricing'!$I$7)^(D24))</f>
        <v>-447.19824383169623</v>
      </c>
    </row>
    <row r="24" spans="1:7" x14ac:dyDescent="0.35">
      <c r="D24">
        <v>23</v>
      </c>
      <c r="E24">
        <v>23</v>
      </c>
      <c r="F24">
        <v>50</v>
      </c>
      <c r="G24">
        <f>(-D24*F24)/((1+'Bond Pricing'!$I$7)^(D25))</f>
        <v>-449.58303453244105</v>
      </c>
    </row>
    <row r="25" spans="1:7" x14ac:dyDescent="0.35">
      <c r="D25">
        <v>24</v>
      </c>
      <c r="E25">
        <v>24</v>
      </c>
      <c r="F25">
        <v>50</v>
      </c>
      <c r="G25">
        <f>(-D25*F25)/((1+'Bond Pricing'!$I$7)^(D26))</f>
        <v>-451.12613713246623</v>
      </c>
    </row>
    <row r="26" spans="1:7" x14ac:dyDescent="0.35">
      <c r="D26">
        <v>25</v>
      </c>
      <c r="E26">
        <v>25</v>
      </c>
      <c r="F26">
        <v>50</v>
      </c>
      <c r="G26">
        <f>(-D26*F26)/((1+'Bond Pricing'!$I$7)^(D27))</f>
        <v>-451.88864282738348</v>
      </c>
    </row>
    <row r="27" spans="1:7" x14ac:dyDescent="0.35">
      <c r="D27">
        <v>26</v>
      </c>
      <c r="E27">
        <v>26</v>
      </c>
      <c r="F27">
        <v>50</v>
      </c>
      <c r="G27">
        <f>(-D27*F27)/((1+'Bond Pricing'!$I$7)^(D28))</f>
        <v>-451.92819343048416</v>
      </c>
    </row>
    <row r="28" spans="1:7" x14ac:dyDescent="0.35">
      <c r="D28">
        <v>27</v>
      </c>
      <c r="E28">
        <v>27</v>
      </c>
      <c r="F28">
        <v>50</v>
      </c>
      <c r="G28">
        <f>(-D28*F28)/((1+'Bond Pricing'!$I$7)^(D29))</f>
        <v>-451.29915615271977</v>
      </c>
    </row>
    <row r="29" spans="1:7" x14ac:dyDescent="0.35">
      <c r="D29">
        <v>28</v>
      </c>
      <c r="E29">
        <v>28</v>
      </c>
      <c r="F29">
        <v>50</v>
      </c>
      <c r="G29">
        <f>(-D29*F29)/((1+'Bond Pricing'!$I$7)^(D30))</f>
        <v>-450.0527900478167</v>
      </c>
    </row>
    <row r="30" spans="1:7" x14ac:dyDescent="0.35">
      <c r="D30">
        <v>29</v>
      </c>
      <c r="E30">
        <v>29</v>
      </c>
      <c r="F30">
        <v>50</v>
      </c>
      <c r="G30">
        <f>(-D30*F30)/((1+'Bond Pricing'!$I$7)^(D31))</f>
        <v>-448.23740450484718</v>
      </c>
    </row>
    <row r="31" spans="1:7" x14ac:dyDescent="0.35">
      <c r="D31">
        <v>30</v>
      </c>
      <c r="E31">
        <v>30</v>
      </c>
      <c r="F31">
        <v>50</v>
      </c>
      <c r="G31">
        <f>(-D31*F31)/((1+'Bond Pricing'!$I$7)^(D32))</f>
        <v>-445.89851015350735</v>
      </c>
    </row>
    <row r="32" spans="1:7" x14ac:dyDescent="0.35">
      <c r="D32">
        <v>31</v>
      </c>
      <c r="E32">
        <v>31</v>
      </c>
      <c r="F32">
        <v>50</v>
      </c>
      <c r="G32">
        <f>(-D32*F32)/((1+'Bond Pricing'!$I$7)^(D33))</f>
        <v>-443.07896253103041</v>
      </c>
    </row>
    <row r="33" spans="4:7" x14ac:dyDescent="0.35">
      <c r="D33">
        <v>32</v>
      </c>
      <c r="E33">
        <v>32</v>
      </c>
      <c r="F33">
        <v>50</v>
      </c>
      <c r="G33">
        <f>(-D33*F33)/((1+'Bond Pricing'!$I$7)^(D34))</f>
        <v>-439.81909884406031</v>
      </c>
    </row>
    <row r="34" spans="4:7" x14ac:dyDescent="0.35">
      <c r="D34">
        <v>33</v>
      </c>
      <c r="E34">
        <v>33</v>
      </c>
      <c r="F34">
        <v>50</v>
      </c>
      <c r="G34">
        <f>(-D34*F34)/((1+'Bond Pricing'!$I$7)^(D35))</f>
        <v>-436.15686814388039</v>
      </c>
    </row>
    <row r="35" spans="4:7" x14ac:dyDescent="0.35">
      <c r="D35">
        <v>34</v>
      </c>
      <c r="E35">
        <v>34</v>
      </c>
      <c r="F35">
        <v>50</v>
      </c>
      <c r="G35">
        <f>(-D35*F35)/((1+'Bond Pricing'!$I$7)^(D36))</f>
        <v>-432.1279552191308</v>
      </c>
    </row>
    <row r="36" spans="4:7" x14ac:dyDescent="0.35">
      <c r="D36">
        <v>35</v>
      </c>
      <c r="E36">
        <v>35</v>
      </c>
      <c r="F36">
        <v>50</v>
      </c>
      <c r="G36">
        <f>(-D36*F36)/((1+'Bond Pricing'!$I$7)^(D37))</f>
        <v>-427.76589849650026</v>
      </c>
    </row>
    <row r="37" spans="4:7" x14ac:dyDescent="0.35">
      <c r="D37">
        <v>36</v>
      </c>
      <c r="E37">
        <v>36</v>
      </c>
      <c r="F37">
        <v>50</v>
      </c>
      <c r="G37">
        <f>(-D37*F37)/((1+'Bond Pricing'!$I$7)^(D38))</f>
        <v>-423.10220222683745</v>
      </c>
    </row>
    <row r="38" spans="4:7" x14ac:dyDescent="0.35">
      <c r="D38">
        <v>37</v>
      </c>
      <c r="E38">
        <v>37</v>
      </c>
      <c r="F38">
        <v>50</v>
      </c>
      <c r="G38">
        <f>(-D38*F38)/((1+'Bond Pricing'!$I$7)^(D39))</f>
        <v>-418.16644322165627</v>
      </c>
    </row>
    <row r="39" spans="4:7" x14ac:dyDescent="0.35">
      <c r="D39">
        <v>38</v>
      </c>
      <c r="E39">
        <v>38</v>
      </c>
      <c r="F39">
        <v>50</v>
      </c>
      <c r="G39">
        <f>(-D39*F39)/((1+'Bond Pricing'!$I$7)^(D40))</f>
        <v>-412.98637239308681</v>
      </c>
    </row>
    <row r="40" spans="4:7" x14ac:dyDescent="0.35">
      <c r="D40">
        <v>39</v>
      </c>
      <c r="E40">
        <v>39</v>
      </c>
      <c r="F40">
        <v>50</v>
      </c>
      <c r="G40">
        <f>(-D40*F40)/((1+'Bond Pricing'!$I$7)^(D41))</f>
        <v>-407.58801133893036</v>
      </c>
    </row>
    <row r="41" spans="4:7" x14ac:dyDescent="0.35">
      <c r="D41">
        <v>40</v>
      </c>
      <c r="E41">
        <v>40</v>
      </c>
      <c r="F41">
        <v>50</v>
      </c>
      <c r="G41">
        <f>(-D41*F41)/((1+'Bond Pricing'!$I$7)^(D42))</f>
        <v>-401.99574420357823</v>
      </c>
    </row>
    <row r="42" spans="4:7" x14ac:dyDescent="0.35">
      <c r="D42">
        <v>41</v>
      </c>
      <c r="F42">
        <f>C4</f>
        <v>1000</v>
      </c>
      <c r="G42">
        <f>(-D42*F42)/((1+'Bond Pricing'!$I$7)^(D42))</f>
        <v>-8240.912756173353</v>
      </c>
    </row>
    <row r="53" spans="1:1" x14ac:dyDescent="0.35">
      <c r="A5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26B9-EF1B-4B40-BF4B-C2E7253EF1DD}">
  <dimension ref="B1:H25"/>
  <sheetViews>
    <sheetView topLeftCell="A2" workbookViewId="0">
      <selection activeCell="I12" sqref="I12"/>
    </sheetView>
  </sheetViews>
  <sheetFormatPr defaultRowHeight="14.5" x14ac:dyDescent="0.35"/>
  <cols>
    <col min="4" max="4" width="16.7265625" bestFit="1" customWidth="1"/>
    <col min="6" max="6" width="18.6328125" customWidth="1"/>
  </cols>
  <sheetData>
    <row r="1" spans="2:8" ht="17.5" x14ac:dyDescent="0.45">
      <c r="C1" t="s">
        <v>3103</v>
      </c>
      <c r="D1" t="s">
        <v>3108</v>
      </c>
      <c r="F1" t="s">
        <v>3104</v>
      </c>
      <c r="G1" t="s">
        <v>3107</v>
      </c>
      <c r="H1" t="s">
        <v>3106</v>
      </c>
    </row>
    <row r="2" spans="2:8" x14ac:dyDescent="0.35">
      <c r="B2" t="s">
        <v>21</v>
      </c>
      <c r="C2" s="8">
        <v>1</v>
      </c>
      <c r="D2" s="42">
        <f>'Bond Pricing from Base Data'!$D$6*'Bond Pricing from Base Data'!$D$10</f>
        <v>73.7</v>
      </c>
      <c r="F2">
        <f>1/((1+'Bond Pricing from Base Data'!$K$9)^C2)</f>
        <v>0.98805661582002435</v>
      </c>
      <c r="G2">
        <f>F2*D2</f>
        <v>72.819772585935794</v>
      </c>
      <c r="H2">
        <f>G2*C2</f>
        <v>72.819772585935794</v>
      </c>
    </row>
    <row r="3" spans="2:8" x14ac:dyDescent="0.35">
      <c r="C3">
        <v>2</v>
      </c>
      <c r="D3" s="42">
        <f>'Bond Pricing from Base Data'!$D$6*'Bond Pricing from Base Data'!$D$10</f>
        <v>73.7</v>
      </c>
      <c r="F3">
        <f>1/((1+'Bond Pricing from Base Data'!$K$9)^C3)</f>
        <v>0.97625587606571917</v>
      </c>
      <c r="G3">
        <f t="shared" ref="G3:G21" si="0">F3*D3</f>
        <v>71.950058066043511</v>
      </c>
      <c r="H3">
        <f t="shared" ref="H3:H21" si="1">G3*C3</f>
        <v>143.90011613208702</v>
      </c>
    </row>
    <row r="4" spans="2:8" x14ac:dyDescent="0.35">
      <c r="C4">
        <v>3</v>
      </c>
      <c r="D4" s="42">
        <f>'Bond Pricing from Base Data'!$D$6*'Bond Pricing from Base Data'!$D$10</f>
        <v>73.7</v>
      </c>
      <c r="F4">
        <f>1/((1+'Bond Pricing from Base Data'!$K$9)^C4)</f>
        <v>0.96459607707990747</v>
      </c>
      <c r="G4">
        <f t="shared" si="0"/>
        <v>71.090730880789181</v>
      </c>
      <c r="H4">
        <f t="shared" si="1"/>
        <v>213.27219264236754</v>
      </c>
    </row>
    <row r="5" spans="2:8" x14ac:dyDescent="0.35">
      <c r="C5" s="8">
        <v>4</v>
      </c>
      <c r="D5" s="42">
        <f>'Bond Pricing from Base Data'!$D$6*'Bond Pricing from Base Data'!$D$10</f>
        <v>73.7</v>
      </c>
      <c r="F5">
        <f>1/((1+'Bond Pricing from Base Data'!$K$9)^C5)</f>
        <v>0.95307553555284474</v>
      </c>
      <c r="G5">
        <f t="shared" si="0"/>
        <v>70.241666970244665</v>
      </c>
      <c r="H5">
        <f t="shared" si="1"/>
        <v>280.96666788097866</v>
      </c>
    </row>
    <row r="6" spans="2:8" x14ac:dyDescent="0.35">
      <c r="C6">
        <v>5</v>
      </c>
      <c r="D6" s="42">
        <f>'Bond Pricing from Base Data'!$D$6*'Bond Pricing from Base Data'!$D$10</f>
        <v>73.7</v>
      </c>
      <c r="F6">
        <f>1/((1+'Bond Pricing from Base Data'!$K$9)^C6)</f>
        <v>0.94169258827920088</v>
      </c>
      <c r="G6">
        <f t="shared" si="0"/>
        <v>69.402743756177102</v>
      </c>
      <c r="H6">
        <f t="shared" si="1"/>
        <v>347.01371878088548</v>
      </c>
    </row>
    <row r="7" spans="2:8" x14ac:dyDescent="0.35">
      <c r="C7">
        <v>6</v>
      </c>
      <c r="D7" s="42">
        <f>'Bond Pricing from Base Data'!$D$6*'Bond Pricing from Base Data'!$D$10</f>
        <v>73.7</v>
      </c>
      <c r="F7">
        <f>1/((1+'Bond Pricing from Base Data'!$K$9)^C7)</f>
        <v>0.93044559191794685</v>
      </c>
      <c r="G7">
        <f t="shared" si="0"/>
        <v>68.573840124352685</v>
      </c>
      <c r="H7">
        <f t="shared" si="1"/>
        <v>411.44304074611614</v>
      </c>
    </row>
    <row r="8" spans="2:8" x14ac:dyDescent="0.35">
      <c r="C8" s="8">
        <v>7</v>
      </c>
      <c r="D8" s="42">
        <f>'Bond Pricing from Base Data'!$D$6*'Bond Pricing from Base Data'!$D$10</f>
        <v>73.7</v>
      </c>
      <c r="F8">
        <f>1/((1+'Bond Pricing from Base Data'!$K$9)^C8)</f>
        <v>0.91933292275510592</v>
      </c>
      <c r="G8">
        <f t="shared" si="0"/>
        <v>67.754836407051314</v>
      </c>
      <c r="H8">
        <f t="shared" si="1"/>
        <v>474.28385484935922</v>
      </c>
    </row>
    <row r="9" spans="2:8" x14ac:dyDescent="0.35">
      <c r="C9" s="8">
        <v>8</v>
      </c>
      <c r="D9" s="42">
        <f>'Bond Pricing from Base Data'!$D$6*'Bond Pricing from Base Data'!$D$10</f>
        <v>73.7</v>
      </c>
      <c r="F9">
        <f>1/((1+'Bond Pricing from Base Data'!$K$9)^C9)</f>
        <v>0.90835297646934177</v>
      </c>
      <c r="G9">
        <f t="shared" si="0"/>
        <v>66.94561436579049</v>
      </c>
      <c r="H9">
        <f t="shared" si="1"/>
        <v>535.56491492632392</v>
      </c>
    </row>
    <row r="10" spans="2:8" x14ac:dyDescent="0.35">
      <c r="C10" s="8">
        <v>9</v>
      </c>
      <c r="D10" s="42">
        <f>'Bond Pricing from Base Data'!$D$6*'Bond Pricing from Base Data'!$D$10</f>
        <v>73.7</v>
      </c>
      <c r="F10">
        <f>1/((1+'Bond Pricing from Base Data'!$K$9)^C10)</f>
        <v>0.89750416790034404</v>
      </c>
      <c r="G10">
        <f t="shared" si="0"/>
        <v>66.146057174255361</v>
      </c>
      <c r="H10">
        <f t="shared" si="1"/>
        <v>595.31451456829825</v>
      </c>
    </row>
    <row r="11" spans="2:8" x14ac:dyDescent="0.35">
      <c r="C11" s="8">
        <v>10</v>
      </c>
      <c r="D11" s="42">
        <f>'Bond Pricing from Base Data'!$D$6*'Bond Pricing from Base Data'!$D$10</f>
        <v>73.7</v>
      </c>
      <c r="F11">
        <f>1/((1+'Bond Pricing from Base Data'!$K$9)^C11)</f>
        <v>0.88678493081998078</v>
      </c>
      <c r="G11">
        <f t="shared" si="0"/>
        <v>65.356049401432585</v>
      </c>
      <c r="H11">
        <f t="shared" si="1"/>
        <v>653.56049401432585</v>
      </c>
    </row>
    <row r="12" spans="2:8" x14ac:dyDescent="0.35">
      <c r="C12" s="8">
        <v>11</v>
      </c>
      <c r="D12" s="42">
        <f>'Bond Pricing from Base Data'!$D$6*'Bond Pricing from Base Data'!$D$10</f>
        <v>73.7</v>
      </c>
      <c r="F12">
        <f>1/((1+'Bond Pricing from Base Data'!$K$9)^C12)</f>
        <v>0.87619371770618459</v>
      </c>
      <c r="G12">
        <f t="shared" si="0"/>
        <v>64.575476994945802</v>
      </c>
      <c r="H12">
        <f t="shared" si="1"/>
        <v>710.33024694440383</v>
      </c>
    </row>
    <row r="13" spans="2:8" x14ac:dyDescent="0.35">
      <c r="C13">
        <v>12</v>
      </c>
      <c r="D13" s="42">
        <f>'Bond Pricing from Base Data'!$D$6*'Bond Pricing from Base Data'!$D$10</f>
        <v>73.7</v>
      </c>
      <c r="F13">
        <f>1/((1+'Bond Pricing from Base Data'!$K$9)^C13)</f>
        <v>0.86572899951953852</v>
      </c>
      <c r="G13">
        <f t="shared" si="0"/>
        <v>63.80422726458999</v>
      </c>
      <c r="H13">
        <f t="shared" si="1"/>
        <v>765.65072717507985</v>
      </c>
    </row>
    <row r="14" spans="2:8" x14ac:dyDescent="0.35">
      <c r="C14">
        <v>13</v>
      </c>
      <c r="D14" s="42">
        <f>'Bond Pricing from Base Data'!$D$6*'Bond Pricing from Base Data'!$D$10</f>
        <v>73.7</v>
      </c>
      <c r="F14">
        <f>1/((1+'Bond Pricing from Base Data'!$K$9)^C14)</f>
        <v>0.85538926548253047</v>
      </c>
      <c r="G14">
        <f t="shared" si="0"/>
        <v>63.042188866062496</v>
      </c>
      <c r="H14">
        <f t="shared" si="1"/>
        <v>819.5484552588124</v>
      </c>
    </row>
    <row r="15" spans="2:8" x14ac:dyDescent="0.35">
      <c r="C15" s="8">
        <v>14</v>
      </c>
      <c r="D15" s="42">
        <f>'Bond Pricing from Base Data'!$D$6*'Bond Pricing from Base Data'!$D$10</f>
        <v>73.7</v>
      </c>
      <c r="F15">
        <f>1/((1+'Bond Pricing from Base Data'!$K$9)^C15)</f>
        <v>0.84517302286144558</v>
      </c>
      <c r="G15">
        <f t="shared" si="0"/>
        <v>62.289251784888542</v>
      </c>
      <c r="H15">
        <f t="shared" si="1"/>
        <v>872.04952498843954</v>
      </c>
    </row>
    <row r="16" spans="2:8" x14ac:dyDescent="0.35">
      <c r="C16">
        <v>15</v>
      </c>
      <c r="D16" s="42">
        <f>'Bond Pricing from Base Data'!$D$6*'Bond Pricing from Base Data'!$D$10</f>
        <v>73.7</v>
      </c>
      <c r="F16">
        <f>1/((1+'Bond Pricing from Base Data'!$K$9)^C16)</f>
        <v>0.83507879675085994</v>
      </c>
      <c r="G16">
        <f t="shared" si="0"/>
        <v>61.545307320538377</v>
      </c>
      <c r="H16">
        <f t="shared" si="1"/>
        <v>923.17960980807561</v>
      </c>
    </row>
    <row r="17" spans="3:8" x14ac:dyDescent="0.35">
      <c r="C17">
        <v>16</v>
      </c>
      <c r="D17" s="42">
        <f>'Bond Pricing from Base Data'!$D$6*'Bond Pricing from Base Data'!$D$10</f>
        <v>73.7</v>
      </c>
      <c r="F17">
        <f>1/((1+'Bond Pricing from Base Data'!$K$9)^C17)</f>
        <v>0.8251051298607126</v>
      </c>
      <c r="G17">
        <f t="shared" si="0"/>
        <v>60.810248070734524</v>
      </c>
      <c r="H17">
        <f t="shared" si="1"/>
        <v>972.96396913175238</v>
      </c>
    </row>
    <row r="18" spans="3:8" x14ac:dyDescent="0.35">
      <c r="C18" s="8">
        <v>17</v>
      </c>
      <c r="D18" s="42">
        <f>'Bond Pricing from Base Data'!$D$6*'Bond Pricing from Base Data'!$D$10</f>
        <v>73.7</v>
      </c>
      <c r="F18">
        <f>1/((1+'Bond Pricing from Base Data'!$K$9)^C18)</f>
        <v>0.8152505823059174</v>
      </c>
      <c r="G18">
        <f t="shared" si="0"/>
        <v>60.083967915946118</v>
      </c>
      <c r="H18">
        <f t="shared" si="1"/>
        <v>1021.427454571084</v>
      </c>
    </row>
    <row r="19" spans="3:8" x14ac:dyDescent="0.35">
      <c r="C19" s="8">
        <v>18</v>
      </c>
      <c r="D19" s="42">
        <f>'Bond Pricing from Base Data'!$D$6*'Bond Pricing from Base Data'!$D$10</f>
        <v>73.7</v>
      </c>
      <c r="F19">
        <f>1/((1+'Bond Pricing from Base Data'!$K$9)^C19)</f>
        <v>0.80551373139848903</v>
      </c>
      <c r="G19">
        <f t="shared" si="0"/>
        <v>59.366362004068641</v>
      </c>
      <c r="H19">
        <f t="shared" si="1"/>
        <v>1068.5945160732356</v>
      </c>
    </row>
    <row r="20" spans="3:8" x14ac:dyDescent="0.35">
      <c r="C20" s="8">
        <v>19</v>
      </c>
      <c r="D20" s="42">
        <f>'Bond Pricing from Base Data'!$D$6*'Bond Pricing from Base Data'!$D$10</f>
        <v>73.7</v>
      </c>
      <c r="F20">
        <f>1/((1+'Bond Pricing from Base Data'!$K$9)^C20)</f>
        <v>0.7958931714421511</v>
      </c>
      <c r="G20">
        <f t="shared" si="0"/>
        <v>58.657326735286539</v>
      </c>
      <c r="H20">
        <f t="shared" si="1"/>
        <v>1114.4892079704443</v>
      </c>
    </row>
    <row r="21" spans="3:8" ht="15" thickBot="1" x14ac:dyDescent="0.4">
      <c r="C21" s="8">
        <v>20</v>
      </c>
      <c r="D21" s="42">
        <f>'Bond Pricing from Base Data'!D6+'Bond Pricing from Base Data'!$D$6*'Bond Pricing from Base Data'!$D$10</f>
        <v>1073.7</v>
      </c>
      <c r="F21">
        <f>1/((1+'Bond Pricing from Base Data'!$K$9)^C21)</f>
        <v>0.78638751352939817</v>
      </c>
      <c r="G21">
        <f t="shared" si="0"/>
        <v>844.34427327651485</v>
      </c>
      <c r="H21">
        <f t="shared" si="1"/>
        <v>16886.885465530297</v>
      </c>
    </row>
    <row r="22" spans="3:8" ht="15" thickBot="1" x14ac:dyDescent="0.4">
      <c r="G22" s="74">
        <f>SUM(G2:G21)</f>
        <v>2088.7999999656486</v>
      </c>
      <c r="H22" s="75">
        <f>SUM(H2:H21)</f>
        <v>28883.258464578299</v>
      </c>
    </row>
    <row r="24" spans="3:8" x14ac:dyDescent="0.35">
      <c r="C24" s="82" t="s">
        <v>3117</v>
      </c>
      <c r="D24" s="20" t="s">
        <v>2237</v>
      </c>
      <c r="F24" s="66">
        <f>H22/G22</f>
        <v>13.827680230301274</v>
      </c>
    </row>
    <row r="25" spans="3:8" x14ac:dyDescent="0.35">
      <c r="C25" s="82" t="s">
        <v>3118</v>
      </c>
      <c r="D25" s="20" t="s">
        <v>2234</v>
      </c>
      <c r="F25" s="66">
        <f>F24/1.0121</f>
        <v>13.662365606463071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DC08-7DCD-4D9C-837D-1C2051D97A9B}">
  <dimension ref="B1:J66"/>
  <sheetViews>
    <sheetView topLeftCell="A20" workbookViewId="0">
      <selection activeCell="H36" sqref="H36"/>
    </sheetView>
  </sheetViews>
  <sheetFormatPr defaultColWidth="8.81640625" defaultRowHeight="14.5" x14ac:dyDescent="0.35"/>
  <cols>
    <col min="2" max="2" width="14.81640625" bestFit="1" customWidth="1"/>
    <col min="5" max="5" width="10.54296875" customWidth="1"/>
    <col min="6" max="6" width="15.08984375" customWidth="1"/>
    <col min="7" max="7" width="12.453125" bestFit="1" customWidth="1"/>
    <col min="8" max="8" width="19.453125" customWidth="1"/>
  </cols>
  <sheetData>
    <row r="1" spans="2:8" ht="17.5" x14ac:dyDescent="0.45">
      <c r="D1" t="s">
        <v>3108</v>
      </c>
      <c r="F1" t="s">
        <v>3105</v>
      </c>
      <c r="G1" t="s">
        <v>3109</v>
      </c>
      <c r="H1" t="s">
        <v>3110</v>
      </c>
    </row>
    <row r="2" spans="2:8" x14ac:dyDescent="0.35">
      <c r="B2" t="s">
        <v>21</v>
      </c>
      <c r="C2" s="8">
        <v>1</v>
      </c>
      <c r="D2" s="42">
        <f>'Bond Pricing from Base Data'!$D$6*'Bond Pricing from Base Data'!$D$10</f>
        <v>73.7</v>
      </c>
      <c r="F2">
        <f>1/((1+'Bond Pricing from Base Data'!$K$9)^(C2+2))</f>
        <v>0.96459607707990747</v>
      </c>
      <c r="G2">
        <f>C2*(C2+1)*D2</f>
        <v>147.4</v>
      </c>
      <c r="H2">
        <f>G2*F2</f>
        <v>142.18146176157836</v>
      </c>
    </row>
    <row r="3" spans="2:8" x14ac:dyDescent="0.35">
      <c r="C3">
        <v>2</v>
      </c>
      <c r="D3" s="42">
        <f>'Bond Pricing from Base Data'!$D$6*'Bond Pricing from Base Data'!$D$10</f>
        <v>73.7</v>
      </c>
      <c r="F3">
        <f>1/((1+'Bond Pricing from Base Data'!$K$9)^(C3+2))</f>
        <v>0.95307553555284474</v>
      </c>
      <c r="G3">
        <f t="shared" ref="G3:G21" si="0">C3*(C3+1)*D3</f>
        <v>442.20000000000005</v>
      </c>
      <c r="H3">
        <f t="shared" ref="H3:H21" si="1">G3*F3</f>
        <v>421.45000182146799</v>
      </c>
    </row>
    <row r="4" spans="2:8" x14ac:dyDescent="0.35">
      <c r="C4">
        <v>3</v>
      </c>
      <c r="D4" s="42">
        <f>'Bond Pricing from Base Data'!$D$6*'Bond Pricing from Base Data'!$D$10</f>
        <v>73.7</v>
      </c>
      <c r="F4">
        <f>1/((1+'Bond Pricing from Base Data'!$K$9)^(C4+2))</f>
        <v>0.94169258827920088</v>
      </c>
      <c r="G4">
        <f t="shared" si="0"/>
        <v>884.40000000000009</v>
      </c>
      <c r="H4">
        <f t="shared" si="1"/>
        <v>832.83292507412534</v>
      </c>
    </row>
    <row r="5" spans="2:8" x14ac:dyDescent="0.35">
      <c r="C5" s="8">
        <v>4</v>
      </c>
      <c r="D5" s="42">
        <f>'Bond Pricing from Base Data'!$D$6*'Bond Pricing from Base Data'!$D$10</f>
        <v>73.7</v>
      </c>
      <c r="F5">
        <f>1/((1+'Bond Pricing from Base Data'!$K$9)^(C5+2))</f>
        <v>0.93044559191794685</v>
      </c>
      <c r="G5">
        <f t="shared" si="0"/>
        <v>1474</v>
      </c>
      <c r="H5">
        <f t="shared" si="1"/>
        <v>1371.4768024870536</v>
      </c>
    </row>
    <row r="6" spans="2:8" x14ac:dyDescent="0.35">
      <c r="C6">
        <v>5</v>
      </c>
      <c r="D6" s="42">
        <f>'Bond Pricing from Base Data'!$D$6*'Bond Pricing from Base Data'!$D$10</f>
        <v>73.7</v>
      </c>
      <c r="F6">
        <f>1/((1+'Bond Pricing from Base Data'!$K$9)^(C6+2))</f>
        <v>0.91933292275510592</v>
      </c>
      <c r="G6">
        <f t="shared" si="0"/>
        <v>2211</v>
      </c>
      <c r="H6">
        <f t="shared" si="1"/>
        <v>2032.6450922115391</v>
      </c>
    </row>
    <row r="7" spans="2:8" x14ac:dyDescent="0.35">
      <c r="C7">
        <v>6</v>
      </c>
      <c r="D7" s="42">
        <f>'Bond Pricing from Base Data'!$D$6*'Bond Pricing from Base Data'!$D$10</f>
        <v>73.7</v>
      </c>
      <c r="F7">
        <f>1/((1+'Bond Pricing from Base Data'!$K$9)^(C7+2))</f>
        <v>0.90835297646934177</v>
      </c>
      <c r="G7">
        <f t="shared" si="0"/>
        <v>3095.4</v>
      </c>
      <c r="H7">
        <f t="shared" si="1"/>
        <v>2811.7158033632004</v>
      </c>
    </row>
    <row r="8" spans="2:8" x14ac:dyDescent="0.35">
      <c r="C8" s="8">
        <v>7</v>
      </c>
      <c r="D8" s="42">
        <f>'Bond Pricing from Base Data'!$D$6*'Bond Pricing from Base Data'!$D$10</f>
        <v>73.7</v>
      </c>
      <c r="F8">
        <f>1/((1+'Bond Pricing from Base Data'!$K$9)^(C8+2))</f>
        <v>0.89750416790034404</v>
      </c>
      <c r="G8">
        <f t="shared" si="0"/>
        <v>4127.2</v>
      </c>
      <c r="H8">
        <f t="shared" si="1"/>
        <v>3704.1792017582998</v>
      </c>
    </row>
    <row r="9" spans="2:8" x14ac:dyDescent="0.35">
      <c r="C9" s="8">
        <v>8</v>
      </c>
      <c r="D9" s="42">
        <f>'Bond Pricing from Base Data'!$D$6*'Bond Pricing from Base Data'!$D$10</f>
        <v>73.7</v>
      </c>
      <c r="F9">
        <f>1/((1+'Bond Pricing from Base Data'!$K$9)^(C9+2))</f>
        <v>0.88678493081998078</v>
      </c>
      <c r="G9">
        <f t="shared" si="0"/>
        <v>5306.4000000000005</v>
      </c>
      <c r="H9">
        <f t="shared" si="1"/>
        <v>4705.6355569031466</v>
      </c>
    </row>
    <row r="10" spans="2:8" x14ac:dyDescent="0.35">
      <c r="C10" s="8">
        <v>9</v>
      </c>
      <c r="D10" s="42">
        <f>'Bond Pricing from Base Data'!$D$6*'Bond Pricing from Base Data'!$D$10</f>
        <v>73.7</v>
      </c>
      <c r="F10">
        <f>1/((1+'Bond Pricing from Base Data'!$K$9)^(C10+2))</f>
        <v>0.87619371770618459</v>
      </c>
      <c r="G10">
        <f t="shared" si="0"/>
        <v>6633</v>
      </c>
      <c r="H10">
        <f t="shared" si="1"/>
        <v>5811.7929295451222</v>
      </c>
    </row>
    <row r="11" spans="2:8" x14ac:dyDescent="0.35">
      <c r="C11" s="8">
        <v>10</v>
      </c>
      <c r="D11" s="42">
        <f>'Bond Pricing from Base Data'!$D$6*'Bond Pricing from Base Data'!$D$10</f>
        <v>73.7</v>
      </c>
      <c r="F11">
        <f>1/((1+'Bond Pricing from Base Data'!$K$9)^(C11+2))</f>
        <v>0.86572899951953852</v>
      </c>
      <c r="G11">
        <f t="shared" si="0"/>
        <v>8107</v>
      </c>
      <c r="H11">
        <f t="shared" si="1"/>
        <v>7018.4649991048991</v>
      </c>
    </row>
    <row r="12" spans="2:8" x14ac:dyDescent="0.35">
      <c r="C12" s="8">
        <v>11</v>
      </c>
      <c r="D12" s="42">
        <f>'Bond Pricing from Base Data'!$D$6*'Bond Pricing from Base Data'!$D$10</f>
        <v>73.7</v>
      </c>
      <c r="F12">
        <f>1/((1+'Bond Pricing from Base Data'!$K$9)^(C12+2))</f>
        <v>0.85538926548253047</v>
      </c>
      <c r="G12">
        <f t="shared" si="0"/>
        <v>9728.4</v>
      </c>
      <c r="H12">
        <f t="shared" si="1"/>
        <v>8321.5689303202489</v>
      </c>
    </row>
    <row r="13" spans="2:8" x14ac:dyDescent="0.35">
      <c r="C13">
        <v>12</v>
      </c>
      <c r="D13" s="42">
        <f>'Bond Pricing from Base Data'!$D$6*'Bond Pricing from Base Data'!$D$10</f>
        <v>73.7</v>
      </c>
      <c r="F13">
        <f>1/((1+'Bond Pricing from Base Data'!$K$9)^(C13+2))</f>
        <v>0.84517302286144558</v>
      </c>
      <c r="G13">
        <f t="shared" si="0"/>
        <v>11497.2</v>
      </c>
      <c r="H13">
        <f t="shared" si="1"/>
        <v>9717.123278442612</v>
      </c>
    </row>
    <row r="14" spans="2:8" x14ac:dyDescent="0.35">
      <c r="C14">
        <v>13</v>
      </c>
      <c r="D14" s="42">
        <f>'Bond Pricing from Base Data'!$D$6*'Bond Pricing from Base Data'!$D$10</f>
        <v>73.7</v>
      </c>
      <c r="F14">
        <f>1/((1+'Bond Pricing from Base Data'!$K$9)^(C14+2))</f>
        <v>0.83507879675085994</v>
      </c>
      <c r="G14">
        <f t="shared" si="0"/>
        <v>13413.4</v>
      </c>
      <c r="H14">
        <f t="shared" si="1"/>
        <v>11201.245932337984</v>
      </c>
    </row>
    <row r="15" spans="2:8" x14ac:dyDescent="0.35">
      <c r="C15" s="8">
        <v>14</v>
      </c>
      <c r="D15" s="42">
        <f>'Bond Pricing from Base Data'!$D$6*'Bond Pricing from Base Data'!$D$10</f>
        <v>73.7</v>
      </c>
      <c r="F15">
        <f>1/((1+'Bond Pricing from Base Data'!$K$9)^(C15+2))</f>
        <v>0.8251051298607126</v>
      </c>
      <c r="G15">
        <f t="shared" si="0"/>
        <v>15477</v>
      </c>
      <c r="H15">
        <f t="shared" si="1"/>
        <v>12770.152094854249</v>
      </c>
    </row>
    <row r="16" spans="2:8" x14ac:dyDescent="0.35">
      <c r="C16">
        <v>15</v>
      </c>
      <c r="D16" s="42">
        <f>'Bond Pricing from Base Data'!$D$6*'Bond Pricing from Base Data'!$D$10</f>
        <v>73.7</v>
      </c>
      <c r="F16">
        <f>1/((1+'Bond Pricing from Base Data'!$K$9)^(C16+2))</f>
        <v>0.8152505823059174</v>
      </c>
      <c r="G16">
        <f t="shared" si="0"/>
        <v>17688</v>
      </c>
      <c r="H16">
        <f t="shared" si="1"/>
        <v>14420.152299827067</v>
      </c>
    </row>
    <row r="17" spans="3:8" x14ac:dyDescent="0.35">
      <c r="C17">
        <v>16</v>
      </c>
      <c r="D17" s="42">
        <f>'Bond Pricing from Base Data'!$D$6*'Bond Pricing from Base Data'!$D$10</f>
        <v>73.7</v>
      </c>
      <c r="F17">
        <f>1/((1+'Bond Pricing from Base Data'!$K$9)^(C17+2))</f>
        <v>0.80551373139848903</v>
      </c>
      <c r="G17">
        <f t="shared" si="0"/>
        <v>20046.400000000001</v>
      </c>
      <c r="H17">
        <f t="shared" si="1"/>
        <v>16147.650465106672</v>
      </c>
    </row>
    <row r="18" spans="3:8" x14ac:dyDescent="0.35">
      <c r="C18" s="8">
        <v>17</v>
      </c>
      <c r="D18" s="42">
        <f>'Bond Pricing from Base Data'!$D$6*'Bond Pricing from Base Data'!$D$10</f>
        <v>73.7</v>
      </c>
      <c r="F18">
        <f>1/((1+'Bond Pricing from Base Data'!$K$9)^(C18+2))</f>
        <v>0.7958931714421511</v>
      </c>
      <c r="G18">
        <f t="shared" si="0"/>
        <v>22552.2</v>
      </c>
      <c r="H18">
        <f t="shared" si="1"/>
        <v>17949.14198099768</v>
      </c>
    </row>
    <row r="19" spans="3:8" x14ac:dyDescent="0.35">
      <c r="C19" s="8">
        <v>18</v>
      </c>
      <c r="D19" s="42">
        <f>'Bond Pricing from Base Data'!$D$6*'Bond Pricing from Base Data'!$D$10</f>
        <v>73.7</v>
      </c>
      <c r="F19">
        <f>1/((1+'Bond Pricing from Base Data'!$K$9)^(C19+2))</f>
        <v>0.78638751352939817</v>
      </c>
      <c r="G19">
        <f t="shared" si="0"/>
        <v>25205.4</v>
      </c>
      <c r="H19">
        <f t="shared" si="1"/>
        <v>19821.211833513895</v>
      </c>
    </row>
    <row r="20" spans="3:8" x14ac:dyDescent="0.35">
      <c r="C20" s="8">
        <v>19</v>
      </c>
      <c r="D20" s="42">
        <f>'Bond Pricing from Base Data'!$D$6*'Bond Pricing from Base Data'!$D$10</f>
        <v>73.7</v>
      </c>
      <c r="F20">
        <f>1/((1+'Bond Pricing from Base Data'!$K$9)^(C20+2))</f>
        <v>0.77699538534098067</v>
      </c>
      <c r="G20">
        <f t="shared" si="0"/>
        <v>28006</v>
      </c>
      <c r="H20">
        <f t="shared" si="1"/>
        <v>21760.532761859504</v>
      </c>
    </row>
    <row r="21" spans="3:8" ht="15" thickBot="1" x14ac:dyDescent="0.4">
      <c r="C21" s="8">
        <v>20</v>
      </c>
      <c r="D21" s="42">
        <f>'Bond Pricing from Base Data'!D6+'Bond Pricing from Base Data'!$D$6*'Bond Pricing from Base Data'!$D$10</f>
        <v>1073.7</v>
      </c>
      <c r="F21">
        <f>1/((1+'Bond Pricing from Base Data'!$K$9)^(C21+2))</f>
        <v>0.76771543094778516</v>
      </c>
      <c r="G21">
        <f t="shared" si="0"/>
        <v>450954</v>
      </c>
      <c r="H21">
        <f t="shared" si="1"/>
        <v>346204.34444762749</v>
      </c>
    </row>
    <row r="22" spans="3:8" ht="15" thickBot="1" x14ac:dyDescent="0.4">
      <c r="G22" s="72">
        <f>SUM(G2:G21)</f>
        <v>646996</v>
      </c>
      <c r="H22" s="73">
        <f>SUM(H2:H21)</f>
        <v>507165.49879891786</v>
      </c>
    </row>
    <row r="24" spans="3:8" x14ac:dyDescent="0.35">
      <c r="F24" t="s">
        <v>39</v>
      </c>
      <c r="G24" s="12">
        <f>H22</f>
        <v>507165.49879891786</v>
      </c>
    </row>
    <row r="25" spans="3:8" x14ac:dyDescent="0.35">
      <c r="E25" s="82" t="s">
        <v>3119</v>
      </c>
      <c r="F25" t="s">
        <v>2238</v>
      </c>
      <c r="G25" s="12">
        <f>G24/'Bond Pricing from Base Data'!D16</f>
        <v>242.80232611974236</v>
      </c>
    </row>
    <row r="26" spans="3:8" x14ac:dyDescent="0.35">
      <c r="E26" s="82" t="s">
        <v>3120</v>
      </c>
      <c r="F26" t="s">
        <v>40</v>
      </c>
      <c r="G26" s="12">
        <f>G25/('Bond Pricing from Base Data'!D7)^2</f>
        <v>242.80232611974236</v>
      </c>
    </row>
    <row r="27" spans="3:8" x14ac:dyDescent="0.35">
      <c r="F27" t="s">
        <v>41</v>
      </c>
      <c r="G27" s="12">
        <f>'Bond Pricing from Base Data'!D16*'Convexity Template'!G26</f>
        <v>507165.49879891786</v>
      </c>
      <c r="H27" s="41"/>
    </row>
    <row r="29" spans="3:8" x14ac:dyDescent="0.35">
      <c r="E29" s="20" t="s">
        <v>2227</v>
      </c>
      <c r="F29" s="20"/>
      <c r="G29" s="20"/>
      <c r="H29" s="20"/>
    </row>
    <row r="30" spans="3:8" x14ac:dyDescent="0.35">
      <c r="D30" s="82" t="s">
        <v>3121</v>
      </c>
      <c r="E30" s="20"/>
      <c r="F30" s="20" t="s">
        <v>2235</v>
      </c>
      <c r="G30" s="20"/>
      <c r="H30" s="20"/>
    </row>
    <row r="31" spans="3:8" x14ac:dyDescent="0.35">
      <c r="E31" s="20"/>
      <c r="F31" s="43">
        <f>-'Bond Pricing from Base Data'!K12*'Bond Pricing from Base Data'!E8</f>
        <v>0.24455930370057349</v>
      </c>
      <c r="G31" s="20"/>
      <c r="H31" s="20"/>
    </row>
    <row r="32" spans="3:8" ht="16.5" x14ac:dyDescent="0.35">
      <c r="E32" s="20"/>
      <c r="F32" s="20" t="s">
        <v>2236</v>
      </c>
      <c r="G32" s="20"/>
      <c r="H32" s="20"/>
    </row>
    <row r="33" spans="5:8" x14ac:dyDescent="0.35">
      <c r="E33" s="20"/>
      <c r="F33" s="43">
        <f>(1/2)*(G26)*(('Bond Pricing from Base Data'!E8)^(2))</f>
        <v>3.8898146656013322E-2</v>
      </c>
      <c r="G33" s="20"/>
      <c r="H33" s="20"/>
    </row>
    <row r="62" spans="9:10" x14ac:dyDescent="0.35">
      <c r="I62" s="20"/>
      <c r="J62" s="20"/>
    </row>
    <row r="63" spans="9:10" x14ac:dyDescent="0.35">
      <c r="I63" s="20"/>
      <c r="J63" s="20"/>
    </row>
    <row r="64" spans="9:10" x14ac:dyDescent="0.35">
      <c r="I64" s="20"/>
      <c r="J64" s="20"/>
    </row>
    <row r="65" spans="9:10" x14ac:dyDescent="0.35">
      <c r="I65" s="20"/>
      <c r="J65" s="20"/>
    </row>
    <row r="66" spans="9:10" x14ac:dyDescent="0.35">
      <c r="I66" s="20"/>
      <c r="J66" s="20"/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344E-7B7D-412B-BAAE-29E6FA7D1241}">
  <dimension ref="A1:C17"/>
  <sheetViews>
    <sheetView workbookViewId="0">
      <selection activeCell="B19" sqref="B19"/>
    </sheetView>
  </sheetViews>
  <sheetFormatPr defaultColWidth="8.81640625" defaultRowHeight="14.5" x14ac:dyDescent="0.35"/>
  <sheetData>
    <row r="1" spans="1:3" x14ac:dyDescent="0.35">
      <c r="C1" t="s">
        <v>52</v>
      </c>
    </row>
    <row r="2" spans="1:3" x14ac:dyDescent="0.35">
      <c r="A2" t="s">
        <v>51</v>
      </c>
      <c r="C2" t="s">
        <v>50</v>
      </c>
    </row>
    <row r="3" spans="1:3" x14ac:dyDescent="0.35">
      <c r="A3" t="s">
        <v>48</v>
      </c>
    </row>
    <row r="4" spans="1:3" x14ac:dyDescent="0.35">
      <c r="A4" t="s">
        <v>49</v>
      </c>
    </row>
    <row r="6" spans="1:3" x14ac:dyDescent="0.35">
      <c r="A6" t="s">
        <v>54</v>
      </c>
    </row>
    <row r="7" spans="1:3" x14ac:dyDescent="0.35">
      <c r="A7" t="s">
        <v>58</v>
      </c>
    </row>
    <row r="8" spans="1:3" x14ac:dyDescent="0.35">
      <c r="A8" t="s">
        <v>59</v>
      </c>
    </row>
    <row r="9" spans="1:3" x14ac:dyDescent="0.35">
      <c r="A9" t="s">
        <v>55</v>
      </c>
    </row>
    <row r="11" spans="1:3" x14ac:dyDescent="0.35">
      <c r="C11" t="s">
        <v>53</v>
      </c>
    </row>
    <row r="12" spans="1:3" x14ac:dyDescent="0.35">
      <c r="A12" t="s">
        <v>57</v>
      </c>
    </row>
    <row r="13" spans="1:3" x14ac:dyDescent="0.35">
      <c r="A13" t="s">
        <v>56</v>
      </c>
    </row>
    <row r="15" spans="1:3" x14ac:dyDescent="0.35">
      <c r="C15" t="s">
        <v>2230</v>
      </c>
    </row>
    <row r="16" spans="1:3" x14ac:dyDescent="0.35">
      <c r="B16" t="s">
        <v>2231</v>
      </c>
    </row>
    <row r="17" spans="2:2" x14ac:dyDescent="0.35">
      <c r="B17" t="s">
        <v>2232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6112-57A6-A546-8623-322158C1FB1C}">
  <dimension ref="B1:I16"/>
  <sheetViews>
    <sheetView zoomScaleNormal="100" workbookViewId="0">
      <selection activeCell="D19" sqref="D19"/>
    </sheetView>
  </sheetViews>
  <sheetFormatPr defaultColWidth="8.81640625" defaultRowHeight="14.5" x14ac:dyDescent="0.35"/>
  <cols>
    <col min="1" max="1" width="8.81640625" style="44"/>
    <col min="2" max="2" width="11.26953125" style="44" bestFit="1" customWidth="1"/>
    <col min="3" max="3" width="13" style="44" bestFit="1" customWidth="1"/>
    <col min="4" max="16384" width="8.81640625" style="44"/>
  </cols>
  <sheetData>
    <row r="1" spans="2:9" x14ac:dyDescent="0.35">
      <c r="C1" s="88" t="s">
        <v>3114</v>
      </c>
    </row>
    <row r="2" spans="2:9" x14ac:dyDescent="0.35">
      <c r="B2" s="44" t="s">
        <v>2261</v>
      </c>
      <c r="C2" s="44" t="s">
        <v>2262</v>
      </c>
    </row>
    <row r="3" spans="2:9" x14ac:dyDescent="0.35">
      <c r="B3" s="44">
        <v>1</v>
      </c>
      <c r="C3" s="45">
        <f>AVERAGEIF(Table1[Yield Cluster],'Cluster Details'!B3,Table1[Yield (Annualised)])</f>
        <v>3.4641747232266588E-2</v>
      </c>
      <c r="I3" s="57"/>
    </row>
    <row r="4" spans="2:9" x14ac:dyDescent="0.35">
      <c r="B4" s="44">
        <v>2</v>
      </c>
      <c r="C4" s="45">
        <f>AVERAGEIF(Table1[Yield Cluster],'Cluster Details'!B4,Table1[Yield (Annualised)])</f>
        <v>7.8548801574189142E-2</v>
      </c>
      <c r="I4" s="57"/>
    </row>
    <row r="5" spans="2:9" x14ac:dyDescent="0.35">
      <c r="B5" s="44">
        <v>3</v>
      </c>
      <c r="C5" s="45">
        <f>AVERAGEIF(Table1[Yield Cluster],'Cluster Details'!B5,Table1[Yield (Annualised)])</f>
        <v>0.11069942689191503</v>
      </c>
    </row>
    <row r="6" spans="2:9" x14ac:dyDescent="0.35">
      <c r="B6" s="44">
        <v>4</v>
      </c>
      <c r="C6" s="45">
        <f>AVERAGEIF(Table1[Yield Cluster],'Cluster Details'!B6,Table1[Yield (Annualised)])</f>
        <v>0.1712257899185532</v>
      </c>
    </row>
    <row r="7" spans="2:9" x14ac:dyDescent="0.35">
      <c r="B7" s="44">
        <v>5</v>
      </c>
      <c r="C7" s="45">
        <f>AVERAGEIF(Table1[Yield Cluster],'Cluster Details'!B7,Table1[Yield (Annualised)])</f>
        <v>0.22511770855620161</v>
      </c>
    </row>
    <row r="8" spans="2:9" x14ac:dyDescent="0.35">
      <c r="B8" s="44">
        <v>6</v>
      </c>
      <c r="C8" s="45">
        <f>AVERAGEIF(Table1[Yield Cluster],'Cluster Details'!B8,Table1[Yield (Annualised)])</f>
        <v>0.2888624012773941</v>
      </c>
    </row>
    <row r="9" spans="2:9" x14ac:dyDescent="0.35">
      <c r="B9" s="44">
        <v>7</v>
      </c>
      <c r="C9" s="45">
        <f>AVERAGEIF(Table1[Yield Cluster],'Cluster Details'!B9,Table1[Yield (Annualised)])</f>
        <v>0.32941592255780572</v>
      </c>
    </row>
    <row r="10" spans="2:9" x14ac:dyDescent="0.35">
      <c r="B10" s="44">
        <v>8</v>
      </c>
      <c r="C10" s="45">
        <f>AVERAGEIF(Table1[Yield Cluster],'Cluster Details'!B10,Table1[Yield (Annualised)])</f>
        <v>0.37868966038993918</v>
      </c>
    </row>
    <row r="11" spans="2:9" x14ac:dyDescent="0.35">
      <c r="B11" s="44">
        <v>9</v>
      </c>
      <c r="C11" s="45">
        <f>AVERAGEIF(Table1[Yield Cluster],'Cluster Details'!B11,Table1[Yield (Annualised)])</f>
        <v>0.41726513499454237</v>
      </c>
    </row>
    <row r="12" spans="2:9" x14ac:dyDescent="0.35">
      <c r="B12" s="44">
        <v>10</v>
      </c>
      <c r="C12" s="45">
        <f>AVERAGEIF(Table1[Yield Cluster],'Cluster Details'!B12,Table1[Yield (Annualised)])</f>
        <v>0.47253870418164173</v>
      </c>
    </row>
    <row r="13" spans="2:9" x14ac:dyDescent="0.35">
      <c r="B13" s="44">
        <v>11</v>
      </c>
      <c r="C13" s="45">
        <f>AVERAGEIF(Table1[Yield Cluster],'Cluster Details'!B13,Table1[Yield (Annualised)])</f>
        <v>0.52279848008663199</v>
      </c>
    </row>
    <row r="14" spans="2:9" x14ac:dyDescent="0.35">
      <c r="B14" s="44">
        <v>12</v>
      </c>
      <c r="C14" s="45">
        <f>AVERAGEIF(Table1[Yield Cluster],'Cluster Details'!B14,Table1[Yield (Annualised)])</f>
        <v>0.57774971389832552</v>
      </c>
    </row>
    <row r="15" spans="2:9" x14ac:dyDescent="0.35">
      <c r="B15" s="44">
        <v>13</v>
      </c>
      <c r="C15" s="45" t="e">
        <f>AVERAGEIF(Table1[Yield Cluster],'Cluster Details'!B15,Table1[Yield (Annualised)])</f>
        <v>#DIV/0!</v>
      </c>
    </row>
    <row r="16" spans="2:9" x14ac:dyDescent="0.35">
      <c r="B16" s="44">
        <v>14</v>
      </c>
      <c r="C16" s="45">
        <f>AVERAGEIF(Table1[Yield Cluster],'Cluster Details'!B16,Table1[Yield (Annualised)])</f>
        <v>0.66178549607419423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89B3-AF67-4FDF-81E6-EAD66D39D856}">
  <dimension ref="A2:M18"/>
  <sheetViews>
    <sheetView topLeftCell="A12" zoomScale="164" zoomScaleNormal="164" workbookViewId="0">
      <selection activeCell="E16" sqref="E16"/>
    </sheetView>
  </sheetViews>
  <sheetFormatPr defaultRowHeight="14.5" x14ac:dyDescent="0.35"/>
  <cols>
    <col min="12" max="12" width="15.453125" bestFit="1" customWidth="1"/>
  </cols>
  <sheetData>
    <row r="2" spans="1:13" x14ac:dyDescent="0.35">
      <c r="A2" t="s">
        <v>3183</v>
      </c>
      <c r="B2" t="s">
        <v>3184</v>
      </c>
    </row>
    <row r="3" spans="1:13" ht="15" thickBot="1" x14ac:dyDescent="0.4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</row>
    <row r="4" spans="1:13" ht="15" thickBot="1" x14ac:dyDescent="0.4">
      <c r="A4" s="131" t="s">
        <v>3143</v>
      </c>
      <c r="B4" s="133" t="s">
        <v>3144</v>
      </c>
      <c r="C4" s="135" t="s">
        <v>3145</v>
      </c>
      <c r="D4" s="136"/>
      <c r="E4" s="137" t="s">
        <v>3146</v>
      </c>
      <c r="F4" s="138"/>
      <c r="G4" s="131" t="s">
        <v>3147</v>
      </c>
      <c r="H4" s="137" t="s">
        <v>3148</v>
      </c>
      <c r="I4" s="138"/>
      <c r="J4" s="137" t="s">
        <v>3149</v>
      </c>
      <c r="K4" s="138"/>
      <c r="L4" s="131" t="s">
        <v>3150</v>
      </c>
      <c r="M4" s="91"/>
    </row>
    <row r="5" spans="1:13" ht="15" thickBot="1" x14ac:dyDescent="0.4">
      <c r="A5" s="132"/>
      <c r="B5" s="134"/>
      <c r="C5" s="106" t="s">
        <v>3151</v>
      </c>
      <c r="D5" s="107" t="s">
        <v>3152</v>
      </c>
      <c r="E5" s="108" t="s">
        <v>3151</v>
      </c>
      <c r="F5" s="109" t="s">
        <v>3152</v>
      </c>
      <c r="G5" s="139"/>
      <c r="H5" s="108" t="s">
        <v>3151</v>
      </c>
      <c r="I5" s="109" t="s">
        <v>3152</v>
      </c>
      <c r="J5" s="108" t="s">
        <v>3151</v>
      </c>
      <c r="K5" s="109" t="s">
        <v>3152</v>
      </c>
      <c r="L5" s="139"/>
      <c r="M5" s="91"/>
    </row>
    <row r="6" spans="1:13" x14ac:dyDescent="0.35">
      <c r="A6" s="114">
        <v>1</v>
      </c>
      <c r="B6" s="140">
        <v>2.6692567181509093E-2</v>
      </c>
      <c r="C6" s="99" t="s">
        <v>2130</v>
      </c>
      <c r="D6" s="100">
        <v>7.1099999999999997E-2</v>
      </c>
      <c r="E6" s="99" t="s">
        <v>3182</v>
      </c>
      <c r="F6" s="100">
        <v>0.105</v>
      </c>
      <c r="G6" s="97">
        <v>8.8099999999999998E-2</v>
      </c>
      <c r="H6" s="99" t="s">
        <v>2064</v>
      </c>
      <c r="I6" s="110">
        <v>0.96465355572458211</v>
      </c>
      <c r="J6" s="103" t="s">
        <v>70</v>
      </c>
      <c r="K6" s="110">
        <v>16.378877115164297</v>
      </c>
      <c r="L6" s="112">
        <v>6.242082661863388</v>
      </c>
      <c r="M6" s="91"/>
    </row>
    <row r="7" spans="1:13" x14ac:dyDescent="0.35">
      <c r="A7" s="105">
        <v>2</v>
      </c>
      <c r="B7" s="140">
        <v>8.1897175276954462E-2</v>
      </c>
      <c r="C7" s="99" t="s">
        <v>1987</v>
      </c>
      <c r="D7" s="100">
        <v>5.8291457286432154E-2</v>
      </c>
      <c r="E7" s="99" t="s">
        <v>505</v>
      </c>
      <c r="F7" s="100">
        <v>0.32113037893384716</v>
      </c>
      <c r="G7" s="97">
        <v>8.7318890813800731E-2</v>
      </c>
      <c r="H7" s="99" t="e">
        <v>#VALUE!</v>
      </c>
      <c r="I7" s="110" t="e">
        <v>#VALUE!</v>
      </c>
      <c r="J7" s="103" t="e">
        <v>#VALUE!</v>
      </c>
      <c r="K7" s="110" t="e">
        <v>#VALUE!</v>
      </c>
      <c r="L7" s="112" t="e">
        <v>#VALUE!</v>
      </c>
      <c r="M7" s="91"/>
    </row>
    <row r="8" spans="1:13" x14ac:dyDescent="0.35">
      <c r="A8" s="105">
        <v>3</v>
      </c>
      <c r="B8" s="140">
        <v>0.1122692292626388</v>
      </c>
      <c r="C8" s="99" t="s">
        <v>1956</v>
      </c>
      <c r="D8" s="100">
        <v>8.6294416243654817E-2</v>
      </c>
      <c r="E8" s="99" t="s">
        <v>2033</v>
      </c>
      <c r="F8" s="100">
        <v>0.23979591836734693</v>
      </c>
      <c r="G8" s="97">
        <v>0.10739669132368797</v>
      </c>
      <c r="H8" s="99" t="s">
        <v>1773</v>
      </c>
      <c r="I8" s="110">
        <v>0.8073106721371659</v>
      </c>
      <c r="J8" s="103" t="s">
        <v>1703</v>
      </c>
      <c r="K8" s="110">
        <v>7.3578012220278897</v>
      </c>
      <c r="L8" s="112">
        <v>3.2344617933992881</v>
      </c>
      <c r="M8" s="91"/>
    </row>
    <row r="9" spans="1:13" x14ac:dyDescent="0.35">
      <c r="A9" s="105">
        <v>4</v>
      </c>
      <c r="B9" s="140">
        <v>0.17023041273822578</v>
      </c>
      <c r="C9" s="99" t="s">
        <v>1815</v>
      </c>
      <c r="D9" s="100">
        <v>0.10638297872340426</v>
      </c>
      <c r="E9" s="99" t="s">
        <v>197</v>
      </c>
      <c r="F9" s="100">
        <v>0.14107611548556431</v>
      </c>
      <c r="G9" s="97">
        <v>0.12472016336790037</v>
      </c>
      <c r="H9" s="99" t="s">
        <v>1815</v>
      </c>
      <c r="I9" s="110">
        <v>0.85545843045843062</v>
      </c>
      <c r="J9" s="103" t="s">
        <v>197</v>
      </c>
      <c r="K9" s="110">
        <v>5.2643595951122055</v>
      </c>
      <c r="L9" s="112">
        <v>2.524893195378632</v>
      </c>
      <c r="M9" s="91"/>
    </row>
    <row r="10" spans="1:13" x14ac:dyDescent="0.35">
      <c r="A10" s="105">
        <v>5</v>
      </c>
      <c r="B10" s="140">
        <v>0.23197923741246806</v>
      </c>
      <c r="C10" s="99" t="s">
        <v>2131</v>
      </c>
      <c r="D10" s="100">
        <v>0.11875693673695893</v>
      </c>
      <c r="E10" s="99" t="s">
        <v>2072</v>
      </c>
      <c r="F10" s="100">
        <v>0.43833333333333335</v>
      </c>
      <c r="G10" s="97">
        <v>0.18182916854332209</v>
      </c>
      <c r="H10" s="99" t="s">
        <v>2131</v>
      </c>
      <c r="I10" s="110">
        <v>0.80664440572977159</v>
      </c>
      <c r="J10" s="103" t="s">
        <v>1006</v>
      </c>
      <c r="K10" s="110">
        <v>3.3395294125453985</v>
      </c>
      <c r="L10" s="112">
        <v>2.2014036306464888</v>
      </c>
      <c r="M10" s="91"/>
    </row>
    <row r="11" spans="1:13" x14ac:dyDescent="0.35">
      <c r="A11" s="105">
        <v>6</v>
      </c>
      <c r="B11" s="140">
        <v>0.27453472109546095</v>
      </c>
      <c r="C11" s="99" t="s">
        <v>1554</v>
      </c>
      <c r="D11" s="100">
        <v>0.13376570733684637</v>
      </c>
      <c r="E11" s="99" t="s">
        <v>972</v>
      </c>
      <c r="F11" s="100">
        <v>0.1702886247877759</v>
      </c>
      <c r="G11" s="97">
        <v>0.14811142330540805</v>
      </c>
      <c r="H11" s="99" t="s">
        <v>1554</v>
      </c>
      <c r="I11" s="110">
        <v>1.4729231697413847</v>
      </c>
      <c r="J11" s="103" t="s">
        <v>972</v>
      </c>
      <c r="K11" s="110">
        <v>3.1016869754667833</v>
      </c>
      <c r="L11" s="112">
        <v>2.2259242633675655</v>
      </c>
      <c r="M11" s="91"/>
    </row>
    <row r="12" spans="1:13" x14ac:dyDescent="0.35">
      <c r="A12" s="105">
        <v>7</v>
      </c>
      <c r="B12" s="140">
        <v>0.33722096972135884</v>
      </c>
      <c r="C12" s="99" t="s">
        <v>1475</v>
      </c>
      <c r="D12" s="100">
        <v>0.15647003598810827</v>
      </c>
      <c r="E12" s="99" t="s">
        <v>1475</v>
      </c>
      <c r="F12" s="100">
        <v>0.15647003598810827</v>
      </c>
      <c r="G12" s="97">
        <v>0.15647003598810827</v>
      </c>
      <c r="H12" s="99" t="s">
        <v>1475</v>
      </c>
      <c r="I12" s="110">
        <v>1.4045703072785698</v>
      </c>
      <c r="J12" s="103" t="s">
        <v>1475</v>
      </c>
      <c r="K12" s="110">
        <v>1.4045703072785698</v>
      </c>
      <c r="L12" s="112">
        <v>1.4045703072785698</v>
      </c>
      <c r="M12" s="91"/>
    </row>
    <row r="13" spans="1:13" x14ac:dyDescent="0.35">
      <c r="A13" s="105">
        <v>8</v>
      </c>
      <c r="B13" s="140">
        <v>0.38450323238973744</v>
      </c>
      <c r="C13" s="99" t="s">
        <v>1782</v>
      </c>
      <c r="D13" s="100">
        <v>0.15432503399271078</v>
      </c>
      <c r="E13" s="99" t="s">
        <v>2195</v>
      </c>
      <c r="F13" s="100">
        <v>0.78586449809977965</v>
      </c>
      <c r="G13" s="97">
        <v>0.39817017324893716</v>
      </c>
      <c r="H13" s="99" t="s">
        <v>2195</v>
      </c>
      <c r="I13" s="110">
        <v>1.0132630846432962</v>
      </c>
      <c r="J13" s="103" t="s">
        <v>1038</v>
      </c>
      <c r="K13" s="110">
        <v>2.6006760733041534</v>
      </c>
      <c r="L13" s="112">
        <v>1.5433329395822641</v>
      </c>
      <c r="M13" s="91"/>
    </row>
    <row r="14" spans="1:13" ht="15" thickBot="1" x14ac:dyDescent="0.4">
      <c r="A14" s="96">
        <v>9</v>
      </c>
      <c r="B14" s="141">
        <v>0.60541738884544338</v>
      </c>
      <c r="C14" s="101" t="s">
        <v>1890</v>
      </c>
      <c r="D14" s="102">
        <v>0.21014492753623185</v>
      </c>
      <c r="E14" s="101" t="s">
        <v>1547</v>
      </c>
      <c r="F14" s="102">
        <v>0.34966058052434457</v>
      </c>
      <c r="G14" s="98">
        <v>0.26123345460489289</v>
      </c>
      <c r="H14" s="101" t="s">
        <v>1890</v>
      </c>
      <c r="I14" s="111">
        <v>0.49964743003076806</v>
      </c>
      <c r="J14" s="104" t="s">
        <v>1705</v>
      </c>
      <c r="K14" s="111">
        <v>1.8086957148377358</v>
      </c>
      <c r="L14" s="113">
        <v>1.3780142294952473</v>
      </c>
      <c r="M14" s="91"/>
    </row>
    <row r="15" spans="1:13" x14ac:dyDescent="0.3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</row>
    <row r="16" spans="1:13" x14ac:dyDescent="0.35">
      <c r="A16" s="91" t="s">
        <v>3185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</row>
    <row r="18" spans="1:5" x14ac:dyDescent="0.35">
      <c r="A18" t="s">
        <v>3187</v>
      </c>
      <c r="E18" t="s">
        <v>3186</v>
      </c>
    </row>
  </sheetData>
  <mergeCells count="8">
    <mergeCell ref="H4:I4"/>
    <mergeCell ref="J4:K4"/>
    <mergeCell ref="L4:L5"/>
    <mergeCell ref="A4:A5"/>
    <mergeCell ref="B4:B5"/>
    <mergeCell ref="C4:D4"/>
    <mergeCell ref="E4:F4"/>
    <mergeCell ref="G4:G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96CE-A623-40C6-A857-FA272D4BDCBA}">
  <dimension ref="A1:L26"/>
  <sheetViews>
    <sheetView tabSelected="1" topLeftCell="A11" workbookViewId="0">
      <selection activeCell="E26" sqref="E26"/>
    </sheetView>
  </sheetViews>
  <sheetFormatPr defaultRowHeight="14.5" x14ac:dyDescent="0.35"/>
  <cols>
    <col min="1" max="1" width="11.26953125" style="91" customWidth="1"/>
    <col min="2" max="2" width="9.7265625" style="91" customWidth="1"/>
    <col min="3" max="3" width="10.54296875" style="91" customWidth="1"/>
    <col min="4" max="4" width="12.81640625" style="91" customWidth="1"/>
    <col min="5" max="16384" width="8.7265625" style="91"/>
  </cols>
  <sheetData>
    <row r="1" spans="1:4" x14ac:dyDescent="0.35">
      <c r="A1" s="91" t="s">
        <v>3153</v>
      </c>
      <c r="D1" s="91" t="s">
        <v>3154</v>
      </c>
    </row>
    <row r="2" spans="1:4" x14ac:dyDescent="0.35">
      <c r="D2" s="91" t="s">
        <v>3155</v>
      </c>
    </row>
    <row r="4" spans="1:4" x14ac:dyDescent="0.35">
      <c r="A4" s="91" t="s">
        <v>3156</v>
      </c>
    </row>
    <row r="6" spans="1:4" x14ac:dyDescent="0.35">
      <c r="A6" s="91" t="s">
        <v>3157</v>
      </c>
    </row>
    <row r="8" spans="1:4" x14ac:dyDescent="0.35">
      <c r="A8" s="95" t="s">
        <v>3158</v>
      </c>
      <c r="D8" s="95" t="s">
        <v>3159</v>
      </c>
    </row>
    <row r="9" spans="1:4" x14ac:dyDescent="0.35">
      <c r="A9" s="91" t="s">
        <v>3160</v>
      </c>
      <c r="D9" s="91">
        <v>10</v>
      </c>
    </row>
    <row r="10" spans="1:4" x14ac:dyDescent="0.35">
      <c r="A10" s="91" t="s">
        <v>3181</v>
      </c>
      <c r="D10" s="92">
        <v>0.1</v>
      </c>
    </row>
    <row r="11" spans="1:4" x14ac:dyDescent="0.35">
      <c r="A11" s="91" t="s">
        <v>3161</v>
      </c>
      <c r="D11" s="94">
        <f>D10*D14</f>
        <v>100</v>
      </c>
    </row>
    <row r="12" spans="1:4" x14ac:dyDescent="0.35">
      <c r="A12" s="91" t="s">
        <v>3162</v>
      </c>
      <c r="D12" s="91">
        <v>50</v>
      </c>
    </row>
    <row r="13" spans="1:4" x14ac:dyDescent="0.35">
      <c r="A13" s="91" t="s">
        <v>3163</v>
      </c>
      <c r="D13" s="91">
        <v>1</v>
      </c>
    </row>
    <row r="14" spans="1:4" x14ac:dyDescent="0.35">
      <c r="A14" s="91" t="s">
        <v>3164</v>
      </c>
      <c r="D14" s="91">
        <v>1000</v>
      </c>
    </row>
    <row r="15" spans="1:4" x14ac:dyDescent="0.35">
      <c r="A15" s="91" t="s">
        <v>3165</v>
      </c>
      <c r="D15" s="91">
        <v>1050</v>
      </c>
    </row>
    <row r="16" spans="1:4" x14ac:dyDescent="0.35">
      <c r="A16" s="91" t="s">
        <v>3166</v>
      </c>
      <c r="D16" s="91">
        <v>17</v>
      </c>
    </row>
    <row r="17" spans="1:12" hidden="1" x14ac:dyDescent="0.35">
      <c r="A17" s="91" t="s">
        <v>3167</v>
      </c>
      <c r="D17" s="91">
        <f>D14/50</f>
        <v>20</v>
      </c>
    </row>
    <row r="18" spans="1:12" x14ac:dyDescent="0.35">
      <c r="A18" s="91" t="s">
        <v>3168</v>
      </c>
      <c r="D18" s="91">
        <f>D16*D12</f>
        <v>850</v>
      </c>
      <c r="H18" s="95" t="s">
        <v>3169</v>
      </c>
      <c r="J18" s="95" t="s">
        <v>3170</v>
      </c>
    </row>
    <row r="19" spans="1:12" x14ac:dyDescent="0.35">
      <c r="A19" s="95" t="s">
        <v>3171</v>
      </c>
      <c r="D19" s="95" t="s">
        <v>3172</v>
      </c>
      <c r="H19" s="115">
        <f>RATE(D9,D11,-D15,D14)</f>
        <v>9.2135605783483163E-2</v>
      </c>
      <c r="J19" s="116">
        <v>1000</v>
      </c>
    </row>
    <row r="20" spans="1:12" x14ac:dyDescent="0.35">
      <c r="A20" s="91" t="s">
        <v>3173</v>
      </c>
      <c r="D20" s="91">
        <f>D15/D12</f>
        <v>21</v>
      </c>
      <c r="H20" s="95" t="s">
        <v>3174</v>
      </c>
      <c r="K20" s="95"/>
      <c r="L20" s="95"/>
    </row>
    <row r="21" spans="1:12" x14ac:dyDescent="0.35">
      <c r="A21" s="91" t="s">
        <v>3175</v>
      </c>
      <c r="E21" s="91">
        <f>D20-D16</f>
        <v>4</v>
      </c>
      <c r="I21" s="116"/>
      <c r="J21" s="116"/>
    </row>
    <row r="22" spans="1:12" x14ac:dyDescent="0.35">
      <c r="A22" s="91" t="s">
        <v>3176</v>
      </c>
      <c r="E22" s="93">
        <f>E21/D16</f>
        <v>0.23529411764705882</v>
      </c>
    </row>
    <row r="23" spans="1:12" x14ac:dyDescent="0.35">
      <c r="A23" s="91" t="s">
        <v>3177</v>
      </c>
      <c r="E23" s="91">
        <f>D12*D13</f>
        <v>50</v>
      </c>
    </row>
    <row r="24" spans="1:12" x14ac:dyDescent="0.35">
      <c r="A24" s="91" t="s">
        <v>3178</v>
      </c>
      <c r="E24" s="91">
        <f>(D11-E23)/D12</f>
        <v>1</v>
      </c>
    </row>
    <row r="25" spans="1:12" x14ac:dyDescent="0.35">
      <c r="A25" s="91" t="s">
        <v>3179</v>
      </c>
      <c r="E25" s="91">
        <f>E21/E24</f>
        <v>4</v>
      </c>
    </row>
    <row r="26" spans="1:12" x14ac:dyDescent="0.35">
      <c r="A26" s="91" t="s">
        <v>3180</v>
      </c>
      <c r="E26" s="93">
        <f>(D15/J19)-1</f>
        <v>5.0000000000000044E-2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Steps in Analyzing a Bond</vt:lpstr>
      <vt:lpstr>Base Data</vt:lpstr>
      <vt:lpstr>Data 2</vt:lpstr>
      <vt:lpstr>Bond Pricing</vt:lpstr>
      <vt:lpstr>Bond Pricing from Base Data</vt:lpstr>
      <vt:lpstr>Duration</vt:lpstr>
      <vt:lpstr>Duration Template</vt:lpstr>
      <vt:lpstr>Convexity Template</vt:lpstr>
      <vt:lpstr>Important Insights</vt:lpstr>
      <vt:lpstr>Cluster Details</vt:lpstr>
      <vt:lpstr>Bond Portfolio Template</vt:lpstr>
      <vt:lpstr>Convertible Bond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Kumari</dc:creator>
  <cp:lastModifiedBy>Ranjan Chakravarty</cp:lastModifiedBy>
  <dcterms:created xsi:type="dcterms:W3CDTF">2025-08-05T11:18:17Z</dcterms:created>
  <dcterms:modified xsi:type="dcterms:W3CDTF">2025-12-12T07:56:13Z</dcterms:modified>
</cp:coreProperties>
</file>